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<sst xmlns="http://schemas.openxmlformats.org/spreadsheetml/2006/main" count="62" uniqueCount="33">
  <si>
    <t>sample_id</t>
  </si>
  <si>
    <t>sample_name</t>
  </si>
  <si>
    <t>No more than 1000 samples can be entered in this worksheet.  If you need to submit metadata for &gt;1000 samples, please contact CMI directly.</t>
  </si>
  <si>
    <t>body_habitat</t>
  </si>
  <si>
    <t>body_product</t>
  </si>
  <si>
    <t>body_site</t>
  </si>
  <si>
    <t>empo_3</t>
  </si>
  <si>
    <t>env_material</t>
  </si>
  <si>
    <t>sample_type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</si>
  <si>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</si>
  <si>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</si>
  <si>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</si>
  <si>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</si>
  <si>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</si>
  <si>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</si>
  <si>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</si>
  <si>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</si>
  <si>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</si>
  <si>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</si>
  <si>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</si>
  <si>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</si>
  <si>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</si>
  <si>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</si>
  <si>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"UBERON:genitourinary". The default value is UBERON:genitourinary.</t>
  </si>
  <si>
    <t>The value must be a string and must equal "UBERON:urine". The default value is UBERON:urine.</t>
  </si>
  <si>
    <t>The value must be a string and must equal "UBERON:kidney". The default value is UBERON:kidney.</t>
  </si>
  <si>
    <t>The value must be a string and must equal "animal corpus". The default value is animal corpus.</t>
  </si>
  <si>
    <t>The value must be a string and must equal "urine". The default value is urine.</t>
  </si>
  <si>
    <t>The value must be a string and must equal "urine metagenome". The default value is urine metagenome.</t>
  </si>
  <si>
    <t>The value must be a string and must equal "1346744". The default value is 1346744.</t>
  </si>
  <si>
    <t xml:space="preserve">body_habitat:
  allowed:
  - UBERON:genitourinary
  default: UBERON:genitourinary
  empty: false
  is_phi: false
  required: true
  type: string
body_product:
  allowed:
  - UBERON:urine
  default: UBERON:urine
  empty: false
  is_phi: false
  required: true
  type: string
body_site:
  allowed:
  - UBERON:kidney
  default: UBERON:kidney
  empty: false
  is_phi: false
  required: true
  type: string
empo_3:
  allowed:
  - animal corpus
  default: animal corpus
  empty: false
  is_phi: false
  required: true
  type: string
env_material:
  allowed:
  - urine
  default: urine
  empty: false
  is_phi: false
  required: true
  type: string
sample_name:
  empty: false
  is_phi: false
  regex: ^[a-zA-Z0-9\.]+$
  required: true
  type: string
  unique: true
sample_type:
  allowed:
  - urine
  default: urine
  empty: false
  is_phi: false
  required: true
  type: string
scientific_name:
  allowed:
  - urine metagenome
  default: urine metagenome
  empty: false
  is_phi: false
  required: true
  type: string
taxon_id:
  allowed:
  - '1346744'
  default: '1346744'
  empty: false
  is_phi: false
  required: true
  type: string
</t>
  </si>
  <si>
    <t xml:space="preserve">0:
  categorical_default_select: UBERON:genitourinary
  categorical_values: UBERON:genitourinary
  default_value: categorical_default
  field_name: body_habitat
  field_type: categorical
1:
  categorical_default_select: UBERON:urine
  categorical_values: UBERON:urine
  default_value: categorical_default
  field_name: body_product
  field_type: categorical
2:
  categorical_default_select: UBERON:kidney
  categorical_values: UBERON:kidney
  default_value: categorical_default
  field_name: body_site
  field_type: categorical
3:
  categorical_default_select: animal corpus
  categorical_values: animal corpus
  default_value: categorical_default
  field_name: empo_3
  field_type: categorical
4:
  categorical_default_select: urine
  categorical_values: urine
  default_value: categorical_default
  field_name: env_material
  field_type: categorical
5:
  categorical_default_select: urine
  categorical_values: urine
  default_value: categorical_default
  field_name: sample_type
  field_type: categorical
6:
  categorical_default_select: urine metagenome
  categorical_values: urine metagenome
  default_value: categorical_default
  field_name: scientific_name
  field_type: categorical
7:
  categorical_default_select: '1346744'
  categorical_values: '1346744'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</si>
  <si>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21:54:04.</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</si>
</sst>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 min="7" max="7" width="9.140625" style="1"/>
    <col min="8" max="8" width="9.140625" style="1"/>
    <col min="9" max="9" width="9.140625" style="1"/>
    <col min="10" max="10" width="9.140625" style="1"/>
  </cols>
  <sheetData>
    <row r="1" spans="1:10">
      <c r="A1" s="2" t="s">
        <v>0</v>
      </c>
      <c r="B1" s="2" t="s">
        <v>1</v>
      </c>
      <c r="C1" s="2" t="s">
        <v>3</v>
      </c>
      <c r="D1" s="2" t="s">
        <v>4</v>
      </c>
      <c r="E1" s="2" t="s">
        <v>5</v>
      </c>
      <c r="F1" s="2" t="s">
        <v>6</v>
      </c>
      <c r="G1" s="2" t="s">
        <v>7</v>
      </c>
      <c r="H1" s="2" t="s">
        <v>8</v>
      </c>
      <c r="I1" s="2" t="s">
        <v>9</v>
      </c>
      <c r="J1" s="2" t="s">
        <v>10</v>
      </c>
    </row>
    <row r="2" spans="1:10">
      <c r="A2">
        <f>IF(COUNTBLANK(B2:J2)&lt;&gt;COLUMNS(B2:J2),1,"")</f>
        <v>0</v>
      </c>
      <c r="C2" s="1">
        <f>IF(B2="", "", "UBERON:genitourinary")</f>
        <v>0</v>
      </c>
      <c r="D2" s="1">
        <f>IF(B2="", "", "UBERON:urine")</f>
        <v>0</v>
      </c>
      <c r="E2" s="1">
        <f>IF(B2="", "", "UBERON:kidney")</f>
        <v>0</v>
      </c>
      <c r="F2" s="1">
        <f>IF(B2="", "", "animal corpus")</f>
        <v>0</v>
      </c>
      <c r="G2" s="1">
        <f>IF(B2="", "", "urine")</f>
        <v>0</v>
      </c>
      <c r="H2" s="1">
        <f>IF(B2="", "", "urine")</f>
        <v>0</v>
      </c>
      <c r="I2" s="1">
        <f>IF(B2="", "", "urine metagenome")</f>
        <v>0</v>
      </c>
      <c r="J2" s="1">
        <f>IF(B2="", "", "1346744")</f>
        <v>0</v>
      </c>
    </row>
    <row r="3" spans="1:10">
      <c r="A3">
        <f>IF(COUNTBLANK(B3:J3)&lt;&gt;COLUMNS(B3:J3),2,"")</f>
        <v>0</v>
      </c>
      <c r="C3" s="1">
        <f>IF(B3="", "", "UBERON:genitourinary")</f>
        <v>0</v>
      </c>
      <c r="D3" s="1">
        <f>IF(B3="", "", "UBERON:urine")</f>
        <v>0</v>
      </c>
      <c r="E3" s="1">
        <f>IF(B3="", "", "UBERON:kidney")</f>
        <v>0</v>
      </c>
      <c r="F3" s="1">
        <f>IF(B3="", "", "animal corpus")</f>
        <v>0</v>
      </c>
      <c r="G3" s="1">
        <f>IF(B3="", "", "urine")</f>
        <v>0</v>
      </c>
      <c r="H3" s="1">
        <f>IF(B3="", "", "urine")</f>
        <v>0</v>
      </c>
      <c r="I3" s="1">
        <f>IF(B3="", "", "urine metagenome")</f>
        <v>0</v>
      </c>
      <c r="J3" s="1">
        <f>IF(B3="", "", "1346744")</f>
        <v>0</v>
      </c>
    </row>
    <row r="4" spans="1:10">
      <c r="A4">
        <f>IF(COUNTBLANK(B4:J4)&lt;&gt;COLUMNS(B4:J4),3,"")</f>
        <v>0</v>
      </c>
      <c r="C4" s="1">
        <f>IF(B4="", "", "UBERON:genitourinary")</f>
        <v>0</v>
      </c>
      <c r="D4" s="1">
        <f>IF(B4="", "", "UBERON:urine")</f>
        <v>0</v>
      </c>
      <c r="E4" s="1">
        <f>IF(B4="", "", "UBERON:kidney")</f>
        <v>0</v>
      </c>
      <c r="F4" s="1">
        <f>IF(B4="", "", "animal corpus")</f>
        <v>0</v>
      </c>
      <c r="G4" s="1">
        <f>IF(B4="", "", "urine")</f>
        <v>0</v>
      </c>
      <c r="H4" s="1">
        <f>IF(B4="", "", "urine")</f>
        <v>0</v>
      </c>
      <c r="I4" s="1">
        <f>IF(B4="", "", "urine metagenome")</f>
        <v>0</v>
      </c>
      <c r="J4" s="1">
        <f>IF(B4="", "", "1346744")</f>
        <v>0</v>
      </c>
    </row>
    <row r="5" spans="1:10">
      <c r="A5">
        <f>IF(COUNTBLANK(B5:J5)&lt;&gt;COLUMNS(B5:J5),4,"")</f>
        <v>0</v>
      </c>
      <c r="C5" s="1">
        <f>IF(B5="", "", "UBERON:genitourinary")</f>
        <v>0</v>
      </c>
      <c r="D5" s="1">
        <f>IF(B5="", "", "UBERON:urine")</f>
        <v>0</v>
      </c>
      <c r="E5" s="1">
        <f>IF(B5="", "", "UBERON:kidney")</f>
        <v>0</v>
      </c>
      <c r="F5" s="1">
        <f>IF(B5="", "", "animal corpus")</f>
        <v>0</v>
      </c>
      <c r="G5" s="1">
        <f>IF(B5="", "", "urine")</f>
        <v>0</v>
      </c>
      <c r="H5" s="1">
        <f>IF(B5="", "", "urine")</f>
        <v>0</v>
      </c>
      <c r="I5" s="1">
        <f>IF(B5="", "", "urine metagenome")</f>
        <v>0</v>
      </c>
      <c r="J5" s="1">
        <f>IF(B5="", "", "1346744")</f>
        <v>0</v>
      </c>
    </row>
    <row r="6" spans="1:10">
      <c r="A6">
        <f>IF(COUNTBLANK(B6:J6)&lt;&gt;COLUMNS(B6:J6),5,"")</f>
        <v>0</v>
      </c>
      <c r="C6" s="1">
        <f>IF(B6="", "", "UBERON:genitourinary")</f>
        <v>0</v>
      </c>
      <c r="D6" s="1">
        <f>IF(B6="", "", "UBERON:urine")</f>
        <v>0</v>
      </c>
      <c r="E6" s="1">
        <f>IF(B6="", "", "UBERON:kidney")</f>
        <v>0</v>
      </c>
      <c r="F6" s="1">
        <f>IF(B6="", "", "animal corpus")</f>
        <v>0</v>
      </c>
      <c r="G6" s="1">
        <f>IF(B6="", "", "urine")</f>
        <v>0</v>
      </c>
      <c r="H6" s="1">
        <f>IF(B6="", "", "urine")</f>
        <v>0</v>
      </c>
      <c r="I6" s="1">
        <f>IF(B6="", "", "urine metagenome")</f>
        <v>0</v>
      </c>
      <c r="J6" s="1">
        <f>IF(B6="", "", "1346744")</f>
        <v>0</v>
      </c>
    </row>
    <row r="7" spans="1:10">
      <c r="A7">
        <f>IF(COUNTBLANK(B7:J7)&lt;&gt;COLUMNS(B7:J7),6,"")</f>
        <v>0</v>
      </c>
      <c r="C7" s="1">
        <f>IF(B7="", "", "UBERON:genitourinary")</f>
        <v>0</v>
      </c>
      <c r="D7" s="1">
        <f>IF(B7="", "", "UBERON:urine")</f>
        <v>0</v>
      </c>
      <c r="E7" s="1">
        <f>IF(B7="", "", "UBERON:kidney")</f>
        <v>0</v>
      </c>
      <c r="F7" s="1">
        <f>IF(B7="", "", "animal corpus")</f>
        <v>0</v>
      </c>
      <c r="G7" s="1">
        <f>IF(B7="", "", "urine")</f>
        <v>0</v>
      </c>
      <c r="H7" s="1">
        <f>IF(B7="", "", "urine")</f>
        <v>0</v>
      </c>
      <c r="I7" s="1">
        <f>IF(B7="", "", "urine metagenome")</f>
        <v>0</v>
      </c>
      <c r="J7" s="1">
        <f>IF(B7="", "", "1346744")</f>
        <v>0</v>
      </c>
    </row>
    <row r="8" spans="1:10">
      <c r="A8">
        <f>IF(COUNTBLANK(B8:J8)&lt;&gt;COLUMNS(B8:J8),7,"")</f>
        <v>0</v>
      </c>
      <c r="C8" s="1">
        <f>IF(B8="", "", "UBERON:genitourinary")</f>
        <v>0</v>
      </c>
      <c r="D8" s="1">
        <f>IF(B8="", "", "UBERON:urine")</f>
        <v>0</v>
      </c>
      <c r="E8" s="1">
        <f>IF(B8="", "", "UBERON:kidney")</f>
        <v>0</v>
      </c>
      <c r="F8" s="1">
        <f>IF(B8="", "", "animal corpus")</f>
        <v>0</v>
      </c>
      <c r="G8" s="1">
        <f>IF(B8="", "", "urine")</f>
        <v>0</v>
      </c>
      <c r="H8" s="1">
        <f>IF(B8="", "", "urine")</f>
        <v>0</v>
      </c>
      <c r="I8" s="1">
        <f>IF(B8="", "", "urine metagenome")</f>
        <v>0</v>
      </c>
      <c r="J8" s="1">
        <f>IF(B8="", "", "1346744")</f>
        <v>0</v>
      </c>
    </row>
    <row r="9" spans="1:10">
      <c r="A9">
        <f>IF(COUNTBLANK(B9:J9)&lt;&gt;COLUMNS(B9:J9),8,"")</f>
        <v>0</v>
      </c>
      <c r="C9" s="1">
        <f>IF(B9="", "", "UBERON:genitourinary")</f>
        <v>0</v>
      </c>
      <c r="D9" s="1">
        <f>IF(B9="", "", "UBERON:urine")</f>
        <v>0</v>
      </c>
      <c r="E9" s="1">
        <f>IF(B9="", "", "UBERON:kidney")</f>
        <v>0</v>
      </c>
      <c r="F9" s="1">
        <f>IF(B9="", "", "animal corpus")</f>
        <v>0</v>
      </c>
      <c r="G9" s="1">
        <f>IF(B9="", "", "urine")</f>
        <v>0</v>
      </c>
      <c r="H9" s="1">
        <f>IF(B9="", "", "urine")</f>
        <v>0</v>
      </c>
      <c r="I9" s="1">
        <f>IF(B9="", "", "urine metagenome")</f>
        <v>0</v>
      </c>
      <c r="J9" s="1">
        <f>IF(B9="", "", "1346744")</f>
        <v>0</v>
      </c>
    </row>
    <row r="10" spans="1:10">
      <c r="A10">
        <f>IF(COUNTBLANK(B10:J10)&lt;&gt;COLUMNS(B10:J10),9,"")</f>
        <v>0</v>
      </c>
      <c r="C10" s="1">
        <f>IF(B10="", "", "UBERON:genitourinary")</f>
        <v>0</v>
      </c>
      <c r="D10" s="1">
        <f>IF(B10="", "", "UBERON:urine")</f>
        <v>0</v>
      </c>
      <c r="E10" s="1">
        <f>IF(B10="", "", "UBERON:kidney")</f>
        <v>0</v>
      </c>
      <c r="F10" s="1">
        <f>IF(B10="", "", "animal corpus")</f>
        <v>0</v>
      </c>
      <c r="G10" s="1">
        <f>IF(B10="", "", "urine")</f>
        <v>0</v>
      </c>
      <c r="H10" s="1">
        <f>IF(B10="", "", "urine")</f>
        <v>0</v>
      </c>
      <c r="I10" s="1">
        <f>IF(B10="", "", "urine metagenome")</f>
        <v>0</v>
      </c>
      <c r="J10" s="1">
        <f>IF(B10="", "", "1346744")</f>
        <v>0</v>
      </c>
    </row>
    <row r="11" spans="1:10">
      <c r="A11">
        <f>IF(COUNTBLANK(B11:J11)&lt;&gt;COLUMNS(B11:J11),10,"")</f>
        <v>0</v>
      </c>
      <c r="C11" s="1">
        <f>IF(B11="", "", "UBERON:genitourinary")</f>
        <v>0</v>
      </c>
      <c r="D11" s="1">
        <f>IF(B11="", "", "UBERON:urine")</f>
        <v>0</v>
      </c>
      <c r="E11" s="1">
        <f>IF(B11="", "", "UBERON:kidney")</f>
        <v>0</v>
      </c>
      <c r="F11" s="1">
        <f>IF(B11="", "", "animal corpus")</f>
        <v>0</v>
      </c>
      <c r="G11" s="1">
        <f>IF(B11="", "", "urine")</f>
        <v>0</v>
      </c>
      <c r="H11" s="1">
        <f>IF(B11="", "", "urine")</f>
        <v>0</v>
      </c>
      <c r="I11" s="1">
        <f>IF(B11="", "", "urine metagenome")</f>
        <v>0</v>
      </c>
      <c r="J11" s="1">
        <f>IF(B11="", "", "1346744")</f>
        <v>0</v>
      </c>
    </row>
    <row r="12" spans="1:10">
      <c r="A12">
        <f>IF(COUNTBLANK(B12:J12)&lt;&gt;COLUMNS(B12:J12),11,"")</f>
        <v>0</v>
      </c>
      <c r="C12" s="1">
        <f>IF(B12="", "", "UBERON:genitourinary")</f>
        <v>0</v>
      </c>
      <c r="D12" s="1">
        <f>IF(B12="", "", "UBERON:urine")</f>
        <v>0</v>
      </c>
      <c r="E12" s="1">
        <f>IF(B12="", "", "UBERON:kidney")</f>
        <v>0</v>
      </c>
      <c r="F12" s="1">
        <f>IF(B12="", "", "animal corpus")</f>
        <v>0</v>
      </c>
      <c r="G12" s="1">
        <f>IF(B12="", "", "urine")</f>
        <v>0</v>
      </c>
      <c r="H12" s="1">
        <f>IF(B12="", "", "urine")</f>
        <v>0</v>
      </c>
      <c r="I12" s="1">
        <f>IF(B12="", "", "urine metagenome")</f>
        <v>0</v>
      </c>
      <c r="J12" s="1">
        <f>IF(B12="", "", "1346744")</f>
        <v>0</v>
      </c>
    </row>
    <row r="13" spans="1:10">
      <c r="A13">
        <f>IF(COUNTBLANK(B13:J13)&lt;&gt;COLUMNS(B13:J13),12,"")</f>
        <v>0</v>
      </c>
      <c r="C13" s="1">
        <f>IF(B13="", "", "UBERON:genitourinary")</f>
        <v>0</v>
      </c>
      <c r="D13" s="1">
        <f>IF(B13="", "", "UBERON:urine")</f>
        <v>0</v>
      </c>
      <c r="E13" s="1">
        <f>IF(B13="", "", "UBERON:kidney")</f>
        <v>0</v>
      </c>
      <c r="F13" s="1">
        <f>IF(B13="", "", "animal corpus")</f>
        <v>0</v>
      </c>
      <c r="G13" s="1">
        <f>IF(B13="", "", "urine")</f>
        <v>0</v>
      </c>
      <c r="H13" s="1">
        <f>IF(B13="", "", "urine")</f>
        <v>0</v>
      </c>
      <c r="I13" s="1">
        <f>IF(B13="", "", "urine metagenome")</f>
        <v>0</v>
      </c>
      <c r="J13" s="1">
        <f>IF(B13="", "", "1346744")</f>
        <v>0</v>
      </c>
    </row>
    <row r="14" spans="1:10">
      <c r="A14">
        <f>IF(COUNTBLANK(B14:J14)&lt;&gt;COLUMNS(B14:J14),13,"")</f>
        <v>0</v>
      </c>
      <c r="C14" s="1">
        <f>IF(B14="", "", "UBERON:genitourinary")</f>
        <v>0</v>
      </c>
      <c r="D14" s="1">
        <f>IF(B14="", "", "UBERON:urine")</f>
        <v>0</v>
      </c>
      <c r="E14" s="1">
        <f>IF(B14="", "", "UBERON:kidney")</f>
        <v>0</v>
      </c>
      <c r="F14" s="1">
        <f>IF(B14="", "", "animal corpus")</f>
        <v>0</v>
      </c>
      <c r="G14" s="1">
        <f>IF(B14="", "", "urine")</f>
        <v>0</v>
      </c>
      <c r="H14" s="1">
        <f>IF(B14="", "", "urine")</f>
        <v>0</v>
      </c>
      <c r="I14" s="1">
        <f>IF(B14="", "", "urine metagenome")</f>
        <v>0</v>
      </c>
      <c r="J14" s="1">
        <f>IF(B14="", "", "1346744")</f>
        <v>0</v>
      </c>
    </row>
    <row r="15" spans="1:10">
      <c r="A15">
        <f>IF(COUNTBLANK(B15:J15)&lt;&gt;COLUMNS(B15:J15),14,"")</f>
        <v>0</v>
      </c>
      <c r="C15" s="1">
        <f>IF(B15="", "", "UBERON:genitourinary")</f>
        <v>0</v>
      </c>
      <c r="D15" s="1">
        <f>IF(B15="", "", "UBERON:urine")</f>
        <v>0</v>
      </c>
      <c r="E15" s="1">
        <f>IF(B15="", "", "UBERON:kidney")</f>
        <v>0</v>
      </c>
      <c r="F15" s="1">
        <f>IF(B15="", "", "animal corpus")</f>
        <v>0</v>
      </c>
      <c r="G15" s="1">
        <f>IF(B15="", "", "urine")</f>
        <v>0</v>
      </c>
      <c r="H15" s="1">
        <f>IF(B15="", "", "urine")</f>
        <v>0</v>
      </c>
      <c r="I15" s="1">
        <f>IF(B15="", "", "urine metagenome")</f>
        <v>0</v>
      </c>
      <c r="J15" s="1">
        <f>IF(B15="", "", "1346744")</f>
        <v>0</v>
      </c>
    </row>
    <row r="16" spans="1:10">
      <c r="A16">
        <f>IF(COUNTBLANK(B16:J16)&lt;&gt;COLUMNS(B16:J16),15,"")</f>
        <v>0</v>
      </c>
      <c r="C16" s="1">
        <f>IF(B16="", "", "UBERON:genitourinary")</f>
        <v>0</v>
      </c>
      <c r="D16" s="1">
        <f>IF(B16="", "", "UBERON:urine")</f>
        <v>0</v>
      </c>
      <c r="E16" s="1">
        <f>IF(B16="", "", "UBERON:kidney")</f>
        <v>0</v>
      </c>
      <c r="F16" s="1">
        <f>IF(B16="", "", "animal corpus")</f>
        <v>0</v>
      </c>
      <c r="G16" s="1">
        <f>IF(B16="", "", "urine")</f>
        <v>0</v>
      </c>
      <c r="H16" s="1">
        <f>IF(B16="", "", "urine")</f>
        <v>0</v>
      </c>
      <c r="I16" s="1">
        <f>IF(B16="", "", "urine metagenome")</f>
        <v>0</v>
      </c>
      <c r="J16" s="1">
        <f>IF(B16="", "", "1346744")</f>
        <v>0</v>
      </c>
    </row>
    <row r="17" spans="1:10">
      <c r="A17">
        <f>IF(COUNTBLANK(B17:J17)&lt;&gt;COLUMNS(B17:J17),16,"")</f>
        <v>0</v>
      </c>
      <c r="C17" s="1">
        <f>IF(B17="", "", "UBERON:genitourinary")</f>
        <v>0</v>
      </c>
      <c r="D17" s="1">
        <f>IF(B17="", "", "UBERON:urine")</f>
        <v>0</v>
      </c>
      <c r="E17" s="1">
        <f>IF(B17="", "", "UBERON:kidney")</f>
        <v>0</v>
      </c>
      <c r="F17" s="1">
        <f>IF(B17="", "", "animal corpus")</f>
        <v>0</v>
      </c>
      <c r="G17" s="1">
        <f>IF(B17="", "", "urine")</f>
        <v>0</v>
      </c>
      <c r="H17" s="1">
        <f>IF(B17="", "", "urine")</f>
        <v>0</v>
      </c>
      <c r="I17" s="1">
        <f>IF(B17="", "", "urine metagenome")</f>
        <v>0</v>
      </c>
      <c r="J17" s="1">
        <f>IF(B17="", "", "1346744")</f>
        <v>0</v>
      </c>
    </row>
    <row r="18" spans="1:10">
      <c r="A18">
        <f>IF(COUNTBLANK(B18:J18)&lt;&gt;COLUMNS(B18:J18),17,"")</f>
        <v>0</v>
      </c>
      <c r="C18" s="1">
        <f>IF(B18="", "", "UBERON:genitourinary")</f>
        <v>0</v>
      </c>
      <c r="D18" s="1">
        <f>IF(B18="", "", "UBERON:urine")</f>
        <v>0</v>
      </c>
      <c r="E18" s="1">
        <f>IF(B18="", "", "UBERON:kidney")</f>
        <v>0</v>
      </c>
      <c r="F18" s="1">
        <f>IF(B18="", "", "animal corpus")</f>
        <v>0</v>
      </c>
      <c r="G18" s="1">
        <f>IF(B18="", "", "urine")</f>
        <v>0</v>
      </c>
      <c r="H18" s="1">
        <f>IF(B18="", "", "urine")</f>
        <v>0</v>
      </c>
      <c r="I18" s="1">
        <f>IF(B18="", "", "urine metagenome")</f>
        <v>0</v>
      </c>
      <c r="J18" s="1">
        <f>IF(B18="", "", "1346744")</f>
        <v>0</v>
      </c>
    </row>
    <row r="19" spans="1:10">
      <c r="A19">
        <f>IF(COUNTBLANK(B19:J19)&lt;&gt;COLUMNS(B19:J19),18,"")</f>
        <v>0</v>
      </c>
      <c r="C19" s="1">
        <f>IF(B19="", "", "UBERON:genitourinary")</f>
        <v>0</v>
      </c>
      <c r="D19" s="1">
        <f>IF(B19="", "", "UBERON:urine")</f>
        <v>0</v>
      </c>
      <c r="E19" s="1">
        <f>IF(B19="", "", "UBERON:kidney")</f>
        <v>0</v>
      </c>
      <c r="F19" s="1">
        <f>IF(B19="", "", "animal corpus")</f>
        <v>0</v>
      </c>
      <c r="G19" s="1">
        <f>IF(B19="", "", "urine")</f>
        <v>0</v>
      </c>
      <c r="H19" s="1">
        <f>IF(B19="", "", "urine")</f>
        <v>0</v>
      </c>
      <c r="I19" s="1">
        <f>IF(B19="", "", "urine metagenome")</f>
        <v>0</v>
      </c>
      <c r="J19" s="1">
        <f>IF(B19="", "", "1346744")</f>
        <v>0</v>
      </c>
    </row>
    <row r="20" spans="1:10">
      <c r="A20">
        <f>IF(COUNTBLANK(B20:J20)&lt;&gt;COLUMNS(B20:J20),19,"")</f>
        <v>0</v>
      </c>
      <c r="C20" s="1">
        <f>IF(B20="", "", "UBERON:genitourinary")</f>
        <v>0</v>
      </c>
      <c r="D20" s="1">
        <f>IF(B20="", "", "UBERON:urine")</f>
        <v>0</v>
      </c>
      <c r="E20" s="1">
        <f>IF(B20="", "", "UBERON:kidney")</f>
        <v>0</v>
      </c>
      <c r="F20" s="1">
        <f>IF(B20="", "", "animal corpus")</f>
        <v>0</v>
      </c>
      <c r="G20" s="1">
        <f>IF(B20="", "", "urine")</f>
        <v>0</v>
      </c>
      <c r="H20" s="1">
        <f>IF(B20="", "", "urine")</f>
        <v>0</v>
      </c>
      <c r="I20" s="1">
        <f>IF(B20="", "", "urine metagenome")</f>
        <v>0</v>
      </c>
      <c r="J20" s="1">
        <f>IF(B20="", "", "1346744")</f>
        <v>0</v>
      </c>
    </row>
    <row r="21" spans="1:10">
      <c r="A21">
        <f>IF(COUNTBLANK(B21:J21)&lt;&gt;COLUMNS(B21:J21),20,"")</f>
        <v>0</v>
      </c>
      <c r="C21" s="1">
        <f>IF(B21="", "", "UBERON:genitourinary")</f>
        <v>0</v>
      </c>
      <c r="D21" s="1">
        <f>IF(B21="", "", "UBERON:urine")</f>
        <v>0</v>
      </c>
      <c r="E21" s="1">
        <f>IF(B21="", "", "UBERON:kidney")</f>
        <v>0</v>
      </c>
      <c r="F21" s="1">
        <f>IF(B21="", "", "animal corpus")</f>
        <v>0</v>
      </c>
      <c r="G21" s="1">
        <f>IF(B21="", "", "urine")</f>
        <v>0</v>
      </c>
      <c r="H21" s="1">
        <f>IF(B21="", "", "urine")</f>
        <v>0</v>
      </c>
      <c r="I21" s="1">
        <f>IF(B21="", "", "urine metagenome")</f>
        <v>0</v>
      </c>
      <c r="J21" s="1">
        <f>IF(B21="", "", "1346744")</f>
        <v>0</v>
      </c>
    </row>
    <row r="22" spans="1:10">
      <c r="A22">
        <f>IF(COUNTBLANK(B22:J22)&lt;&gt;COLUMNS(B22:J22),21,"")</f>
        <v>0</v>
      </c>
      <c r="C22" s="1">
        <f>IF(B22="", "", "UBERON:genitourinary")</f>
        <v>0</v>
      </c>
      <c r="D22" s="1">
        <f>IF(B22="", "", "UBERON:urine")</f>
        <v>0</v>
      </c>
      <c r="E22" s="1">
        <f>IF(B22="", "", "UBERON:kidney")</f>
        <v>0</v>
      </c>
      <c r="F22" s="1">
        <f>IF(B22="", "", "animal corpus")</f>
        <v>0</v>
      </c>
      <c r="G22" s="1">
        <f>IF(B22="", "", "urine")</f>
        <v>0</v>
      </c>
      <c r="H22" s="1">
        <f>IF(B22="", "", "urine")</f>
        <v>0</v>
      </c>
      <c r="I22" s="1">
        <f>IF(B22="", "", "urine metagenome")</f>
        <v>0</v>
      </c>
      <c r="J22" s="1">
        <f>IF(B22="", "", "1346744")</f>
        <v>0</v>
      </c>
    </row>
    <row r="23" spans="1:10">
      <c r="A23">
        <f>IF(COUNTBLANK(B23:J23)&lt;&gt;COLUMNS(B23:J23),22,"")</f>
        <v>0</v>
      </c>
      <c r="C23" s="1">
        <f>IF(B23="", "", "UBERON:genitourinary")</f>
        <v>0</v>
      </c>
      <c r="D23" s="1">
        <f>IF(B23="", "", "UBERON:urine")</f>
        <v>0</v>
      </c>
      <c r="E23" s="1">
        <f>IF(B23="", "", "UBERON:kidney")</f>
        <v>0</v>
      </c>
      <c r="F23" s="1">
        <f>IF(B23="", "", "animal corpus")</f>
        <v>0</v>
      </c>
      <c r="G23" s="1">
        <f>IF(B23="", "", "urine")</f>
        <v>0</v>
      </c>
      <c r="H23" s="1">
        <f>IF(B23="", "", "urine")</f>
        <v>0</v>
      </c>
      <c r="I23" s="1">
        <f>IF(B23="", "", "urine metagenome")</f>
        <v>0</v>
      </c>
      <c r="J23" s="1">
        <f>IF(B23="", "", "1346744")</f>
        <v>0</v>
      </c>
    </row>
    <row r="24" spans="1:10">
      <c r="A24">
        <f>IF(COUNTBLANK(B24:J24)&lt;&gt;COLUMNS(B24:J24),23,"")</f>
        <v>0</v>
      </c>
      <c r="C24" s="1">
        <f>IF(B24="", "", "UBERON:genitourinary")</f>
        <v>0</v>
      </c>
      <c r="D24" s="1">
        <f>IF(B24="", "", "UBERON:urine")</f>
        <v>0</v>
      </c>
      <c r="E24" s="1">
        <f>IF(B24="", "", "UBERON:kidney")</f>
        <v>0</v>
      </c>
      <c r="F24" s="1">
        <f>IF(B24="", "", "animal corpus")</f>
        <v>0</v>
      </c>
      <c r="G24" s="1">
        <f>IF(B24="", "", "urine")</f>
        <v>0</v>
      </c>
      <c r="H24" s="1">
        <f>IF(B24="", "", "urine")</f>
        <v>0</v>
      </c>
      <c r="I24" s="1">
        <f>IF(B24="", "", "urine metagenome")</f>
        <v>0</v>
      </c>
      <c r="J24" s="1">
        <f>IF(B24="", "", "1346744")</f>
        <v>0</v>
      </c>
    </row>
    <row r="25" spans="1:10">
      <c r="A25">
        <f>IF(COUNTBLANK(B25:J25)&lt;&gt;COLUMNS(B25:J25),24,"")</f>
        <v>0</v>
      </c>
      <c r="C25" s="1">
        <f>IF(B25="", "", "UBERON:genitourinary")</f>
        <v>0</v>
      </c>
      <c r="D25" s="1">
        <f>IF(B25="", "", "UBERON:urine")</f>
        <v>0</v>
      </c>
      <c r="E25" s="1">
        <f>IF(B25="", "", "UBERON:kidney")</f>
        <v>0</v>
      </c>
      <c r="F25" s="1">
        <f>IF(B25="", "", "animal corpus")</f>
        <v>0</v>
      </c>
      <c r="G25" s="1">
        <f>IF(B25="", "", "urine")</f>
        <v>0</v>
      </c>
      <c r="H25" s="1">
        <f>IF(B25="", "", "urine")</f>
        <v>0</v>
      </c>
      <c r="I25" s="1">
        <f>IF(B25="", "", "urine metagenome")</f>
        <v>0</v>
      </c>
      <c r="J25" s="1">
        <f>IF(B25="", "", "1346744")</f>
        <v>0</v>
      </c>
    </row>
    <row r="26" spans="1:10">
      <c r="A26">
        <f>IF(COUNTBLANK(B26:J26)&lt;&gt;COLUMNS(B26:J26),25,"")</f>
        <v>0</v>
      </c>
      <c r="C26" s="1">
        <f>IF(B26="", "", "UBERON:genitourinary")</f>
        <v>0</v>
      </c>
      <c r="D26" s="1">
        <f>IF(B26="", "", "UBERON:urine")</f>
        <v>0</v>
      </c>
      <c r="E26" s="1">
        <f>IF(B26="", "", "UBERON:kidney")</f>
        <v>0</v>
      </c>
      <c r="F26" s="1">
        <f>IF(B26="", "", "animal corpus")</f>
        <v>0</v>
      </c>
      <c r="G26" s="1">
        <f>IF(B26="", "", "urine")</f>
        <v>0</v>
      </c>
      <c r="H26" s="1">
        <f>IF(B26="", "", "urine")</f>
        <v>0</v>
      </c>
      <c r="I26" s="1">
        <f>IF(B26="", "", "urine metagenome")</f>
        <v>0</v>
      </c>
      <c r="J26" s="1">
        <f>IF(B26="", "", "1346744")</f>
        <v>0</v>
      </c>
    </row>
    <row r="27" spans="1:10">
      <c r="A27">
        <f>IF(COUNTBLANK(B27:J27)&lt;&gt;COLUMNS(B27:J27),26,"")</f>
        <v>0</v>
      </c>
      <c r="C27" s="1">
        <f>IF(B27="", "", "UBERON:genitourinary")</f>
        <v>0</v>
      </c>
      <c r="D27" s="1">
        <f>IF(B27="", "", "UBERON:urine")</f>
        <v>0</v>
      </c>
      <c r="E27" s="1">
        <f>IF(B27="", "", "UBERON:kidney")</f>
        <v>0</v>
      </c>
      <c r="F27" s="1">
        <f>IF(B27="", "", "animal corpus")</f>
        <v>0</v>
      </c>
      <c r="G27" s="1">
        <f>IF(B27="", "", "urine")</f>
        <v>0</v>
      </c>
      <c r="H27" s="1">
        <f>IF(B27="", "", "urine")</f>
        <v>0</v>
      </c>
      <c r="I27" s="1">
        <f>IF(B27="", "", "urine metagenome")</f>
        <v>0</v>
      </c>
      <c r="J27" s="1">
        <f>IF(B27="", "", "1346744")</f>
        <v>0</v>
      </c>
    </row>
    <row r="28" spans="1:10">
      <c r="A28">
        <f>IF(COUNTBLANK(B28:J28)&lt;&gt;COLUMNS(B28:J28),27,"")</f>
        <v>0</v>
      </c>
      <c r="C28" s="1">
        <f>IF(B28="", "", "UBERON:genitourinary")</f>
        <v>0</v>
      </c>
      <c r="D28" s="1">
        <f>IF(B28="", "", "UBERON:urine")</f>
        <v>0</v>
      </c>
      <c r="E28" s="1">
        <f>IF(B28="", "", "UBERON:kidney")</f>
        <v>0</v>
      </c>
      <c r="F28" s="1">
        <f>IF(B28="", "", "animal corpus")</f>
        <v>0</v>
      </c>
      <c r="G28" s="1">
        <f>IF(B28="", "", "urine")</f>
        <v>0</v>
      </c>
      <c r="H28" s="1">
        <f>IF(B28="", "", "urine")</f>
        <v>0</v>
      </c>
      <c r="I28" s="1">
        <f>IF(B28="", "", "urine metagenome")</f>
        <v>0</v>
      </c>
      <c r="J28" s="1">
        <f>IF(B28="", "", "1346744")</f>
        <v>0</v>
      </c>
    </row>
    <row r="29" spans="1:10">
      <c r="A29">
        <f>IF(COUNTBLANK(B29:J29)&lt;&gt;COLUMNS(B29:J29),28,"")</f>
        <v>0</v>
      </c>
      <c r="C29" s="1">
        <f>IF(B29="", "", "UBERON:genitourinary")</f>
        <v>0</v>
      </c>
      <c r="D29" s="1">
        <f>IF(B29="", "", "UBERON:urine")</f>
        <v>0</v>
      </c>
      <c r="E29" s="1">
        <f>IF(B29="", "", "UBERON:kidney")</f>
        <v>0</v>
      </c>
      <c r="F29" s="1">
        <f>IF(B29="", "", "animal corpus")</f>
        <v>0</v>
      </c>
      <c r="G29" s="1">
        <f>IF(B29="", "", "urine")</f>
        <v>0</v>
      </c>
      <c r="H29" s="1">
        <f>IF(B29="", "", "urine")</f>
        <v>0</v>
      </c>
      <c r="I29" s="1">
        <f>IF(B29="", "", "urine metagenome")</f>
        <v>0</v>
      </c>
      <c r="J29" s="1">
        <f>IF(B29="", "", "1346744")</f>
        <v>0</v>
      </c>
    </row>
    <row r="30" spans="1:10">
      <c r="A30">
        <f>IF(COUNTBLANK(B30:J30)&lt;&gt;COLUMNS(B30:J30),29,"")</f>
        <v>0</v>
      </c>
      <c r="C30" s="1">
        <f>IF(B30="", "", "UBERON:genitourinary")</f>
        <v>0</v>
      </c>
      <c r="D30" s="1">
        <f>IF(B30="", "", "UBERON:urine")</f>
        <v>0</v>
      </c>
      <c r="E30" s="1">
        <f>IF(B30="", "", "UBERON:kidney")</f>
        <v>0</v>
      </c>
      <c r="F30" s="1">
        <f>IF(B30="", "", "animal corpus")</f>
        <v>0</v>
      </c>
      <c r="G30" s="1">
        <f>IF(B30="", "", "urine")</f>
        <v>0</v>
      </c>
      <c r="H30" s="1">
        <f>IF(B30="", "", "urine")</f>
        <v>0</v>
      </c>
      <c r="I30" s="1">
        <f>IF(B30="", "", "urine metagenome")</f>
        <v>0</v>
      </c>
      <c r="J30" s="1">
        <f>IF(B30="", "", "1346744")</f>
        <v>0</v>
      </c>
    </row>
    <row r="31" spans="1:10">
      <c r="A31">
        <f>IF(COUNTBLANK(B31:J31)&lt;&gt;COLUMNS(B31:J31),30,"")</f>
        <v>0</v>
      </c>
      <c r="C31" s="1">
        <f>IF(B31="", "", "UBERON:genitourinary")</f>
        <v>0</v>
      </c>
      <c r="D31" s="1">
        <f>IF(B31="", "", "UBERON:urine")</f>
        <v>0</v>
      </c>
      <c r="E31" s="1">
        <f>IF(B31="", "", "UBERON:kidney")</f>
        <v>0</v>
      </c>
      <c r="F31" s="1">
        <f>IF(B31="", "", "animal corpus")</f>
        <v>0</v>
      </c>
      <c r="G31" s="1">
        <f>IF(B31="", "", "urine")</f>
        <v>0</v>
      </c>
      <c r="H31" s="1">
        <f>IF(B31="", "", "urine")</f>
        <v>0</v>
      </c>
      <c r="I31" s="1">
        <f>IF(B31="", "", "urine metagenome")</f>
        <v>0</v>
      </c>
      <c r="J31" s="1">
        <f>IF(B31="", "", "1346744")</f>
        <v>0</v>
      </c>
    </row>
    <row r="32" spans="1:10">
      <c r="A32">
        <f>IF(COUNTBLANK(B32:J32)&lt;&gt;COLUMNS(B32:J32),31,"")</f>
        <v>0</v>
      </c>
      <c r="C32" s="1">
        <f>IF(B32="", "", "UBERON:genitourinary")</f>
        <v>0</v>
      </c>
      <c r="D32" s="1">
        <f>IF(B32="", "", "UBERON:urine")</f>
        <v>0</v>
      </c>
      <c r="E32" s="1">
        <f>IF(B32="", "", "UBERON:kidney")</f>
        <v>0</v>
      </c>
      <c r="F32" s="1">
        <f>IF(B32="", "", "animal corpus")</f>
        <v>0</v>
      </c>
      <c r="G32" s="1">
        <f>IF(B32="", "", "urine")</f>
        <v>0</v>
      </c>
      <c r="H32" s="1">
        <f>IF(B32="", "", "urine")</f>
        <v>0</v>
      </c>
      <c r="I32" s="1">
        <f>IF(B32="", "", "urine metagenome")</f>
        <v>0</v>
      </c>
      <c r="J32" s="1">
        <f>IF(B32="", "", "1346744")</f>
        <v>0</v>
      </c>
    </row>
    <row r="33" spans="1:10">
      <c r="A33">
        <f>IF(COUNTBLANK(B33:J33)&lt;&gt;COLUMNS(B33:J33),32,"")</f>
        <v>0</v>
      </c>
      <c r="C33" s="1">
        <f>IF(B33="", "", "UBERON:genitourinary")</f>
        <v>0</v>
      </c>
      <c r="D33" s="1">
        <f>IF(B33="", "", "UBERON:urine")</f>
        <v>0</v>
      </c>
      <c r="E33" s="1">
        <f>IF(B33="", "", "UBERON:kidney")</f>
        <v>0</v>
      </c>
      <c r="F33" s="1">
        <f>IF(B33="", "", "animal corpus")</f>
        <v>0</v>
      </c>
      <c r="G33" s="1">
        <f>IF(B33="", "", "urine")</f>
        <v>0</v>
      </c>
      <c r="H33" s="1">
        <f>IF(B33="", "", "urine")</f>
        <v>0</v>
      </c>
      <c r="I33" s="1">
        <f>IF(B33="", "", "urine metagenome")</f>
        <v>0</v>
      </c>
      <c r="J33" s="1">
        <f>IF(B33="", "", "1346744")</f>
        <v>0</v>
      </c>
    </row>
    <row r="34" spans="1:10">
      <c r="A34">
        <f>IF(COUNTBLANK(B34:J34)&lt;&gt;COLUMNS(B34:J34),33,"")</f>
        <v>0</v>
      </c>
      <c r="C34" s="1">
        <f>IF(B34="", "", "UBERON:genitourinary")</f>
        <v>0</v>
      </c>
      <c r="D34" s="1">
        <f>IF(B34="", "", "UBERON:urine")</f>
        <v>0</v>
      </c>
      <c r="E34" s="1">
        <f>IF(B34="", "", "UBERON:kidney")</f>
        <v>0</v>
      </c>
      <c r="F34" s="1">
        <f>IF(B34="", "", "animal corpus")</f>
        <v>0</v>
      </c>
      <c r="G34" s="1">
        <f>IF(B34="", "", "urine")</f>
        <v>0</v>
      </c>
      <c r="H34" s="1">
        <f>IF(B34="", "", "urine")</f>
        <v>0</v>
      </c>
      <c r="I34" s="1">
        <f>IF(B34="", "", "urine metagenome")</f>
        <v>0</v>
      </c>
      <c r="J34" s="1">
        <f>IF(B34="", "", "1346744")</f>
        <v>0</v>
      </c>
    </row>
    <row r="35" spans="1:10">
      <c r="A35">
        <f>IF(COUNTBLANK(B35:J35)&lt;&gt;COLUMNS(B35:J35),34,"")</f>
        <v>0</v>
      </c>
      <c r="C35" s="1">
        <f>IF(B35="", "", "UBERON:genitourinary")</f>
        <v>0</v>
      </c>
      <c r="D35" s="1">
        <f>IF(B35="", "", "UBERON:urine")</f>
        <v>0</v>
      </c>
      <c r="E35" s="1">
        <f>IF(B35="", "", "UBERON:kidney")</f>
        <v>0</v>
      </c>
      <c r="F35" s="1">
        <f>IF(B35="", "", "animal corpus")</f>
        <v>0</v>
      </c>
      <c r="G35" s="1">
        <f>IF(B35="", "", "urine")</f>
        <v>0</v>
      </c>
      <c r="H35" s="1">
        <f>IF(B35="", "", "urine")</f>
        <v>0</v>
      </c>
      <c r="I35" s="1">
        <f>IF(B35="", "", "urine metagenome")</f>
        <v>0</v>
      </c>
      <c r="J35" s="1">
        <f>IF(B35="", "", "1346744")</f>
        <v>0</v>
      </c>
    </row>
    <row r="36" spans="1:10">
      <c r="A36">
        <f>IF(COUNTBLANK(B36:J36)&lt;&gt;COLUMNS(B36:J36),35,"")</f>
        <v>0</v>
      </c>
      <c r="C36" s="1">
        <f>IF(B36="", "", "UBERON:genitourinary")</f>
        <v>0</v>
      </c>
      <c r="D36" s="1">
        <f>IF(B36="", "", "UBERON:urine")</f>
        <v>0</v>
      </c>
      <c r="E36" s="1">
        <f>IF(B36="", "", "UBERON:kidney")</f>
        <v>0</v>
      </c>
      <c r="F36" s="1">
        <f>IF(B36="", "", "animal corpus")</f>
        <v>0</v>
      </c>
      <c r="G36" s="1">
        <f>IF(B36="", "", "urine")</f>
        <v>0</v>
      </c>
      <c r="H36" s="1">
        <f>IF(B36="", "", "urine")</f>
        <v>0</v>
      </c>
      <c r="I36" s="1">
        <f>IF(B36="", "", "urine metagenome")</f>
        <v>0</v>
      </c>
      <c r="J36" s="1">
        <f>IF(B36="", "", "1346744")</f>
        <v>0</v>
      </c>
    </row>
    <row r="37" spans="1:10">
      <c r="A37">
        <f>IF(COUNTBLANK(B37:J37)&lt;&gt;COLUMNS(B37:J37),36,"")</f>
        <v>0</v>
      </c>
      <c r="C37" s="1">
        <f>IF(B37="", "", "UBERON:genitourinary")</f>
        <v>0</v>
      </c>
      <c r="D37" s="1">
        <f>IF(B37="", "", "UBERON:urine")</f>
        <v>0</v>
      </c>
      <c r="E37" s="1">
        <f>IF(B37="", "", "UBERON:kidney")</f>
        <v>0</v>
      </c>
      <c r="F37" s="1">
        <f>IF(B37="", "", "animal corpus")</f>
        <v>0</v>
      </c>
      <c r="G37" s="1">
        <f>IF(B37="", "", "urine")</f>
        <v>0</v>
      </c>
      <c r="H37" s="1">
        <f>IF(B37="", "", "urine")</f>
        <v>0</v>
      </c>
      <c r="I37" s="1">
        <f>IF(B37="", "", "urine metagenome")</f>
        <v>0</v>
      </c>
      <c r="J37" s="1">
        <f>IF(B37="", "", "1346744")</f>
        <v>0</v>
      </c>
    </row>
    <row r="38" spans="1:10">
      <c r="A38">
        <f>IF(COUNTBLANK(B38:J38)&lt;&gt;COLUMNS(B38:J38),37,"")</f>
        <v>0</v>
      </c>
      <c r="C38" s="1">
        <f>IF(B38="", "", "UBERON:genitourinary")</f>
        <v>0</v>
      </c>
      <c r="D38" s="1">
        <f>IF(B38="", "", "UBERON:urine")</f>
        <v>0</v>
      </c>
      <c r="E38" s="1">
        <f>IF(B38="", "", "UBERON:kidney")</f>
        <v>0</v>
      </c>
      <c r="F38" s="1">
        <f>IF(B38="", "", "animal corpus")</f>
        <v>0</v>
      </c>
      <c r="G38" s="1">
        <f>IF(B38="", "", "urine")</f>
        <v>0</v>
      </c>
      <c r="H38" s="1">
        <f>IF(B38="", "", "urine")</f>
        <v>0</v>
      </c>
      <c r="I38" s="1">
        <f>IF(B38="", "", "urine metagenome")</f>
        <v>0</v>
      </c>
      <c r="J38" s="1">
        <f>IF(B38="", "", "1346744")</f>
        <v>0</v>
      </c>
    </row>
    <row r="39" spans="1:10">
      <c r="A39">
        <f>IF(COUNTBLANK(B39:J39)&lt;&gt;COLUMNS(B39:J39),38,"")</f>
        <v>0</v>
      </c>
      <c r="C39" s="1">
        <f>IF(B39="", "", "UBERON:genitourinary")</f>
        <v>0</v>
      </c>
      <c r="D39" s="1">
        <f>IF(B39="", "", "UBERON:urine")</f>
        <v>0</v>
      </c>
      <c r="E39" s="1">
        <f>IF(B39="", "", "UBERON:kidney")</f>
        <v>0</v>
      </c>
      <c r="F39" s="1">
        <f>IF(B39="", "", "animal corpus")</f>
        <v>0</v>
      </c>
      <c r="G39" s="1">
        <f>IF(B39="", "", "urine")</f>
        <v>0</v>
      </c>
      <c r="H39" s="1">
        <f>IF(B39="", "", "urine")</f>
        <v>0</v>
      </c>
      <c r="I39" s="1">
        <f>IF(B39="", "", "urine metagenome")</f>
        <v>0</v>
      </c>
      <c r="J39" s="1">
        <f>IF(B39="", "", "1346744")</f>
        <v>0</v>
      </c>
    </row>
    <row r="40" spans="1:10">
      <c r="A40">
        <f>IF(COUNTBLANK(B40:J40)&lt;&gt;COLUMNS(B40:J40),39,"")</f>
        <v>0</v>
      </c>
      <c r="C40" s="1">
        <f>IF(B40="", "", "UBERON:genitourinary")</f>
        <v>0</v>
      </c>
      <c r="D40" s="1">
        <f>IF(B40="", "", "UBERON:urine")</f>
        <v>0</v>
      </c>
      <c r="E40" s="1">
        <f>IF(B40="", "", "UBERON:kidney")</f>
        <v>0</v>
      </c>
      <c r="F40" s="1">
        <f>IF(B40="", "", "animal corpus")</f>
        <v>0</v>
      </c>
      <c r="G40" s="1">
        <f>IF(B40="", "", "urine")</f>
        <v>0</v>
      </c>
      <c r="H40" s="1">
        <f>IF(B40="", "", "urine")</f>
        <v>0</v>
      </c>
      <c r="I40" s="1">
        <f>IF(B40="", "", "urine metagenome")</f>
        <v>0</v>
      </c>
      <c r="J40" s="1">
        <f>IF(B40="", "", "1346744")</f>
        <v>0</v>
      </c>
    </row>
    <row r="41" spans="1:10">
      <c r="A41">
        <f>IF(COUNTBLANK(B41:J41)&lt;&gt;COLUMNS(B41:J41),40,"")</f>
        <v>0</v>
      </c>
      <c r="C41" s="1">
        <f>IF(B41="", "", "UBERON:genitourinary")</f>
        <v>0</v>
      </c>
      <c r="D41" s="1">
        <f>IF(B41="", "", "UBERON:urine")</f>
        <v>0</v>
      </c>
      <c r="E41" s="1">
        <f>IF(B41="", "", "UBERON:kidney")</f>
        <v>0</v>
      </c>
      <c r="F41" s="1">
        <f>IF(B41="", "", "animal corpus")</f>
        <v>0</v>
      </c>
      <c r="G41" s="1">
        <f>IF(B41="", "", "urine")</f>
        <v>0</v>
      </c>
      <c r="H41" s="1">
        <f>IF(B41="", "", "urine")</f>
        <v>0</v>
      </c>
      <c r="I41" s="1">
        <f>IF(B41="", "", "urine metagenome")</f>
        <v>0</v>
      </c>
      <c r="J41" s="1">
        <f>IF(B41="", "", "1346744")</f>
        <v>0</v>
      </c>
    </row>
    <row r="42" spans="1:10">
      <c r="A42">
        <f>IF(COUNTBLANK(B42:J42)&lt;&gt;COLUMNS(B42:J42),41,"")</f>
        <v>0</v>
      </c>
      <c r="C42" s="1">
        <f>IF(B42="", "", "UBERON:genitourinary")</f>
        <v>0</v>
      </c>
      <c r="D42" s="1">
        <f>IF(B42="", "", "UBERON:urine")</f>
        <v>0</v>
      </c>
      <c r="E42" s="1">
        <f>IF(B42="", "", "UBERON:kidney")</f>
        <v>0</v>
      </c>
      <c r="F42" s="1">
        <f>IF(B42="", "", "animal corpus")</f>
        <v>0</v>
      </c>
      <c r="G42" s="1">
        <f>IF(B42="", "", "urine")</f>
        <v>0</v>
      </c>
      <c r="H42" s="1">
        <f>IF(B42="", "", "urine")</f>
        <v>0</v>
      </c>
      <c r="I42" s="1">
        <f>IF(B42="", "", "urine metagenome")</f>
        <v>0</v>
      </c>
      <c r="J42" s="1">
        <f>IF(B42="", "", "1346744")</f>
        <v>0</v>
      </c>
    </row>
    <row r="43" spans="1:10">
      <c r="A43">
        <f>IF(COUNTBLANK(B43:J43)&lt;&gt;COLUMNS(B43:J43),42,"")</f>
        <v>0</v>
      </c>
      <c r="C43" s="1">
        <f>IF(B43="", "", "UBERON:genitourinary")</f>
        <v>0</v>
      </c>
      <c r="D43" s="1">
        <f>IF(B43="", "", "UBERON:urine")</f>
        <v>0</v>
      </c>
      <c r="E43" s="1">
        <f>IF(B43="", "", "UBERON:kidney")</f>
        <v>0</v>
      </c>
      <c r="F43" s="1">
        <f>IF(B43="", "", "animal corpus")</f>
        <v>0</v>
      </c>
      <c r="G43" s="1">
        <f>IF(B43="", "", "urine")</f>
        <v>0</v>
      </c>
      <c r="H43" s="1">
        <f>IF(B43="", "", "urine")</f>
        <v>0</v>
      </c>
      <c r="I43" s="1">
        <f>IF(B43="", "", "urine metagenome")</f>
        <v>0</v>
      </c>
      <c r="J43" s="1">
        <f>IF(B43="", "", "1346744")</f>
        <v>0</v>
      </c>
    </row>
    <row r="44" spans="1:10">
      <c r="A44">
        <f>IF(COUNTBLANK(B44:J44)&lt;&gt;COLUMNS(B44:J44),43,"")</f>
        <v>0</v>
      </c>
      <c r="C44" s="1">
        <f>IF(B44="", "", "UBERON:genitourinary")</f>
        <v>0</v>
      </c>
      <c r="D44" s="1">
        <f>IF(B44="", "", "UBERON:urine")</f>
        <v>0</v>
      </c>
      <c r="E44" s="1">
        <f>IF(B44="", "", "UBERON:kidney")</f>
        <v>0</v>
      </c>
      <c r="F44" s="1">
        <f>IF(B44="", "", "animal corpus")</f>
        <v>0</v>
      </c>
      <c r="G44" s="1">
        <f>IF(B44="", "", "urine")</f>
        <v>0</v>
      </c>
      <c r="H44" s="1">
        <f>IF(B44="", "", "urine")</f>
        <v>0</v>
      </c>
      <c r="I44" s="1">
        <f>IF(B44="", "", "urine metagenome")</f>
        <v>0</v>
      </c>
      <c r="J44" s="1">
        <f>IF(B44="", "", "1346744")</f>
        <v>0</v>
      </c>
    </row>
    <row r="45" spans="1:10">
      <c r="A45">
        <f>IF(COUNTBLANK(B45:J45)&lt;&gt;COLUMNS(B45:J45),44,"")</f>
        <v>0</v>
      </c>
      <c r="C45" s="1">
        <f>IF(B45="", "", "UBERON:genitourinary")</f>
        <v>0</v>
      </c>
      <c r="D45" s="1">
        <f>IF(B45="", "", "UBERON:urine")</f>
        <v>0</v>
      </c>
      <c r="E45" s="1">
        <f>IF(B45="", "", "UBERON:kidney")</f>
        <v>0</v>
      </c>
      <c r="F45" s="1">
        <f>IF(B45="", "", "animal corpus")</f>
        <v>0</v>
      </c>
      <c r="G45" s="1">
        <f>IF(B45="", "", "urine")</f>
        <v>0</v>
      </c>
      <c r="H45" s="1">
        <f>IF(B45="", "", "urine")</f>
        <v>0</v>
      </c>
      <c r="I45" s="1">
        <f>IF(B45="", "", "urine metagenome")</f>
        <v>0</v>
      </c>
      <c r="J45" s="1">
        <f>IF(B45="", "", "1346744")</f>
        <v>0</v>
      </c>
    </row>
    <row r="46" spans="1:10">
      <c r="A46">
        <f>IF(COUNTBLANK(B46:J46)&lt;&gt;COLUMNS(B46:J46),45,"")</f>
        <v>0</v>
      </c>
      <c r="C46" s="1">
        <f>IF(B46="", "", "UBERON:genitourinary")</f>
        <v>0</v>
      </c>
      <c r="D46" s="1">
        <f>IF(B46="", "", "UBERON:urine")</f>
        <v>0</v>
      </c>
      <c r="E46" s="1">
        <f>IF(B46="", "", "UBERON:kidney")</f>
        <v>0</v>
      </c>
      <c r="F46" s="1">
        <f>IF(B46="", "", "animal corpus")</f>
        <v>0</v>
      </c>
      <c r="G46" s="1">
        <f>IF(B46="", "", "urine")</f>
        <v>0</v>
      </c>
      <c r="H46" s="1">
        <f>IF(B46="", "", "urine")</f>
        <v>0</v>
      </c>
      <c r="I46" s="1">
        <f>IF(B46="", "", "urine metagenome")</f>
        <v>0</v>
      </c>
      <c r="J46" s="1">
        <f>IF(B46="", "", "1346744")</f>
        <v>0</v>
      </c>
    </row>
    <row r="47" spans="1:10">
      <c r="A47">
        <f>IF(COUNTBLANK(B47:J47)&lt;&gt;COLUMNS(B47:J47),46,"")</f>
        <v>0</v>
      </c>
      <c r="C47" s="1">
        <f>IF(B47="", "", "UBERON:genitourinary")</f>
        <v>0</v>
      </c>
      <c r="D47" s="1">
        <f>IF(B47="", "", "UBERON:urine")</f>
        <v>0</v>
      </c>
      <c r="E47" s="1">
        <f>IF(B47="", "", "UBERON:kidney")</f>
        <v>0</v>
      </c>
      <c r="F47" s="1">
        <f>IF(B47="", "", "animal corpus")</f>
        <v>0</v>
      </c>
      <c r="G47" s="1">
        <f>IF(B47="", "", "urine")</f>
        <v>0</v>
      </c>
      <c r="H47" s="1">
        <f>IF(B47="", "", "urine")</f>
        <v>0</v>
      </c>
      <c r="I47" s="1">
        <f>IF(B47="", "", "urine metagenome")</f>
        <v>0</v>
      </c>
      <c r="J47" s="1">
        <f>IF(B47="", "", "1346744")</f>
        <v>0</v>
      </c>
    </row>
    <row r="48" spans="1:10">
      <c r="A48">
        <f>IF(COUNTBLANK(B48:J48)&lt;&gt;COLUMNS(B48:J48),47,"")</f>
        <v>0</v>
      </c>
      <c r="C48" s="1">
        <f>IF(B48="", "", "UBERON:genitourinary")</f>
        <v>0</v>
      </c>
      <c r="D48" s="1">
        <f>IF(B48="", "", "UBERON:urine")</f>
        <v>0</v>
      </c>
      <c r="E48" s="1">
        <f>IF(B48="", "", "UBERON:kidney")</f>
        <v>0</v>
      </c>
      <c r="F48" s="1">
        <f>IF(B48="", "", "animal corpus")</f>
        <v>0</v>
      </c>
      <c r="G48" s="1">
        <f>IF(B48="", "", "urine")</f>
        <v>0</v>
      </c>
      <c r="H48" s="1">
        <f>IF(B48="", "", "urine")</f>
        <v>0</v>
      </c>
      <c r="I48" s="1">
        <f>IF(B48="", "", "urine metagenome")</f>
        <v>0</v>
      </c>
      <c r="J48" s="1">
        <f>IF(B48="", "", "1346744")</f>
        <v>0</v>
      </c>
    </row>
    <row r="49" spans="1:10">
      <c r="A49">
        <f>IF(COUNTBLANK(B49:J49)&lt;&gt;COLUMNS(B49:J49),48,"")</f>
        <v>0</v>
      </c>
      <c r="C49" s="1">
        <f>IF(B49="", "", "UBERON:genitourinary")</f>
        <v>0</v>
      </c>
      <c r="D49" s="1">
        <f>IF(B49="", "", "UBERON:urine")</f>
        <v>0</v>
      </c>
      <c r="E49" s="1">
        <f>IF(B49="", "", "UBERON:kidney")</f>
        <v>0</v>
      </c>
      <c r="F49" s="1">
        <f>IF(B49="", "", "animal corpus")</f>
        <v>0</v>
      </c>
      <c r="G49" s="1">
        <f>IF(B49="", "", "urine")</f>
        <v>0</v>
      </c>
      <c r="H49" s="1">
        <f>IF(B49="", "", "urine")</f>
        <v>0</v>
      </c>
      <c r="I49" s="1">
        <f>IF(B49="", "", "urine metagenome")</f>
        <v>0</v>
      </c>
      <c r="J49" s="1">
        <f>IF(B49="", "", "1346744")</f>
        <v>0</v>
      </c>
    </row>
    <row r="50" spans="1:10">
      <c r="A50">
        <f>IF(COUNTBLANK(B50:J50)&lt;&gt;COLUMNS(B50:J50),49,"")</f>
        <v>0</v>
      </c>
      <c r="C50" s="1">
        <f>IF(B50="", "", "UBERON:genitourinary")</f>
        <v>0</v>
      </c>
      <c r="D50" s="1">
        <f>IF(B50="", "", "UBERON:urine")</f>
        <v>0</v>
      </c>
      <c r="E50" s="1">
        <f>IF(B50="", "", "UBERON:kidney")</f>
        <v>0</v>
      </c>
      <c r="F50" s="1">
        <f>IF(B50="", "", "animal corpus")</f>
        <v>0</v>
      </c>
      <c r="G50" s="1">
        <f>IF(B50="", "", "urine")</f>
        <v>0</v>
      </c>
      <c r="H50" s="1">
        <f>IF(B50="", "", "urine")</f>
        <v>0</v>
      </c>
      <c r="I50" s="1">
        <f>IF(B50="", "", "urine metagenome")</f>
        <v>0</v>
      </c>
      <c r="J50" s="1">
        <f>IF(B50="", "", "1346744")</f>
        <v>0</v>
      </c>
    </row>
    <row r="51" spans="1:10">
      <c r="A51">
        <f>IF(COUNTBLANK(B51:J51)&lt;&gt;COLUMNS(B51:J51),50,"")</f>
        <v>0</v>
      </c>
      <c r="C51" s="1">
        <f>IF(B51="", "", "UBERON:genitourinary")</f>
        <v>0</v>
      </c>
      <c r="D51" s="1">
        <f>IF(B51="", "", "UBERON:urine")</f>
        <v>0</v>
      </c>
      <c r="E51" s="1">
        <f>IF(B51="", "", "UBERON:kidney")</f>
        <v>0</v>
      </c>
      <c r="F51" s="1">
        <f>IF(B51="", "", "animal corpus")</f>
        <v>0</v>
      </c>
      <c r="G51" s="1">
        <f>IF(B51="", "", "urine")</f>
        <v>0</v>
      </c>
      <c r="H51" s="1">
        <f>IF(B51="", "", "urine")</f>
        <v>0</v>
      </c>
      <c r="I51" s="1">
        <f>IF(B51="", "", "urine metagenome")</f>
        <v>0</v>
      </c>
      <c r="J51" s="1">
        <f>IF(B51="", "", "1346744")</f>
        <v>0</v>
      </c>
    </row>
    <row r="52" spans="1:10">
      <c r="A52">
        <f>IF(COUNTBLANK(B52:J52)&lt;&gt;COLUMNS(B52:J52),51,"")</f>
        <v>0</v>
      </c>
      <c r="C52" s="1">
        <f>IF(B52="", "", "UBERON:genitourinary")</f>
        <v>0</v>
      </c>
      <c r="D52" s="1">
        <f>IF(B52="", "", "UBERON:urine")</f>
        <v>0</v>
      </c>
      <c r="E52" s="1">
        <f>IF(B52="", "", "UBERON:kidney")</f>
        <v>0</v>
      </c>
      <c r="F52" s="1">
        <f>IF(B52="", "", "animal corpus")</f>
        <v>0</v>
      </c>
      <c r="G52" s="1">
        <f>IF(B52="", "", "urine")</f>
        <v>0</v>
      </c>
      <c r="H52" s="1">
        <f>IF(B52="", "", "urine")</f>
        <v>0</v>
      </c>
      <c r="I52" s="1">
        <f>IF(B52="", "", "urine metagenome")</f>
        <v>0</v>
      </c>
      <c r="J52" s="1">
        <f>IF(B52="", "", "1346744")</f>
        <v>0</v>
      </c>
    </row>
    <row r="53" spans="1:10">
      <c r="A53">
        <f>IF(COUNTBLANK(B53:J53)&lt;&gt;COLUMNS(B53:J53),52,"")</f>
        <v>0</v>
      </c>
      <c r="C53" s="1">
        <f>IF(B53="", "", "UBERON:genitourinary")</f>
        <v>0</v>
      </c>
      <c r="D53" s="1">
        <f>IF(B53="", "", "UBERON:urine")</f>
        <v>0</v>
      </c>
      <c r="E53" s="1">
        <f>IF(B53="", "", "UBERON:kidney")</f>
        <v>0</v>
      </c>
      <c r="F53" s="1">
        <f>IF(B53="", "", "animal corpus")</f>
        <v>0</v>
      </c>
      <c r="G53" s="1">
        <f>IF(B53="", "", "urine")</f>
        <v>0</v>
      </c>
      <c r="H53" s="1">
        <f>IF(B53="", "", "urine")</f>
        <v>0</v>
      </c>
      <c r="I53" s="1">
        <f>IF(B53="", "", "urine metagenome")</f>
        <v>0</v>
      </c>
      <c r="J53" s="1">
        <f>IF(B53="", "", "1346744")</f>
        <v>0</v>
      </c>
    </row>
    <row r="54" spans="1:10">
      <c r="A54">
        <f>IF(COUNTBLANK(B54:J54)&lt;&gt;COLUMNS(B54:J54),53,"")</f>
        <v>0</v>
      </c>
      <c r="C54" s="1">
        <f>IF(B54="", "", "UBERON:genitourinary")</f>
        <v>0</v>
      </c>
      <c r="D54" s="1">
        <f>IF(B54="", "", "UBERON:urine")</f>
        <v>0</v>
      </c>
      <c r="E54" s="1">
        <f>IF(B54="", "", "UBERON:kidney")</f>
        <v>0</v>
      </c>
      <c r="F54" s="1">
        <f>IF(B54="", "", "animal corpus")</f>
        <v>0</v>
      </c>
      <c r="G54" s="1">
        <f>IF(B54="", "", "urine")</f>
        <v>0</v>
      </c>
      <c r="H54" s="1">
        <f>IF(B54="", "", "urine")</f>
        <v>0</v>
      </c>
      <c r="I54" s="1">
        <f>IF(B54="", "", "urine metagenome")</f>
        <v>0</v>
      </c>
      <c r="J54" s="1">
        <f>IF(B54="", "", "1346744")</f>
        <v>0</v>
      </c>
    </row>
    <row r="55" spans="1:10">
      <c r="A55">
        <f>IF(COUNTBLANK(B55:J55)&lt;&gt;COLUMNS(B55:J55),54,"")</f>
        <v>0</v>
      </c>
      <c r="C55" s="1">
        <f>IF(B55="", "", "UBERON:genitourinary")</f>
        <v>0</v>
      </c>
      <c r="D55" s="1">
        <f>IF(B55="", "", "UBERON:urine")</f>
        <v>0</v>
      </c>
      <c r="E55" s="1">
        <f>IF(B55="", "", "UBERON:kidney")</f>
        <v>0</v>
      </c>
      <c r="F55" s="1">
        <f>IF(B55="", "", "animal corpus")</f>
        <v>0</v>
      </c>
      <c r="G55" s="1">
        <f>IF(B55="", "", "urine")</f>
        <v>0</v>
      </c>
      <c r="H55" s="1">
        <f>IF(B55="", "", "urine")</f>
        <v>0</v>
      </c>
      <c r="I55" s="1">
        <f>IF(B55="", "", "urine metagenome")</f>
        <v>0</v>
      </c>
      <c r="J55" s="1">
        <f>IF(B55="", "", "1346744")</f>
        <v>0</v>
      </c>
    </row>
    <row r="56" spans="1:10">
      <c r="A56">
        <f>IF(COUNTBLANK(B56:J56)&lt;&gt;COLUMNS(B56:J56),55,"")</f>
        <v>0</v>
      </c>
      <c r="C56" s="1">
        <f>IF(B56="", "", "UBERON:genitourinary")</f>
        <v>0</v>
      </c>
      <c r="D56" s="1">
        <f>IF(B56="", "", "UBERON:urine")</f>
        <v>0</v>
      </c>
      <c r="E56" s="1">
        <f>IF(B56="", "", "UBERON:kidney")</f>
        <v>0</v>
      </c>
      <c r="F56" s="1">
        <f>IF(B56="", "", "animal corpus")</f>
        <v>0</v>
      </c>
      <c r="G56" s="1">
        <f>IF(B56="", "", "urine")</f>
        <v>0</v>
      </c>
      <c r="H56" s="1">
        <f>IF(B56="", "", "urine")</f>
        <v>0</v>
      </c>
      <c r="I56" s="1">
        <f>IF(B56="", "", "urine metagenome")</f>
        <v>0</v>
      </c>
      <c r="J56" s="1">
        <f>IF(B56="", "", "1346744")</f>
        <v>0</v>
      </c>
    </row>
    <row r="57" spans="1:10">
      <c r="A57">
        <f>IF(COUNTBLANK(B57:J57)&lt;&gt;COLUMNS(B57:J57),56,"")</f>
        <v>0</v>
      </c>
      <c r="C57" s="1">
        <f>IF(B57="", "", "UBERON:genitourinary")</f>
        <v>0</v>
      </c>
      <c r="D57" s="1">
        <f>IF(B57="", "", "UBERON:urine")</f>
        <v>0</v>
      </c>
      <c r="E57" s="1">
        <f>IF(B57="", "", "UBERON:kidney")</f>
        <v>0</v>
      </c>
      <c r="F57" s="1">
        <f>IF(B57="", "", "animal corpus")</f>
        <v>0</v>
      </c>
      <c r="G57" s="1">
        <f>IF(B57="", "", "urine")</f>
        <v>0</v>
      </c>
      <c r="H57" s="1">
        <f>IF(B57="", "", "urine")</f>
        <v>0</v>
      </c>
      <c r="I57" s="1">
        <f>IF(B57="", "", "urine metagenome")</f>
        <v>0</v>
      </c>
      <c r="J57" s="1">
        <f>IF(B57="", "", "1346744")</f>
        <v>0</v>
      </c>
    </row>
    <row r="58" spans="1:10">
      <c r="A58">
        <f>IF(COUNTBLANK(B58:J58)&lt;&gt;COLUMNS(B58:J58),57,"")</f>
        <v>0</v>
      </c>
      <c r="C58" s="1">
        <f>IF(B58="", "", "UBERON:genitourinary")</f>
        <v>0</v>
      </c>
      <c r="D58" s="1">
        <f>IF(B58="", "", "UBERON:urine")</f>
        <v>0</v>
      </c>
      <c r="E58" s="1">
        <f>IF(B58="", "", "UBERON:kidney")</f>
        <v>0</v>
      </c>
      <c r="F58" s="1">
        <f>IF(B58="", "", "animal corpus")</f>
        <v>0</v>
      </c>
      <c r="G58" s="1">
        <f>IF(B58="", "", "urine")</f>
        <v>0</v>
      </c>
      <c r="H58" s="1">
        <f>IF(B58="", "", "urine")</f>
        <v>0</v>
      </c>
      <c r="I58" s="1">
        <f>IF(B58="", "", "urine metagenome")</f>
        <v>0</v>
      </c>
      <c r="J58" s="1">
        <f>IF(B58="", "", "1346744")</f>
        <v>0</v>
      </c>
    </row>
    <row r="59" spans="1:10">
      <c r="A59">
        <f>IF(COUNTBLANK(B59:J59)&lt;&gt;COLUMNS(B59:J59),58,"")</f>
        <v>0</v>
      </c>
      <c r="C59" s="1">
        <f>IF(B59="", "", "UBERON:genitourinary")</f>
        <v>0</v>
      </c>
      <c r="D59" s="1">
        <f>IF(B59="", "", "UBERON:urine")</f>
        <v>0</v>
      </c>
      <c r="E59" s="1">
        <f>IF(B59="", "", "UBERON:kidney")</f>
        <v>0</v>
      </c>
      <c r="F59" s="1">
        <f>IF(B59="", "", "animal corpus")</f>
        <v>0</v>
      </c>
      <c r="G59" s="1">
        <f>IF(B59="", "", "urine")</f>
        <v>0</v>
      </c>
      <c r="H59" s="1">
        <f>IF(B59="", "", "urine")</f>
        <v>0</v>
      </c>
      <c r="I59" s="1">
        <f>IF(B59="", "", "urine metagenome")</f>
        <v>0</v>
      </c>
      <c r="J59" s="1">
        <f>IF(B59="", "", "1346744")</f>
        <v>0</v>
      </c>
    </row>
    <row r="60" spans="1:10">
      <c r="A60">
        <f>IF(COUNTBLANK(B60:J60)&lt;&gt;COLUMNS(B60:J60),59,"")</f>
        <v>0</v>
      </c>
      <c r="C60" s="1">
        <f>IF(B60="", "", "UBERON:genitourinary")</f>
        <v>0</v>
      </c>
      <c r="D60" s="1">
        <f>IF(B60="", "", "UBERON:urine")</f>
        <v>0</v>
      </c>
      <c r="E60" s="1">
        <f>IF(B60="", "", "UBERON:kidney")</f>
        <v>0</v>
      </c>
      <c r="F60" s="1">
        <f>IF(B60="", "", "animal corpus")</f>
        <v>0</v>
      </c>
      <c r="G60" s="1">
        <f>IF(B60="", "", "urine")</f>
        <v>0</v>
      </c>
      <c r="H60" s="1">
        <f>IF(B60="", "", "urine")</f>
        <v>0</v>
      </c>
      <c r="I60" s="1">
        <f>IF(B60="", "", "urine metagenome")</f>
        <v>0</v>
      </c>
      <c r="J60" s="1">
        <f>IF(B60="", "", "1346744")</f>
        <v>0</v>
      </c>
    </row>
    <row r="61" spans="1:10">
      <c r="A61">
        <f>IF(COUNTBLANK(B61:J61)&lt;&gt;COLUMNS(B61:J61),60,"")</f>
        <v>0</v>
      </c>
      <c r="C61" s="1">
        <f>IF(B61="", "", "UBERON:genitourinary")</f>
        <v>0</v>
      </c>
      <c r="D61" s="1">
        <f>IF(B61="", "", "UBERON:urine")</f>
        <v>0</v>
      </c>
      <c r="E61" s="1">
        <f>IF(B61="", "", "UBERON:kidney")</f>
        <v>0</v>
      </c>
      <c r="F61" s="1">
        <f>IF(B61="", "", "animal corpus")</f>
        <v>0</v>
      </c>
      <c r="G61" s="1">
        <f>IF(B61="", "", "urine")</f>
        <v>0</v>
      </c>
      <c r="H61" s="1">
        <f>IF(B61="", "", "urine")</f>
        <v>0</v>
      </c>
      <c r="I61" s="1">
        <f>IF(B61="", "", "urine metagenome")</f>
        <v>0</v>
      </c>
      <c r="J61" s="1">
        <f>IF(B61="", "", "1346744")</f>
        <v>0</v>
      </c>
    </row>
    <row r="62" spans="1:10">
      <c r="A62">
        <f>IF(COUNTBLANK(B62:J62)&lt;&gt;COLUMNS(B62:J62),61,"")</f>
        <v>0</v>
      </c>
      <c r="C62" s="1">
        <f>IF(B62="", "", "UBERON:genitourinary")</f>
        <v>0</v>
      </c>
      <c r="D62" s="1">
        <f>IF(B62="", "", "UBERON:urine")</f>
        <v>0</v>
      </c>
      <c r="E62" s="1">
        <f>IF(B62="", "", "UBERON:kidney")</f>
        <v>0</v>
      </c>
      <c r="F62" s="1">
        <f>IF(B62="", "", "animal corpus")</f>
        <v>0</v>
      </c>
      <c r="G62" s="1">
        <f>IF(B62="", "", "urine")</f>
        <v>0</v>
      </c>
      <c r="H62" s="1">
        <f>IF(B62="", "", "urine")</f>
        <v>0</v>
      </c>
      <c r="I62" s="1">
        <f>IF(B62="", "", "urine metagenome")</f>
        <v>0</v>
      </c>
      <c r="J62" s="1">
        <f>IF(B62="", "", "1346744")</f>
        <v>0</v>
      </c>
    </row>
    <row r="63" spans="1:10">
      <c r="A63">
        <f>IF(COUNTBLANK(B63:J63)&lt;&gt;COLUMNS(B63:J63),62,"")</f>
        <v>0</v>
      </c>
      <c r="C63" s="1">
        <f>IF(B63="", "", "UBERON:genitourinary")</f>
        <v>0</v>
      </c>
      <c r="D63" s="1">
        <f>IF(B63="", "", "UBERON:urine")</f>
        <v>0</v>
      </c>
      <c r="E63" s="1">
        <f>IF(B63="", "", "UBERON:kidney")</f>
        <v>0</v>
      </c>
      <c r="F63" s="1">
        <f>IF(B63="", "", "animal corpus")</f>
        <v>0</v>
      </c>
      <c r="G63" s="1">
        <f>IF(B63="", "", "urine")</f>
        <v>0</v>
      </c>
      <c r="H63" s="1">
        <f>IF(B63="", "", "urine")</f>
        <v>0</v>
      </c>
      <c r="I63" s="1">
        <f>IF(B63="", "", "urine metagenome")</f>
        <v>0</v>
      </c>
      <c r="J63" s="1">
        <f>IF(B63="", "", "1346744")</f>
        <v>0</v>
      </c>
    </row>
    <row r="64" spans="1:10">
      <c r="A64">
        <f>IF(COUNTBLANK(B64:J64)&lt;&gt;COLUMNS(B64:J64),63,"")</f>
        <v>0</v>
      </c>
      <c r="C64" s="1">
        <f>IF(B64="", "", "UBERON:genitourinary")</f>
        <v>0</v>
      </c>
      <c r="D64" s="1">
        <f>IF(B64="", "", "UBERON:urine")</f>
        <v>0</v>
      </c>
      <c r="E64" s="1">
        <f>IF(B64="", "", "UBERON:kidney")</f>
        <v>0</v>
      </c>
      <c r="F64" s="1">
        <f>IF(B64="", "", "animal corpus")</f>
        <v>0</v>
      </c>
      <c r="G64" s="1">
        <f>IF(B64="", "", "urine")</f>
        <v>0</v>
      </c>
      <c r="H64" s="1">
        <f>IF(B64="", "", "urine")</f>
        <v>0</v>
      </c>
      <c r="I64" s="1">
        <f>IF(B64="", "", "urine metagenome")</f>
        <v>0</v>
      </c>
      <c r="J64" s="1">
        <f>IF(B64="", "", "1346744")</f>
        <v>0</v>
      </c>
    </row>
    <row r="65" spans="1:10">
      <c r="A65">
        <f>IF(COUNTBLANK(B65:J65)&lt;&gt;COLUMNS(B65:J65),64,"")</f>
        <v>0</v>
      </c>
      <c r="C65" s="1">
        <f>IF(B65="", "", "UBERON:genitourinary")</f>
        <v>0</v>
      </c>
      <c r="D65" s="1">
        <f>IF(B65="", "", "UBERON:urine")</f>
        <v>0</v>
      </c>
      <c r="E65" s="1">
        <f>IF(B65="", "", "UBERON:kidney")</f>
        <v>0</v>
      </c>
      <c r="F65" s="1">
        <f>IF(B65="", "", "animal corpus")</f>
        <v>0</v>
      </c>
      <c r="G65" s="1">
        <f>IF(B65="", "", "urine")</f>
        <v>0</v>
      </c>
      <c r="H65" s="1">
        <f>IF(B65="", "", "urine")</f>
        <v>0</v>
      </c>
      <c r="I65" s="1">
        <f>IF(B65="", "", "urine metagenome")</f>
        <v>0</v>
      </c>
      <c r="J65" s="1">
        <f>IF(B65="", "", "1346744")</f>
        <v>0</v>
      </c>
    </row>
    <row r="66" spans="1:10">
      <c r="A66">
        <f>IF(COUNTBLANK(B66:J66)&lt;&gt;COLUMNS(B66:J66),65,"")</f>
        <v>0</v>
      </c>
      <c r="C66" s="1">
        <f>IF(B66="", "", "UBERON:genitourinary")</f>
        <v>0</v>
      </c>
      <c r="D66" s="1">
        <f>IF(B66="", "", "UBERON:urine")</f>
        <v>0</v>
      </c>
      <c r="E66" s="1">
        <f>IF(B66="", "", "UBERON:kidney")</f>
        <v>0</v>
      </c>
      <c r="F66" s="1">
        <f>IF(B66="", "", "animal corpus")</f>
        <v>0</v>
      </c>
      <c r="G66" s="1">
        <f>IF(B66="", "", "urine")</f>
        <v>0</v>
      </c>
      <c r="H66" s="1">
        <f>IF(B66="", "", "urine")</f>
        <v>0</v>
      </c>
      <c r="I66" s="1">
        <f>IF(B66="", "", "urine metagenome")</f>
        <v>0</v>
      </c>
      <c r="J66" s="1">
        <f>IF(B66="", "", "1346744")</f>
        <v>0</v>
      </c>
    </row>
    <row r="67" spans="1:10">
      <c r="A67">
        <f>IF(COUNTBLANK(B67:J67)&lt;&gt;COLUMNS(B67:J67),66,"")</f>
        <v>0</v>
      </c>
      <c r="C67" s="1">
        <f>IF(B67="", "", "UBERON:genitourinary")</f>
        <v>0</v>
      </c>
      <c r="D67" s="1">
        <f>IF(B67="", "", "UBERON:urine")</f>
        <v>0</v>
      </c>
      <c r="E67" s="1">
        <f>IF(B67="", "", "UBERON:kidney")</f>
        <v>0</v>
      </c>
      <c r="F67" s="1">
        <f>IF(B67="", "", "animal corpus")</f>
        <v>0</v>
      </c>
      <c r="G67" s="1">
        <f>IF(B67="", "", "urine")</f>
        <v>0</v>
      </c>
      <c r="H67" s="1">
        <f>IF(B67="", "", "urine")</f>
        <v>0</v>
      </c>
      <c r="I67" s="1">
        <f>IF(B67="", "", "urine metagenome")</f>
        <v>0</v>
      </c>
      <c r="J67" s="1">
        <f>IF(B67="", "", "1346744")</f>
        <v>0</v>
      </c>
    </row>
    <row r="68" spans="1:10">
      <c r="A68">
        <f>IF(COUNTBLANK(B68:J68)&lt;&gt;COLUMNS(B68:J68),67,"")</f>
        <v>0</v>
      </c>
      <c r="C68" s="1">
        <f>IF(B68="", "", "UBERON:genitourinary")</f>
        <v>0</v>
      </c>
      <c r="D68" s="1">
        <f>IF(B68="", "", "UBERON:urine")</f>
        <v>0</v>
      </c>
      <c r="E68" s="1">
        <f>IF(B68="", "", "UBERON:kidney")</f>
        <v>0</v>
      </c>
      <c r="F68" s="1">
        <f>IF(B68="", "", "animal corpus")</f>
        <v>0</v>
      </c>
      <c r="G68" s="1">
        <f>IF(B68="", "", "urine")</f>
        <v>0</v>
      </c>
      <c r="H68" s="1">
        <f>IF(B68="", "", "urine")</f>
        <v>0</v>
      </c>
      <c r="I68" s="1">
        <f>IF(B68="", "", "urine metagenome")</f>
        <v>0</v>
      </c>
      <c r="J68" s="1">
        <f>IF(B68="", "", "1346744")</f>
        <v>0</v>
      </c>
    </row>
    <row r="69" spans="1:10">
      <c r="A69">
        <f>IF(COUNTBLANK(B69:J69)&lt;&gt;COLUMNS(B69:J69),68,"")</f>
        <v>0</v>
      </c>
      <c r="C69" s="1">
        <f>IF(B69="", "", "UBERON:genitourinary")</f>
        <v>0</v>
      </c>
      <c r="D69" s="1">
        <f>IF(B69="", "", "UBERON:urine")</f>
        <v>0</v>
      </c>
      <c r="E69" s="1">
        <f>IF(B69="", "", "UBERON:kidney")</f>
        <v>0</v>
      </c>
      <c r="F69" s="1">
        <f>IF(B69="", "", "animal corpus")</f>
        <v>0</v>
      </c>
      <c r="G69" s="1">
        <f>IF(B69="", "", "urine")</f>
        <v>0</v>
      </c>
      <c r="H69" s="1">
        <f>IF(B69="", "", "urine")</f>
        <v>0</v>
      </c>
      <c r="I69" s="1">
        <f>IF(B69="", "", "urine metagenome")</f>
        <v>0</v>
      </c>
      <c r="J69" s="1">
        <f>IF(B69="", "", "1346744")</f>
        <v>0</v>
      </c>
    </row>
    <row r="70" spans="1:10">
      <c r="A70">
        <f>IF(COUNTBLANK(B70:J70)&lt;&gt;COLUMNS(B70:J70),69,"")</f>
        <v>0</v>
      </c>
      <c r="C70" s="1">
        <f>IF(B70="", "", "UBERON:genitourinary")</f>
        <v>0</v>
      </c>
      <c r="D70" s="1">
        <f>IF(B70="", "", "UBERON:urine")</f>
        <v>0</v>
      </c>
      <c r="E70" s="1">
        <f>IF(B70="", "", "UBERON:kidney")</f>
        <v>0</v>
      </c>
      <c r="F70" s="1">
        <f>IF(B70="", "", "animal corpus")</f>
        <v>0</v>
      </c>
      <c r="G70" s="1">
        <f>IF(B70="", "", "urine")</f>
        <v>0</v>
      </c>
      <c r="H70" s="1">
        <f>IF(B70="", "", "urine")</f>
        <v>0</v>
      </c>
      <c r="I70" s="1">
        <f>IF(B70="", "", "urine metagenome")</f>
        <v>0</v>
      </c>
      <c r="J70" s="1">
        <f>IF(B70="", "", "1346744")</f>
        <v>0</v>
      </c>
    </row>
    <row r="71" spans="1:10">
      <c r="A71">
        <f>IF(COUNTBLANK(B71:J71)&lt;&gt;COLUMNS(B71:J71),70,"")</f>
        <v>0</v>
      </c>
      <c r="C71" s="1">
        <f>IF(B71="", "", "UBERON:genitourinary")</f>
        <v>0</v>
      </c>
      <c r="D71" s="1">
        <f>IF(B71="", "", "UBERON:urine")</f>
        <v>0</v>
      </c>
      <c r="E71" s="1">
        <f>IF(B71="", "", "UBERON:kidney")</f>
        <v>0</v>
      </c>
      <c r="F71" s="1">
        <f>IF(B71="", "", "animal corpus")</f>
        <v>0</v>
      </c>
      <c r="G71" s="1">
        <f>IF(B71="", "", "urine")</f>
        <v>0</v>
      </c>
      <c r="H71" s="1">
        <f>IF(B71="", "", "urine")</f>
        <v>0</v>
      </c>
      <c r="I71" s="1">
        <f>IF(B71="", "", "urine metagenome")</f>
        <v>0</v>
      </c>
      <c r="J71" s="1">
        <f>IF(B71="", "", "1346744")</f>
        <v>0</v>
      </c>
    </row>
    <row r="72" spans="1:10">
      <c r="A72">
        <f>IF(COUNTBLANK(B72:J72)&lt;&gt;COLUMNS(B72:J72),71,"")</f>
        <v>0</v>
      </c>
      <c r="C72" s="1">
        <f>IF(B72="", "", "UBERON:genitourinary")</f>
        <v>0</v>
      </c>
      <c r="D72" s="1">
        <f>IF(B72="", "", "UBERON:urine")</f>
        <v>0</v>
      </c>
      <c r="E72" s="1">
        <f>IF(B72="", "", "UBERON:kidney")</f>
        <v>0</v>
      </c>
      <c r="F72" s="1">
        <f>IF(B72="", "", "animal corpus")</f>
        <v>0</v>
      </c>
      <c r="G72" s="1">
        <f>IF(B72="", "", "urine")</f>
        <v>0</v>
      </c>
      <c r="H72" s="1">
        <f>IF(B72="", "", "urine")</f>
        <v>0</v>
      </c>
      <c r="I72" s="1">
        <f>IF(B72="", "", "urine metagenome")</f>
        <v>0</v>
      </c>
      <c r="J72" s="1">
        <f>IF(B72="", "", "1346744")</f>
        <v>0</v>
      </c>
    </row>
    <row r="73" spans="1:10">
      <c r="A73">
        <f>IF(COUNTBLANK(B73:J73)&lt;&gt;COLUMNS(B73:J73),72,"")</f>
        <v>0</v>
      </c>
      <c r="C73" s="1">
        <f>IF(B73="", "", "UBERON:genitourinary")</f>
        <v>0</v>
      </c>
      <c r="D73" s="1">
        <f>IF(B73="", "", "UBERON:urine")</f>
        <v>0</v>
      </c>
      <c r="E73" s="1">
        <f>IF(B73="", "", "UBERON:kidney")</f>
        <v>0</v>
      </c>
      <c r="F73" s="1">
        <f>IF(B73="", "", "animal corpus")</f>
        <v>0</v>
      </c>
      <c r="G73" s="1">
        <f>IF(B73="", "", "urine")</f>
        <v>0</v>
      </c>
      <c r="H73" s="1">
        <f>IF(B73="", "", "urine")</f>
        <v>0</v>
      </c>
      <c r="I73" s="1">
        <f>IF(B73="", "", "urine metagenome")</f>
        <v>0</v>
      </c>
      <c r="J73" s="1">
        <f>IF(B73="", "", "1346744")</f>
        <v>0</v>
      </c>
    </row>
    <row r="74" spans="1:10">
      <c r="A74">
        <f>IF(COUNTBLANK(B74:J74)&lt;&gt;COLUMNS(B74:J74),73,"")</f>
        <v>0</v>
      </c>
      <c r="C74" s="1">
        <f>IF(B74="", "", "UBERON:genitourinary")</f>
        <v>0</v>
      </c>
      <c r="D74" s="1">
        <f>IF(B74="", "", "UBERON:urine")</f>
        <v>0</v>
      </c>
      <c r="E74" s="1">
        <f>IF(B74="", "", "UBERON:kidney")</f>
        <v>0</v>
      </c>
      <c r="F74" s="1">
        <f>IF(B74="", "", "animal corpus")</f>
        <v>0</v>
      </c>
      <c r="G74" s="1">
        <f>IF(B74="", "", "urine")</f>
        <v>0</v>
      </c>
      <c r="H74" s="1">
        <f>IF(B74="", "", "urine")</f>
        <v>0</v>
      </c>
      <c r="I74" s="1">
        <f>IF(B74="", "", "urine metagenome")</f>
        <v>0</v>
      </c>
      <c r="J74" s="1">
        <f>IF(B74="", "", "1346744")</f>
        <v>0</v>
      </c>
    </row>
    <row r="75" spans="1:10">
      <c r="A75">
        <f>IF(COUNTBLANK(B75:J75)&lt;&gt;COLUMNS(B75:J75),74,"")</f>
        <v>0</v>
      </c>
      <c r="C75" s="1">
        <f>IF(B75="", "", "UBERON:genitourinary")</f>
        <v>0</v>
      </c>
      <c r="D75" s="1">
        <f>IF(B75="", "", "UBERON:urine")</f>
        <v>0</v>
      </c>
      <c r="E75" s="1">
        <f>IF(B75="", "", "UBERON:kidney")</f>
        <v>0</v>
      </c>
      <c r="F75" s="1">
        <f>IF(B75="", "", "animal corpus")</f>
        <v>0</v>
      </c>
      <c r="G75" s="1">
        <f>IF(B75="", "", "urine")</f>
        <v>0</v>
      </c>
      <c r="H75" s="1">
        <f>IF(B75="", "", "urine")</f>
        <v>0</v>
      </c>
      <c r="I75" s="1">
        <f>IF(B75="", "", "urine metagenome")</f>
        <v>0</v>
      </c>
      <c r="J75" s="1">
        <f>IF(B75="", "", "1346744")</f>
        <v>0</v>
      </c>
    </row>
    <row r="76" spans="1:10">
      <c r="A76">
        <f>IF(COUNTBLANK(B76:J76)&lt;&gt;COLUMNS(B76:J76),75,"")</f>
        <v>0</v>
      </c>
      <c r="C76" s="1">
        <f>IF(B76="", "", "UBERON:genitourinary")</f>
        <v>0</v>
      </c>
      <c r="D76" s="1">
        <f>IF(B76="", "", "UBERON:urine")</f>
        <v>0</v>
      </c>
      <c r="E76" s="1">
        <f>IF(B76="", "", "UBERON:kidney")</f>
        <v>0</v>
      </c>
      <c r="F76" s="1">
        <f>IF(B76="", "", "animal corpus")</f>
        <v>0</v>
      </c>
      <c r="G76" s="1">
        <f>IF(B76="", "", "urine")</f>
        <v>0</v>
      </c>
      <c r="H76" s="1">
        <f>IF(B76="", "", "urine")</f>
        <v>0</v>
      </c>
      <c r="I76" s="1">
        <f>IF(B76="", "", "urine metagenome")</f>
        <v>0</v>
      </c>
      <c r="J76" s="1">
        <f>IF(B76="", "", "1346744")</f>
        <v>0</v>
      </c>
    </row>
    <row r="77" spans="1:10">
      <c r="A77">
        <f>IF(COUNTBLANK(B77:J77)&lt;&gt;COLUMNS(B77:J77),76,"")</f>
        <v>0</v>
      </c>
      <c r="C77" s="1">
        <f>IF(B77="", "", "UBERON:genitourinary")</f>
        <v>0</v>
      </c>
      <c r="D77" s="1">
        <f>IF(B77="", "", "UBERON:urine")</f>
        <v>0</v>
      </c>
      <c r="E77" s="1">
        <f>IF(B77="", "", "UBERON:kidney")</f>
        <v>0</v>
      </c>
      <c r="F77" s="1">
        <f>IF(B77="", "", "animal corpus")</f>
        <v>0</v>
      </c>
      <c r="G77" s="1">
        <f>IF(B77="", "", "urine")</f>
        <v>0</v>
      </c>
      <c r="H77" s="1">
        <f>IF(B77="", "", "urine")</f>
        <v>0</v>
      </c>
      <c r="I77" s="1">
        <f>IF(B77="", "", "urine metagenome")</f>
        <v>0</v>
      </c>
      <c r="J77" s="1">
        <f>IF(B77="", "", "1346744")</f>
        <v>0</v>
      </c>
    </row>
    <row r="78" spans="1:10">
      <c r="A78">
        <f>IF(COUNTBLANK(B78:J78)&lt;&gt;COLUMNS(B78:J78),77,"")</f>
        <v>0</v>
      </c>
      <c r="C78" s="1">
        <f>IF(B78="", "", "UBERON:genitourinary")</f>
        <v>0</v>
      </c>
      <c r="D78" s="1">
        <f>IF(B78="", "", "UBERON:urine")</f>
        <v>0</v>
      </c>
      <c r="E78" s="1">
        <f>IF(B78="", "", "UBERON:kidney")</f>
        <v>0</v>
      </c>
      <c r="F78" s="1">
        <f>IF(B78="", "", "animal corpus")</f>
        <v>0</v>
      </c>
      <c r="G78" s="1">
        <f>IF(B78="", "", "urine")</f>
        <v>0</v>
      </c>
      <c r="H78" s="1">
        <f>IF(B78="", "", "urine")</f>
        <v>0</v>
      </c>
      <c r="I78" s="1">
        <f>IF(B78="", "", "urine metagenome")</f>
        <v>0</v>
      </c>
      <c r="J78" s="1">
        <f>IF(B78="", "", "1346744")</f>
        <v>0</v>
      </c>
    </row>
    <row r="79" spans="1:10">
      <c r="A79">
        <f>IF(COUNTBLANK(B79:J79)&lt;&gt;COLUMNS(B79:J79),78,"")</f>
        <v>0</v>
      </c>
      <c r="C79" s="1">
        <f>IF(B79="", "", "UBERON:genitourinary")</f>
        <v>0</v>
      </c>
      <c r="D79" s="1">
        <f>IF(B79="", "", "UBERON:urine")</f>
        <v>0</v>
      </c>
      <c r="E79" s="1">
        <f>IF(B79="", "", "UBERON:kidney")</f>
        <v>0</v>
      </c>
      <c r="F79" s="1">
        <f>IF(B79="", "", "animal corpus")</f>
        <v>0</v>
      </c>
      <c r="G79" s="1">
        <f>IF(B79="", "", "urine")</f>
        <v>0</v>
      </c>
      <c r="H79" s="1">
        <f>IF(B79="", "", "urine")</f>
        <v>0</v>
      </c>
      <c r="I79" s="1">
        <f>IF(B79="", "", "urine metagenome")</f>
        <v>0</v>
      </c>
      <c r="J79" s="1">
        <f>IF(B79="", "", "1346744")</f>
        <v>0</v>
      </c>
    </row>
    <row r="80" spans="1:10">
      <c r="A80">
        <f>IF(COUNTBLANK(B80:J80)&lt;&gt;COLUMNS(B80:J80),79,"")</f>
        <v>0</v>
      </c>
      <c r="C80" s="1">
        <f>IF(B80="", "", "UBERON:genitourinary")</f>
        <v>0</v>
      </c>
      <c r="D80" s="1">
        <f>IF(B80="", "", "UBERON:urine")</f>
        <v>0</v>
      </c>
      <c r="E80" s="1">
        <f>IF(B80="", "", "UBERON:kidney")</f>
        <v>0</v>
      </c>
      <c r="F80" s="1">
        <f>IF(B80="", "", "animal corpus")</f>
        <v>0</v>
      </c>
      <c r="G80" s="1">
        <f>IF(B80="", "", "urine")</f>
        <v>0</v>
      </c>
      <c r="H80" s="1">
        <f>IF(B80="", "", "urine")</f>
        <v>0</v>
      </c>
      <c r="I80" s="1">
        <f>IF(B80="", "", "urine metagenome")</f>
        <v>0</v>
      </c>
      <c r="J80" s="1">
        <f>IF(B80="", "", "1346744")</f>
        <v>0</v>
      </c>
    </row>
    <row r="81" spans="1:10">
      <c r="A81">
        <f>IF(COUNTBLANK(B81:J81)&lt;&gt;COLUMNS(B81:J81),80,"")</f>
        <v>0</v>
      </c>
      <c r="C81" s="1">
        <f>IF(B81="", "", "UBERON:genitourinary")</f>
        <v>0</v>
      </c>
      <c r="D81" s="1">
        <f>IF(B81="", "", "UBERON:urine")</f>
        <v>0</v>
      </c>
      <c r="E81" s="1">
        <f>IF(B81="", "", "UBERON:kidney")</f>
        <v>0</v>
      </c>
      <c r="F81" s="1">
        <f>IF(B81="", "", "animal corpus")</f>
        <v>0</v>
      </c>
      <c r="G81" s="1">
        <f>IF(B81="", "", "urine")</f>
        <v>0</v>
      </c>
      <c r="H81" s="1">
        <f>IF(B81="", "", "urine")</f>
        <v>0</v>
      </c>
      <c r="I81" s="1">
        <f>IF(B81="", "", "urine metagenome")</f>
        <v>0</v>
      </c>
      <c r="J81" s="1">
        <f>IF(B81="", "", "1346744")</f>
        <v>0</v>
      </c>
    </row>
    <row r="82" spans="1:10">
      <c r="A82">
        <f>IF(COUNTBLANK(B82:J82)&lt;&gt;COLUMNS(B82:J82),81,"")</f>
        <v>0</v>
      </c>
      <c r="C82" s="1">
        <f>IF(B82="", "", "UBERON:genitourinary")</f>
        <v>0</v>
      </c>
      <c r="D82" s="1">
        <f>IF(B82="", "", "UBERON:urine")</f>
        <v>0</v>
      </c>
      <c r="E82" s="1">
        <f>IF(B82="", "", "UBERON:kidney")</f>
        <v>0</v>
      </c>
      <c r="F82" s="1">
        <f>IF(B82="", "", "animal corpus")</f>
        <v>0</v>
      </c>
      <c r="G82" s="1">
        <f>IF(B82="", "", "urine")</f>
        <v>0</v>
      </c>
      <c r="H82" s="1">
        <f>IF(B82="", "", "urine")</f>
        <v>0</v>
      </c>
      <c r="I82" s="1">
        <f>IF(B82="", "", "urine metagenome")</f>
        <v>0</v>
      </c>
      <c r="J82" s="1">
        <f>IF(B82="", "", "1346744")</f>
        <v>0</v>
      </c>
    </row>
    <row r="83" spans="1:10">
      <c r="A83">
        <f>IF(COUNTBLANK(B83:J83)&lt;&gt;COLUMNS(B83:J83),82,"")</f>
        <v>0</v>
      </c>
      <c r="C83" s="1">
        <f>IF(B83="", "", "UBERON:genitourinary")</f>
        <v>0</v>
      </c>
      <c r="D83" s="1">
        <f>IF(B83="", "", "UBERON:urine")</f>
        <v>0</v>
      </c>
      <c r="E83" s="1">
        <f>IF(B83="", "", "UBERON:kidney")</f>
        <v>0</v>
      </c>
      <c r="F83" s="1">
        <f>IF(B83="", "", "animal corpus")</f>
        <v>0</v>
      </c>
      <c r="G83" s="1">
        <f>IF(B83="", "", "urine")</f>
        <v>0</v>
      </c>
      <c r="H83" s="1">
        <f>IF(B83="", "", "urine")</f>
        <v>0</v>
      </c>
      <c r="I83" s="1">
        <f>IF(B83="", "", "urine metagenome")</f>
        <v>0</v>
      </c>
      <c r="J83" s="1">
        <f>IF(B83="", "", "1346744")</f>
        <v>0</v>
      </c>
    </row>
    <row r="84" spans="1:10">
      <c r="A84">
        <f>IF(COUNTBLANK(B84:J84)&lt;&gt;COLUMNS(B84:J84),83,"")</f>
        <v>0</v>
      </c>
      <c r="C84" s="1">
        <f>IF(B84="", "", "UBERON:genitourinary")</f>
        <v>0</v>
      </c>
      <c r="D84" s="1">
        <f>IF(B84="", "", "UBERON:urine")</f>
        <v>0</v>
      </c>
      <c r="E84" s="1">
        <f>IF(B84="", "", "UBERON:kidney")</f>
        <v>0</v>
      </c>
      <c r="F84" s="1">
        <f>IF(B84="", "", "animal corpus")</f>
        <v>0</v>
      </c>
      <c r="G84" s="1">
        <f>IF(B84="", "", "urine")</f>
        <v>0</v>
      </c>
      <c r="H84" s="1">
        <f>IF(B84="", "", "urine")</f>
        <v>0</v>
      </c>
      <c r="I84" s="1">
        <f>IF(B84="", "", "urine metagenome")</f>
        <v>0</v>
      </c>
      <c r="J84" s="1">
        <f>IF(B84="", "", "1346744")</f>
        <v>0</v>
      </c>
    </row>
    <row r="85" spans="1:10">
      <c r="A85">
        <f>IF(COUNTBLANK(B85:J85)&lt;&gt;COLUMNS(B85:J85),84,"")</f>
        <v>0</v>
      </c>
      <c r="C85" s="1">
        <f>IF(B85="", "", "UBERON:genitourinary")</f>
        <v>0</v>
      </c>
      <c r="D85" s="1">
        <f>IF(B85="", "", "UBERON:urine")</f>
        <v>0</v>
      </c>
      <c r="E85" s="1">
        <f>IF(B85="", "", "UBERON:kidney")</f>
        <v>0</v>
      </c>
      <c r="F85" s="1">
        <f>IF(B85="", "", "animal corpus")</f>
        <v>0</v>
      </c>
      <c r="G85" s="1">
        <f>IF(B85="", "", "urine")</f>
        <v>0</v>
      </c>
      <c r="H85" s="1">
        <f>IF(B85="", "", "urine")</f>
        <v>0</v>
      </c>
      <c r="I85" s="1">
        <f>IF(B85="", "", "urine metagenome")</f>
        <v>0</v>
      </c>
      <c r="J85" s="1">
        <f>IF(B85="", "", "1346744")</f>
        <v>0</v>
      </c>
    </row>
    <row r="86" spans="1:10">
      <c r="A86">
        <f>IF(COUNTBLANK(B86:J86)&lt;&gt;COLUMNS(B86:J86),85,"")</f>
        <v>0</v>
      </c>
      <c r="C86" s="1">
        <f>IF(B86="", "", "UBERON:genitourinary")</f>
        <v>0</v>
      </c>
      <c r="D86" s="1">
        <f>IF(B86="", "", "UBERON:urine")</f>
        <v>0</v>
      </c>
      <c r="E86" s="1">
        <f>IF(B86="", "", "UBERON:kidney")</f>
        <v>0</v>
      </c>
      <c r="F86" s="1">
        <f>IF(B86="", "", "animal corpus")</f>
        <v>0</v>
      </c>
      <c r="G86" s="1">
        <f>IF(B86="", "", "urine")</f>
        <v>0</v>
      </c>
      <c r="H86" s="1">
        <f>IF(B86="", "", "urine")</f>
        <v>0</v>
      </c>
      <c r="I86" s="1">
        <f>IF(B86="", "", "urine metagenome")</f>
        <v>0</v>
      </c>
      <c r="J86" s="1">
        <f>IF(B86="", "", "1346744")</f>
        <v>0</v>
      </c>
    </row>
    <row r="87" spans="1:10">
      <c r="A87">
        <f>IF(COUNTBLANK(B87:J87)&lt;&gt;COLUMNS(B87:J87),86,"")</f>
        <v>0</v>
      </c>
      <c r="C87" s="1">
        <f>IF(B87="", "", "UBERON:genitourinary")</f>
        <v>0</v>
      </c>
      <c r="D87" s="1">
        <f>IF(B87="", "", "UBERON:urine")</f>
        <v>0</v>
      </c>
      <c r="E87" s="1">
        <f>IF(B87="", "", "UBERON:kidney")</f>
        <v>0</v>
      </c>
      <c r="F87" s="1">
        <f>IF(B87="", "", "animal corpus")</f>
        <v>0</v>
      </c>
      <c r="G87" s="1">
        <f>IF(B87="", "", "urine")</f>
        <v>0</v>
      </c>
      <c r="H87" s="1">
        <f>IF(B87="", "", "urine")</f>
        <v>0</v>
      </c>
      <c r="I87" s="1">
        <f>IF(B87="", "", "urine metagenome")</f>
        <v>0</v>
      </c>
      <c r="J87" s="1">
        <f>IF(B87="", "", "1346744")</f>
        <v>0</v>
      </c>
    </row>
    <row r="88" spans="1:10">
      <c r="A88">
        <f>IF(COUNTBLANK(B88:J88)&lt;&gt;COLUMNS(B88:J88),87,"")</f>
        <v>0</v>
      </c>
      <c r="C88" s="1">
        <f>IF(B88="", "", "UBERON:genitourinary")</f>
        <v>0</v>
      </c>
      <c r="D88" s="1">
        <f>IF(B88="", "", "UBERON:urine")</f>
        <v>0</v>
      </c>
      <c r="E88" s="1">
        <f>IF(B88="", "", "UBERON:kidney")</f>
        <v>0</v>
      </c>
      <c r="F88" s="1">
        <f>IF(B88="", "", "animal corpus")</f>
        <v>0</v>
      </c>
      <c r="G88" s="1">
        <f>IF(B88="", "", "urine")</f>
        <v>0</v>
      </c>
      <c r="H88" s="1">
        <f>IF(B88="", "", "urine")</f>
        <v>0</v>
      </c>
      <c r="I88" s="1">
        <f>IF(B88="", "", "urine metagenome")</f>
        <v>0</v>
      </c>
      <c r="J88" s="1">
        <f>IF(B88="", "", "1346744")</f>
        <v>0</v>
      </c>
    </row>
    <row r="89" spans="1:10">
      <c r="A89">
        <f>IF(COUNTBLANK(B89:J89)&lt;&gt;COLUMNS(B89:J89),88,"")</f>
        <v>0</v>
      </c>
      <c r="C89" s="1">
        <f>IF(B89="", "", "UBERON:genitourinary")</f>
        <v>0</v>
      </c>
      <c r="D89" s="1">
        <f>IF(B89="", "", "UBERON:urine")</f>
        <v>0</v>
      </c>
      <c r="E89" s="1">
        <f>IF(B89="", "", "UBERON:kidney")</f>
        <v>0</v>
      </c>
      <c r="F89" s="1">
        <f>IF(B89="", "", "animal corpus")</f>
        <v>0</v>
      </c>
      <c r="G89" s="1">
        <f>IF(B89="", "", "urine")</f>
        <v>0</v>
      </c>
      <c r="H89" s="1">
        <f>IF(B89="", "", "urine")</f>
        <v>0</v>
      </c>
      <c r="I89" s="1">
        <f>IF(B89="", "", "urine metagenome")</f>
        <v>0</v>
      </c>
      <c r="J89" s="1">
        <f>IF(B89="", "", "1346744")</f>
        <v>0</v>
      </c>
    </row>
    <row r="90" spans="1:10">
      <c r="A90">
        <f>IF(COUNTBLANK(B90:J90)&lt;&gt;COLUMNS(B90:J90),89,"")</f>
        <v>0</v>
      </c>
      <c r="C90" s="1">
        <f>IF(B90="", "", "UBERON:genitourinary")</f>
        <v>0</v>
      </c>
      <c r="D90" s="1">
        <f>IF(B90="", "", "UBERON:urine")</f>
        <v>0</v>
      </c>
      <c r="E90" s="1">
        <f>IF(B90="", "", "UBERON:kidney")</f>
        <v>0</v>
      </c>
      <c r="F90" s="1">
        <f>IF(B90="", "", "animal corpus")</f>
        <v>0</v>
      </c>
      <c r="G90" s="1">
        <f>IF(B90="", "", "urine")</f>
        <v>0</v>
      </c>
      <c r="H90" s="1">
        <f>IF(B90="", "", "urine")</f>
        <v>0</v>
      </c>
      <c r="I90" s="1">
        <f>IF(B90="", "", "urine metagenome")</f>
        <v>0</v>
      </c>
      <c r="J90" s="1">
        <f>IF(B90="", "", "1346744")</f>
        <v>0</v>
      </c>
    </row>
    <row r="91" spans="1:10">
      <c r="A91">
        <f>IF(COUNTBLANK(B91:J91)&lt;&gt;COLUMNS(B91:J91),90,"")</f>
        <v>0</v>
      </c>
      <c r="C91" s="1">
        <f>IF(B91="", "", "UBERON:genitourinary")</f>
        <v>0</v>
      </c>
      <c r="D91" s="1">
        <f>IF(B91="", "", "UBERON:urine")</f>
        <v>0</v>
      </c>
      <c r="E91" s="1">
        <f>IF(B91="", "", "UBERON:kidney")</f>
        <v>0</v>
      </c>
      <c r="F91" s="1">
        <f>IF(B91="", "", "animal corpus")</f>
        <v>0</v>
      </c>
      <c r="G91" s="1">
        <f>IF(B91="", "", "urine")</f>
        <v>0</v>
      </c>
      <c r="H91" s="1">
        <f>IF(B91="", "", "urine")</f>
        <v>0</v>
      </c>
      <c r="I91" s="1">
        <f>IF(B91="", "", "urine metagenome")</f>
        <v>0</v>
      </c>
      <c r="J91" s="1">
        <f>IF(B91="", "", "1346744")</f>
        <v>0</v>
      </c>
    </row>
    <row r="92" spans="1:10">
      <c r="A92">
        <f>IF(COUNTBLANK(B92:J92)&lt;&gt;COLUMNS(B92:J92),91,"")</f>
        <v>0</v>
      </c>
      <c r="C92" s="1">
        <f>IF(B92="", "", "UBERON:genitourinary")</f>
        <v>0</v>
      </c>
      <c r="D92" s="1">
        <f>IF(B92="", "", "UBERON:urine")</f>
        <v>0</v>
      </c>
      <c r="E92" s="1">
        <f>IF(B92="", "", "UBERON:kidney")</f>
        <v>0</v>
      </c>
      <c r="F92" s="1">
        <f>IF(B92="", "", "animal corpus")</f>
        <v>0</v>
      </c>
      <c r="G92" s="1">
        <f>IF(B92="", "", "urine")</f>
        <v>0</v>
      </c>
      <c r="H92" s="1">
        <f>IF(B92="", "", "urine")</f>
        <v>0</v>
      </c>
      <c r="I92" s="1">
        <f>IF(B92="", "", "urine metagenome")</f>
        <v>0</v>
      </c>
      <c r="J92" s="1">
        <f>IF(B92="", "", "1346744")</f>
        <v>0</v>
      </c>
    </row>
    <row r="93" spans="1:10">
      <c r="A93">
        <f>IF(COUNTBLANK(B93:J93)&lt;&gt;COLUMNS(B93:J93),92,"")</f>
        <v>0</v>
      </c>
      <c r="C93" s="1">
        <f>IF(B93="", "", "UBERON:genitourinary")</f>
        <v>0</v>
      </c>
      <c r="D93" s="1">
        <f>IF(B93="", "", "UBERON:urine")</f>
        <v>0</v>
      </c>
      <c r="E93" s="1">
        <f>IF(B93="", "", "UBERON:kidney")</f>
        <v>0</v>
      </c>
      <c r="F93" s="1">
        <f>IF(B93="", "", "animal corpus")</f>
        <v>0</v>
      </c>
      <c r="G93" s="1">
        <f>IF(B93="", "", "urine")</f>
        <v>0</v>
      </c>
      <c r="H93" s="1">
        <f>IF(B93="", "", "urine")</f>
        <v>0</v>
      </c>
      <c r="I93" s="1">
        <f>IF(B93="", "", "urine metagenome")</f>
        <v>0</v>
      </c>
      <c r="J93" s="1">
        <f>IF(B93="", "", "1346744")</f>
        <v>0</v>
      </c>
    </row>
    <row r="94" spans="1:10">
      <c r="A94">
        <f>IF(COUNTBLANK(B94:J94)&lt;&gt;COLUMNS(B94:J94),93,"")</f>
        <v>0</v>
      </c>
      <c r="C94" s="1">
        <f>IF(B94="", "", "UBERON:genitourinary")</f>
        <v>0</v>
      </c>
      <c r="D94" s="1">
        <f>IF(B94="", "", "UBERON:urine")</f>
        <v>0</v>
      </c>
      <c r="E94" s="1">
        <f>IF(B94="", "", "UBERON:kidney")</f>
        <v>0</v>
      </c>
      <c r="F94" s="1">
        <f>IF(B94="", "", "animal corpus")</f>
        <v>0</v>
      </c>
      <c r="G94" s="1">
        <f>IF(B94="", "", "urine")</f>
        <v>0</v>
      </c>
      <c r="H94" s="1">
        <f>IF(B94="", "", "urine")</f>
        <v>0</v>
      </c>
      <c r="I94" s="1">
        <f>IF(B94="", "", "urine metagenome")</f>
        <v>0</v>
      </c>
      <c r="J94" s="1">
        <f>IF(B94="", "", "1346744")</f>
        <v>0</v>
      </c>
    </row>
    <row r="95" spans="1:10">
      <c r="A95">
        <f>IF(COUNTBLANK(B95:J95)&lt;&gt;COLUMNS(B95:J95),94,"")</f>
        <v>0</v>
      </c>
      <c r="C95" s="1">
        <f>IF(B95="", "", "UBERON:genitourinary")</f>
        <v>0</v>
      </c>
      <c r="D95" s="1">
        <f>IF(B95="", "", "UBERON:urine")</f>
        <v>0</v>
      </c>
      <c r="E95" s="1">
        <f>IF(B95="", "", "UBERON:kidney")</f>
        <v>0</v>
      </c>
      <c r="F95" s="1">
        <f>IF(B95="", "", "animal corpus")</f>
        <v>0</v>
      </c>
      <c r="G95" s="1">
        <f>IF(B95="", "", "urine")</f>
        <v>0</v>
      </c>
      <c r="H95" s="1">
        <f>IF(B95="", "", "urine")</f>
        <v>0</v>
      </c>
      <c r="I95" s="1">
        <f>IF(B95="", "", "urine metagenome")</f>
        <v>0</v>
      </c>
      <c r="J95" s="1">
        <f>IF(B95="", "", "1346744")</f>
        <v>0</v>
      </c>
    </row>
    <row r="96" spans="1:10">
      <c r="A96">
        <f>IF(COUNTBLANK(B96:J96)&lt;&gt;COLUMNS(B96:J96),95,"")</f>
        <v>0</v>
      </c>
      <c r="C96" s="1">
        <f>IF(B96="", "", "UBERON:genitourinary")</f>
        <v>0</v>
      </c>
      <c r="D96" s="1">
        <f>IF(B96="", "", "UBERON:urine")</f>
        <v>0</v>
      </c>
      <c r="E96" s="1">
        <f>IF(B96="", "", "UBERON:kidney")</f>
        <v>0</v>
      </c>
      <c r="F96" s="1">
        <f>IF(B96="", "", "animal corpus")</f>
        <v>0</v>
      </c>
      <c r="G96" s="1">
        <f>IF(B96="", "", "urine")</f>
        <v>0</v>
      </c>
      <c r="H96" s="1">
        <f>IF(B96="", "", "urine")</f>
        <v>0</v>
      </c>
      <c r="I96" s="1">
        <f>IF(B96="", "", "urine metagenome")</f>
        <v>0</v>
      </c>
      <c r="J96" s="1">
        <f>IF(B96="", "", "1346744")</f>
        <v>0</v>
      </c>
    </row>
    <row r="97" spans="1:10">
      <c r="A97">
        <f>IF(COUNTBLANK(B97:J97)&lt;&gt;COLUMNS(B97:J97),96,"")</f>
        <v>0</v>
      </c>
      <c r="C97" s="1">
        <f>IF(B97="", "", "UBERON:genitourinary")</f>
        <v>0</v>
      </c>
      <c r="D97" s="1">
        <f>IF(B97="", "", "UBERON:urine")</f>
        <v>0</v>
      </c>
      <c r="E97" s="1">
        <f>IF(B97="", "", "UBERON:kidney")</f>
        <v>0</v>
      </c>
      <c r="F97" s="1">
        <f>IF(B97="", "", "animal corpus")</f>
        <v>0</v>
      </c>
      <c r="G97" s="1">
        <f>IF(B97="", "", "urine")</f>
        <v>0</v>
      </c>
      <c r="H97" s="1">
        <f>IF(B97="", "", "urine")</f>
        <v>0</v>
      </c>
      <c r="I97" s="1">
        <f>IF(B97="", "", "urine metagenome")</f>
        <v>0</v>
      </c>
      <c r="J97" s="1">
        <f>IF(B97="", "", "1346744")</f>
        <v>0</v>
      </c>
    </row>
    <row r="98" spans="1:10">
      <c r="A98">
        <f>IF(COUNTBLANK(B98:J98)&lt;&gt;COLUMNS(B98:J98),97,"")</f>
        <v>0</v>
      </c>
      <c r="C98" s="1">
        <f>IF(B98="", "", "UBERON:genitourinary")</f>
        <v>0</v>
      </c>
      <c r="D98" s="1">
        <f>IF(B98="", "", "UBERON:urine")</f>
        <v>0</v>
      </c>
      <c r="E98" s="1">
        <f>IF(B98="", "", "UBERON:kidney")</f>
        <v>0</v>
      </c>
      <c r="F98" s="1">
        <f>IF(B98="", "", "animal corpus")</f>
        <v>0</v>
      </c>
      <c r="G98" s="1">
        <f>IF(B98="", "", "urine")</f>
        <v>0</v>
      </c>
      <c r="H98" s="1">
        <f>IF(B98="", "", "urine")</f>
        <v>0</v>
      </c>
      <c r="I98" s="1">
        <f>IF(B98="", "", "urine metagenome")</f>
        <v>0</v>
      </c>
      <c r="J98" s="1">
        <f>IF(B98="", "", "1346744")</f>
        <v>0</v>
      </c>
    </row>
    <row r="99" spans="1:10">
      <c r="A99">
        <f>IF(COUNTBLANK(B99:J99)&lt;&gt;COLUMNS(B99:J99),98,"")</f>
        <v>0</v>
      </c>
      <c r="C99" s="1">
        <f>IF(B99="", "", "UBERON:genitourinary")</f>
        <v>0</v>
      </c>
      <c r="D99" s="1">
        <f>IF(B99="", "", "UBERON:urine")</f>
        <v>0</v>
      </c>
      <c r="E99" s="1">
        <f>IF(B99="", "", "UBERON:kidney")</f>
        <v>0</v>
      </c>
      <c r="F99" s="1">
        <f>IF(B99="", "", "animal corpus")</f>
        <v>0</v>
      </c>
      <c r="G99" s="1">
        <f>IF(B99="", "", "urine")</f>
        <v>0</v>
      </c>
      <c r="H99" s="1">
        <f>IF(B99="", "", "urine")</f>
        <v>0</v>
      </c>
      <c r="I99" s="1">
        <f>IF(B99="", "", "urine metagenome")</f>
        <v>0</v>
      </c>
      <c r="J99" s="1">
        <f>IF(B99="", "", "1346744")</f>
        <v>0</v>
      </c>
    </row>
    <row r="100" spans="1:10">
      <c r="A100">
        <f>IF(COUNTBLANK(B100:J100)&lt;&gt;COLUMNS(B100:J100),99,"")</f>
        <v>0</v>
      </c>
      <c r="C100" s="1">
        <f>IF(B100="", "", "UBERON:genitourinary")</f>
        <v>0</v>
      </c>
      <c r="D100" s="1">
        <f>IF(B100="", "", "UBERON:urine")</f>
        <v>0</v>
      </c>
      <c r="E100" s="1">
        <f>IF(B100="", "", "UBERON:kidney")</f>
        <v>0</v>
      </c>
      <c r="F100" s="1">
        <f>IF(B100="", "", "animal corpus")</f>
        <v>0</v>
      </c>
      <c r="G100" s="1">
        <f>IF(B100="", "", "urine")</f>
        <v>0</v>
      </c>
      <c r="H100" s="1">
        <f>IF(B100="", "", "urine")</f>
        <v>0</v>
      </c>
      <c r="I100" s="1">
        <f>IF(B100="", "", "urine metagenome")</f>
        <v>0</v>
      </c>
      <c r="J100" s="1">
        <f>IF(B100="", "", "1346744")</f>
        <v>0</v>
      </c>
    </row>
    <row r="101" spans="1:10">
      <c r="A101">
        <f>IF(COUNTBLANK(B101:J101)&lt;&gt;COLUMNS(B101:J101),100,"")</f>
        <v>0</v>
      </c>
      <c r="C101" s="1">
        <f>IF(B101="", "", "UBERON:genitourinary")</f>
        <v>0</v>
      </c>
      <c r="D101" s="1">
        <f>IF(B101="", "", "UBERON:urine")</f>
        <v>0</v>
      </c>
      <c r="E101" s="1">
        <f>IF(B101="", "", "UBERON:kidney")</f>
        <v>0</v>
      </c>
      <c r="F101" s="1">
        <f>IF(B101="", "", "animal corpus")</f>
        <v>0</v>
      </c>
      <c r="G101" s="1">
        <f>IF(B101="", "", "urine")</f>
        <v>0</v>
      </c>
      <c r="H101" s="1">
        <f>IF(B101="", "", "urine")</f>
        <v>0</v>
      </c>
      <c r="I101" s="1">
        <f>IF(B101="", "", "urine metagenome")</f>
        <v>0</v>
      </c>
      <c r="J101" s="1">
        <f>IF(B101="", "", "1346744")</f>
        <v>0</v>
      </c>
    </row>
    <row r="102" spans="1:10">
      <c r="A102">
        <f>IF(COUNTBLANK(B102:J102)&lt;&gt;COLUMNS(B102:J102),101,"")</f>
        <v>0</v>
      </c>
      <c r="C102" s="1">
        <f>IF(B102="", "", "UBERON:genitourinary")</f>
        <v>0</v>
      </c>
      <c r="D102" s="1">
        <f>IF(B102="", "", "UBERON:urine")</f>
        <v>0</v>
      </c>
      <c r="E102" s="1">
        <f>IF(B102="", "", "UBERON:kidney")</f>
        <v>0</v>
      </c>
      <c r="F102" s="1">
        <f>IF(B102="", "", "animal corpus")</f>
        <v>0</v>
      </c>
      <c r="G102" s="1">
        <f>IF(B102="", "", "urine")</f>
        <v>0</v>
      </c>
      <c r="H102" s="1">
        <f>IF(B102="", "", "urine")</f>
        <v>0</v>
      </c>
      <c r="I102" s="1">
        <f>IF(B102="", "", "urine metagenome")</f>
        <v>0</v>
      </c>
      <c r="J102" s="1">
        <f>IF(B102="", "", "1346744")</f>
        <v>0</v>
      </c>
    </row>
    <row r="103" spans="1:10">
      <c r="A103">
        <f>IF(COUNTBLANK(B103:J103)&lt;&gt;COLUMNS(B103:J103),102,"")</f>
        <v>0</v>
      </c>
      <c r="C103" s="1">
        <f>IF(B103="", "", "UBERON:genitourinary")</f>
        <v>0</v>
      </c>
      <c r="D103" s="1">
        <f>IF(B103="", "", "UBERON:urine")</f>
        <v>0</v>
      </c>
      <c r="E103" s="1">
        <f>IF(B103="", "", "UBERON:kidney")</f>
        <v>0</v>
      </c>
      <c r="F103" s="1">
        <f>IF(B103="", "", "animal corpus")</f>
        <v>0</v>
      </c>
      <c r="G103" s="1">
        <f>IF(B103="", "", "urine")</f>
        <v>0</v>
      </c>
      <c r="H103" s="1">
        <f>IF(B103="", "", "urine")</f>
        <v>0</v>
      </c>
      <c r="I103" s="1">
        <f>IF(B103="", "", "urine metagenome")</f>
        <v>0</v>
      </c>
      <c r="J103" s="1">
        <f>IF(B103="", "", "1346744")</f>
        <v>0</v>
      </c>
    </row>
    <row r="104" spans="1:10">
      <c r="A104">
        <f>IF(COUNTBLANK(B104:J104)&lt;&gt;COLUMNS(B104:J104),103,"")</f>
        <v>0</v>
      </c>
      <c r="C104" s="1">
        <f>IF(B104="", "", "UBERON:genitourinary")</f>
        <v>0</v>
      </c>
      <c r="D104" s="1">
        <f>IF(B104="", "", "UBERON:urine")</f>
        <v>0</v>
      </c>
      <c r="E104" s="1">
        <f>IF(B104="", "", "UBERON:kidney")</f>
        <v>0</v>
      </c>
      <c r="F104" s="1">
        <f>IF(B104="", "", "animal corpus")</f>
        <v>0</v>
      </c>
      <c r="G104" s="1">
        <f>IF(B104="", "", "urine")</f>
        <v>0</v>
      </c>
      <c r="H104" s="1">
        <f>IF(B104="", "", "urine")</f>
        <v>0</v>
      </c>
      <c r="I104" s="1">
        <f>IF(B104="", "", "urine metagenome")</f>
        <v>0</v>
      </c>
      <c r="J104" s="1">
        <f>IF(B104="", "", "1346744")</f>
        <v>0</v>
      </c>
    </row>
    <row r="105" spans="1:10">
      <c r="A105">
        <f>IF(COUNTBLANK(B105:J105)&lt;&gt;COLUMNS(B105:J105),104,"")</f>
        <v>0</v>
      </c>
      <c r="C105" s="1">
        <f>IF(B105="", "", "UBERON:genitourinary")</f>
        <v>0</v>
      </c>
      <c r="D105" s="1">
        <f>IF(B105="", "", "UBERON:urine")</f>
        <v>0</v>
      </c>
      <c r="E105" s="1">
        <f>IF(B105="", "", "UBERON:kidney")</f>
        <v>0</v>
      </c>
      <c r="F105" s="1">
        <f>IF(B105="", "", "animal corpus")</f>
        <v>0</v>
      </c>
      <c r="G105" s="1">
        <f>IF(B105="", "", "urine")</f>
        <v>0</v>
      </c>
      <c r="H105" s="1">
        <f>IF(B105="", "", "urine")</f>
        <v>0</v>
      </c>
      <c r="I105" s="1">
        <f>IF(B105="", "", "urine metagenome")</f>
        <v>0</v>
      </c>
      <c r="J105" s="1">
        <f>IF(B105="", "", "1346744")</f>
        <v>0</v>
      </c>
    </row>
    <row r="106" spans="1:10">
      <c r="A106">
        <f>IF(COUNTBLANK(B106:J106)&lt;&gt;COLUMNS(B106:J106),105,"")</f>
        <v>0</v>
      </c>
      <c r="C106" s="1">
        <f>IF(B106="", "", "UBERON:genitourinary")</f>
        <v>0</v>
      </c>
      <c r="D106" s="1">
        <f>IF(B106="", "", "UBERON:urine")</f>
        <v>0</v>
      </c>
      <c r="E106" s="1">
        <f>IF(B106="", "", "UBERON:kidney")</f>
        <v>0</v>
      </c>
      <c r="F106" s="1">
        <f>IF(B106="", "", "animal corpus")</f>
        <v>0</v>
      </c>
      <c r="G106" s="1">
        <f>IF(B106="", "", "urine")</f>
        <v>0</v>
      </c>
      <c r="H106" s="1">
        <f>IF(B106="", "", "urine")</f>
        <v>0</v>
      </c>
      <c r="I106" s="1">
        <f>IF(B106="", "", "urine metagenome")</f>
        <v>0</v>
      </c>
      <c r="J106" s="1">
        <f>IF(B106="", "", "1346744")</f>
        <v>0</v>
      </c>
    </row>
    <row r="107" spans="1:10">
      <c r="A107">
        <f>IF(COUNTBLANK(B107:J107)&lt;&gt;COLUMNS(B107:J107),106,"")</f>
        <v>0</v>
      </c>
      <c r="C107" s="1">
        <f>IF(B107="", "", "UBERON:genitourinary")</f>
        <v>0</v>
      </c>
      <c r="D107" s="1">
        <f>IF(B107="", "", "UBERON:urine")</f>
        <v>0</v>
      </c>
      <c r="E107" s="1">
        <f>IF(B107="", "", "UBERON:kidney")</f>
        <v>0</v>
      </c>
      <c r="F107" s="1">
        <f>IF(B107="", "", "animal corpus")</f>
        <v>0</v>
      </c>
      <c r="G107" s="1">
        <f>IF(B107="", "", "urine")</f>
        <v>0</v>
      </c>
      <c r="H107" s="1">
        <f>IF(B107="", "", "urine")</f>
        <v>0</v>
      </c>
      <c r="I107" s="1">
        <f>IF(B107="", "", "urine metagenome")</f>
        <v>0</v>
      </c>
      <c r="J107" s="1">
        <f>IF(B107="", "", "1346744")</f>
        <v>0</v>
      </c>
    </row>
    <row r="108" spans="1:10">
      <c r="A108">
        <f>IF(COUNTBLANK(B108:J108)&lt;&gt;COLUMNS(B108:J108),107,"")</f>
        <v>0</v>
      </c>
      <c r="C108" s="1">
        <f>IF(B108="", "", "UBERON:genitourinary")</f>
        <v>0</v>
      </c>
      <c r="D108" s="1">
        <f>IF(B108="", "", "UBERON:urine")</f>
        <v>0</v>
      </c>
      <c r="E108" s="1">
        <f>IF(B108="", "", "UBERON:kidney")</f>
        <v>0</v>
      </c>
      <c r="F108" s="1">
        <f>IF(B108="", "", "animal corpus")</f>
        <v>0</v>
      </c>
      <c r="G108" s="1">
        <f>IF(B108="", "", "urine")</f>
        <v>0</v>
      </c>
      <c r="H108" s="1">
        <f>IF(B108="", "", "urine")</f>
        <v>0</v>
      </c>
      <c r="I108" s="1">
        <f>IF(B108="", "", "urine metagenome")</f>
        <v>0</v>
      </c>
      <c r="J108" s="1">
        <f>IF(B108="", "", "1346744")</f>
        <v>0</v>
      </c>
    </row>
    <row r="109" spans="1:10">
      <c r="A109">
        <f>IF(COUNTBLANK(B109:J109)&lt;&gt;COLUMNS(B109:J109),108,"")</f>
        <v>0</v>
      </c>
      <c r="C109" s="1">
        <f>IF(B109="", "", "UBERON:genitourinary")</f>
        <v>0</v>
      </c>
      <c r="D109" s="1">
        <f>IF(B109="", "", "UBERON:urine")</f>
        <v>0</v>
      </c>
      <c r="E109" s="1">
        <f>IF(B109="", "", "UBERON:kidney")</f>
        <v>0</v>
      </c>
      <c r="F109" s="1">
        <f>IF(B109="", "", "animal corpus")</f>
        <v>0</v>
      </c>
      <c r="G109" s="1">
        <f>IF(B109="", "", "urine")</f>
        <v>0</v>
      </c>
      <c r="H109" s="1">
        <f>IF(B109="", "", "urine")</f>
        <v>0</v>
      </c>
      <c r="I109" s="1">
        <f>IF(B109="", "", "urine metagenome")</f>
        <v>0</v>
      </c>
      <c r="J109" s="1">
        <f>IF(B109="", "", "1346744")</f>
        <v>0</v>
      </c>
    </row>
    <row r="110" spans="1:10">
      <c r="A110">
        <f>IF(COUNTBLANK(B110:J110)&lt;&gt;COLUMNS(B110:J110),109,"")</f>
        <v>0</v>
      </c>
      <c r="C110" s="1">
        <f>IF(B110="", "", "UBERON:genitourinary")</f>
        <v>0</v>
      </c>
      <c r="D110" s="1">
        <f>IF(B110="", "", "UBERON:urine")</f>
        <v>0</v>
      </c>
      <c r="E110" s="1">
        <f>IF(B110="", "", "UBERON:kidney")</f>
        <v>0</v>
      </c>
      <c r="F110" s="1">
        <f>IF(B110="", "", "animal corpus")</f>
        <v>0</v>
      </c>
      <c r="G110" s="1">
        <f>IF(B110="", "", "urine")</f>
        <v>0</v>
      </c>
      <c r="H110" s="1">
        <f>IF(B110="", "", "urine")</f>
        <v>0</v>
      </c>
      <c r="I110" s="1">
        <f>IF(B110="", "", "urine metagenome")</f>
        <v>0</v>
      </c>
      <c r="J110" s="1">
        <f>IF(B110="", "", "1346744")</f>
        <v>0</v>
      </c>
    </row>
    <row r="111" spans="1:10">
      <c r="A111">
        <f>IF(COUNTBLANK(B111:J111)&lt;&gt;COLUMNS(B111:J111),110,"")</f>
        <v>0</v>
      </c>
      <c r="C111" s="1">
        <f>IF(B111="", "", "UBERON:genitourinary")</f>
        <v>0</v>
      </c>
      <c r="D111" s="1">
        <f>IF(B111="", "", "UBERON:urine")</f>
        <v>0</v>
      </c>
      <c r="E111" s="1">
        <f>IF(B111="", "", "UBERON:kidney")</f>
        <v>0</v>
      </c>
      <c r="F111" s="1">
        <f>IF(B111="", "", "animal corpus")</f>
        <v>0</v>
      </c>
      <c r="G111" s="1">
        <f>IF(B111="", "", "urine")</f>
        <v>0</v>
      </c>
      <c r="H111" s="1">
        <f>IF(B111="", "", "urine")</f>
        <v>0</v>
      </c>
      <c r="I111" s="1">
        <f>IF(B111="", "", "urine metagenome")</f>
        <v>0</v>
      </c>
      <c r="J111" s="1">
        <f>IF(B111="", "", "1346744")</f>
        <v>0</v>
      </c>
    </row>
    <row r="112" spans="1:10">
      <c r="A112">
        <f>IF(COUNTBLANK(B112:J112)&lt;&gt;COLUMNS(B112:J112),111,"")</f>
        <v>0</v>
      </c>
      <c r="C112" s="1">
        <f>IF(B112="", "", "UBERON:genitourinary")</f>
        <v>0</v>
      </c>
      <c r="D112" s="1">
        <f>IF(B112="", "", "UBERON:urine")</f>
        <v>0</v>
      </c>
      <c r="E112" s="1">
        <f>IF(B112="", "", "UBERON:kidney")</f>
        <v>0</v>
      </c>
      <c r="F112" s="1">
        <f>IF(B112="", "", "animal corpus")</f>
        <v>0</v>
      </c>
      <c r="G112" s="1">
        <f>IF(B112="", "", "urine")</f>
        <v>0</v>
      </c>
      <c r="H112" s="1">
        <f>IF(B112="", "", "urine")</f>
        <v>0</v>
      </c>
      <c r="I112" s="1">
        <f>IF(B112="", "", "urine metagenome")</f>
        <v>0</v>
      </c>
      <c r="J112" s="1">
        <f>IF(B112="", "", "1346744")</f>
        <v>0</v>
      </c>
    </row>
    <row r="113" spans="1:10">
      <c r="A113">
        <f>IF(COUNTBLANK(B113:J113)&lt;&gt;COLUMNS(B113:J113),112,"")</f>
        <v>0</v>
      </c>
      <c r="C113" s="1">
        <f>IF(B113="", "", "UBERON:genitourinary")</f>
        <v>0</v>
      </c>
      <c r="D113" s="1">
        <f>IF(B113="", "", "UBERON:urine")</f>
        <v>0</v>
      </c>
      <c r="E113" s="1">
        <f>IF(B113="", "", "UBERON:kidney")</f>
        <v>0</v>
      </c>
      <c r="F113" s="1">
        <f>IF(B113="", "", "animal corpus")</f>
        <v>0</v>
      </c>
      <c r="G113" s="1">
        <f>IF(B113="", "", "urine")</f>
        <v>0</v>
      </c>
      <c r="H113" s="1">
        <f>IF(B113="", "", "urine")</f>
        <v>0</v>
      </c>
      <c r="I113" s="1">
        <f>IF(B113="", "", "urine metagenome")</f>
        <v>0</v>
      </c>
      <c r="J113" s="1">
        <f>IF(B113="", "", "1346744")</f>
        <v>0</v>
      </c>
    </row>
    <row r="114" spans="1:10">
      <c r="A114">
        <f>IF(COUNTBLANK(B114:J114)&lt;&gt;COLUMNS(B114:J114),113,"")</f>
        <v>0</v>
      </c>
      <c r="C114" s="1">
        <f>IF(B114="", "", "UBERON:genitourinary")</f>
        <v>0</v>
      </c>
      <c r="D114" s="1">
        <f>IF(B114="", "", "UBERON:urine")</f>
        <v>0</v>
      </c>
      <c r="E114" s="1">
        <f>IF(B114="", "", "UBERON:kidney")</f>
        <v>0</v>
      </c>
      <c r="F114" s="1">
        <f>IF(B114="", "", "animal corpus")</f>
        <v>0</v>
      </c>
      <c r="G114" s="1">
        <f>IF(B114="", "", "urine")</f>
        <v>0</v>
      </c>
      <c r="H114" s="1">
        <f>IF(B114="", "", "urine")</f>
        <v>0</v>
      </c>
      <c r="I114" s="1">
        <f>IF(B114="", "", "urine metagenome")</f>
        <v>0</v>
      </c>
      <c r="J114" s="1">
        <f>IF(B114="", "", "1346744")</f>
        <v>0</v>
      </c>
    </row>
    <row r="115" spans="1:10">
      <c r="A115">
        <f>IF(COUNTBLANK(B115:J115)&lt;&gt;COLUMNS(B115:J115),114,"")</f>
        <v>0</v>
      </c>
      <c r="C115" s="1">
        <f>IF(B115="", "", "UBERON:genitourinary")</f>
        <v>0</v>
      </c>
      <c r="D115" s="1">
        <f>IF(B115="", "", "UBERON:urine")</f>
        <v>0</v>
      </c>
      <c r="E115" s="1">
        <f>IF(B115="", "", "UBERON:kidney")</f>
        <v>0</v>
      </c>
      <c r="F115" s="1">
        <f>IF(B115="", "", "animal corpus")</f>
        <v>0</v>
      </c>
      <c r="G115" s="1">
        <f>IF(B115="", "", "urine")</f>
        <v>0</v>
      </c>
      <c r="H115" s="1">
        <f>IF(B115="", "", "urine")</f>
        <v>0</v>
      </c>
      <c r="I115" s="1">
        <f>IF(B115="", "", "urine metagenome")</f>
        <v>0</v>
      </c>
      <c r="J115" s="1">
        <f>IF(B115="", "", "1346744")</f>
        <v>0</v>
      </c>
    </row>
    <row r="116" spans="1:10">
      <c r="A116">
        <f>IF(COUNTBLANK(B116:J116)&lt;&gt;COLUMNS(B116:J116),115,"")</f>
        <v>0</v>
      </c>
      <c r="C116" s="1">
        <f>IF(B116="", "", "UBERON:genitourinary")</f>
        <v>0</v>
      </c>
      <c r="D116" s="1">
        <f>IF(B116="", "", "UBERON:urine")</f>
        <v>0</v>
      </c>
      <c r="E116" s="1">
        <f>IF(B116="", "", "UBERON:kidney")</f>
        <v>0</v>
      </c>
      <c r="F116" s="1">
        <f>IF(B116="", "", "animal corpus")</f>
        <v>0</v>
      </c>
      <c r="G116" s="1">
        <f>IF(B116="", "", "urine")</f>
        <v>0</v>
      </c>
      <c r="H116" s="1">
        <f>IF(B116="", "", "urine")</f>
        <v>0</v>
      </c>
      <c r="I116" s="1">
        <f>IF(B116="", "", "urine metagenome")</f>
        <v>0</v>
      </c>
      <c r="J116" s="1">
        <f>IF(B116="", "", "1346744")</f>
        <v>0</v>
      </c>
    </row>
    <row r="117" spans="1:10">
      <c r="A117">
        <f>IF(COUNTBLANK(B117:J117)&lt;&gt;COLUMNS(B117:J117),116,"")</f>
        <v>0</v>
      </c>
      <c r="C117" s="1">
        <f>IF(B117="", "", "UBERON:genitourinary")</f>
        <v>0</v>
      </c>
      <c r="D117" s="1">
        <f>IF(B117="", "", "UBERON:urine")</f>
        <v>0</v>
      </c>
      <c r="E117" s="1">
        <f>IF(B117="", "", "UBERON:kidney")</f>
        <v>0</v>
      </c>
      <c r="F117" s="1">
        <f>IF(B117="", "", "animal corpus")</f>
        <v>0</v>
      </c>
      <c r="G117" s="1">
        <f>IF(B117="", "", "urine")</f>
        <v>0</v>
      </c>
      <c r="H117" s="1">
        <f>IF(B117="", "", "urine")</f>
        <v>0</v>
      </c>
      <c r="I117" s="1">
        <f>IF(B117="", "", "urine metagenome")</f>
        <v>0</v>
      </c>
      <c r="J117" s="1">
        <f>IF(B117="", "", "1346744")</f>
        <v>0</v>
      </c>
    </row>
    <row r="118" spans="1:10">
      <c r="A118">
        <f>IF(COUNTBLANK(B118:J118)&lt;&gt;COLUMNS(B118:J118),117,"")</f>
        <v>0</v>
      </c>
      <c r="C118" s="1">
        <f>IF(B118="", "", "UBERON:genitourinary")</f>
        <v>0</v>
      </c>
      <c r="D118" s="1">
        <f>IF(B118="", "", "UBERON:urine")</f>
        <v>0</v>
      </c>
      <c r="E118" s="1">
        <f>IF(B118="", "", "UBERON:kidney")</f>
        <v>0</v>
      </c>
      <c r="F118" s="1">
        <f>IF(B118="", "", "animal corpus")</f>
        <v>0</v>
      </c>
      <c r="G118" s="1">
        <f>IF(B118="", "", "urine")</f>
        <v>0</v>
      </c>
      <c r="H118" s="1">
        <f>IF(B118="", "", "urine")</f>
        <v>0</v>
      </c>
      <c r="I118" s="1">
        <f>IF(B118="", "", "urine metagenome")</f>
        <v>0</v>
      </c>
      <c r="J118" s="1">
        <f>IF(B118="", "", "1346744")</f>
        <v>0</v>
      </c>
    </row>
    <row r="119" spans="1:10">
      <c r="A119">
        <f>IF(COUNTBLANK(B119:J119)&lt;&gt;COLUMNS(B119:J119),118,"")</f>
        <v>0</v>
      </c>
      <c r="C119" s="1">
        <f>IF(B119="", "", "UBERON:genitourinary")</f>
        <v>0</v>
      </c>
      <c r="D119" s="1">
        <f>IF(B119="", "", "UBERON:urine")</f>
        <v>0</v>
      </c>
      <c r="E119" s="1">
        <f>IF(B119="", "", "UBERON:kidney")</f>
        <v>0</v>
      </c>
      <c r="F119" s="1">
        <f>IF(B119="", "", "animal corpus")</f>
        <v>0</v>
      </c>
      <c r="G119" s="1">
        <f>IF(B119="", "", "urine")</f>
        <v>0</v>
      </c>
      <c r="H119" s="1">
        <f>IF(B119="", "", "urine")</f>
        <v>0</v>
      </c>
      <c r="I119" s="1">
        <f>IF(B119="", "", "urine metagenome")</f>
        <v>0</v>
      </c>
      <c r="J119" s="1">
        <f>IF(B119="", "", "1346744")</f>
        <v>0</v>
      </c>
    </row>
    <row r="120" spans="1:10">
      <c r="A120">
        <f>IF(COUNTBLANK(B120:J120)&lt;&gt;COLUMNS(B120:J120),119,"")</f>
        <v>0</v>
      </c>
      <c r="C120" s="1">
        <f>IF(B120="", "", "UBERON:genitourinary")</f>
        <v>0</v>
      </c>
      <c r="D120" s="1">
        <f>IF(B120="", "", "UBERON:urine")</f>
        <v>0</v>
      </c>
      <c r="E120" s="1">
        <f>IF(B120="", "", "UBERON:kidney")</f>
        <v>0</v>
      </c>
      <c r="F120" s="1">
        <f>IF(B120="", "", "animal corpus")</f>
        <v>0</v>
      </c>
      <c r="G120" s="1">
        <f>IF(B120="", "", "urine")</f>
        <v>0</v>
      </c>
      <c r="H120" s="1">
        <f>IF(B120="", "", "urine")</f>
        <v>0</v>
      </c>
      <c r="I120" s="1">
        <f>IF(B120="", "", "urine metagenome")</f>
        <v>0</v>
      </c>
      <c r="J120" s="1">
        <f>IF(B120="", "", "1346744")</f>
        <v>0</v>
      </c>
    </row>
    <row r="121" spans="1:10">
      <c r="A121">
        <f>IF(COUNTBLANK(B121:J121)&lt;&gt;COLUMNS(B121:J121),120,"")</f>
        <v>0</v>
      </c>
      <c r="C121" s="1">
        <f>IF(B121="", "", "UBERON:genitourinary")</f>
        <v>0</v>
      </c>
      <c r="D121" s="1">
        <f>IF(B121="", "", "UBERON:urine")</f>
        <v>0</v>
      </c>
      <c r="E121" s="1">
        <f>IF(B121="", "", "UBERON:kidney")</f>
        <v>0</v>
      </c>
      <c r="F121" s="1">
        <f>IF(B121="", "", "animal corpus")</f>
        <v>0</v>
      </c>
      <c r="G121" s="1">
        <f>IF(B121="", "", "urine")</f>
        <v>0</v>
      </c>
      <c r="H121" s="1">
        <f>IF(B121="", "", "urine")</f>
        <v>0</v>
      </c>
      <c r="I121" s="1">
        <f>IF(B121="", "", "urine metagenome")</f>
        <v>0</v>
      </c>
      <c r="J121" s="1">
        <f>IF(B121="", "", "1346744")</f>
        <v>0</v>
      </c>
    </row>
    <row r="122" spans="1:10">
      <c r="A122">
        <f>IF(COUNTBLANK(B122:J122)&lt;&gt;COLUMNS(B122:J122),121,"")</f>
        <v>0</v>
      </c>
      <c r="C122" s="1">
        <f>IF(B122="", "", "UBERON:genitourinary")</f>
        <v>0</v>
      </c>
      <c r="D122" s="1">
        <f>IF(B122="", "", "UBERON:urine")</f>
        <v>0</v>
      </c>
      <c r="E122" s="1">
        <f>IF(B122="", "", "UBERON:kidney")</f>
        <v>0</v>
      </c>
      <c r="F122" s="1">
        <f>IF(B122="", "", "animal corpus")</f>
        <v>0</v>
      </c>
      <c r="G122" s="1">
        <f>IF(B122="", "", "urine")</f>
        <v>0</v>
      </c>
      <c r="H122" s="1">
        <f>IF(B122="", "", "urine")</f>
        <v>0</v>
      </c>
      <c r="I122" s="1">
        <f>IF(B122="", "", "urine metagenome")</f>
        <v>0</v>
      </c>
      <c r="J122" s="1">
        <f>IF(B122="", "", "1346744")</f>
        <v>0</v>
      </c>
    </row>
    <row r="123" spans="1:10">
      <c r="A123">
        <f>IF(COUNTBLANK(B123:J123)&lt;&gt;COLUMNS(B123:J123),122,"")</f>
        <v>0</v>
      </c>
      <c r="C123" s="1">
        <f>IF(B123="", "", "UBERON:genitourinary")</f>
        <v>0</v>
      </c>
      <c r="D123" s="1">
        <f>IF(B123="", "", "UBERON:urine")</f>
        <v>0</v>
      </c>
      <c r="E123" s="1">
        <f>IF(B123="", "", "UBERON:kidney")</f>
        <v>0</v>
      </c>
      <c r="F123" s="1">
        <f>IF(B123="", "", "animal corpus")</f>
        <v>0</v>
      </c>
      <c r="G123" s="1">
        <f>IF(B123="", "", "urine")</f>
        <v>0</v>
      </c>
      <c r="H123" s="1">
        <f>IF(B123="", "", "urine")</f>
        <v>0</v>
      </c>
      <c r="I123" s="1">
        <f>IF(B123="", "", "urine metagenome")</f>
        <v>0</v>
      </c>
      <c r="J123" s="1">
        <f>IF(B123="", "", "1346744")</f>
        <v>0</v>
      </c>
    </row>
    <row r="124" spans="1:10">
      <c r="A124">
        <f>IF(COUNTBLANK(B124:J124)&lt;&gt;COLUMNS(B124:J124),123,"")</f>
        <v>0</v>
      </c>
      <c r="C124" s="1">
        <f>IF(B124="", "", "UBERON:genitourinary")</f>
        <v>0</v>
      </c>
      <c r="D124" s="1">
        <f>IF(B124="", "", "UBERON:urine")</f>
        <v>0</v>
      </c>
      <c r="E124" s="1">
        <f>IF(B124="", "", "UBERON:kidney")</f>
        <v>0</v>
      </c>
      <c r="F124" s="1">
        <f>IF(B124="", "", "animal corpus")</f>
        <v>0</v>
      </c>
      <c r="G124" s="1">
        <f>IF(B124="", "", "urine")</f>
        <v>0</v>
      </c>
      <c r="H124" s="1">
        <f>IF(B124="", "", "urine")</f>
        <v>0</v>
      </c>
      <c r="I124" s="1">
        <f>IF(B124="", "", "urine metagenome")</f>
        <v>0</v>
      </c>
      <c r="J124" s="1">
        <f>IF(B124="", "", "1346744")</f>
        <v>0</v>
      </c>
    </row>
    <row r="125" spans="1:10">
      <c r="A125">
        <f>IF(COUNTBLANK(B125:J125)&lt;&gt;COLUMNS(B125:J125),124,"")</f>
        <v>0</v>
      </c>
      <c r="C125" s="1">
        <f>IF(B125="", "", "UBERON:genitourinary")</f>
        <v>0</v>
      </c>
      <c r="D125" s="1">
        <f>IF(B125="", "", "UBERON:urine")</f>
        <v>0</v>
      </c>
      <c r="E125" s="1">
        <f>IF(B125="", "", "UBERON:kidney")</f>
        <v>0</v>
      </c>
      <c r="F125" s="1">
        <f>IF(B125="", "", "animal corpus")</f>
        <v>0</v>
      </c>
      <c r="G125" s="1">
        <f>IF(B125="", "", "urine")</f>
        <v>0</v>
      </c>
      <c r="H125" s="1">
        <f>IF(B125="", "", "urine")</f>
        <v>0</v>
      </c>
      <c r="I125" s="1">
        <f>IF(B125="", "", "urine metagenome")</f>
        <v>0</v>
      </c>
      <c r="J125" s="1">
        <f>IF(B125="", "", "1346744")</f>
        <v>0</v>
      </c>
    </row>
    <row r="126" spans="1:10">
      <c r="A126">
        <f>IF(COUNTBLANK(B126:J126)&lt;&gt;COLUMNS(B126:J126),125,"")</f>
        <v>0</v>
      </c>
      <c r="C126" s="1">
        <f>IF(B126="", "", "UBERON:genitourinary")</f>
        <v>0</v>
      </c>
      <c r="D126" s="1">
        <f>IF(B126="", "", "UBERON:urine")</f>
        <v>0</v>
      </c>
      <c r="E126" s="1">
        <f>IF(B126="", "", "UBERON:kidney")</f>
        <v>0</v>
      </c>
      <c r="F126" s="1">
        <f>IF(B126="", "", "animal corpus")</f>
        <v>0</v>
      </c>
      <c r="G126" s="1">
        <f>IF(B126="", "", "urine")</f>
        <v>0</v>
      </c>
      <c r="H126" s="1">
        <f>IF(B126="", "", "urine")</f>
        <v>0</v>
      </c>
      <c r="I126" s="1">
        <f>IF(B126="", "", "urine metagenome")</f>
        <v>0</v>
      </c>
      <c r="J126" s="1">
        <f>IF(B126="", "", "1346744")</f>
        <v>0</v>
      </c>
    </row>
    <row r="127" spans="1:10">
      <c r="A127">
        <f>IF(COUNTBLANK(B127:J127)&lt;&gt;COLUMNS(B127:J127),126,"")</f>
        <v>0</v>
      </c>
      <c r="C127" s="1">
        <f>IF(B127="", "", "UBERON:genitourinary")</f>
        <v>0</v>
      </c>
      <c r="D127" s="1">
        <f>IF(B127="", "", "UBERON:urine")</f>
        <v>0</v>
      </c>
      <c r="E127" s="1">
        <f>IF(B127="", "", "UBERON:kidney")</f>
        <v>0</v>
      </c>
      <c r="F127" s="1">
        <f>IF(B127="", "", "animal corpus")</f>
        <v>0</v>
      </c>
      <c r="G127" s="1">
        <f>IF(B127="", "", "urine")</f>
        <v>0</v>
      </c>
      <c r="H127" s="1">
        <f>IF(B127="", "", "urine")</f>
        <v>0</v>
      </c>
      <c r="I127" s="1">
        <f>IF(B127="", "", "urine metagenome")</f>
        <v>0</v>
      </c>
      <c r="J127" s="1">
        <f>IF(B127="", "", "1346744")</f>
        <v>0</v>
      </c>
    </row>
    <row r="128" spans="1:10">
      <c r="A128">
        <f>IF(COUNTBLANK(B128:J128)&lt;&gt;COLUMNS(B128:J128),127,"")</f>
        <v>0</v>
      </c>
      <c r="C128" s="1">
        <f>IF(B128="", "", "UBERON:genitourinary")</f>
        <v>0</v>
      </c>
      <c r="D128" s="1">
        <f>IF(B128="", "", "UBERON:urine")</f>
        <v>0</v>
      </c>
      <c r="E128" s="1">
        <f>IF(B128="", "", "UBERON:kidney")</f>
        <v>0</v>
      </c>
      <c r="F128" s="1">
        <f>IF(B128="", "", "animal corpus")</f>
        <v>0</v>
      </c>
      <c r="G128" s="1">
        <f>IF(B128="", "", "urine")</f>
        <v>0</v>
      </c>
      <c r="H128" s="1">
        <f>IF(B128="", "", "urine")</f>
        <v>0</v>
      </c>
      <c r="I128" s="1">
        <f>IF(B128="", "", "urine metagenome")</f>
        <v>0</v>
      </c>
      <c r="J128" s="1">
        <f>IF(B128="", "", "1346744")</f>
        <v>0</v>
      </c>
    </row>
    <row r="129" spans="1:10">
      <c r="A129">
        <f>IF(COUNTBLANK(B129:J129)&lt;&gt;COLUMNS(B129:J129),128,"")</f>
        <v>0</v>
      </c>
      <c r="C129" s="1">
        <f>IF(B129="", "", "UBERON:genitourinary")</f>
        <v>0</v>
      </c>
      <c r="D129" s="1">
        <f>IF(B129="", "", "UBERON:urine")</f>
        <v>0</v>
      </c>
      <c r="E129" s="1">
        <f>IF(B129="", "", "UBERON:kidney")</f>
        <v>0</v>
      </c>
      <c r="F129" s="1">
        <f>IF(B129="", "", "animal corpus")</f>
        <v>0</v>
      </c>
      <c r="G129" s="1">
        <f>IF(B129="", "", "urine")</f>
        <v>0</v>
      </c>
      <c r="H129" s="1">
        <f>IF(B129="", "", "urine")</f>
        <v>0</v>
      </c>
      <c r="I129" s="1">
        <f>IF(B129="", "", "urine metagenome")</f>
        <v>0</v>
      </c>
      <c r="J129" s="1">
        <f>IF(B129="", "", "1346744")</f>
        <v>0</v>
      </c>
    </row>
    <row r="130" spans="1:10">
      <c r="A130">
        <f>IF(COUNTBLANK(B130:J130)&lt;&gt;COLUMNS(B130:J130),129,"")</f>
        <v>0</v>
      </c>
      <c r="C130" s="1">
        <f>IF(B130="", "", "UBERON:genitourinary")</f>
        <v>0</v>
      </c>
      <c r="D130" s="1">
        <f>IF(B130="", "", "UBERON:urine")</f>
        <v>0</v>
      </c>
      <c r="E130" s="1">
        <f>IF(B130="", "", "UBERON:kidney")</f>
        <v>0</v>
      </c>
      <c r="F130" s="1">
        <f>IF(B130="", "", "animal corpus")</f>
        <v>0</v>
      </c>
      <c r="G130" s="1">
        <f>IF(B130="", "", "urine")</f>
        <v>0</v>
      </c>
      <c r="H130" s="1">
        <f>IF(B130="", "", "urine")</f>
        <v>0</v>
      </c>
      <c r="I130" s="1">
        <f>IF(B130="", "", "urine metagenome")</f>
        <v>0</v>
      </c>
      <c r="J130" s="1">
        <f>IF(B130="", "", "1346744")</f>
        <v>0</v>
      </c>
    </row>
    <row r="131" spans="1:10">
      <c r="A131">
        <f>IF(COUNTBLANK(B131:J131)&lt;&gt;COLUMNS(B131:J131),130,"")</f>
        <v>0</v>
      </c>
      <c r="C131" s="1">
        <f>IF(B131="", "", "UBERON:genitourinary")</f>
        <v>0</v>
      </c>
      <c r="D131" s="1">
        <f>IF(B131="", "", "UBERON:urine")</f>
        <v>0</v>
      </c>
      <c r="E131" s="1">
        <f>IF(B131="", "", "UBERON:kidney")</f>
        <v>0</v>
      </c>
      <c r="F131" s="1">
        <f>IF(B131="", "", "animal corpus")</f>
        <v>0</v>
      </c>
      <c r="G131" s="1">
        <f>IF(B131="", "", "urine")</f>
        <v>0</v>
      </c>
      <c r="H131" s="1">
        <f>IF(B131="", "", "urine")</f>
        <v>0</v>
      </c>
      <c r="I131" s="1">
        <f>IF(B131="", "", "urine metagenome")</f>
        <v>0</v>
      </c>
      <c r="J131" s="1">
        <f>IF(B131="", "", "1346744")</f>
        <v>0</v>
      </c>
    </row>
    <row r="132" spans="1:10">
      <c r="A132">
        <f>IF(COUNTBLANK(B132:J132)&lt;&gt;COLUMNS(B132:J132),131,"")</f>
        <v>0</v>
      </c>
      <c r="C132" s="1">
        <f>IF(B132="", "", "UBERON:genitourinary")</f>
        <v>0</v>
      </c>
      <c r="D132" s="1">
        <f>IF(B132="", "", "UBERON:urine")</f>
        <v>0</v>
      </c>
      <c r="E132" s="1">
        <f>IF(B132="", "", "UBERON:kidney")</f>
        <v>0</v>
      </c>
      <c r="F132" s="1">
        <f>IF(B132="", "", "animal corpus")</f>
        <v>0</v>
      </c>
      <c r="G132" s="1">
        <f>IF(B132="", "", "urine")</f>
        <v>0</v>
      </c>
      <c r="H132" s="1">
        <f>IF(B132="", "", "urine")</f>
        <v>0</v>
      </c>
      <c r="I132" s="1">
        <f>IF(B132="", "", "urine metagenome")</f>
        <v>0</v>
      </c>
      <c r="J132" s="1">
        <f>IF(B132="", "", "1346744")</f>
        <v>0</v>
      </c>
    </row>
    <row r="133" spans="1:10">
      <c r="A133">
        <f>IF(COUNTBLANK(B133:J133)&lt;&gt;COLUMNS(B133:J133),132,"")</f>
        <v>0</v>
      </c>
      <c r="C133" s="1">
        <f>IF(B133="", "", "UBERON:genitourinary")</f>
        <v>0</v>
      </c>
      <c r="D133" s="1">
        <f>IF(B133="", "", "UBERON:urine")</f>
        <v>0</v>
      </c>
      <c r="E133" s="1">
        <f>IF(B133="", "", "UBERON:kidney")</f>
        <v>0</v>
      </c>
      <c r="F133" s="1">
        <f>IF(B133="", "", "animal corpus")</f>
        <v>0</v>
      </c>
      <c r="G133" s="1">
        <f>IF(B133="", "", "urine")</f>
        <v>0</v>
      </c>
      <c r="H133" s="1">
        <f>IF(B133="", "", "urine")</f>
        <v>0</v>
      </c>
      <c r="I133" s="1">
        <f>IF(B133="", "", "urine metagenome")</f>
        <v>0</v>
      </c>
      <c r="J133" s="1">
        <f>IF(B133="", "", "1346744")</f>
        <v>0</v>
      </c>
    </row>
    <row r="134" spans="1:10">
      <c r="A134">
        <f>IF(COUNTBLANK(B134:J134)&lt;&gt;COLUMNS(B134:J134),133,"")</f>
        <v>0</v>
      </c>
      <c r="C134" s="1">
        <f>IF(B134="", "", "UBERON:genitourinary")</f>
        <v>0</v>
      </c>
      <c r="D134" s="1">
        <f>IF(B134="", "", "UBERON:urine")</f>
        <v>0</v>
      </c>
      <c r="E134" s="1">
        <f>IF(B134="", "", "UBERON:kidney")</f>
        <v>0</v>
      </c>
      <c r="F134" s="1">
        <f>IF(B134="", "", "animal corpus")</f>
        <v>0</v>
      </c>
      <c r="G134" s="1">
        <f>IF(B134="", "", "urine")</f>
        <v>0</v>
      </c>
      <c r="H134" s="1">
        <f>IF(B134="", "", "urine")</f>
        <v>0</v>
      </c>
      <c r="I134" s="1">
        <f>IF(B134="", "", "urine metagenome")</f>
        <v>0</v>
      </c>
      <c r="J134" s="1">
        <f>IF(B134="", "", "1346744")</f>
        <v>0</v>
      </c>
    </row>
    <row r="135" spans="1:10">
      <c r="A135">
        <f>IF(COUNTBLANK(B135:J135)&lt;&gt;COLUMNS(B135:J135),134,"")</f>
        <v>0</v>
      </c>
      <c r="C135" s="1">
        <f>IF(B135="", "", "UBERON:genitourinary")</f>
        <v>0</v>
      </c>
      <c r="D135" s="1">
        <f>IF(B135="", "", "UBERON:urine")</f>
        <v>0</v>
      </c>
      <c r="E135" s="1">
        <f>IF(B135="", "", "UBERON:kidney")</f>
        <v>0</v>
      </c>
      <c r="F135" s="1">
        <f>IF(B135="", "", "animal corpus")</f>
        <v>0</v>
      </c>
      <c r="G135" s="1">
        <f>IF(B135="", "", "urine")</f>
        <v>0</v>
      </c>
      <c r="H135" s="1">
        <f>IF(B135="", "", "urine")</f>
        <v>0</v>
      </c>
      <c r="I135" s="1">
        <f>IF(B135="", "", "urine metagenome")</f>
        <v>0</v>
      </c>
      <c r="J135" s="1">
        <f>IF(B135="", "", "1346744")</f>
        <v>0</v>
      </c>
    </row>
    <row r="136" spans="1:10">
      <c r="A136">
        <f>IF(COUNTBLANK(B136:J136)&lt;&gt;COLUMNS(B136:J136),135,"")</f>
        <v>0</v>
      </c>
      <c r="C136" s="1">
        <f>IF(B136="", "", "UBERON:genitourinary")</f>
        <v>0</v>
      </c>
      <c r="D136" s="1">
        <f>IF(B136="", "", "UBERON:urine")</f>
        <v>0</v>
      </c>
      <c r="E136" s="1">
        <f>IF(B136="", "", "UBERON:kidney")</f>
        <v>0</v>
      </c>
      <c r="F136" s="1">
        <f>IF(B136="", "", "animal corpus")</f>
        <v>0</v>
      </c>
      <c r="G136" s="1">
        <f>IF(B136="", "", "urine")</f>
        <v>0</v>
      </c>
      <c r="H136" s="1">
        <f>IF(B136="", "", "urine")</f>
        <v>0</v>
      </c>
      <c r="I136" s="1">
        <f>IF(B136="", "", "urine metagenome")</f>
        <v>0</v>
      </c>
      <c r="J136" s="1">
        <f>IF(B136="", "", "1346744")</f>
        <v>0</v>
      </c>
    </row>
    <row r="137" spans="1:10">
      <c r="A137">
        <f>IF(COUNTBLANK(B137:J137)&lt;&gt;COLUMNS(B137:J137),136,"")</f>
        <v>0</v>
      </c>
      <c r="C137" s="1">
        <f>IF(B137="", "", "UBERON:genitourinary")</f>
        <v>0</v>
      </c>
      <c r="D137" s="1">
        <f>IF(B137="", "", "UBERON:urine")</f>
        <v>0</v>
      </c>
      <c r="E137" s="1">
        <f>IF(B137="", "", "UBERON:kidney")</f>
        <v>0</v>
      </c>
      <c r="F137" s="1">
        <f>IF(B137="", "", "animal corpus")</f>
        <v>0</v>
      </c>
      <c r="G137" s="1">
        <f>IF(B137="", "", "urine")</f>
        <v>0</v>
      </c>
      <c r="H137" s="1">
        <f>IF(B137="", "", "urine")</f>
        <v>0</v>
      </c>
      <c r="I137" s="1">
        <f>IF(B137="", "", "urine metagenome")</f>
        <v>0</v>
      </c>
      <c r="J137" s="1">
        <f>IF(B137="", "", "1346744")</f>
        <v>0</v>
      </c>
    </row>
    <row r="138" spans="1:10">
      <c r="A138">
        <f>IF(COUNTBLANK(B138:J138)&lt;&gt;COLUMNS(B138:J138),137,"")</f>
        <v>0</v>
      </c>
      <c r="C138" s="1">
        <f>IF(B138="", "", "UBERON:genitourinary")</f>
        <v>0</v>
      </c>
      <c r="D138" s="1">
        <f>IF(B138="", "", "UBERON:urine")</f>
        <v>0</v>
      </c>
      <c r="E138" s="1">
        <f>IF(B138="", "", "UBERON:kidney")</f>
        <v>0</v>
      </c>
      <c r="F138" s="1">
        <f>IF(B138="", "", "animal corpus")</f>
        <v>0</v>
      </c>
      <c r="G138" s="1">
        <f>IF(B138="", "", "urine")</f>
        <v>0</v>
      </c>
      <c r="H138" s="1">
        <f>IF(B138="", "", "urine")</f>
        <v>0</v>
      </c>
      <c r="I138" s="1">
        <f>IF(B138="", "", "urine metagenome")</f>
        <v>0</v>
      </c>
      <c r="J138" s="1">
        <f>IF(B138="", "", "1346744")</f>
        <v>0</v>
      </c>
    </row>
    <row r="139" spans="1:10">
      <c r="A139">
        <f>IF(COUNTBLANK(B139:J139)&lt;&gt;COLUMNS(B139:J139),138,"")</f>
        <v>0</v>
      </c>
      <c r="C139" s="1">
        <f>IF(B139="", "", "UBERON:genitourinary")</f>
        <v>0</v>
      </c>
      <c r="D139" s="1">
        <f>IF(B139="", "", "UBERON:urine")</f>
        <v>0</v>
      </c>
      <c r="E139" s="1">
        <f>IF(B139="", "", "UBERON:kidney")</f>
        <v>0</v>
      </c>
      <c r="F139" s="1">
        <f>IF(B139="", "", "animal corpus")</f>
        <v>0</v>
      </c>
      <c r="G139" s="1">
        <f>IF(B139="", "", "urine")</f>
        <v>0</v>
      </c>
      <c r="H139" s="1">
        <f>IF(B139="", "", "urine")</f>
        <v>0</v>
      </c>
      <c r="I139" s="1">
        <f>IF(B139="", "", "urine metagenome")</f>
        <v>0</v>
      </c>
      <c r="J139" s="1">
        <f>IF(B139="", "", "1346744")</f>
        <v>0</v>
      </c>
    </row>
    <row r="140" spans="1:10">
      <c r="A140">
        <f>IF(COUNTBLANK(B140:J140)&lt;&gt;COLUMNS(B140:J140),139,"")</f>
        <v>0</v>
      </c>
      <c r="C140" s="1">
        <f>IF(B140="", "", "UBERON:genitourinary")</f>
        <v>0</v>
      </c>
      <c r="D140" s="1">
        <f>IF(B140="", "", "UBERON:urine")</f>
        <v>0</v>
      </c>
      <c r="E140" s="1">
        <f>IF(B140="", "", "UBERON:kidney")</f>
        <v>0</v>
      </c>
      <c r="F140" s="1">
        <f>IF(B140="", "", "animal corpus")</f>
        <v>0</v>
      </c>
      <c r="G140" s="1">
        <f>IF(B140="", "", "urine")</f>
        <v>0</v>
      </c>
      <c r="H140" s="1">
        <f>IF(B140="", "", "urine")</f>
        <v>0</v>
      </c>
      <c r="I140" s="1">
        <f>IF(B140="", "", "urine metagenome")</f>
        <v>0</v>
      </c>
      <c r="J140" s="1">
        <f>IF(B140="", "", "1346744")</f>
        <v>0</v>
      </c>
    </row>
    <row r="141" spans="1:10">
      <c r="A141">
        <f>IF(COUNTBLANK(B141:J141)&lt;&gt;COLUMNS(B141:J141),140,"")</f>
        <v>0</v>
      </c>
      <c r="C141" s="1">
        <f>IF(B141="", "", "UBERON:genitourinary")</f>
        <v>0</v>
      </c>
      <c r="D141" s="1">
        <f>IF(B141="", "", "UBERON:urine")</f>
        <v>0</v>
      </c>
      <c r="E141" s="1">
        <f>IF(B141="", "", "UBERON:kidney")</f>
        <v>0</v>
      </c>
      <c r="F141" s="1">
        <f>IF(B141="", "", "animal corpus")</f>
        <v>0</v>
      </c>
      <c r="G141" s="1">
        <f>IF(B141="", "", "urine")</f>
        <v>0</v>
      </c>
      <c r="H141" s="1">
        <f>IF(B141="", "", "urine")</f>
        <v>0</v>
      </c>
      <c r="I141" s="1">
        <f>IF(B141="", "", "urine metagenome")</f>
        <v>0</v>
      </c>
      <c r="J141" s="1">
        <f>IF(B141="", "", "1346744")</f>
        <v>0</v>
      </c>
    </row>
    <row r="142" spans="1:10">
      <c r="A142">
        <f>IF(COUNTBLANK(B142:J142)&lt;&gt;COLUMNS(B142:J142),141,"")</f>
        <v>0</v>
      </c>
      <c r="C142" s="1">
        <f>IF(B142="", "", "UBERON:genitourinary")</f>
        <v>0</v>
      </c>
      <c r="D142" s="1">
        <f>IF(B142="", "", "UBERON:urine")</f>
        <v>0</v>
      </c>
      <c r="E142" s="1">
        <f>IF(B142="", "", "UBERON:kidney")</f>
        <v>0</v>
      </c>
      <c r="F142" s="1">
        <f>IF(B142="", "", "animal corpus")</f>
        <v>0</v>
      </c>
      <c r="G142" s="1">
        <f>IF(B142="", "", "urine")</f>
        <v>0</v>
      </c>
      <c r="H142" s="1">
        <f>IF(B142="", "", "urine")</f>
        <v>0</v>
      </c>
      <c r="I142" s="1">
        <f>IF(B142="", "", "urine metagenome")</f>
        <v>0</v>
      </c>
      <c r="J142" s="1">
        <f>IF(B142="", "", "1346744")</f>
        <v>0</v>
      </c>
    </row>
    <row r="143" spans="1:10">
      <c r="A143">
        <f>IF(COUNTBLANK(B143:J143)&lt;&gt;COLUMNS(B143:J143),142,"")</f>
        <v>0</v>
      </c>
      <c r="C143" s="1">
        <f>IF(B143="", "", "UBERON:genitourinary")</f>
        <v>0</v>
      </c>
      <c r="D143" s="1">
        <f>IF(B143="", "", "UBERON:urine")</f>
        <v>0</v>
      </c>
      <c r="E143" s="1">
        <f>IF(B143="", "", "UBERON:kidney")</f>
        <v>0</v>
      </c>
      <c r="F143" s="1">
        <f>IF(B143="", "", "animal corpus")</f>
        <v>0</v>
      </c>
      <c r="G143" s="1">
        <f>IF(B143="", "", "urine")</f>
        <v>0</v>
      </c>
      <c r="H143" s="1">
        <f>IF(B143="", "", "urine")</f>
        <v>0</v>
      </c>
      <c r="I143" s="1">
        <f>IF(B143="", "", "urine metagenome")</f>
        <v>0</v>
      </c>
      <c r="J143" s="1">
        <f>IF(B143="", "", "1346744")</f>
        <v>0</v>
      </c>
    </row>
    <row r="144" spans="1:10">
      <c r="A144">
        <f>IF(COUNTBLANK(B144:J144)&lt;&gt;COLUMNS(B144:J144),143,"")</f>
        <v>0</v>
      </c>
      <c r="C144" s="1">
        <f>IF(B144="", "", "UBERON:genitourinary")</f>
        <v>0</v>
      </c>
      <c r="D144" s="1">
        <f>IF(B144="", "", "UBERON:urine")</f>
        <v>0</v>
      </c>
      <c r="E144" s="1">
        <f>IF(B144="", "", "UBERON:kidney")</f>
        <v>0</v>
      </c>
      <c r="F144" s="1">
        <f>IF(B144="", "", "animal corpus")</f>
        <v>0</v>
      </c>
      <c r="G144" s="1">
        <f>IF(B144="", "", "urine")</f>
        <v>0</v>
      </c>
      <c r="H144" s="1">
        <f>IF(B144="", "", "urine")</f>
        <v>0</v>
      </c>
      <c r="I144" s="1">
        <f>IF(B144="", "", "urine metagenome")</f>
        <v>0</v>
      </c>
      <c r="J144" s="1">
        <f>IF(B144="", "", "1346744")</f>
        <v>0</v>
      </c>
    </row>
    <row r="145" spans="1:10">
      <c r="A145">
        <f>IF(COUNTBLANK(B145:J145)&lt;&gt;COLUMNS(B145:J145),144,"")</f>
        <v>0</v>
      </c>
      <c r="C145" s="1">
        <f>IF(B145="", "", "UBERON:genitourinary")</f>
        <v>0</v>
      </c>
      <c r="D145" s="1">
        <f>IF(B145="", "", "UBERON:urine")</f>
        <v>0</v>
      </c>
      <c r="E145" s="1">
        <f>IF(B145="", "", "UBERON:kidney")</f>
        <v>0</v>
      </c>
      <c r="F145" s="1">
        <f>IF(B145="", "", "animal corpus")</f>
        <v>0</v>
      </c>
      <c r="G145" s="1">
        <f>IF(B145="", "", "urine")</f>
        <v>0</v>
      </c>
      <c r="H145" s="1">
        <f>IF(B145="", "", "urine")</f>
        <v>0</v>
      </c>
      <c r="I145" s="1">
        <f>IF(B145="", "", "urine metagenome")</f>
        <v>0</v>
      </c>
      <c r="J145" s="1">
        <f>IF(B145="", "", "1346744")</f>
        <v>0</v>
      </c>
    </row>
    <row r="146" spans="1:10">
      <c r="A146">
        <f>IF(COUNTBLANK(B146:J146)&lt;&gt;COLUMNS(B146:J146),145,"")</f>
        <v>0</v>
      </c>
      <c r="C146" s="1">
        <f>IF(B146="", "", "UBERON:genitourinary")</f>
        <v>0</v>
      </c>
      <c r="D146" s="1">
        <f>IF(B146="", "", "UBERON:urine")</f>
        <v>0</v>
      </c>
      <c r="E146" s="1">
        <f>IF(B146="", "", "UBERON:kidney")</f>
        <v>0</v>
      </c>
      <c r="F146" s="1">
        <f>IF(B146="", "", "animal corpus")</f>
        <v>0</v>
      </c>
      <c r="G146" s="1">
        <f>IF(B146="", "", "urine")</f>
        <v>0</v>
      </c>
      <c r="H146" s="1">
        <f>IF(B146="", "", "urine")</f>
        <v>0</v>
      </c>
      <c r="I146" s="1">
        <f>IF(B146="", "", "urine metagenome")</f>
        <v>0</v>
      </c>
      <c r="J146" s="1">
        <f>IF(B146="", "", "1346744")</f>
        <v>0</v>
      </c>
    </row>
    <row r="147" spans="1:10">
      <c r="A147">
        <f>IF(COUNTBLANK(B147:J147)&lt;&gt;COLUMNS(B147:J147),146,"")</f>
        <v>0</v>
      </c>
      <c r="C147" s="1">
        <f>IF(B147="", "", "UBERON:genitourinary")</f>
        <v>0</v>
      </c>
      <c r="D147" s="1">
        <f>IF(B147="", "", "UBERON:urine")</f>
        <v>0</v>
      </c>
      <c r="E147" s="1">
        <f>IF(B147="", "", "UBERON:kidney")</f>
        <v>0</v>
      </c>
      <c r="F147" s="1">
        <f>IF(B147="", "", "animal corpus")</f>
        <v>0</v>
      </c>
      <c r="G147" s="1">
        <f>IF(B147="", "", "urine")</f>
        <v>0</v>
      </c>
      <c r="H147" s="1">
        <f>IF(B147="", "", "urine")</f>
        <v>0</v>
      </c>
      <c r="I147" s="1">
        <f>IF(B147="", "", "urine metagenome")</f>
        <v>0</v>
      </c>
      <c r="J147" s="1">
        <f>IF(B147="", "", "1346744")</f>
        <v>0</v>
      </c>
    </row>
    <row r="148" spans="1:10">
      <c r="A148">
        <f>IF(COUNTBLANK(B148:J148)&lt;&gt;COLUMNS(B148:J148),147,"")</f>
        <v>0</v>
      </c>
      <c r="C148" s="1">
        <f>IF(B148="", "", "UBERON:genitourinary")</f>
        <v>0</v>
      </c>
      <c r="D148" s="1">
        <f>IF(B148="", "", "UBERON:urine")</f>
        <v>0</v>
      </c>
      <c r="E148" s="1">
        <f>IF(B148="", "", "UBERON:kidney")</f>
        <v>0</v>
      </c>
      <c r="F148" s="1">
        <f>IF(B148="", "", "animal corpus")</f>
        <v>0</v>
      </c>
      <c r="G148" s="1">
        <f>IF(B148="", "", "urine")</f>
        <v>0</v>
      </c>
      <c r="H148" s="1">
        <f>IF(B148="", "", "urine")</f>
        <v>0</v>
      </c>
      <c r="I148" s="1">
        <f>IF(B148="", "", "urine metagenome")</f>
        <v>0</v>
      </c>
      <c r="J148" s="1">
        <f>IF(B148="", "", "1346744")</f>
        <v>0</v>
      </c>
    </row>
    <row r="149" spans="1:10">
      <c r="A149">
        <f>IF(COUNTBLANK(B149:J149)&lt;&gt;COLUMNS(B149:J149),148,"")</f>
        <v>0</v>
      </c>
      <c r="C149" s="1">
        <f>IF(B149="", "", "UBERON:genitourinary")</f>
        <v>0</v>
      </c>
      <c r="D149" s="1">
        <f>IF(B149="", "", "UBERON:urine")</f>
        <v>0</v>
      </c>
      <c r="E149" s="1">
        <f>IF(B149="", "", "UBERON:kidney")</f>
        <v>0</v>
      </c>
      <c r="F149" s="1">
        <f>IF(B149="", "", "animal corpus")</f>
        <v>0</v>
      </c>
      <c r="G149" s="1">
        <f>IF(B149="", "", "urine")</f>
        <v>0</v>
      </c>
      <c r="H149" s="1">
        <f>IF(B149="", "", "urine")</f>
        <v>0</v>
      </c>
      <c r="I149" s="1">
        <f>IF(B149="", "", "urine metagenome")</f>
        <v>0</v>
      </c>
      <c r="J149" s="1">
        <f>IF(B149="", "", "1346744")</f>
        <v>0</v>
      </c>
    </row>
    <row r="150" spans="1:10">
      <c r="A150">
        <f>IF(COUNTBLANK(B150:J150)&lt;&gt;COLUMNS(B150:J150),149,"")</f>
        <v>0</v>
      </c>
      <c r="C150" s="1">
        <f>IF(B150="", "", "UBERON:genitourinary")</f>
        <v>0</v>
      </c>
      <c r="D150" s="1">
        <f>IF(B150="", "", "UBERON:urine")</f>
        <v>0</v>
      </c>
      <c r="E150" s="1">
        <f>IF(B150="", "", "UBERON:kidney")</f>
        <v>0</v>
      </c>
      <c r="F150" s="1">
        <f>IF(B150="", "", "animal corpus")</f>
        <v>0</v>
      </c>
      <c r="G150" s="1">
        <f>IF(B150="", "", "urine")</f>
        <v>0</v>
      </c>
      <c r="H150" s="1">
        <f>IF(B150="", "", "urine")</f>
        <v>0</v>
      </c>
      <c r="I150" s="1">
        <f>IF(B150="", "", "urine metagenome")</f>
        <v>0</v>
      </c>
      <c r="J150" s="1">
        <f>IF(B150="", "", "1346744")</f>
        <v>0</v>
      </c>
    </row>
    <row r="151" spans="1:10">
      <c r="A151">
        <f>IF(COUNTBLANK(B151:J151)&lt;&gt;COLUMNS(B151:J151),150,"")</f>
        <v>0</v>
      </c>
      <c r="C151" s="1">
        <f>IF(B151="", "", "UBERON:genitourinary")</f>
        <v>0</v>
      </c>
      <c r="D151" s="1">
        <f>IF(B151="", "", "UBERON:urine")</f>
        <v>0</v>
      </c>
      <c r="E151" s="1">
        <f>IF(B151="", "", "UBERON:kidney")</f>
        <v>0</v>
      </c>
      <c r="F151" s="1">
        <f>IF(B151="", "", "animal corpus")</f>
        <v>0</v>
      </c>
      <c r="G151" s="1">
        <f>IF(B151="", "", "urine")</f>
        <v>0</v>
      </c>
      <c r="H151" s="1">
        <f>IF(B151="", "", "urine")</f>
        <v>0</v>
      </c>
      <c r="I151" s="1">
        <f>IF(B151="", "", "urine metagenome")</f>
        <v>0</v>
      </c>
      <c r="J151" s="1">
        <f>IF(B151="", "", "1346744")</f>
        <v>0</v>
      </c>
    </row>
    <row r="152" spans="1:10">
      <c r="A152">
        <f>IF(COUNTBLANK(B152:J152)&lt;&gt;COLUMNS(B152:J152),151,"")</f>
        <v>0</v>
      </c>
      <c r="C152" s="1">
        <f>IF(B152="", "", "UBERON:genitourinary")</f>
        <v>0</v>
      </c>
      <c r="D152" s="1">
        <f>IF(B152="", "", "UBERON:urine")</f>
        <v>0</v>
      </c>
      <c r="E152" s="1">
        <f>IF(B152="", "", "UBERON:kidney")</f>
        <v>0</v>
      </c>
      <c r="F152" s="1">
        <f>IF(B152="", "", "animal corpus")</f>
        <v>0</v>
      </c>
      <c r="G152" s="1">
        <f>IF(B152="", "", "urine")</f>
        <v>0</v>
      </c>
      <c r="H152" s="1">
        <f>IF(B152="", "", "urine")</f>
        <v>0</v>
      </c>
      <c r="I152" s="1">
        <f>IF(B152="", "", "urine metagenome")</f>
        <v>0</v>
      </c>
      <c r="J152" s="1">
        <f>IF(B152="", "", "1346744")</f>
        <v>0</v>
      </c>
    </row>
    <row r="153" spans="1:10">
      <c r="A153">
        <f>IF(COUNTBLANK(B153:J153)&lt;&gt;COLUMNS(B153:J153),152,"")</f>
        <v>0</v>
      </c>
      <c r="C153" s="1">
        <f>IF(B153="", "", "UBERON:genitourinary")</f>
        <v>0</v>
      </c>
      <c r="D153" s="1">
        <f>IF(B153="", "", "UBERON:urine")</f>
        <v>0</v>
      </c>
      <c r="E153" s="1">
        <f>IF(B153="", "", "UBERON:kidney")</f>
        <v>0</v>
      </c>
      <c r="F153" s="1">
        <f>IF(B153="", "", "animal corpus")</f>
        <v>0</v>
      </c>
      <c r="G153" s="1">
        <f>IF(B153="", "", "urine")</f>
        <v>0</v>
      </c>
      <c r="H153" s="1">
        <f>IF(B153="", "", "urine")</f>
        <v>0</v>
      </c>
      <c r="I153" s="1">
        <f>IF(B153="", "", "urine metagenome")</f>
        <v>0</v>
      </c>
      <c r="J153" s="1">
        <f>IF(B153="", "", "1346744")</f>
        <v>0</v>
      </c>
    </row>
    <row r="154" spans="1:10">
      <c r="A154">
        <f>IF(COUNTBLANK(B154:J154)&lt;&gt;COLUMNS(B154:J154),153,"")</f>
        <v>0</v>
      </c>
      <c r="C154" s="1">
        <f>IF(B154="", "", "UBERON:genitourinary")</f>
        <v>0</v>
      </c>
      <c r="D154" s="1">
        <f>IF(B154="", "", "UBERON:urine")</f>
        <v>0</v>
      </c>
      <c r="E154" s="1">
        <f>IF(B154="", "", "UBERON:kidney")</f>
        <v>0</v>
      </c>
      <c r="F154" s="1">
        <f>IF(B154="", "", "animal corpus")</f>
        <v>0</v>
      </c>
      <c r="G154" s="1">
        <f>IF(B154="", "", "urine")</f>
        <v>0</v>
      </c>
      <c r="H154" s="1">
        <f>IF(B154="", "", "urine")</f>
        <v>0</v>
      </c>
      <c r="I154" s="1">
        <f>IF(B154="", "", "urine metagenome")</f>
        <v>0</v>
      </c>
      <c r="J154" s="1">
        <f>IF(B154="", "", "1346744")</f>
        <v>0</v>
      </c>
    </row>
    <row r="155" spans="1:10">
      <c r="A155">
        <f>IF(COUNTBLANK(B155:J155)&lt;&gt;COLUMNS(B155:J155),154,"")</f>
        <v>0</v>
      </c>
      <c r="C155" s="1">
        <f>IF(B155="", "", "UBERON:genitourinary")</f>
        <v>0</v>
      </c>
      <c r="D155" s="1">
        <f>IF(B155="", "", "UBERON:urine")</f>
        <v>0</v>
      </c>
      <c r="E155" s="1">
        <f>IF(B155="", "", "UBERON:kidney")</f>
        <v>0</v>
      </c>
      <c r="F155" s="1">
        <f>IF(B155="", "", "animal corpus")</f>
        <v>0</v>
      </c>
      <c r="G155" s="1">
        <f>IF(B155="", "", "urine")</f>
        <v>0</v>
      </c>
      <c r="H155" s="1">
        <f>IF(B155="", "", "urine")</f>
        <v>0</v>
      </c>
      <c r="I155" s="1">
        <f>IF(B155="", "", "urine metagenome")</f>
        <v>0</v>
      </c>
      <c r="J155" s="1">
        <f>IF(B155="", "", "1346744")</f>
        <v>0</v>
      </c>
    </row>
    <row r="156" spans="1:10">
      <c r="A156">
        <f>IF(COUNTBLANK(B156:J156)&lt;&gt;COLUMNS(B156:J156),155,"")</f>
        <v>0</v>
      </c>
      <c r="C156" s="1">
        <f>IF(B156="", "", "UBERON:genitourinary")</f>
        <v>0</v>
      </c>
      <c r="D156" s="1">
        <f>IF(B156="", "", "UBERON:urine")</f>
        <v>0</v>
      </c>
      <c r="E156" s="1">
        <f>IF(B156="", "", "UBERON:kidney")</f>
        <v>0</v>
      </c>
      <c r="F156" s="1">
        <f>IF(B156="", "", "animal corpus")</f>
        <v>0</v>
      </c>
      <c r="G156" s="1">
        <f>IF(B156="", "", "urine")</f>
        <v>0</v>
      </c>
      <c r="H156" s="1">
        <f>IF(B156="", "", "urine")</f>
        <v>0</v>
      </c>
      <c r="I156" s="1">
        <f>IF(B156="", "", "urine metagenome")</f>
        <v>0</v>
      </c>
      <c r="J156" s="1">
        <f>IF(B156="", "", "1346744")</f>
        <v>0</v>
      </c>
    </row>
    <row r="157" spans="1:10">
      <c r="A157">
        <f>IF(COUNTBLANK(B157:J157)&lt;&gt;COLUMNS(B157:J157),156,"")</f>
        <v>0</v>
      </c>
      <c r="C157" s="1">
        <f>IF(B157="", "", "UBERON:genitourinary")</f>
        <v>0</v>
      </c>
      <c r="D157" s="1">
        <f>IF(B157="", "", "UBERON:urine")</f>
        <v>0</v>
      </c>
      <c r="E157" s="1">
        <f>IF(B157="", "", "UBERON:kidney")</f>
        <v>0</v>
      </c>
      <c r="F157" s="1">
        <f>IF(B157="", "", "animal corpus")</f>
        <v>0</v>
      </c>
      <c r="G157" s="1">
        <f>IF(B157="", "", "urine")</f>
        <v>0</v>
      </c>
      <c r="H157" s="1">
        <f>IF(B157="", "", "urine")</f>
        <v>0</v>
      </c>
      <c r="I157" s="1">
        <f>IF(B157="", "", "urine metagenome")</f>
        <v>0</v>
      </c>
      <c r="J157" s="1">
        <f>IF(B157="", "", "1346744")</f>
        <v>0</v>
      </c>
    </row>
    <row r="158" spans="1:10">
      <c r="A158">
        <f>IF(COUNTBLANK(B158:J158)&lt;&gt;COLUMNS(B158:J158),157,"")</f>
        <v>0</v>
      </c>
      <c r="C158" s="1">
        <f>IF(B158="", "", "UBERON:genitourinary")</f>
        <v>0</v>
      </c>
      <c r="D158" s="1">
        <f>IF(B158="", "", "UBERON:urine")</f>
        <v>0</v>
      </c>
      <c r="E158" s="1">
        <f>IF(B158="", "", "UBERON:kidney")</f>
        <v>0</v>
      </c>
      <c r="F158" s="1">
        <f>IF(B158="", "", "animal corpus")</f>
        <v>0</v>
      </c>
      <c r="G158" s="1">
        <f>IF(B158="", "", "urine")</f>
        <v>0</v>
      </c>
      <c r="H158" s="1">
        <f>IF(B158="", "", "urine")</f>
        <v>0</v>
      </c>
      <c r="I158" s="1">
        <f>IF(B158="", "", "urine metagenome")</f>
        <v>0</v>
      </c>
      <c r="J158" s="1">
        <f>IF(B158="", "", "1346744")</f>
        <v>0</v>
      </c>
    </row>
    <row r="159" spans="1:10">
      <c r="A159">
        <f>IF(COUNTBLANK(B159:J159)&lt;&gt;COLUMNS(B159:J159),158,"")</f>
        <v>0</v>
      </c>
      <c r="C159" s="1">
        <f>IF(B159="", "", "UBERON:genitourinary")</f>
        <v>0</v>
      </c>
      <c r="D159" s="1">
        <f>IF(B159="", "", "UBERON:urine")</f>
        <v>0</v>
      </c>
      <c r="E159" s="1">
        <f>IF(B159="", "", "UBERON:kidney")</f>
        <v>0</v>
      </c>
      <c r="F159" s="1">
        <f>IF(B159="", "", "animal corpus")</f>
        <v>0</v>
      </c>
      <c r="G159" s="1">
        <f>IF(B159="", "", "urine")</f>
        <v>0</v>
      </c>
      <c r="H159" s="1">
        <f>IF(B159="", "", "urine")</f>
        <v>0</v>
      </c>
      <c r="I159" s="1">
        <f>IF(B159="", "", "urine metagenome")</f>
        <v>0</v>
      </c>
      <c r="J159" s="1">
        <f>IF(B159="", "", "1346744")</f>
        <v>0</v>
      </c>
    </row>
    <row r="160" spans="1:10">
      <c r="A160">
        <f>IF(COUNTBLANK(B160:J160)&lt;&gt;COLUMNS(B160:J160),159,"")</f>
        <v>0</v>
      </c>
      <c r="C160" s="1">
        <f>IF(B160="", "", "UBERON:genitourinary")</f>
        <v>0</v>
      </c>
      <c r="D160" s="1">
        <f>IF(B160="", "", "UBERON:urine")</f>
        <v>0</v>
      </c>
      <c r="E160" s="1">
        <f>IF(B160="", "", "UBERON:kidney")</f>
        <v>0</v>
      </c>
      <c r="F160" s="1">
        <f>IF(B160="", "", "animal corpus")</f>
        <v>0</v>
      </c>
      <c r="G160" s="1">
        <f>IF(B160="", "", "urine")</f>
        <v>0</v>
      </c>
      <c r="H160" s="1">
        <f>IF(B160="", "", "urine")</f>
        <v>0</v>
      </c>
      <c r="I160" s="1">
        <f>IF(B160="", "", "urine metagenome")</f>
        <v>0</v>
      </c>
      <c r="J160" s="1">
        <f>IF(B160="", "", "1346744")</f>
        <v>0</v>
      </c>
    </row>
    <row r="161" spans="1:10">
      <c r="A161">
        <f>IF(COUNTBLANK(B161:J161)&lt;&gt;COLUMNS(B161:J161),160,"")</f>
        <v>0</v>
      </c>
      <c r="C161" s="1">
        <f>IF(B161="", "", "UBERON:genitourinary")</f>
        <v>0</v>
      </c>
      <c r="D161" s="1">
        <f>IF(B161="", "", "UBERON:urine")</f>
        <v>0</v>
      </c>
      <c r="E161" s="1">
        <f>IF(B161="", "", "UBERON:kidney")</f>
        <v>0</v>
      </c>
      <c r="F161" s="1">
        <f>IF(B161="", "", "animal corpus")</f>
        <v>0</v>
      </c>
      <c r="G161" s="1">
        <f>IF(B161="", "", "urine")</f>
        <v>0</v>
      </c>
      <c r="H161" s="1">
        <f>IF(B161="", "", "urine")</f>
        <v>0</v>
      </c>
      <c r="I161" s="1">
        <f>IF(B161="", "", "urine metagenome")</f>
        <v>0</v>
      </c>
      <c r="J161" s="1">
        <f>IF(B161="", "", "1346744")</f>
        <v>0</v>
      </c>
    </row>
    <row r="162" spans="1:10">
      <c r="A162">
        <f>IF(COUNTBLANK(B162:J162)&lt;&gt;COLUMNS(B162:J162),161,"")</f>
        <v>0</v>
      </c>
      <c r="C162" s="1">
        <f>IF(B162="", "", "UBERON:genitourinary")</f>
        <v>0</v>
      </c>
      <c r="D162" s="1">
        <f>IF(B162="", "", "UBERON:urine")</f>
        <v>0</v>
      </c>
      <c r="E162" s="1">
        <f>IF(B162="", "", "UBERON:kidney")</f>
        <v>0</v>
      </c>
      <c r="F162" s="1">
        <f>IF(B162="", "", "animal corpus")</f>
        <v>0</v>
      </c>
      <c r="G162" s="1">
        <f>IF(B162="", "", "urine")</f>
        <v>0</v>
      </c>
      <c r="H162" s="1">
        <f>IF(B162="", "", "urine")</f>
        <v>0</v>
      </c>
      <c r="I162" s="1">
        <f>IF(B162="", "", "urine metagenome")</f>
        <v>0</v>
      </c>
      <c r="J162" s="1">
        <f>IF(B162="", "", "1346744")</f>
        <v>0</v>
      </c>
    </row>
    <row r="163" spans="1:10">
      <c r="A163">
        <f>IF(COUNTBLANK(B163:J163)&lt;&gt;COLUMNS(B163:J163),162,"")</f>
        <v>0</v>
      </c>
      <c r="C163" s="1">
        <f>IF(B163="", "", "UBERON:genitourinary")</f>
        <v>0</v>
      </c>
      <c r="D163" s="1">
        <f>IF(B163="", "", "UBERON:urine")</f>
        <v>0</v>
      </c>
      <c r="E163" s="1">
        <f>IF(B163="", "", "UBERON:kidney")</f>
        <v>0</v>
      </c>
      <c r="F163" s="1">
        <f>IF(B163="", "", "animal corpus")</f>
        <v>0</v>
      </c>
      <c r="G163" s="1">
        <f>IF(B163="", "", "urine")</f>
        <v>0</v>
      </c>
      <c r="H163" s="1">
        <f>IF(B163="", "", "urine")</f>
        <v>0</v>
      </c>
      <c r="I163" s="1">
        <f>IF(B163="", "", "urine metagenome")</f>
        <v>0</v>
      </c>
      <c r="J163" s="1">
        <f>IF(B163="", "", "1346744")</f>
        <v>0</v>
      </c>
    </row>
    <row r="164" spans="1:10">
      <c r="A164">
        <f>IF(COUNTBLANK(B164:J164)&lt;&gt;COLUMNS(B164:J164),163,"")</f>
        <v>0</v>
      </c>
      <c r="C164" s="1">
        <f>IF(B164="", "", "UBERON:genitourinary")</f>
        <v>0</v>
      </c>
      <c r="D164" s="1">
        <f>IF(B164="", "", "UBERON:urine")</f>
        <v>0</v>
      </c>
      <c r="E164" s="1">
        <f>IF(B164="", "", "UBERON:kidney")</f>
        <v>0</v>
      </c>
      <c r="F164" s="1">
        <f>IF(B164="", "", "animal corpus")</f>
        <v>0</v>
      </c>
      <c r="G164" s="1">
        <f>IF(B164="", "", "urine")</f>
        <v>0</v>
      </c>
      <c r="H164" s="1">
        <f>IF(B164="", "", "urine")</f>
        <v>0</v>
      </c>
      <c r="I164" s="1">
        <f>IF(B164="", "", "urine metagenome")</f>
        <v>0</v>
      </c>
      <c r="J164" s="1">
        <f>IF(B164="", "", "1346744")</f>
        <v>0</v>
      </c>
    </row>
    <row r="165" spans="1:10">
      <c r="A165">
        <f>IF(COUNTBLANK(B165:J165)&lt;&gt;COLUMNS(B165:J165),164,"")</f>
        <v>0</v>
      </c>
      <c r="C165" s="1">
        <f>IF(B165="", "", "UBERON:genitourinary")</f>
        <v>0</v>
      </c>
      <c r="D165" s="1">
        <f>IF(B165="", "", "UBERON:urine")</f>
        <v>0</v>
      </c>
      <c r="E165" s="1">
        <f>IF(B165="", "", "UBERON:kidney")</f>
        <v>0</v>
      </c>
      <c r="F165" s="1">
        <f>IF(B165="", "", "animal corpus")</f>
        <v>0</v>
      </c>
      <c r="G165" s="1">
        <f>IF(B165="", "", "urine")</f>
        <v>0</v>
      </c>
      <c r="H165" s="1">
        <f>IF(B165="", "", "urine")</f>
        <v>0</v>
      </c>
      <c r="I165" s="1">
        <f>IF(B165="", "", "urine metagenome")</f>
        <v>0</v>
      </c>
      <c r="J165" s="1">
        <f>IF(B165="", "", "1346744")</f>
        <v>0</v>
      </c>
    </row>
    <row r="166" spans="1:10">
      <c r="A166">
        <f>IF(COUNTBLANK(B166:J166)&lt;&gt;COLUMNS(B166:J166),165,"")</f>
        <v>0</v>
      </c>
      <c r="C166" s="1">
        <f>IF(B166="", "", "UBERON:genitourinary")</f>
        <v>0</v>
      </c>
      <c r="D166" s="1">
        <f>IF(B166="", "", "UBERON:urine")</f>
        <v>0</v>
      </c>
      <c r="E166" s="1">
        <f>IF(B166="", "", "UBERON:kidney")</f>
        <v>0</v>
      </c>
      <c r="F166" s="1">
        <f>IF(B166="", "", "animal corpus")</f>
        <v>0</v>
      </c>
      <c r="G166" s="1">
        <f>IF(B166="", "", "urine")</f>
        <v>0</v>
      </c>
      <c r="H166" s="1">
        <f>IF(B166="", "", "urine")</f>
        <v>0</v>
      </c>
      <c r="I166" s="1">
        <f>IF(B166="", "", "urine metagenome")</f>
        <v>0</v>
      </c>
      <c r="J166" s="1">
        <f>IF(B166="", "", "1346744")</f>
        <v>0</v>
      </c>
    </row>
    <row r="167" spans="1:10">
      <c r="A167">
        <f>IF(COUNTBLANK(B167:J167)&lt;&gt;COLUMNS(B167:J167),166,"")</f>
        <v>0</v>
      </c>
      <c r="C167" s="1">
        <f>IF(B167="", "", "UBERON:genitourinary")</f>
        <v>0</v>
      </c>
      <c r="D167" s="1">
        <f>IF(B167="", "", "UBERON:urine")</f>
        <v>0</v>
      </c>
      <c r="E167" s="1">
        <f>IF(B167="", "", "UBERON:kidney")</f>
        <v>0</v>
      </c>
      <c r="F167" s="1">
        <f>IF(B167="", "", "animal corpus")</f>
        <v>0</v>
      </c>
      <c r="G167" s="1">
        <f>IF(B167="", "", "urine")</f>
        <v>0</v>
      </c>
      <c r="H167" s="1">
        <f>IF(B167="", "", "urine")</f>
        <v>0</v>
      </c>
      <c r="I167" s="1">
        <f>IF(B167="", "", "urine metagenome")</f>
        <v>0</v>
      </c>
      <c r="J167" s="1">
        <f>IF(B167="", "", "1346744")</f>
        <v>0</v>
      </c>
    </row>
    <row r="168" spans="1:10">
      <c r="A168">
        <f>IF(COUNTBLANK(B168:J168)&lt;&gt;COLUMNS(B168:J168),167,"")</f>
        <v>0</v>
      </c>
      <c r="C168" s="1">
        <f>IF(B168="", "", "UBERON:genitourinary")</f>
        <v>0</v>
      </c>
      <c r="D168" s="1">
        <f>IF(B168="", "", "UBERON:urine")</f>
        <v>0</v>
      </c>
      <c r="E168" s="1">
        <f>IF(B168="", "", "UBERON:kidney")</f>
        <v>0</v>
      </c>
      <c r="F168" s="1">
        <f>IF(B168="", "", "animal corpus")</f>
        <v>0</v>
      </c>
      <c r="G168" s="1">
        <f>IF(B168="", "", "urine")</f>
        <v>0</v>
      </c>
      <c r="H168" s="1">
        <f>IF(B168="", "", "urine")</f>
        <v>0</v>
      </c>
      <c r="I168" s="1">
        <f>IF(B168="", "", "urine metagenome")</f>
        <v>0</v>
      </c>
      <c r="J168" s="1">
        <f>IF(B168="", "", "1346744")</f>
        <v>0</v>
      </c>
    </row>
    <row r="169" spans="1:10">
      <c r="A169">
        <f>IF(COUNTBLANK(B169:J169)&lt;&gt;COLUMNS(B169:J169),168,"")</f>
        <v>0</v>
      </c>
      <c r="C169" s="1">
        <f>IF(B169="", "", "UBERON:genitourinary")</f>
        <v>0</v>
      </c>
      <c r="D169" s="1">
        <f>IF(B169="", "", "UBERON:urine")</f>
        <v>0</v>
      </c>
      <c r="E169" s="1">
        <f>IF(B169="", "", "UBERON:kidney")</f>
        <v>0</v>
      </c>
      <c r="F169" s="1">
        <f>IF(B169="", "", "animal corpus")</f>
        <v>0</v>
      </c>
      <c r="G169" s="1">
        <f>IF(B169="", "", "urine")</f>
        <v>0</v>
      </c>
      <c r="H169" s="1">
        <f>IF(B169="", "", "urine")</f>
        <v>0</v>
      </c>
      <c r="I169" s="1">
        <f>IF(B169="", "", "urine metagenome")</f>
        <v>0</v>
      </c>
      <c r="J169" s="1">
        <f>IF(B169="", "", "1346744")</f>
        <v>0</v>
      </c>
    </row>
    <row r="170" spans="1:10">
      <c r="A170">
        <f>IF(COUNTBLANK(B170:J170)&lt;&gt;COLUMNS(B170:J170),169,"")</f>
        <v>0</v>
      </c>
      <c r="C170" s="1">
        <f>IF(B170="", "", "UBERON:genitourinary")</f>
        <v>0</v>
      </c>
      <c r="D170" s="1">
        <f>IF(B170="", "", "UBERON:urine")</f>
        <v>0</v>
      </c>
      <c r="E170" s="1">
        <f>IF(B170="", "", "UBERON:kidney")</f>
        <v>0</v>
      </c>
      <c r="F170" s="1">
        <f>IF(B170="", "", "animal corpus")</f>
        <v>0</v>
      </c>
      <c r="G170" s="1">
        <f>IF(B170="", "", "urine")</f>
        <v>0</v>
      </c>
      <c r="H170" s="1">
        <f>IF(B170="", "", "urine")</f>
        <v>0</v>
      </c>
      <c r="I170" s="1">
        <f>IF(B170="", "", "urine metagenome")</f>
        <v>0</v>
      </c>
      <c r="J170" s="1">
        <f>IF(B170="", "", "1346744")</f>
        <v>0</v>
      </c>
    </row>
    <row r="171" spans="1:10">
      <c r="A171">
        <f>IF(COUNTBLANK(B171:J171)&lt;&gt;COLUMNS(B171:J171),170,"")</f>
        <v>0</v>
      </c>
      <c r="C171" s="1">
        <f>IF(B171="", "", "UBERON:genitourinary")</f>
        <v>0</v>
      </c>
      <c r="D171" s="1">
        <f>IF(B171="", "", "UBERON:urine")</f>
        <v>0</v>
      </c>
      <c r="E171" s="1">
        <f>IF(B171="", "", "UBERON:kidney")</f>
        <v>0</v>
      </c>
      <c r="F171" s="1">
        <f>IF(B171="", "", "animal corpus")</f>
        <v>0</v>
      </c>
      <c r="G171" s="1">
        <f>IF(B171="", "", "urine")</f>
        <v>0</v>
      </c>
      <c r="H171" s="1">
        <f>IF(B171="", "", "urine")</f>
        <v>0</v>
      </c>
      <c r="I171" s="1">
        <f>IF(B171="", "", "urine metagenome")</f>
        <v>0</v>
      </c>
      <c r="J171" s="1">
        <f>IF(B171="", "", "1346744")</f>
        <v>0</v>
      </c>
    </row>
    <row r="172" spans="1:10">
      <c r="A172">
        <f>IF(COUNTBLANK(B172:J172)&lt;&gt;COLUMNS(B172:J172),171,"")</f>
        <v>0</v>
      </c>
      <c r="C172" s="1">
        <f>IF(B172="", "", "UBERON:genitourinary")</f>
        <v>0</v>
      </c>
      <c r="D172" s="1">
        <f>IF(B172="", "", "UBERON:urine")</f>
        <v>0</v>
      </c>
      <c r="E172" s="1">
        <f>IF(B172="", "", "UBERON:kidney")</f>
        <v>0</v>
      </c>
      <c r="F172" s="1">
        <f>IF(B172="", "", "animal corpus")</f>
        <v>0</v>
      </c>
      <c r="G172" s="1">
        <f>IF(B172="", "", "urine")</f>
        <v>0</v>
      </c>
      <c r="H172" s="1">
        <f>IF(B172="", "", "urine")</f>
        <v>0</v>
      </c>
      <c r="I172" s="1">
        <f>IF(B172="", "", "urine metagenome")</f>
        <v>0</v>
      </c>
      <c r="J172" s="1">
        <f>IF(B172="", "", "1346744")</f>
        <v>0</v>
      </c>
    </row>
    <row r="173" spans="1:10">
      <c r="A173">
        <f>IF(COUNTBLANK(B173:J173)&lt;&gt;COLUMNS(B173:J173),172,"")</f>
        <v>0</v>
      </c>
      <c r="C173" s="1">
        <f>IF(B173="", "", "UBERON:genitourinary")</f>
        <v>0</v>
      </c>
      <c r="D173" s="1">
        <f>IF(B173="", "", "UBERON:urine")</f>
        <v>0</v>
      </c>
      <c r="E173" s="1">
        <f>IF(B173="", "", "UBERON:kidney")</f>
        <v>0</v>
      </c>
      <c r="F173" s="1">
        <f>IF(B173="", "", "animal corpus")</f>
        <v>0</v>
      </c>
      <c r="G173" s="1">
        <f>IF(B173="", "", "urine")</f>
        <v>0</v>
      </c>
      <c r="H173" s="1">
        <f>IF(B173="", "", "urine")</f>
        <v>0</v>
      </c>
      <c r="I173" s="1">
        <f>IF(B173="", "", "urine metagenome")</f>
        <v>0</v>
      </c>
      <c r="J173" s="1">
        <f>IF(B173="", "", "1346744")</f>
        <v>0</v>
      </c>
    </row>
    <row r="174" spans="1:10">
      <c r="A174">
        <f>IF(COUNTBLANK(B174:J174)&lt;&gt;COLUMNS(B174:J174),173,"")</f>
        <v>0</v>
      </c>
      <c r="C174" s="1">
        <f>IF(B174="", "", "UBERON:genitourinary")</f>
        <v>0</v>
      </c>
      <c r="D174" s="1">
        <f>IF(B174="", "", "UBERON:urine")</f>
        <v>0</v>
      </c>
      <c r="E174" s="1">
        <f>IF(B174="", "", "UBERON:kidney")</f>
        <v>0</v>
      </c>
      <c r="F174" s="1">
        <f>IF(B174="", "", "animal corpus")</f>
        <v>0</v>
      </c>
      <c r="G174" s="1">
        <f>IF(B174="", "", "urine")</f>
        <v>0</v>
      </c>
      <c r="H174" s="1">
        <f>IF(B174="", "", "urine")</f>
        <v>0</v>
      </c>
      <c r="I174" s="1">
        <f>IF(B174="", "", "urine metagenome")</f>
        <v>0</v>
      </c>
      <c r="J174" s="1">
        <f>IF(B174="", "", "1346744")</f>
        <v>0</v>
      </c>
    </row>
    <row r="175" spans="1:10">
      <c r="A175">
        <f>IF(COUNTBLANK(B175:J175)&lt;&gt;COLUMNS(B175:J175),174,"")</f>
        <v>0</v>
      </c>
      <c r="C175" s="1">
        <f>IF(B175="", "", "UBERON:genitourinary")</f>
        <v>0</v>
      </c>
      <c r="D175" s="1">
        <f>IF(B175="", "", "UBERON:urine")</f>
        <v>0</v>
      </c>
      <c r="E175" s="1">
        <f>IF(B175="", "", "UBERON:kidney")</f>
        <v>0</v>
      </c>
      <c r="F175" s="1">
        <f>IF(B175="", "", "animal corpus")</f>
        <v>0</v>
      </c>
      <c r="G175" s="1">
        <f>IF(B175="", "", "urine")</f>
        <v>0</v>
      </c>
      <c r="H175" s="1">
        <f>IF(B175="", "", "urine")</f>
        <v>0</v>
      </c>
      <c r="I175" s="1">
        <f>IF(B175="", "", "urine metagenome")</f>
        <v>0</v>
      </c>
      <c r="J175" s="1">
        <f>IF(B175="", "", "1346744")</f>
        <v>0</v>
      </c>
    </row>
    <row r="176" spans="1:10">
      <c r="A176">
        <f>IF(COUNTBLANK(B176:J176)&lt;&gt;COLUMNS(B176:J176),175,"")</f>
        <v>0</v>
      </c>
      <c r="C176" s="1">
        <f>IF(B176="", "", "UBERON:genitourinary")</f>
        <v>0</v>
      </c>
      <c r="D176" s="1">
        <f>IF(B176="", "", "UBERON:urine")</f>
        <v>0</v>
      </c>
      <c r="E176" s="1">
        <f>IF(B176="", "", "UBERON:kidney")</f>
        <v>0</v>
      </c>
      <c r="F176" s="1">
        <f>IF(B176="", "", "animal corpus")</f>
        <v>0</v>
      </c>
      <c r="G176" s="1">
        <f>IF(B176="", "", "urine")</f>
        <v>0</v>
      </c>
      <c r="H176" s="1">
        <f>IF(B176="", "", "urine")</f>
        <v>0</v>
      </c>
      <c r="I176" s="1">
        <f>IF(B176="", "", "urine metagenome")</f>
        <v>0</v>
      </c>
      <c r="J176" s="1">
        <f>IF(B176="", "", "1346744")</f>
        <v>0</v>
      </c>
    </row>
    <row r="177" spans="1:10">
      <c r="A177">
        <f>IF(COUNTBLANK(B177:J177)&lt;&gt;COLUMNS(B177:J177),176,"")</f>
        <v>0</v>
      </c>
      <c r="C177" s="1">
        <f>IF(B177="", "", "UBERON:genitourinary")</f>
        <v>0</v>
      </c>
      <c r="D177" s="1">
        <f>IF(B177="", "", "UBERON:urine")</f>
        <v>0</v>
      </c>
      <c r="E177" s="1">
        <f>IF(B177="", "", "UBERON:kidney")</f>
        <v>0</v>
      </c>
      <c r="F177" s="1">
        <f>IF(B177="", "", "animal corpus")</f>
        <v>0</v>
      </c>
      <c r="G177" s="1">
        <f>IF(B177="", "", "urine")</f>
        <v>0</v>
      </c>
      <c r="H177" s="1">
        <f>IF(B177="", "", "urine")</f>
        <v>0</v>
      </c>
      <c r="I177" s="1">
        <f>IF(B177="", "", "urine metagenome")</f>
        <v>0</v>
      </c>
      <c r="J177" s="1">
        <f>IF(B177="", "", "1346744")</f>
        <v>0</v>
      </c>
    </row>
    <row r="178" spans="1:10">
      <c r="A178">
        <f>IF(COUNTBLANK(B178:J178)&lt;&gt;COLUMNS(B178:J178),177,"")</f>
        <v>0</v>
      </c>
      <c r="C178" s="1">
        <f>IF(B178="", "", "UBERON:genitourinary")</f>
        <v>0</v>
      </c>
      <c r="D178" s="1">
        <f>IF(B178="", "", "UBERON:urine")</f>
        <v>0</v>
      </c>
      <c r="E178" s="1">
        <f>IF(B178="", "", "UBERON:kidney")</f>
        <v>0</v>
      </c>
      <c r="F178" s="1">
        <f>IF(B178="", "", "animal corpus")</f>
        <v>0</v>
      </c>
      <c r="G178" s="1">
        <f>IF(B178="", "", "urine")</f>
        <v>0</v>
      </c>
      <c r="H178" s="1">
        <f>IF(B178="", "", "urine")</f>
        <v>0</v>
      </c>
      <c r="I178" s="1">
        <f>IF(B178="", "", "urine metagenome")</f>
        <v>0</v>
      </c>
      <c r="J178" s="1">
        <f>IF(B178="", "", "1346744")</f>
        <v>0</v>
      </c>
    </row>
    <row r="179" spans="1:10">
      <c r="A179">
        <f>IF(COUNTBLANK(B179:J179)&lt;&gt;COLUMNS(B179:J179),178,"")</f>
        <v>0</v>
      </c>
      <c r="C179" s="1">
        <f>IF(B179="", "", "UBERON:genitourinary")</f>
        <v>0</v>
      </c>
      <c r="D179" s="1">
        <f>IF(B179="", "", "UBERON:urine")</f>
        <v>0</v>
      </c>
      <c r="E179" s="1">
        <f>IF(B179="", "", "UBERON:kidney")</f>
        <v>0</v>
      </c>
      <c r="F179" s="1">
        <f>IF(B179="", "", "animal corpus")</f>
        <v>0</v>
      </c>
      <c r="G179" s="1">
        <f>IF(B179="", "", "urine")</f>
        <v>0</v>
      </c>
      <c r="H179" s="1">
        <f>IF(B179="", "", "urine")</f>
        <v>0</v>
      </c>
      <c r="I179" s="1">
        <f>IF(B179="", "", "urine metagenome")</f>
        <v>0</v>
      </c>
      <c r="J179" s="1">
        <f>IF(B179="", "", "1346744")</f>
        <v>0</v>
      </c>
    </row>
    <row r="180" spans="1:10">
      <c r="A180">
        <f>IF(COUNTBLANK(B180:J180)&lt;&gt;COLUMNS(B180:J180),179,"")</f>
        <v>0</v>
      </c>
      <c r="C180" s="1">
        <f>IF(B180="", "", "UBERON:genitourinary")</f>
        <v>0</v>
      </c>
      <c r="D180" s="1">
        <f>IF(B180="", "", "UBERON:urine")</f>
        <v>0</v>
      </c>
      <c r="E180" s="1">
        <f>IF(B180="", "", "UBERON:kidney")</f>
        <v>0</v>
      </c>
      <c r="F180" s="1">
        <f>IF(B180="", "", "animal corpus")</f>
        <v>0</v>
      </c>
      <c r="G180" s="1">
        <f>IF(B180="", "", "urine")</f>
        <v>0</v>
      </c>
      <c r="H180" s="1">
        <f>IF(B180="", "", "urine")</f>
        <v>0</v>
      </c>
      <c r="I180" s="1">
        <f>IF(B180="", "", "urine metagenome")</f>
        <v>0</v>
      </c>
      <c r="J180" s="1">
        <f>IF(B180="", "", "1346744")</f>
        <v>0</v>
      </c>
    </row>
    <row r="181" spans="1:10">
      <c r="A181">
        <f>IF(COUNTBLANK(B181:J181)&lt;&gt;COLUMNS(B181:J181),180,"")</f>
        <v>0</v>
      </c>
      <c r="C181" s="1">
        <f>IF(B181="", "", "UBERON:genitourinary")</f>
        <v>0</v>
      </c>
      <c r="D181" s="1">
        <f>IF(B181="", "", "UBERON:urine")</f>
        <v>0</v>
      </c>
      <c r="E181" s="1">
        <f>IF(B181="", "", "UBERON:kidney")</f>
        <v>0</v>
      </c>
      <c r="F181" s="1">
        <f>IF(B181="", "", "animal corpus")</f>
        <v>0</v>
      </c>
      <c r="G181" s="1">
        <f>IF(B181="", "", "urine")</f>
        <v>0</v>
      </c>
      <c r="H181" s="1">
        <f>IF(B181="", "", "urine")</f>
        <v>0</v>
      </c>
      <c r="I181" s="1">
        <f>IF(B181="", "", "urine metagenome")</f>
        <v>0</v>
      </c>
      <c r="J181" s="1">
        <f>IF(B181="", "", "1346744")</f>
        <v>0</v>
      </c>
    </row>
    <row r="182" spans="1:10">
      <c r="A182">
        <f>IF(COUNTBLANK(B182:J182)&lt;&gt;COLUMNS(B182:J182),181,"")</f>
        <v>0</v>
      </c>
      <c r="C182" s="1">
        <f>IF(B182="", "", "UBERON:genitourinary")</f>
        <v>0</v>
      </c>
      <c r="D182" s="1">
        <f>IF(B182="", "", "UBERON:urine")</f>
        <v>0</v>
      </c>
      <c r="E182" s="1">
        <f>IF(B182="", "", "UBERON:kidney")</f>
        <v>0</v>
      </c>
      <c r="F182" s="1">
        <f>IF(B182="", "", "animal corpus")</f>
        <v>0</v>
      </c>
      <c r="G182" s="1">
        <f>IF(B182="", "", "urine")</f>
        <v>0</v>
      </c>
      <c r="H182" s="1">
        <f>IF(B182="", "", "urine")</f>
        <v>0</v>
      </c>
      <c r="I182" s="1">
        <f>IF(B182="", "", "urine metagenome")</f>
        <v>0</v>
      </c>
      <c r="J182" s="1">
        <f>IF(B182="", "", "1346744")</f>
        <v>0</v>
      </c>
    </row>
    <row r="183" spans="1:10">
      <c r="A183">
        <f>IF(COUNTBLANK(B183:J183)&lt;&gt;COLUMNS(B183:J183),182,"")</f>
        <v>0</v>
      </c>
      <c r="C183" s="1">
        <f>IF(B183="", "", "UBERON:genitourinary")</f>
        <v>0</v>
      </c>
      <c r="D183" s="1">
        <f>IF(B183="", "", "UBERON:urine")</f>
        <v>0</v>
      </c>
      <c r="E183" s="1">
        <f>IF(B183="", "", "UBERON:kidney")</f>
        <v>0</v>
      </c>
      <c r="F183" s="1">
        <f>IF(B183="", "", "animal corpus")</f>
        <v>0</v>
      </c>
      <c r="G183" s="1">
        <f>IF(B183="", "", "urine")</f>
        <v>0</v>
      </c>
      <c r="H183" s="1">
        <f>IF(B183="", "", "urine")</f>
        <v>0</v>
      </c>
      <c r="I183" s="1">
        <f>IF(B183="", "", "urine metagenome")</f>
        <v>0</v>
      </c>
      <c r="J183" s="1">
        <f>IF(B183="", "", "1346744")</f>
        <v>0</v>
      </c>
    </row>
    <row r="184" spans="1:10">
      <c r="A184">
        <f>IF(COUNTBLANK(B184:J184)&lt;&gt;COLUMNS(B184:J184),183,"")</f>
        <v>0</v>
      </c>
      <c r="C184" s="1">
        <f>IF(B184="", "", "UBERON:genitourinary")</f>
        <v>0</v>
      </c>
      <c r="D184" s="1">
        <f>IF(B184="", "", "UBERON:urine")</f>
        <v>0</v>
      </c>
      <c r="E184" s="1">
        <f>IF(B184="", "", "UBERON:kidney")</f>
        <v>0</v>
      </c>
      <c r="F184" s="1">
        <f>IF(B184="", "", "animal corpus")</f>
        <v>0</v>
      </c>
      <c r="G184" s="1">
        <f>IF(B184="", "", "urine")</f>
        <v>0</v>
      </c>
      <c r="H184" s="1">
        <f>IF(B184="", "", "urine")</f>
        <v>0</v>
      </c>
      <c r="I184" s="1">
        <f>IF(B184="", "", "urine metagenome")</f>
        <v>0</v>
      </c>
      <c r="J184" s="1">
        <f>IF(B184="", "", "1346744")</f>
        <v>0</v>
      </c>
    </row>
    <row r="185" spans="1:10">
      <c r="A185">
        <f>IF(COUNTBLANK(B185:J185)&lt;&gt;COLUMNS(B185:J185),184,"")</f>
        <v>0</v>
      </c>
      <c r="C185" s="1">
        <f>IF(B185="", "", "UBERON:genitourinary")</f>
        <v>0</v>
      </c>
      <c r="D185" s="1">
        <f>IF(B185="", "", "UBERON:urine")</f>
        <v>0</v>
      </c>
      <c r="E185" s="1">
        <f>IF(B185="", "", "UBERON:kidney")</f>
        <v>0</v>
      </c>
      <c r="F185" s="1">
        <f>IF(B185="", "", "animal corpus")</f>
        <v>0</v>
      </c>
      <c r="G185" s="1">
        <f>IF(B185="", "", "urine")</f>
        <v>0</v>
      </c>
      <c r="H185" s="1">
        <f>IF(B185="", "", "urine")</f>
        <v>0</v>
      </c>
      <c r="I185" s="1">
        <f>IF(B185="", "", "urine metagenome")</f>
        <v>0</v>
      </c>
      <c r="J185" s="1">
        <f>IF(B185="", "", "1346744")</f>
        <v>0</v>
      </c>
    </row>
    <row r="186" spans="1:10">
      <c r="A186">
        <f>IF(COUNTBLANK(B186:J186)&lt;&gt;COLUMNS(B186:J186),185,"")</f>
        <v>0</v>
      </c>
      <c r="C186" s="1">
        <f>IF(B186="", "", "UBERON:genitourinary")</f>
        <v>0</v>
      </c>
      <c r="D186" s="1">
        <f>IF(B186="", "", "UBERON:urine")</f>
        <v>0</v>
      </c>
      <c r="E186" s="1">
        <f>IF(B186="", "", "UBERON:kidney")</f>
        <v>0</v>
      </c>
      <c r="F186" s="1">
        <f>IF(B186="", "", "animal corpus")</f>
        <v>0</v>
      </c>
      <c r="G186" s="1">
        <f>IF(B186="", "", "urine")</f>
        <v>0</v>
      </c>
      <c r="H186" s="1">
        <f>IF(B186="", "", "urine")</f>
        <v>0</v>
      </c>
      <c r="I186" s="1">
        <f>IF(B186="", "", "urine metagenome")</f>
        <v>0</v>
      </c>
      <c r="J186" s="1">
        <f>IF(B186="", "", "1346744")</f>
        <v>0</v>
      </c>
    </row>
    <row r="187" spans="1:10">
      <c r="A187">
        <f>IF(COUNTBLANK(B187:J187)&lt;&gt;COLUMNS(B187:J187),186,"")</f>
        <v>0</v>
      </c>
      <c r="C187" s="1">
        <f>IF(B187="", "", "UBERON:genitourinary")</f>
        <v>0</v>
      </c>
      <c r="D187" s="1">
        <f>IF(B187="", "", "UBERON:urine")</f>
        <v>0</v>
      </c>
      <c r="E187" s="1">
        <f>IF(B187="", "", "UBERON:kidney")</f>
        <v>0</v>
      </c>
      <c r="F187" s="1">
        <f>IF(B187="", "", "animal corpus")</f>
        <v>0</v>
      </c>
      <c r="G187" s="1">
        <f>IF(B187="", "", "urine")</f>
        <v>0</v>
      </c>
      <c r="H187" s="1">
        <f>IF(B187="", "", "urine")</f>
        <v>0</v>
      </c>
      <c r="I187" s="1">
        <f>IF(B187="", "", "urine metagenome")</f>
        <v>0</v>
      </c>
      <c r="J187" s="1">
        <f>IF(B187="", "", "1346744")</f>
        <v>0</v>
      </c>
    </row>
    <row r="188" spans="1:10">
      <c r="A188">
        <f>IF(COUNTBLANK(B188:J188)&lt;&gt;COLUMNS(B188:J188),187,"")</f>
        <v>0</v>
      </c>
      <c r="C188" s="1">
        <f>IF(B188="", "", "UBERON:genitourinary")</f>
        <v>0</v>
      </c>
      <c r="D188" s="1">
        <f>IF(B188="", "", "UBERON:urine")</f>
        <v>0</v>
      </c>
      <c r="E188" s="1">
        <f>IF(B188="", "", "UBERON:kidney")</f>
        <v>0</v>
      </c>
      <c r="F188" s="1">
        <f>IF(B188="", "", "animal corpus")</f>
        <v>0</v>
      </c>
      <c r="G188" s="1">
        <f>IF(B188="", "", "urine")</f>
        <v>0</v>
      </c>
      <c r="H188" s="1">
        <f>IF(B188="", "", "urine")</f>
        <v>0</v>
      </c>
      <c r="I188" s="1">
        <f>IF(B188="", "", "urine metagenome")</f>
        <v>0</v>
      </c>
      <c r="J188" s="1">
        <f>IF(B188="", "", "1346744")</f>
        <v>0</v>
      </c>
    </row>
    <row r="189" spans="1:10">
      <c r="A189">
        <f>IF(COUNTBLANK(B189:J189)&lt;&gt;COLUMNS(B189:J189),188,"")</f>
        <v>0</v>
      </c>
      <c r="C189" s="1">
        <f>IF(B189="", "", "UBERON:genitourinary")</f>
        <v>0</v>
      </c>
      <c r="D189" s="1">
        <f>IF(B189="", "", "UBERON:urine")</f>
        <v>0</v>
      </c>
      <c r="E189" s="1">
        <f>IF(B189="", "", "UBERON:kidney")</f>
        <v>0</v>
      </c>
      <c r="F189" s="1">
        <f>IF(B189="", "", "animal corpus")</f>
        <v>0</v>
      </c>
      <c r="G189" s="1">
        <f>IF(B189="", "", "urine")</f>
        <v>0</v>
      </c>
      <c r="H189" s="1">
        <f>IF(B189="", "", "urine")</f>
        <v>0</v>
      </c>
      <c r="I189" s="1">
        <f>IF(B189="", "", "urine metagenome")</f>
        <v>0</v>
      </c>
      <c r="J189" s="1">
        <f>IF(B189="", "", "1346744")</f>
        <v>0</v>
      </c>
    </row>
    <row r="190" spans="1:10">
      <c r="A190">
        <f>IF(COUNTBLANK(B190:J190)&lt;&gt;COLUMNS(B190:J190),189,"")</f>
        <v>0</v>
      </c>
      <c r="C190" s="1">
        <f>IF(B190="", "", "UBERON:genitourinary")</f>
        <v>0</v>
      </c>
      <c r="D190" s="1">
        <f>IF(B190="", "", "UBERON:urine")</f>
        <v>0</v>
      </c>
      <c r="E190" s="1">
        <f>IF(B190="", "", "UBERON:kidney")</f>
        <v>0</v>
      </c>
      <c r="F190" s="1">
        <f>IF(B190="", "", "animal corpus")</f>
        <v>0</v>
      </c>
      <c r="G190" s="1">
        <f>IF(B190="", "", "urine")</f>
        <v>0</v>
      </c>
      <c r="H190" s="1">
        <f>IF(B190="", "", "urine")</f>
        <v>0</v>
      </c>
      <c r="I190" s="1">
        <f>IF(B190="", "", "urine metagenome")</f>
        <v>0</v>
      </c>
      <c r="J190" s="1">
        <f>IF(B190="", "", "1346744")</f>
        <v>0</v>
      </c>
    </row>
    <row r="191" spans="1:10">
      <c r="A191">
        <f>IF(COUNTBLANK(B191:J191)&lt;&gt;COLUMNS(B191:J191),190,"")</f>
        <v>0</v>
      </c>
      <c r="C191" s="1">
        <f>IF(B191="", "", "UBERON:genitourinary")</f>
        <v>0</v>
      </c>
      <c r="D191" s="1">
        <f>IF(B191="", "", "UBERON:urine")</f>
        <v>0</v>
      </c>
      <c r="E191" s="1">
        <f>IF(B191="", "", "UBERON:kidney")</f>
        <v>0</v>
      </c>
      <c r="F191" s="1">
        <f>IF(B191="", "", "animal corpus")</f>
        <v>0</v>
      </c>
      <c r="G191" s="1">
        <f>IF(B191="", "", "urine")</f>
        <v>0</v>
      </c>
      <c r="H191" s="1">
        <f>IF(B191="", "", "urine")</f>
        <v>0</v>
      </c>
      <c r="I191" s="1">
        <f>IF(B191="", "", "urine metagenome")</f>
        <v>0</v>
      </c>
      <c r="J191" s="1">
        <f>IF(B191="", "", "1346744")</f>
        <v>0</v>
      </c>
    </row>
    <row r="192" spans="1:10">
      <c r="A192">
        <f>IF(COUNTBLANK(B192:J192)&lt;&gt;COLUMNS(B192:J192),191,"")</f>
        <v>0</v>
      </c>
      <c r="C192" s="1">
        <f>IF(B192="", "", "UBERON:genitourinary")</f>
        <v>0</v>
      </c>
      <c r="D192" s="1">
        <f>IF(B192="", "", "UBERON:urine")</f>
        <v>0</v>
      </c>
      <c r="E192" s="1">
        <f>IF(B192="", "", "UBERON:kidney")</f>
        <v>0</v>
      </c>
      <c r="F192" s="1">
        <f>IF(B192="", "", "animal corpus")</f>
        <v>0</v>
      </c>
      <c r="G192" s="1">
        <f>IF(B192="", "", "urine")</f>
        <v>0</v>
      </c>
      <c r="H192" s="1">
        <f>IF(B192="", "", "urine")</f>
        <v>0</v>
      </c>
      <c r="I192" s="1">
        <f>IF(B192="", "", "urine metagenome")</f>
        <v>0</v>
      </c>
      <c r="J192" s="1">
        <f>IF(B192="", "", "1346744")</f>
        <v>0</v>
      </c>
    </row>
    <row r="193" spans="1:10">
      <c r="A193">
        <f>IF(COUNTBLANK(B193:J193)&lt;&gt;COLUMNS(B193:J193),192,"")</f>
        <v>0</v>
      </c>
      <c r="C193" s="1">
        <f>IF(B193="", "", "UBERON:genitourinary")</f>
        <v>0</v>
      </c>
      <c r="D193" s="1">
        <f>IF(B193="", "", "UBERON:urine")</f>
        <v>0</v>
      </c>
      <c r="E193" s="1">
        <f>IF(B193="", "", "UBERON:kidney")</f>
        <v>0</v>
      </c>
      <c r="F193" s="1">
        <f>IF(B193="", "", "animal corpus")</f>
        <v>0</v>
      </c>
      <c r="G193" s="1">
        <f>IF(B193="", "", "urine")</f>
        <v>0</v>
      </c>
      <c r="H193" s="1">
        <f>IF(B193="", "", "urine")</f>
        <v>0</v>
      </c>
      <c r="I193" s="1">
        <f>IF(B193="", "", "urine metagenome")</f>
        <v>0</v>
      </c>
      <c r="J193" s="1">
        <f>IF(B193="", "", "1346744")</f>
        <v>0</v>
      </c>
    </row>
    <row r="194" spans="1:10">
      <c r="A194">
        <f>IF(COUNTBLANK(B194:J194)&lt;&gt;COLUMNS(B194:J194),193,"")</f>
        <v>0</v>
      </c>
      <c r="C194" s="1">
        <f>IF(B194="", "", "UBERON:genitourinary")</f>
        <v>0</v>
      </c>
      <c r="D194" s="1">
        <f>IF(B194="", "", "UBERON:urine")</f>
        <v>0</v>
      </c>
      <c r="E194" s="1">
        <f>IF(B194="", "", "UBERON:kidney")</f>
        <v>0</v>
      </c>
      <c r="F194" s="1">
        <f>IF(B194="", "", "animal corpus")</f>
        <v>0</v>
      </c>
      <c r="G194" s="1">
        <f>IF(B194="", "", "urine")</f>
        <v>0</v>
      </c>
      <c r="H194" s="1">
        <f>IF(B194="", "", "urine")</f>
        <v>0</v>
      </c>
      <c r="I194" s="1">
        <f>IF(B194="", "", "urine metagenome")</f>
        <v>0</v>
      </c>
      <c r="J194" s="1">
        <f>IF(B194="", "", "1346744")</f>
        <v>0</v>
      </c>
    </row>
    <row r="195" spans="1:10">
      <c r="A195">
        <f>IF(COUNTBLANK(B195:J195)&lt;&gt;COLUMNS(B195:J195),194,"")</f>
        <v>0</v>
      </c>
      <c r="C195" s="1">
        <f>IF(B195="", "", "UBERON:genitourinary")</f>
        <v>0</v>
      </c>
      <c r="D195" s="1">
        <f>IF(B195="", "", "UBERON:urine")</f>
        <v>0</v>
      </c>
      <c r="E195" s="1">
        <f>IF(B195="", "", "UBERON:kidney")</f>
        <v>0</v>
      </c>
      <c r="F195" s="1">
        <f>IF(B195="", "", "animal corpus")</f>
        <v>0</v>
      </c>
      <c r="G195" s="1">
        <f>IF(B195="", "", "urine")</f>
        <v>0</v>
      </c>
      <c r="H195" s="1">
        <f>IF(B195="", "", "urine")</f>
        <v>0</v>
      </c>
      <c r="I195" s="1">
        <f>IF(B195="", "", "urine metagenome")</f>
        <v>0</v>
      </c>
      <c r="J195" s="1">
        <f>IF(B195="", "", "1346744")</f>
        <v>0</v>
      </c>
    </row>
    <row r="196" spans="1:10">
      <c r="A196">
        <f>IF(COUNTBLANK(B196:J196)&lt;&gt;COLUMNS(B196:J196),195,"")</f>
        <v>0</v>
      </c>
      <c r="C196" s="1">
        <f>IF(B196="", "", "UBERON:genitourinary")</f>
        <v>0</v>
      </c>
      <c r="D196" s="1">
        <f>IF(B196="", "", "UBERON:urine")</f>
        <v>0</v>
      </c>
      <c r="E196" s="1">
        <f>IF(B196="", "", "UBERON:kidney")</f>
        <v>0</v>
      </c>
      <c r="F196" s="1">
        <f>IF(B196="", "", "animal corpus")</f>
        <v>0</v>
      </c>
      <c r="G196" s="1">
        <f>IF(B196="", "", "urine")</f>
        <v>0</v>
      </c>
      <c r="H196" s="1">
        <f>IF(B196="", "", "urine")</f>
        <v>0</v>
      </c>
      <c r="I196" s="1">
        <f>IF(B196="", "", "urine metagenome")</f>
        <v>0</v>
      </c>
      <c r="J196" s="1">
        <f>IF(B196="", "", "1346744")</f>
        <v>0</v>
      </c>
    </row>
    <row r="197" spans="1:10">
      <c r="A197">
        <f>IF(COUNTBLANK(B197:J197)&lt;&gt;COLUMNS(B197:J197),196,"")</f>
        <v>0</v>
      </c>
      <c r="C197" s="1">
        <f>IF(B197="", "", "UBERON:genitourinary")</f>
        <v>0</v>
      </c>
      <c r="D197" s="1">
        <f>IF(B197="", "", "UBERON:urine")</f>
        <v>0</v>
      </c>
      <c r="E197" s="1">
        <f>IF(B197="", "", "UBERON:kidney")</f>
        <v>0</v>
      </c>
      <c r="F197" s="1">
        <f>IF(B197="", "", "animal corpus")</f>
        <v>0</v>
      </c>
      <c r="G197" s="1">
        <f>IF(B197="", "", "urine")</f>
        <v>0</v>
      </c>
      <c r="H197" s="1">
        <f>IF(B197="", "", "urine")</f>
        <v>0</v>
      </c>
      <c r="I197" s="1">
        <f>IF(B197="", "", "urine metagenome")</f>
        <v>0</v>
      </c>
      <c r="J197" s="1">
        <f>IF(B197="", "", "1346744")</f>
        <v>0</v>
      </c>
    </row>
    <row r="198" spans="1:10">
      <c r="A198">
        <f>IF(COUNTBLANK(B198:J198)&lt;&gt;COLUMNS(B198:J198),197,"")</f>
        <v>0</v>
      </c>
      <c r="C198" s="1">
        <f>IF(B198="", "", "UBERON:genitourinary")</f>
        <v>0</v>
      </c>
      <c r="D198" s="1">
        <f>IF(B198="", "", "UBERON:urine")</f>
        <v>0</v>
      </c>
      <c r="E198" s="1">
        <f>IF(B198="", "", "UBERON:kidney")</f>
        <v>0</v>
      </c>
      <c r="F198" s="1">
        <f>IF(B198="", "", "animal corpus")</f>
        <v>0</v>
      </c>
      <c r="G198" s="1">
        <f>IF(B198="", "", "urine")</f>
        <v>0</v>
      </c>
      <c r="H198" s="1">
        <f>IF(B198="", "", "urine")</f>
        <v>0</v>
      </c>
      <c r="I198" s="1">
        <f>IF(B198="", "", "urine metagenome")</f>
        <v>0</v>
      </c>
      <c r="J198" s="1">
        <f>IF(B198="", "", "1346744")</f>
        <v>0</v>
      </c>
    </row>
    <row r="199" spans="1:10">
      <c r="A199">
        <f>IF(COUNTBLANK(B199:J199)&lt;&gt;COLUMNS(B199:J199),198,"")</f>
        <v>0</v>
      </c>
      <c r="C199" s="1">
        <f>IF(B199="", "", "UBERON:genitourinary")</f>
        <v>0</v>
      </c>
      <c r="D199" s="1">
        <f>IF(B199="", "", "UBERON:urine")</f>
        <v>0</v>
      </c>
      <c r="E199" s="1">
        <f>IF(B199="", "", "UBERON:kidney")</f>
        <v>0</v>
      </c>
      <c r="F199" s="1">
        <f>IF(B199="", "", "animal corpus")</f>
        <v>0</v>
      </c>
      <c r="G199" s="1">
        <f>IF(B199="", "", "urine")</f>
        <v>0</v>
      </c>
      <c r="H199" s="1">
        <f>IF(B199="", "", "urine")</f>
        <v>0</v>
      </c>
      <c r="I199" s="1">
        <f>IF(B199="", "", "urine metagenome")</f>
        <v>0</v>
      </c>
      <c r="J199" s="1">
        <f>IF(B199="", "", "1346744")</f>
        <v>0</v>
      </c>
    </row>
    <row r="200" spans="1:10">
      <c r="A200">
        <f>IF(COUNTBLANK(B200:J200)&lt;&gt;COLUMNS(B200:J200),199,"")</f>
        <v>0</v>
      </c>
      <c r="C200" s="1">
        <f>IF(B200="", "", "UBERON:genitourinary")</f>
        <v>0</v>
      </c>
      <c r="D200" s="1">
        <f>IF(B200="", "", "UBERON:urine")</f>
        <v>0</v>
      </c>
      <c r="E200" s="1">
        <f>IF(B200="", "", "UBERON:kidney")</f>
        <v>0</v>
      </c>
      <c r="F200" s="1">
        <f>IF(B200="", "", "animal corpus")</f>
        <v>0</v>
      </c>
      <c r="G200" s="1">
        <f>IF(B200="", "", "urine")</f>
        <v>0</v>
      </c>
      <c r="H200" s="1">
        <f>IF(B200="", "", "urine")</f>
        <v>0</v>
      </c>
      <c r="I200" s="1">
        <f>IF(B200="", "", "urine metagenome")</f>
        <v>0</v>
      </c>
      <c r="J200" s="1">
        <f>IF(B200="", "", "1346744")</f>
        <v>0</v>
      </c>
    </row>
    <row r="201" spans="1:10">
      <c r="A201">
        <f>IF(COUNTBLANK(B201:J201)&lt;&gt;COLUMNS(B201:J201),200,"")</f>
        <v>0</v>
      </c>
      <c r="C201" s="1">
        <f>IF(B201="", "", "UBERON:genitourinary")</f>
        <v>0</v>
      </c>
      <c r="D201" s="1">
        <f>IF(B201="", "", "UBERON:urine")</f>
        <v>0</v>
      </c>
      <c r="E201" s="1">
        <f>IF(B201="", "", "UBERON:kidney")</f>
        <v>0</v>
      </c>
      <c r="F201" s="1">
        <f>IF(B201="", "", "animal corpus")</f>
        <v>0</v>
      </c>
      <c r="G201" s="1">
        <f>IF(B201="", "", "urine")</f>
        <v>0</v>
      </c>
      <c r="H201" s="1">
        <f>IF(B201="", "", "urine")</f>
        <v>0</v>
      </c>
      <c r="I201" s="1">
        <f>IF(B201="", "", "urine metagenome")</f>
        <v>0</v>
      </c>
      <c r="J201" s="1">
        <f>IF(B201="", "", "1346744")</f>
        <v>0</v>
      </c>
    </row>
    <row r="202" spans="1:10">
      <c r="A202">
        <f>IF(COUNTBLANK(B202:J202)&lt;&gt;COLUMNS(B202:J202),201,"")</f>
        <v>0</v>
      </c>
      <c r="C202" s="1">
        <f>IF(B202="", "", "UBERON:genitourinary")</f>
        <v>0</v>
      </c>
      <c r="D202" s="1">
        <f>IF(B202="", "", "UBERON:urine")</f>
        <v>0</v>
      </c>
      <c r="E202" s="1">
        <f>IF(B202="", "", "UBERON:kidney")</f>
        <v>0</v>
      </c>
      <c r="F202" s="1">
        <f>IF(B202="", "", "animal corpus")</f>
        <v>0</v>
      </c>
      <c r="G202" s="1">
        <f>IF(B202="", "", "urine")</f>
        <v>0</v>
      </c>
      <c r="H202" s="1">
        <f>IF(B202="", "", "urine")</f>
        <v>0</v>
      </c>
      <c r="I202" s="1">
        <f>IF(B202="", "", "urine metagenome")</f>
        <v>0</v>
      </c>
      <c r="J202" s="1">
        <f>IF(B202="", "", "1346744")</f>
        <v>0</v>
      </c>
    </row>
    <row r="203" spans="1:10">
      <c r="A203">
        <f>IF(COUNTBLANK(B203:J203)&lt;&gt;COLUMNS(B203:J203),202,"")</f>
        <v>0</v>
      </c>
      <c r="C203" s="1">
        <f>IF(B203="", "", "UBERON:genitourinary")</f>
        <v>0</v>
      </c>
      <c r="D203" s="1">
        <f>IF(B203="", "", "UBERON:urine")</f>
        <v>0</v>
      </c>
      <c r="E203" s="1">
        <f>IF(B203="", "", "UBERON:kidney")</f>
        <v>0</v>
      </c>
      <c r="F203" s="1">
        <f>IF(B203="", "", "animal corpus")</f>
        <v>0</v>
      </c>
      <c r="G203" s="1">
        <f>IF(B203="", "", "urine")</f>
        <v>0</v>
      </c>
      <c r="H203" s="1">
        <f>IF(B203="", "", "urine")</f>
        <v>0</v>
      </c>
      <c r="I203" s="1">
        <f>IF(B203="", "", "urine metagenome")</f>
        <v>0</v>
      </c>
      <c r="J203" s="1">
        <f>IF(B203="", "", "1346744")</f>
        <v>0</v>
      </c>
    </row>
    <row r="204" spans="1:10">
      <c r="A204">
        <f>IF(COUNTBLANK(B204:J204)&lt;&gt;COLUMNS(B204:J204),203,"")</f>
        <v>0</v>
      </c>
      <c r="C204" s="1">
        <f>IF(B204="", "", "UBERON:genitourinary")</f>
        <v>0</v>
      </c>
      <c r="D204" s="1">
        <f>IF(B204="", "", "UBERON:urine")</f>
        <v>0</v>
      </c>
      <c r="E204" s="1">
        <f>IF(B204="", "", "UBERON:kidney")</f>
        <v>0</v>
      </c>
      <c r="F204" s="1">
        <f>IF(B204="", "", "animal corpus")</f>
        <v>0</v>
      </c>
      <c r="G204" s="1">
        <f>IF(B204="", "", "urine")</f>
        <v>0</v>
      </c>
      <c r="H204" s="1">
        <f>IF(B204="", "", "urine")</f>
        <v>0</v>
      </c>
      <c r="I204" s="1">
        <f>IF(B204="", "", "urine metagenome")</f>
        <v>0</v>
      </c>
      <c r="J204" s="1">
        <f>IF(B204="", "", "1346744")</f>
        <v>0</v>
      </c>
    </row>
    <row r="205" spans="1:10">
      <c r="A205">
        <f>IF(COUNTBLANK(B205:J205)&lt;&gt;COLUMNS(B205:J205),204,"")</f>
        <v>0</v>
      </c>
      <c r="C205" s="1">
        <f>IF(B205="", "", "UBERON:genitourinary")</f>
        <v>0</v>
      </c>
      <c r="D205" s="1">
        <f>IF(B205="", "", "UBERON:urine")</f>
        <v>0</v>
      </c>
      <c r="E205" s="1">
        <f>IF(B205="", "", "UBERON:kidney")</f>
        <v>0</v>
      </c>
      <c r="F205" s="1">
        <f>IF(B205="", "", "animal corpus")</f>
        <v>0</v>
      </c>
      <c r="G205" s="1">
        <f>IF(B205="", "", "urine")</f>
        <v>0</v>
      </c>
      <c r="H205" s="1">
        <f>IF(B205="", "", "urine")</f>
        <v>0</v>
      </c>
      <c r="I205" s="1">
        <f>IF(B205="", "", "urine metagenome")</f>
        <v>0</v>
      </c>
      <c r="J205" s="1">
        <f>IF(B205="", "", "1346744")</f>
        <v>0</v>
      </c>
    </row>
    <row r="206" spans="1:10">
      <c r="A206">
        <f>IF(COUNTBLANK(B206:J206)&lt;&gt;COLUMNS(B206:J206),205,"")</f>
        <v>0</v>
      </c>
      <c r="C206" s="1">
        <f>IF(B206="", "", "UBERON:genitourinary")</f>
        <v>0</v>
      </c>
      <c r="D206" s="1">
        <f>IF(B206="", "", "UBERON:urine")</f>
        <v>0</v>
      </c>
      <c r="E206" s="1">
        <f>IF(B206="", "", "UBERON:kidney")</f>
        <v>0</v>
      </c>
      <c r="F206" s="1">
        <f>IF(B206="", "", "animal corpus")</f>
        <v>0</v>
      </c>
      <c r="G206" s="1">
        <f>IF(B206="", "", "urine")</f>
        <v>0</v>
      </c>
      <c r="H206" s="1">
        <f>IF(B206="", "", "urine")</f>
        <v>0</v>
      </c>
      <c r="I206" s="1">
        <f>IF(B206="", "", "urine metagenome")</f>
        <v>0</v>
      </c>
      <c r="J206" s="1">
        <f>IF(B206="", "", "1346744")</f>
        <v>0</v>
      </c>
    </row>
    <row r="207" spans="1:10">
      <c r="A207">
        <f>IF(COUNTBLANK(B207:J207)&lt;&gt;COLUMNS(B207:J207),206,"")</f>
        <v>0</v>
      </c>
      <c r="C207" s="1">
        <f>IF(B207="", "", "UBERON:genitourinary")</f>
        <v>0</v>
      </c>
      <c r="D207" s="1">
        <f>IF(B207="", "", "UBERON:urine")</f>
        <v>0</v>
      </c>
      <c r="E207" s="1">
        <f>IF(B207="", "", "UBERON:kidney")</f>
        <v>0</v>
      </c>
      <c r="F207" s="1">
        <f>IF(B207="", "", "animal corpus")</f>
        <v>0</v>
      </c>
      <c r="G207" s="1">
        <f>IF(B207="", "", "urine")</f>
        <v>0</v>
      </c>
      <c r="H207" s="1">
        <f>IF(B207="", "", "urine")</f>
        <v>0</v>
      </c>
      <c r="I207" s="1">
        <f>IF(B207="", "", "urine metagenome")</f>
        <v>0</v>
      </c>
      <c r="J207" s="1">
        <f>IF(B207="", "", "1346744")</f>
        <v>0</v>
      </c>
    </row>
    <row r="208" spans="1:10">
      <c r="A208">
        <f>IF(COUNTBLANK(B208:J208)&lt;&gt;COLUMNS(B208:J208),207,"")</f>
        <v>0</v>
      </c>
      <c r="C208" s="1">
        <f>IF(B208="", "", "UBERON:genitourinary")</f>
        <v>0</v>
      </c>
      <c r="D208" s="1">
        <f>IF(B208="", "", "UBERON:urine")</f>
        <v>0</v>
      </c>
      <c r="E208" s="1">
        <f>IF(B208="", "", "UBERON:kidney")</f>
        <v>0</v>
      </c>
      <c r="F208" s="1">
        <f>IF(B208="", "", "animal corpus")</f>
        <v>0</v>
      </c>
      <c r="G208" s="1">
        <f>IF(B208="", "", "urine")</f>
        <v>0</v>
      </c>
      <c r="H208" s="1">
        <f>IF(B208="", "", "urine")</f>
        <v>0</v>
      </c>
      <c r="I208" s="1">
        <f>IF(B208="", "", "urine metagenome")</f>
        <v>0</v>
      </c>
      <c r="J208" s="1">
        <f>IF(B208="", "", "1346744")</f>
        <v>0</v>
      </c>
    </row>
    <row r="209" spans="1:10">
      <c r="A209">
        <f>IF(COUNTBLANK(B209:J209)&lt;&gt;COLUMNS(B209:J209),208,"")</f>
        <v>0</v>
      </c>
      <c r="C209" s="1">
        <f>IF(B209="", "", "UBERON:genitourinary")</f>
        <v>0</v>
      </c>
      <c r="D209" s="1">
        <f>IF(B209="", "", "UBERON:urine")</f>
        <v>0</v>
      </c>
      <c r="E209" s="1">
        <f>IF(B209="", "", "UBERON:kidney")</f>
        <v>0</v>
      </c>
      <c r="F209" s="1">
        <f>IF(B209="", "", "animal corpus")</f>
        <v>0</v>
      </c>
      <c r="G209" s="1">
        <f>IF(B209="", "", "urine")</f>
        <v>0</v>
      </c>
      <c r="H209" s="1">
        <f>IF(B209="", "", "urine")</f>
        <v>0</v>
      </c>
      <c r="I209" s="1">
        <f>IF(B209="", "", "urine metagenome")</f>
        <v>0</v>
      </c>
      <c r="J209" s="1">
        <f>IF(B209="", "", "1346744")</f>
        <v>0</v>
      </c>
    </row>
    <row r="210" spans="1:10">
      <c r="A210">
        <f>IF(COUNTBLANK(B210:J210)&lt;&gt;COLUMNS(B210:J210),209,"")</f>
        <v>0</v>
      </c>
      <c r="C210" s="1">
        <f>IF(B210="", "", "UBERON:genitourinary")</f>
        <v>0</v>
      </c>
      <c r="D210" s="1">
        <f>IF(B210="", "", "UBERON:urine")</f>
        <v>0</v>
      </c>
      <c r="E210" s="1">
        <f>IF(B210="", "", "UBERON:kidney")</f>
        <v>0</v>
      </c>
      <c r="F210" s="1">
        <f>IF(B210="", "", "animal corpus")</f>
        <v>0</v>
      </c>
      <c r="G210" s="1">
        <f>IF(B210="", "", "urine")</f>
        <v>0</v>
      </c>
      <c r="H210" s="1">
        <f>IF(B210="", "", "urine")</f>
        <v>0</v>
      </c>
      <c r="I210" s="1">
        <f>IF(B210="", "", "urine metagenome")</f>
        <v>0</v>
      </c>
      <c r="J210" s="1">
        <f>IF(B210="", "", "1346744")</f>
        <v>0</v>
      </c>
    </row>
    <row r="211" spans="1:10">
      <c r="A211">
        <f>IF(COUNTBLANK(B211:J211)&lt;&gt;COLUMNS(B211:J211),210,"")</f>
        <v>0</v>
      </c>
      <c r="C211" s="1">
        <f>IF(B211="", "", "UBERON:genitourinary")</f>
        <v>0</v>
      </c>
      <c r="D211" s="1">
        <f>IF(B211="", "", "UBERON:urine")</f>
        <v>0</v>
      </c>
      <c r="E211" s="1">
        <f>IF(B211="", "", "UBERON:kidney")</f>
        <v>0</v>
      </c>
      <c r="F211" s="1">
        <f>IF(B211="", "", "animal corpus")</f>
        <v>0</v>
      </c>
      <c r="G211" s="1">
        <f>IF(B211="", "", "urine")</f>
        <v>0</v>
      </c>
      <c r="H211" s="1">
        <f>IF(B211="", "", "urine")</f>
        <v>0</v>
      </c>
      <c r="I211" s="1">
        <f>IF(B211="", "", "urine metagenome")</f>
        <v>0</v>
      </c>
      <c r="J211" s="1">
        <f>IF(B211="", "", "1346744")</f>
        <v>0</v>
      </c>
    </row>
    <row r="212" spans="1:10">
      <c r="A212">
        <f>IF(COUNTBLANK(B212:J212)&lt;&gt;COLUMNS(B212:J212),211,"")</f>
        <v>0</v>
      </c>
      <c r="C212" s="1">
        <f>IF(B212="", "", "UBERON:genitourinary")</f>
        <v>0</v>
      </c>
      <c r="D212" s="1">
        <f>IF(B212="", "", "UBERON:urine")</f>
        <v>0</v>
      </c>
      <c r="E212" s="1">
        <f>IF(B212="", "", "UBERON:kidney")</f>
        <v>0</v>
      </c>
      <c r="F212" s="1">
        <f>IF(B212="", "", "animal corpus")</f>
        <v>0</v>
      </c>
      <c r="G212" s="1">
        <f>IF(B212="", "", "urine")</f>
        <v>0</v>
      </c>
      <c r="H212" s="1">
        <f>IF(B212="", "", "urine")</f>
        <v>0</v>
      </c>
      <c r="I212" s="1">
        <f>IF(B212="", "", "urine metagenome")</f>
        <v>0</v>
      </c>
      <c r="J212" s="1">
        <f>IF(B212="", "", "1346744")</f>
        <v>0</v>
      </c>
    </row>
    <row r="213" spans="1:10">
      <c r="A213">
        <f>IF(COUNTBLANK(B213:J213)&lt;&gt;COLUMNS(B213:J213),212,"")</f>
        <v>0</v>
      </c>
      <c r="C213" s="1">
        <f>IF(B213="", "", "UBERON:genitourinary")</f>
        <v>0</v>
      </c>
      <c r="D213" s="1">
        <f>IF(B213="", "", "UBERON:urine")</f>
        <v>0</v>
      </c>
      <c r="E213" s="1">
        <f>IF(B213="", "", "UBERON:kidney")</f>
        <v>0</v>
      </c>
      <c r="F213" s="1">
        <f>IF(B213="", "", "animal corpus")</f>
        <v>0</v>
      </c>
      <c r="G213" s="1">
        <f>IF(B213="", "", "urine")</f>
        <v>0</v>
      </c>
      <c r="H213" s="1">
        <f>IF(B213="", "", "urine")</f>
        <v>0</v>
      </c>
      <c r="I213" s="1">
        <f>IF(B213="", "", "urine metagenome")</f>
        <v>0</v>
      </c>
      <c r="J213" s="1">
        <f>IF(B213="", "", "1346744")</f>
        <v>0</v>
      </c>
    </row>
    <row r="214" spans="1:10">
      <c r="A214">
        <f>IF(COUNTBLANK(B214:J214)&lt;&gt;COLUMNS(B214:J214),213,"")</f>
        <v>0</v>
      </c>
      <c r="C214" s="1">
        <f>IF(B214="", "", "UBERON:genitourinary")</f>
        <v>0</v>
      </c>
      <c r="D214" s="1">
        <f>IF(B214="", "", "UBERON:urine")</f>
        <v>0</v>
      </c>
      <c r="E214" s="1">
        <f>IF(B214="", "", "UBERON:kidney")</f>
        <v>0</v>
      </c>
      <c r="F214" s="1">
        <f>IF(B214="", "", "animal corpus")</f>
        <v>0</v>
      </c>
      <c r="G214" s="1">
        <f>IF(B214="", "", "urine")</f>
        <v>0</v>
      </c>
      <c r="H214" s="1">
        <f>IF(B214="", "", "urine")</f>
        <v>0</v>
      </c>
      <c r="I214" s="1">
        <f>IF(B214="", "", "urine metagenome")</f>
        <v>0</v>
      </c>
      <c r="J214" s="1">
        <f>IF(B214="", "", "1346744")</f>
        <v>0</v>
      </c>
    </row>
    <row r="215" spans="1:10">
      <c r="A215">
        <f>IF(COUNTBLANK(B215:J215)&lt;&gt;COLUMNS(B215:J215),214,"")</f>
        <v>0</v>
      </c>
      <c r="C215" s="1">
        <f>IF(B215="", "", "UBERON:genitourinary")</f>
        <v>0</v>
      </c>
      <c r="D215" s="1">
        <f>IF(B215="", "", "UBERON:urine")</f>
        <v>0</v>
      </c>
      <c r="E215" s="1">
        <f>IF(B215="", "", "UBERON:kidney")</f>
        <v>0</v>
      </c>
      <c r="F215" s="1">
        <f>IF(B215="", "", "animal corpus")</f>
        <v>0</v>
      </c>
      <c r="G215" s="1">
        <f>IF(B215="", "", "urine")</f>
        <v>0</v>
      </c>
      <c r="H215" s="1">
        <f>IF(B215="", "", "urine")</f>
        <v>0</v>
      </c>
      <c r="I215" s="1">
        <f>IF(B215="", "", "urine metagenome")</f>
        <v>0</v>
      </c>
      <c r="J215" s="1">
        <f>IF(B215="", "", "1346744")</f>
        <v>0</v>
      </c>
    </row>
    <row r="216" spans="1:10">
      <c r="A216">
        <f>IF(COUNTBLANK(B216:J216)&lt;&gt;COLUMNS(B216:J216),215,"")</f>
        <v>0</v>
      </c>
      <c r="C216" s="1">
        <f>IF(B216="", "", "UBERON:genitourinary")</f>
        <v>0</v>
      </c>
      <c r="D216" s="1">
        <f>IF(B216="", "", "UBERON:urine")</f>
        <v>0</v>
      </c>
      <c r="E216" s="1">
        <f>IF(B216="", "", "UBERON:kidney")</f>
        <v>0</v>
      </c>
      <c r="F216" s="1">
        <f>IF(B216="", "", "animal corpus")</f>
        <v>0</v>
      </c>
      <c r="G216" s="1">
        <f>IF(B216="", "", "urine")</f>
        <v>0</v>
      </c>
      <c r="H216" s="1">
        <f>IF(B216="", "", "urine")</f>
        <v>0</v>
      </c>
      <c r="I216" s="1">
        <f>IF(B216="", "", "urine metagenome")</f>
        <v>0</v>
      </c>
      <c r="J216" s="1">
        <f>IF(B216="", "", "1346744")</f>
        <v>0</v>
      </c>
    </row>
    <row r="217" spans="1:10">
      <c r="A217">
        <f>IF(COUNTBLANK(B217:J217)&lt;&gt;COLUMNS(B217:J217),216,"")</f>
        <v>0</v>
      </c>
      <c r="C217" s="1">
        <f>IF(B217="", "", "UBERON:genitourinary")</f>
        <v>0</v>
      </c>
      <c r="D217" s="1">
        <f>IF(B217="", "", "UBERON:urine")</f>
        <v>0</v>
      </c>
      <c r="E217" s="1">
        <f>IF(B217="", "", "UBERON:kidney")</f>
        <v>0</v>
      </c>
      <c r="F217" s="1">
        <f>IF(B217="", "", "animal corpus")</f>
        <v>0</v>
      </c>
      <c r="G217" s="1">
        <f>IF(B217="", "", "urine")</f>
        <v>0</v>
      </c>
      <c r="H217" s="1">
        <f>IF(B217="", "", "urine")</f>
        <v>0</v>
      </c>
      <c r="I217" s="1">
        <f>IF(B217="", "", "urine metagenome")</f>
        <v>0</v>
      </c>
      <c r="J217" s="1">
        <f>IF(B217="", "", "1346744")</f>
        <v>0</v>
      </c>
    </row>
    <row r="218" spans="1:10">
      <c r="A218">
        <f>IF(COUNTBLANK(B218:J218)&lt;&gt;COLUMNS(B218:J218),217,"")</f>
        <v>0</v>
      </c>
      <c r="C218" s="1">
        <f>IF(B218="", "", "UBERON:genitourinary")</f>
        <v>0</v>
      </c>
      <c r="D218" s="1">
        <f>IF(B218="", "", "UBERON:urine")</f>
        <v>0</v>
      </c>
      <c r="E218" s="1">
        <f>IF(B218="", "", "UBERON:kidney")</f>
        <v>0</v>
      </c>
      <c r="F218" s="1">
        <f>IF(B218="", "", "animal corpus")</f>
        <v>0</v>
      </c>
      <c r="G218" s="1">
        <f>IF(B218="", "", "urine")</f>
        <v>0</v>
      </c>
      <c r="H218" s="1">
        <f>IF(B218="", "", "urine")</f>
        <v>0</v>
      </c>
      <c r="I218" s="1">
        <f>IF(B218="", "", "urine metagenome")</f>
        <v>0</v>
      </c>
      <c r="J218" s="1">
        <f>IF(B218="", "", "1346744")</f>
        <v>0</v>
      </c>
    </row>
    <row r="219" spans="1:10">
      <c r="A219">
        <f>IF(COUNTBLANK(B219:J219)&lt;&gt;COLUMNS(B219:J219),218,"")</f>
        <v>0</v>
      </c>
      <c r="C219" s="1">
        <f>IF(B219="", "", "UBERON:genitourinary")</f>
        <v>0</v>
      </c>
      <c r="D219" s="1">
        <f>IF(B219="", "", "UBERON:urine")</f>
        <v>0</v>
      </c>
      <c r="E219" s="1">
        <f>IF(B219="", "", "UBERON:kidney")</f>
        <v>0</v>
      </c>
      <c r="F219" s="1">
        <f>IF(B219="", "", "animal corpus")</f>
        <v>0</v>
      </c>
      <c r="G219" s="1">
        <f>IF(B219="", "", "urine")</f>
        <v>0</v>
      </c>
      <c r="H219" s="1">
        <f>IF(B219="", "", "urine")</f>
        <v>0</v>
      </c>
      <c r="I219" s="1">
        <f>IF(B219="", "", "urine metagenome")</f>
        <v>0</v>
      </c>
      <c r="J219" s="1">
        <f>IF(B219="", "", "1346744")</f>
        <v>0</v>
      </c>
    </row>
    <row r="220" spans="1:10">
      <c r="A220">
        <f>IF(COUNTBLANK(B220:J220)&lt;&gt;COLUMNS(B220:J220),219,"")</f>
        <v>0</v>
      </c>
      <c r="C220" s="1">
        <f>IF(B220="", "", "UBERON:genitourinary")</f>
        <v>0</v>
      </c>
      <c r="D220" s="1">
        <f>IF(B220="", "", "UBERON:urine")</f>
        <v>0</v>
      </c>
      <c r="E220" s="1">
        <f>IF(B220="", "", "UBERON:kidney")</f>
        <v>0</v>
      </c>
      <c r="F220" s="1">
        <f>IF(B220="", "", "animal corpus")</f>
        <v>0</v>
      </c>
      <c r="G220" s="1">
        <f>IF(B220="", "", "urine")</f>
        <v>0</v>
      </c>
      <c r="H220" s="1">
        <f>IF(B220="", "", "urine")</f>
        <v>0</v>
      </c>
      <c r="I220" s="1">
        <f>IF(B220="", "", "urine metagenome")</f>
        <v>0</v>
      </c>
      <c r="J220" s="1">
        <f>IF(B220="", "", "1346744")</f>
        <v>0</v>
      </c>
    </row>
    <row r="221" spans="1:10">
      <c r="A221">
        <f>IF(COUNTBLANK(B221:J221)&lt;&gt;COLUMNS(B221:J221),220,"")</f>
        <v>0</v>
      </c>
      <c r="C221" s="1">
        <f>IF(B221="", "", "UBERON:genitourinary")</f>
        <v>0</v>
      </c>
      <c r="D221" s="1">
        <f>IF(B221="", "", "UBERON:urine")</f>
        <v>0</v>
      </c>
      <c r="E221" s="1">
        <f>IF(B221="", "", "UBERON:kidney")</f>
        <v>0</v>
      </c>
      <c r="F221" s="1">
        <f>IF(B221="", "", "animal corpus")</f>
        <v>0</v>
      </c>
      <c r="G221" s="1">
        <f>IF(B221="", "", "urine")</f>
        <v>0</v>
      </c>
      <c r="H221" s="1">
        <f>IF(B221="", "", "urine")</f>
        <v>0</v>
      </c>
      <c r="I221" s="1">
        <f>IF(B221="", "", "urine metagenome")</f>
        <v>0</v>
      </c>
      <c r="J221" s="1">
        <f>IF(B221="", "", "1346744")</f>
        <v>0</v>
      </c>
    </row>
    <row r="222" spans="1:10">
      <c r="A222">
        <f>IF(COUNTBLANK(B222:J222)&lt;&gt;COLUMNS(B222:J222),221,"")</f>
        <v>0</v>
      </c>
      <c r="C222" s="1">
        <f>IF(B222="", "", "UBERON:genitourinary")</f>
        <v>0</v>
      </c>
      <c r="D222" s="1">
        <f>IF(B222="", "", "UBERON:urine")</f>
        <v>0</v>
      </c>
      <c r="E222" s="1">
        <f>IF(B222="", "", "UBERON:kidney")</f>
        <v>0</v>
      </c>
      <c r="F222" s="1">
        <f>IF(B222="", "", "animal corpus")</f>
        <v>0</v>
      </c>
      <c r="G222" s="1">
        <f>IF(B222="", "", "urine")</f>
        <v>0</v>
      </c>
      <c r="H222" s="1">
        <f>IF(B222="", "", "urine")</f>
        <v>0</v>
      </c>
      <c r="I222" s="1">
        <f>IF(B222="", "", "urine metagenome")</f>
        <v>0</v>
      </c>
      <c r="J222" s="1">
        <f>IF(B222="", "", "1346744")</f>
        <v>0</v>
      </c>
    </row>
    <row r="223" spans="1:10">
      <c r="A223">
        <f>IF(COUNTBLANK(B223:J223)&lt;&gt;COLUMNS(B223:J223),222,"")</f>
        <v>0</v>
      </c>
      <c r="C223" s="1">
        <f>IF(B223="", "", "UBERON:genitourinary")</f>
        <v>0</v>
      </c>
      <c r="D223" s="1">
        <f>IF(B223="", "", "UBERON:urine")</f>
        <v>0</v>
      </c>
      <c r="E223" s="1">
        <f>IF(B223="", "", "UBERON:kidney")</f>
        <v>0</v>
      </c>
      <c r="F223" s="1">
        <f>IF(B223="", "", "animal corpus")</f>
        <v>0</v>
      </c>
      <c r="G223" s="1">
        <f>IF(B223="", "", "urine")</f>
        <v>0</v>
      </c>
      <c r="H223" s="1">
        <f>IF(B223="", "", "urine")</f>
        <v>0</v>
      </c>
      <c r="I223" s="1">
        <f>IF(B223="", "", "urine metagenome")</f>
        <v>0</v>
      </c>
      <c r="J223" s="1">
        <f>IF(B223="", "", "1346744")</f>
        <v>0</v>
      </c>
    </row>
    <row r="224" spans="1:10">
      <c r="A224">
        <f>IF(COUNTBLANK(B224:J224)&lt;&gt;COLUMNS(B224:J224),223,"")</f>
        <v>0</v>
      </c>
      <c r="C224" s="1">
        <f>IF(B224="", "", "UBERON:genitourinary")</f>
        <v>0</v>
      </c>
      <c r="D224" s="1">
        <f>IF(B224="", "", "UBERON:urine")</f>
        <v>0</v>
      </c>
      <c r="E224" s="1">
        <f>IF(B224="", "", "UBERON:kidney")</f>
        <v>0</v>
      </c>
      <c r="F224" s="1">
        <f>IF(B224="", "", "animal corpus")</f>
        <v>0</v>
      </c>
      <c r="G224" s="1">
        <f>IF(B224="", "", "urine")</f>
        <v>0</v>
      </c>
      <c r="H224" s="1">
        <f>IF(B224="", "", "urine")</f>
        <v>0</v>
      </c>
      <c r="I224" s="1">
        <f>IF(B224="", "", "urine metagenome")</f>
        <v>0</v>
      </c>
      <c r="J224" s="1">
        <f>IF(B224="", "", "1346744")</f>
        <v>0</v>
      </c>
    </row>
    <row r="225" spans="1:10">
      <c r="A225">
        <f>IF(COUNTBLANK(B225:J225)&lt;&gt;COLUMNS(B225:J225),224,"")</f>
        <v>0</v>
      </c>
      <c r="C225" s="1">
        <f>IF(B225="", "", "UBERON:genitourinary")</f>
        <v>0</v>
      </c>
      <c r="D225" s="1">
        <f>IF(B225="", "", "UBERON:urine")</f>
        <v>0</v>
      </c>
      <c r="E225" s="1">
        <f>IF(B225="", "", "UBERON:kidney")</f>
        <v>0</v>
      </c>
      <c r="F225" s="1">
        <f>IF(B225="", "", "animal corpus")</f>
        <v>0</v>
      </c>
      <c r="G225" s="1">
        <f>IF(B225="", "", "urine")</f>
        <v>0</v>
      </c>
      <c r="H225" s="1">
        <f>IF(B225="", "", "urine")</f>
        <v>0</v>
      </c>
      <c r="I225" s="1">
        <f>IF(B225="", "", "urine metagenome")</f>
        <v>0</v>
      </c>
      <c r="J225" s="1">
        <f>IF(B225="", "", "1346744")</f>
        <v>0</v>
      </c>
    </row>
    <row r="226" spans="1:10">
      <c r="A226">
        <f>IF(COUNTBLANK(B226:J226)&lt;&gt;COLUMNS(B226:J226),225,"")</f>
        <v>0</v>
      </c>
      <c r="C226" s="1">
        <f>IF(B226="", "", "UBERON:genitourinary")</f>
        <v>0</v>
      </c>
      <c r="D226" s="1">
        <f>IF(B226="", "", "UBERON:urine")</f>
        <v>0</v>
      </c>
      <c r="E226" s="1">
        <f>IF(B226="", "", "UBERON:kidney")</f>
        <v>0</v>
      </c>
      <c r="F226" s="1">
        <f>IF(B226="", "", "animal corpus")</f>
        <v>0</v>
      </c>
      <c r="G226" s="1">
        <f>IF(B226="", "", "urine")</f>
        <v>0</v>
      </c>
      <c r="H226" s="1">
        <f>IF(B226="", "", "urine")</f>
        <v>0</v>
      </c>
      <c r="I226" s="1">
        <f>IF(B226="", "", "urine metagenome")</f>
        <v>0</v>
      </c>
      <c r="J226" s="1">
        <f>IF(B226="", "", "1346744")</f>
        <v>0</v>
      </c>
    </row>
    <row r="227" spans="1:10">
      <c r="A227">
        <f>IF(COUNTBLANK(B227:J227)&lt;&gt;COLUMNS(B227:J227),226,"")</f>
        <v>0</v>
      </c>
      <c r="C227" s="1">
        <f>IF(B227="", "", "UBERON:genitourinary")</f>
        <v>0</v>
      </c>
      <c r="D227" s="1">
        <f>IF(B227="", "", "UBERON:urine")</f>
        <v>0</v>
      </c>
      <c r="E227" s="1">
        <f>IF(B227="", "", "UBERON:kidney")</f>
        <v>0</v>
      </c>
      <c r="F227" s="1">
        <f>IF(B227="", "", "animal corpus")</f>
        <v>0</v>
      </c>
      <c r="G227" s="1">
        <f>IF(B227="", "", "urine")</f>
        <v>0</v>
      </c>
      <c r="H227" s="1">
        <f>IF(B227="", "", "urine")</f>
        <v>0</v>
      </c>
      <c r="I227" s="1">
        <f>IF(B227="", "", "urine metagenome")</f>
        <v>0</v>
      </c>
      <c r="J227" s="1">
        <f>IF(B227="", "", "1346744")</f>
        <v>0</v>
      </c>
    </row>
    <row r="228" spans="1:10">
      <c r="A228">
        <f>IF(COUNTBLANK(B228:J228)&lt;&gt;COLUMNS(B228:J228),227,"")</f>
        <v>0</v>
      </c>
      <c r="C228" s="1">
        <f>IF(B228="", "", "UBERON:genitourinary")</f>
        <v>0</v>
      </c>
      <c r="D228" s="1">
        <f>IF(B228="", "", "UBERON:urine")</f>
        <v>0</v>
      </c>
      <c r="E228" s="1">
        <f>IF(B228="", "", "UBERON:kidney")</f>
        <v>0</v>
      </c>
      <c r="F228" s="1">
        <f>IF(B228="", "", "animal corpus")</f>
        <v>0</v>
      </c>
      <c r="G228" s="1">
        <f>IF(B228="", "", "urine")</f>
        <v>0</v>
      </c>
      <c r="H228" s="1">
        <f>IF(B228="", "", "urine")</f>
        <v>0</v>
      </c>
      <c r="I228" s="1">
        <f>IF(B228="", "", "urine metagenome")</f>
        <v>0</v>
      </c>
      <c r="J228" s="1">
        <f>IF(B228="", "", "1346744")</f>
        <v>0</v>
      </c>
    </row>
    <row r="229" spans="1:10">
      <c r="A229">
        <f>IF(COUNTBLANK(B229:J229)&lt;&gt;COLUMNS(B229:J229),228,"")</f>
        <v>0</v>
      </c>
      <c r="C229" s="1">
        <f>IF(B229="", "", "UBERON:genitourinary")</f>
        <v>0</v>
      </c>
      <c r="D229" s="1">
        <f>IF(B229="", "", "UBERON:urine")</f>
        <v>0</v>
      </c>
      <c r="E229" s="1">
        <f>IF(B229="", "", "UBERON:kidney")</f>
        <v>0</v>
      </c>
      <c r="F229" s="1">
        <f>IF(B229="", "", "animal corpus")</f>
        <v>0</v>
      </c>
      <c r="G229" s="1">
        <f>IF(B229="", "", "urine")</f>
        <v>0</v>
      </c>
      <c r="H229" s="1">
        <f>IF(B229="", "", "urine")</f>
        <v>0</v>
      </c>
      <c r="I229" s="1">
        <f>IF(B229="", "", "urine metagenome")</f>
        <v>0</v>
      </c>
      <c r="J229" s="1">
        <f>IF(B229="", "", "1346744")</f>
        <v>0</v>
      </c>
    </row>
    <row r="230" spans="1:10">
      <c r="A230">
        <f>IF(COUNTBLANK(B230:J230)&lt;&gt;COLUMNS(B230:J230),229,"")</f>
        <v>0</v>
      </c>
      <c r="C230" s="1">
        <f>IF(B230="", "", "UBERON:genitourinary")</f>
        <v>0</v>
      </c>
      <c r="D230" s="1">
        <f>IF(B230="", "", "UBERON:urine")</f>
        <v>0</v>
      </c>
      <c r="E230" s="1">
        <f>IF(B230="", "", "UBERON:kidney")</f>
        <v>0</v>
      </c>
      <c r="F230" s="1">
        <f>IF(B230="", "", "animal corpus")</f>
        <v>0</v>
      </c>
      <c r="G230" s="1">
        <f>IF(B230="", "", "urine")</f>
        <v>0</v>
      </c>
      <c r="H230" s="1">
        <f>IF(B230="", "", "urine")</f>
        <v>0</v>
      </c>
      <c r="I230" s="1">
        <f>IF(B230="", "", "urine metagenome")</f>
        <v>0</v>
      </c>
      <c r="J230" s="1">
        <f>IF(B230="", "", "1346744")</f>
        <v>0</v>
      </c>
    </row>
    <row r="231" spans="1:10">
      <c r="A231">
        <f>IF(COUNTBLANK(B231:J231)&lt;&gt;COLUMNS(B231:J231),230,"")</f>
        <v>0</v>
      </c>
      <c r="C231" s="1">
        <f>IF(B231="", "", "UBERON:genitourinary")</f>
        <v>0</v>
      </c>
      <c r="D231" s="1">
        <f>IF(B231="", "", "UBERON:urine")</f>
        <v>0</v>
      </c>
      <c r="E231" s="1">
        <f>IF(B231="", "", "UBERON:kidney")</f>
        <v>0</v>
      </c>
      <c r="F231" s="1">
        <f>IF(B231="", "", "animal corpus")</f>
        <v>0</v>
      </c>
      <c r="G231" s="1">
        <f>IF(B231="", "", "urine")</f>
        <v>0</v>
      </c>
      <c r="H231" s="1">
        <f>IF(B231="", "", "urine")</f>
        <v>0</v>
      </c>
      <c r="I231" s="1">
        <f>IF(B231="", "", "urine metagenome")</f>
        <v>0</v>
      </c>
      <c r="J231" s="1">
        <f>IF(B231="", "", "1346744")</f>
        <v>0</v>
      </c>
    </row>
    <row r="232" spans="1:10">
      <c r="A232">
        <f>IF(COUNTBLANK(B232:J232)&lt;&gt;COLUMNS(B232:J232),231,"")</f>
        <v>0</v>
      </c>
      <c r="C232" s="1">
        <f>IF(B232="", "", "UBERON:genitourinary")</f>
        <v>0</v>
      </c>
      <c r="D232" s="1">
        <f>IF(B232="", "", "UBERON:urine")</f>
        <v>0</v>
      </c>
      <c r="E232" s="1">
        <f>IF(B232="", "", "UBERON:kidney")</f>
        <v>0</v>
      </c>
      <c r="F232" s="1">
        <f>IF(B232="", "", "animal corpus")</f>
        <v>0</v>
      </c>
      <c r="G232" s="1">
        <f>IF(B232="", "", "urine")</f>
        <v>0</v>
      </c>
      <c r="H232" s="1">
        <f>IF(B232="", "", "urine")</f>
        <v>0</v>
      </c>
      <c r="I232" s="1">
        <f>IF(B232="", "", "urine metagenome")</f>
        <v>0</v>
      </c>
      <c r="J232" s="1">
        <f>IF(B232="", "", "1346744")</f>
        <v>0</v>
      </c>
    </row>
    <row r="233" spans="1:10">
      <c r="A233">
        <f>IF(COUNTBLANK(B233:J233)&lt;&gt;COLUMNS(B233:J233),232,"")</f>
        <v>0</v>
      </c>
      <c r="C233" s="1">
        <f>IF(B233="", "", "UBERON:genitourinary")</f>
        <v>0</v>
      </c>
      <c r="D233" s="1">
        <f>IF(B233="", "", "UBERON:urine")</f>
        <v>0</v>
      </c>
      <c r="E233" s="1">
        <f>IF(B233="", "", "UBERON:kidney")</f>
        <v>0</v>
      </c>
      <c r="F233" s="1">
        <f>IF(B233="", "", "animal corpus")</f>
        <v>0</v>
      </c>
      <c r="G233" s="1">
        <f>IF(B233="", "", "urine")</f>
        <v>0</v>
      </c>
      <c r="H233" s="1">
        <f>IF(B233="", "", "urine")</f>
        <v>0</v>
      </c>
      <c r="I233" s="1">
        <f>IF(B233="", "", "urine metagenome")</f>
        <v>0</v>
      </c>
      <c r="J233" s="1">
        <f>IF(B233="", "", "1346744")</f>
        <v>0</v>
      </c>
    </row>
    <row r="234" spans="1:10">
      <c r="A234">
        <f>IF(COUNTBLANK(B234:J234)&lt;&gt;COLUMNS(B234:J234),233,"")</f>
        <v>0</v>
      </c>
      <c r="C234" s="1">
        <f>IF(B234="", "", "UBERON:genitourinary")</f>
        <v>0</v>
      </c>
      <c r="D234" s="1">
        <f>IF(B234="", "", "UBERON:urine")</f>
        <v>0</v>
      </c>
      <c r="E234" s="1">
        <f>IF(B234="", "", "UBERON:kidney")</f>
        <v>0</v>
      </c>
      <c r="F234" s="1">
        <f>IF(B234="", "", "animal corpus")</f>
        <v>0</v>
      </c>
      <c r="G234" s="1">
        <f>IF(B234="", "", "urine")</f>
        <v>0</v>
      </c>
      <c r="H234" s="1">
        <f>IF(B234="", "", "urine")</f>
        <v>0</v>
      </c>
      <c r="I234" s="1">
        <f>IF(B234="", "", "urine metagenome")</f>
        <v>0</v>
      </c>
      <c r="J234" s="1">
        <f>IF(B234="", "", "1346744")</f>
        <v>0</v>
      </c>
    </row>
    <row r="235" spans="1:10">
      <c r="A235">
        <f>IF(COUNTBLANK(B235:J235)&lt;&gt;COLUMNS(B235:J235),234,"")</f>
        <v>0</v>
      </c>
      <c r="C235" s="1">
        <f>IF(B235="", "", "UBERON:genitourinary")</f>
        <v>0</v>
      </c>
      <c r="D235" s="1">
        <f>IF(B235="", "", "UBERON:urine")</f>
        <v>0</v>
      </c>
      <c r="E235" s="1">
        <f>IF(B235="", "", "UBERON:kidney")</f>
        <v>0</v>
      </c>
      <c r="F235" s="1">
        <f>IF(B235="", "", "animal corpus")</f>
        <v>0</v>
      </c>
      <c r="G235" s="1">
        <f>IF(B235="", "", "urine")</f>
        <v>0</v>
      </c>
      <c r="H235" s="1">
        <f>IF(B235="", "", "urine")</f>
        <v>0</v>
      </c>
      <c r="I235" s="1">
        <f>IF(B235="", "", "urine metagenome")</f>
        <v>0</v>
      </c>
      <c r="J235" s="1">
        <f>IF(B235="", "", "1346744")</f>
        <v>0</v>
      </c>
    </row>
    <row r="236" spans="1:10">
      <c r="A236">
        <f>IF(COUNTBLANK(B236:J236)&lt;&gt;COLUMNS(B236:J236),235,"")</f>
        <v>0</v>
      </c>
      <c r="C236" s="1">
        <f>IF(B236="", "", "UBERON:genitourinary")</f>
        <v>0</v>
      </c>
      <c r="D236" s="1">
        <f>IF(B236="", "", "UBERON:urine")</f>
        <v>0</v>
      </c>
      <c r="E236" s="1">
        <f>IF(B236="", "", "UBERON:kidney")</f>
        <v>0</v>
      </c>
      <c r="F236" s="1">
        <f>IF(B236="", "", "animal corpus")</f>
        <v>0</v>
      </c>
      <c r="G236" s="1">
        <f>IF(B236="", "", "urine")</f>
        <v>0</v>
      </c>
      <c r="H236" s="1">
        <f>IF(B236="", "", "urine")</f>
        <v>0</v>
      </c>
      <c r="I236" s="1">
        <f>IF(B236="", "", "urine metagenome")</f>
        <v>0</v>
      </c>
      <c r="J236" s="1">
        <f>IF(B236="", "", "1346744")</f>
        <v>0</v>
      </c>
    </row>
    <row r="237" spans="1:10">
      <c r="A237">
        <f>IF(COUNTBLANK(B237:J237)&lt;&gt;COLUMNS(B237:J237),236,"")</f>
        <v>0</v>
      </c>
      <c r="C237" s="1">
        <f>IF(B237="", "", "UBERON:genitourinary")</f>
        <v>0</v>
      </c>
      <c r="D237" s="1">
        <f>IF(B237="", "", "UBERON:urine")</f>
        <v>0</v>
      </c>
      <c r="E237" s="1">
        <f>IF(B237="", "", "UBERON:kidney")</f>
        <v>0</v>
      </c>
      <c r="F237" s="1">
        <f>IF(B237="", "", "animal corpus")</f>
        <v>0</v>
      </c>
      <c r="G237" s="1">
        <f>IF(B237="", "", "urine")</f>
        <v>0</v>
      </c>
      <c r="H237" s="1">
        <f>IF(B237="", "", "urine")</f>
        <v>0</v>
      </c>
      <c r="I237" s="1">
        <f>IF(B237="", "", "urine metagenome")</f>
        <v>0</v>
      </c>
      <c r="J237" s="1">
        <f>IF(B237="", "", "1346744")</f>
        <v>0</v>
      </c>
    </row>
    <row r="238" spans="1:10">
      <c r="A238">
        <f>IF(COUNTBLANK(B238:J238)&lt;&gt;COLUMNS(B238:J238),237,"")</f>
        <v>0</v>
      </c>
      <c r="C238" s="1">
        <f>IF(B238="", "", "UBERON:genitourinary")</f>
        <v>0</v>
      </c>
      <c r="D238" s="1">
        <f>IF(B238="", "", "UBERON:urine")</f>
        <v>0</v>
      </c>
      <c r="E238" s="1">
        <f>IF(B238="", "", "UBERON:kidney")</f>
        <v>0</v>
      </c>
      <c r="F238" s="1">
        <f>IF(B238="", "", "animal corpus")</f>
        <v>0</v>
      </c>
      <c r="G238" s="1">
        <f>IF(B238="", "", "urine")</f>
        <v>0</v>
      </c>
      <c r="H238" s="1">
        <f>IF(B238="", "", "urine")</f>
        <v>0</v>
      </c>
      <c r="I238" s="1">
        <f>IF(B238="", "", "urine metagenome")</f>
        <v>0</v>
      </c>
      <c r="J238" s="1">
        <f>IF(B238="", "", "1346744")</f>
        <v>0</v>
      </c>
    </row>
    <row r="239" spans="1:10">
      <c r="A239">
        <f>IF(COUNTBLANK(B239:J239)&lt;&gt;COLUMNS(B239:J239),238,"")</f>
        <v>0</v>
      </c>
      <c r="C239" s="1">
        <f>IF(B239="", "", "UBERON:genitourinary")</f>
        <v>0</v>
      </c>
      <c r="D239" s="1">
        <f>IF(B239="", "", "UBERON:urine")</f>
        <v>0</v>
      </c>
      <c r="E239" s="1">
        <f>IF(B239="", "", "UBERON:kidney")</f>
        <v>0</v>
      </c>
      <c r="F239" s="1">
        <f>IF(B239="", "", "animal corpus")</f>
        <v>0</v>
      </c>
      <c r="G239" s="1">
        <f>IF(B239="", "", "urine")</f>
        <v>0</v>
      </c>
      <c r="H239" s="1">
        <f>IF(B239="", "", "urine")</f>
        <v>0</v>
      </c>
      <c r="I239" s="1">
        <f>IF(B239="", "", "urine metagenome")</f>
        <v>0</v>
      </c>
      <c r="J239" s="1">
        <f>IF(B239="", "", "1346744")</f>
        <v>0</v>
      </c>
    </row>
    <row r="240" spans="1:10">
      <c r="A240">
        <f>IF(COUNTBLANK(B240:J240)&lt;&gt;COLUMNS(B240:J240),239,"")</f>
        <v>0</v>
      </c>
      <c r="C240" s="1">
        <f>IF(B240="", "", "UBERON:genitourinary")</f>
        <v>0</v>
      </c>
      <c r="D240" s="1">
        <f>IF(B240="", "", "UBERON:urine")</f>
        <v>0</v>
      </c>
      <c r="E240" s="1">
        <f>IF(B240="", "", "UBERON:kidney")</f>
        <v>0</v>
      </c>
      <c r="F240" s="1">
        <f>IF(B240="", "", "animal corpus")</f>
        <v>0</v>
      </c>
      <c r="G240" s="1">
        <f>IF(B240="", "", "urine")</f>
        <v>0</v>
      </c>
      <c r="H240" s="1">
        <f>IF(B240="", "", "urine")</f>
        <v>0</v>
      </c>
      <c r="I240" s="1">
        <f>IF(B240="", "", "urine metagenome")</f>
        <v>0</v>
      </c>
      <c r="J240" s="1">
        <f>IF(B240="", "", "1346744")</f>
        <v>0</v>
      </c>
    </row>
    <row r="241" spans="1:10">
      <c r="A241">
        <f>IF(COUNTBLANK(B241:J241)&lt;&gt;COLUMNS(B241:J241),240,"")</f>
        <v>0</v>
      </c>
      <c r="C241" s="1">
        <f>IF(B241="", "", "UBERON:genitourinary")</f>
        <v>0</v>
      </c>
      <c r="D241" s="1">
        <f>IF(B241="", "", "UBERON:urine")</f>
        <v>0</v>
      </c>
      <c r="E241" s="1">
        <f>IF(B241="", "", "UBERON:kidney")</f>
        <v>0</v>
      </c>
      <c r="F241" s="1">
        <f>IF(B241="", "", "animal corpus")</f>
        <v>0</v>
      </c>
      <c r="G241" s="1">
        <f>IF(B241="", "", "urine")</f>
        <v>0</v>
      </c>
      <c r="H241" s="1">
        <f>IF(B241="", "", "urine")</f>
        <v>0</v>
      </c>
      <c r="I241" s="1">
        <f>IF(B241="", "", "urine metagenome")</f>
        <v>0</v>
      </c>
      <c r="J241" s="1">
        <f>IF(B241="", "", "1346744")</f>
        <v>0</v>
      </c>
    </row>
    <row r="242" spans="1:10">
      <c r="A242">
        <f>IF(COUNTBLANK(B242:J242)&lt;&gt;COLUMNS(B242:J242),241,"")</f>
        <v>0</v>
      </c>
      <c r="C242" s="1">
        <f>IF(B242="", "", "UBERON:genitourinary")</f>
        <v>0</v>
      </c>
      <c r="D242" s="1">
        <f>IF(B242="", "", "UBERON:urine")</f>
        <v>0</v>
      </c>
      <c r="E242" s="1">
        <f>IF(B242="", "", "UBERON:kidney")</f>
        <v>0</v>
      </c>
      <c r="F242" s="1">
        <f>IF(B242="", "", "animal corpus")</f>
        <v>0</v>
      </c>
      <c r="G242" s="1">
        <f>IF(B242="", "", "urine")</f>
        <v>0</v>
      </c>
      <c r="H242" s="1">
        <f>IF(B242="", "", "urine")</f>
        <v>0</v>
      </c>
      <c r="I242" s="1">
        <f>IF(B242="", "", "urine metagenome")</f>
        <v>0</v>
      </c>
      <c r="J242" s="1">
        <f>IF(B242="", "", "1346744")</f>
        <v>0</v>
      </c>
    </row>
    <row r="243" spans="1:10">
      <c r="A243">
        <f>IF(COUNTBLANK(B243:J243)&lt;&gt;COLUMNS(B243:J243),242,"")</f>
        <v>0</v>
      </c>
      <c r="C243" s="1">
        <f>IF(B243="", "", "UBERON:genitourinary")</f>
        <v>0</v>
      </c>
      <c r="D243" s="1">
        <f>IF(B243="", "", "UBERON:urine")</f>
        <v>0</v>
      </c>
      <c r="E243" s="1">
        <f>IF(B243="", "", "UBERON:kidney")</f>
        <v>0</v>
      </c>
      <c r="F243" s="1">
        <f>IF(B243="", "", "animal corpus")</f>
        <v>0</v>
      </c>
      <c r="G243" s="1">
        <f>IF(B243="", "", "urine")</f>
        <v>0</v>
      </c>
      <c r="H243" s="1">
        <f>IF(B243="", "", "urine")</f>
        <v>0</v>
      </c>
      <c r="I243" s="1">
        <f>IF(B243="", "", "urine metagenome")</f>
        <v>0</v>
      </c>
      <c r="J243" s="1">
        <f>IF(B243="", "", "1346744")</f>
        <v>0</v>
      </c>
    </row>
    <row r="244" spans="1:10">
      <c r="A244">
        <f>IF(COUNTBLANK(B244:J244)&lt;&gt;COLUMNS(B244:J244),243,"")</f>
        <v>0</v>
      </c>
      <c r="C244" s="1">
        <f>IF(B244="", "", "UBERON:genitourinary")</f>
        <v>0</v>
      </c>
      <c r="D244" s="1">
        <f>IF(B244="", "", "UBERON:urine")</f>
        <v>0</v>
      </c>
      <c r="E244" s="1">
        <f>IF(B244="", "", "UBERON:kidney")</f>
        <v>0</v>
      </c>
      <c r="F244" s="1">
        <f>IF(B244="", "", "animal corpus")</f>
        <v>0</v>
      </c>
      <c r="G244" s="1">
        <f>IF(B244="", "", "urine")</f>
        <v>0</v>
      </c>
      <c r="H244" s="1">
        <f>IF(B244="", "", "urine")</f>
        <v>0</v>
      </c>
      <c r="I244" s="1">
        <f>IF(B244="", "", "urine metagenome")</f>
        <v>0</v>
      </c>
      <c r="J244" s="1">
        <f>IF(B244="", "", "1346744")</f>
        <v>0</v>
      </c>
    </row>
    <row r="245" spans="1:10">
      <c r="A245">
        <f>IF(COUNTBLANK(B245:J245)&lt;&gt;COLUMNS(B245:J245),244,"")</f>
        <v>0</v>
      </c>
      <c r="C245" s="1">
        <f>IF(B245="", "", "UBERON:genitourinary")</f>
        <v>0</v>
      </c>
      <c r="D245" s="1">
        <f>IF(B245="", "", "UBERON:urine")</f>
        <v>0</v>
      </c>
      <c r="E245" s="1">
        <f>IF(B245="", "", "UBERON:kidney")</f>
        <v>0</v>
      </c>
      <c r="F245" s="1">
        <f>IF(B245="", "", "animal corpus")</f>
        <v>0</v>
      </c>
      <c r="G245" s="1">
        <f>IF(B245="", "", "urine")</f>
        <v>0</v>
      </c>
      <c r="H245" s="1">
        <f>IF(B245="", "", "urine")</f>
        <v>0</v>
      </c>
      <c r="I245" s="1">
        <f>IF(B245="", "", "urine metagenome")</f>
        <v>0</v>
      </c>
      <c r="J245" s="1">
        <f>IF(B245="", "", "1346744")</f>
        <v>0</v>
      </c>
    </row>
    <row r="246" spans="1:10">
      <c r="A246">
        <f>IF(COUNTBLANK(B246:J246)&lt;&gt;COLUMNS(B246:J246),245,"")</f>
        <v>0</v>
      </c>
      <c r="C246" s="1">
        <f>IF(B246="", "", "UBERON:genitourinary")</f>
        <v>0</v>
      </c>
      <c r="D246" s="1">
        <f>IF(B246="", "", "UBERON:urine")</f>
        <v>0</v>
      </c>
      <c r="E246" s="1">
        <f>IF(B246="", "", "UBERON:kidney")</f>
        <v>0</v>
      </c>
      <c r="F246" s="1">
        <f>IF(B246="", "", "animal corpus")</f>
        <v>0</v>
      </c>
      <c r="G246" s="1">
        <f>IF(B246="", "", "urine")</f>
        <v>0</v>
      </c>
      <c r="H246" s="1">
        <f>IF(B246="", "", "urine")</f>
        <v>0</v>
      </c>
      <c r="I246" s="1">
        <f>IF(B246="", "", "urine metagenome")</f>
        <v>0</v>
      </c>
      <c r="J246" s="1">
        <f>IF(B246="", "", "1346744")</f>
        <v>0</v>
      </c>
    </row>
    <row r="247" spans="1:10">
      <c r="A247">
        <f>IF(COUNTBLANK(B247:J247)&lt;&gt;COLUMNS(B247:J247),246,"")</f>
        <v>0</v>
      </c>
      <c r="C247" s="1">
        <f>IF(B247="", "", "UBERON:genitourinary")</f>
        <v>0</v>
      </c>
      <c r="D247" s="1">
        <f>IF(B247="", "", "UBERON:urine")</f>
        <v>0</v>
      </c>
      <c r="E247" s="1">
        <f>IF(B247="", "", "UBERON:kidney")</f>
        <v>0</v>
      </c>
      <c r="F247" s="1">
        <f>IF(B247="", "", "animal corpus")</f>
        <v>0</v>
      </c>
      <c r="G247" s="1">
        <f>IF(B247="", "", "urine")</f>
        <v>0</v>
      </c>
      <c r="H247" s="1">
        <f>IF(B247="", "", "urine")</f>
        <v>0</v>
      </c>
      <c r="I247" s="1">
        <f>IF(B247="", "", "urine metagenome")</f>
        <v>0</v>
      </c>
      <c r="J247" s="1">
        <f>IF(B247="", "", "1346744")</f>
        <v>0</v>
      </c>
    </row>
    <row r="248" spans="1:10">
      <c r="A248">
        <f>IF(COUNTBLANK(B248:J248)&lt;&gt;COLUMNS(B248:J248),247,"")</f>
        <v>0</v>
      </c>
      <c r="C248" s="1">
        <f>IF(B248="", "", "UBERON:genitourinary")</f>
        <v>0</v>
      </c>
      <c r="D248" s="1">
        <f>IF(B248="", "", "UBERON:urine")</f>
        <v>0</v>
      </c>
      <c r="E248" s="1">
        <f>IF(B248="", "", "UBERON:kidney")</f>
        <v>0</v>
      </c>
      <c r="F248" s="1">
        <f>IF(B248="", "", "animal corpus")</f>
        <v>0</v>
      </c>
      <c r="G248" s="1">
        <f>IF(B248="", "", "urine")</f>
        <v>0</v>
      </c>
      <c r="H248" s="1">
        <f>IF(B248="", "", "urine")</f>
        <v>0</v>
      </c>
      <c r="I248" s="1">
        <f>IF(B248="", "", "urine metagenome")</f>
        <v>0</v>
      </c>
      <c r="J248" s="1">
        <f>IF(B248="", "", "1346744")</f>
        <v>0</v>
      </c>
    </row>
    <row r="249" spans="1:10">
      <c r="A249">
        <f>IF(COUNTBLANK(B249:J249)&lt;&gt;COLUMNS(B249:J249),248,"")</f>
        <v>0</v>
      </c>
      <c r="C249" s="1">
        <f>IF(B249="", "", "UBERON:genitourinary")</f>
        <v>0</v>
      </c>
      <c r="D249" s="1">
        <f>IF(B249="", "", "UBERON:urine")</f>
        <v>0</v>
      </c>
      <c r="E249" s="1">
        <f>IF(B249="", "", "UBERON:kidney")</f>
        <v>0</v>
      </c>
      <c r="F249" s="1">
        <f>IF(B249="", "", "animal corpus")</f>
        <v>0</v>
      </c>
      <c r="G249" s="1">
        <f>IF(B249="", "", "urine")</f>
        <v>0</v>
      </c>
      <c r="H249" s="1">
        <f>IF(B249="", "", "urine")</f>
        <v>0</v>
      </c>
      <c r="I249" s="1">
        <f>IF(B249="", "", "urine metagenome")</f>
        <v>0</v>
      </c>
      <c r="J249" s="1">
        <f>IF(B249="", "", "1346744")</f>
        <v>0</v>
      </c>
    </row>
    <row r="250" spans="1:10">
      <c r="A250">
        <f>IF(COUNTBLANK(B250:J250)&lt;&gt;COLUMNS(B250:J250),249,"")</f>
        <v>0</v>
      </c>
      <c r="C250" s="1">
        <f>IF(B250="", "", "UBERON:genitourinary")</f>
        <v>0</v>
      </c>
      <c r="D250" s="1">
        <f>IF(B250="", "", "UBERON:urine")</f>
        <v>0</v>
      </c>
      <c r="E250" s="1">
        <f>IF(B250="", "", "UBERON:kidney")</f>
        <v>0</v>
      </c>
      <c r="F250" s="1">
        <f>IF(B250="", "", "animal corpus")</f>
        <v>0</v>
      </c>
      <c r="G250" s="1">
        <f>IF(B250="", "", "urine")</f>
        <v>0</v>
      </c>
      <c r="H250" s="1">
        <f>IF(B250="", "", "urine")</f>
        <v>0</v>
      </c>
      <c r="I250" s="1">
        <f>IF(B250="", "", "urine metagenome")</f>
        <v>0</v>
      </c>
      <c r="J250" s="1">
        <f>IF(B250="", "", "1346744")</f>
        <v>0</v>
      </c>
    </row>
    <row r="251" spans="1:10">
      <c r="A251">
        <f>IF(COUNTBLANK(B251:J251)&lt;&gt;COLUMNS(B251:J251),250,"")</f>
        <v>0</v>
      </c>
      <c r="C251" s="1">
        <f>IF(B251="", "", "UBERON:genitourinary")</f>
        <v>0</v>
      </c>
      <c r="D251" s="1">
        <f>IF(B251="", "", "UBERON:urine")</f>
        <v>0</v>
      </c>
      <c r="E251" s="1">
        <f>IF(B251="", "", "UBERON:kidney")</f>
        <v>0</v>
      </c>
      <c r="F251" s="1">
        <f>IF(B251="", "", "animal corpus")</f>
        <v>0</v>
      </c>
      <c r="G251" s="1">
        <f>IF(B251="", "", "urine")</f>
        <v>0</v>
      </c>
      <c r="H251" s="1">
        <f>IF(B251="", "", "urine")</f>
        <v>0</v>
      </c>
      <c r="I251" s="1">
        <f>IF(B251="", "", "urine metagenome")</f>
        <v>0</v>
      </c>
      <c r="J251" s="1">
        <f>IF(B251="", "", "1346744")</f>
        <v>0</v>
      </c>
    </row>
    <row r="252" spans="1:10">
      <c r="A252">
        <f>IF(COUNTBLANK(B252:J252)&lt;&gt;COLUMNS(B252:J252),251,"")</f>
        <v>0</v>
      </c>
      <c r="C252" s="1">
        <f>IF(B252="", "", "UBERON:genitourinary")</f>
        <v>0</v>
      </c>
      <c r="D252" s="1">
        <f>IF(B252="", "", "UBERON:urine")</f>
        <v>0</v>
      </c>
      <c r="E252" s="1">
        <f>IF(B252="", "", "UBERON:kidney")</f>
        <v>0</v>
      </c>
      <c r="F252" s="1">
        <f>IF(B252="", "", "animal corpus")</f>
        <v>0</v>
      </c>
      <c r="G252" s="1">
        <f>IF(B252="", "", "urine")</f>
        <v>0</v>
      </c>
      <c r="H252" s="1">
        <f>IF(B252="", "", "urine")</f>
        <v>0</v>
      </c>
      <c r="I252" s="1">
        <f>IF(B252="", "", "urine metagenome")</f>
        <v>0</v>
      </c>
      <c r="J252" s="1">
        <f>IF(B252="", "", "1346744")</f>
        <v>0</v>
      </c>
    </row>
    <row r="253" spans="1:10">
      <c r="A253">
        <f>IF(COUNTBLANK(B253:J253)&lt;&gt;COLUMNS(B253:J253),252,"")</f>
        <v>0</v>
      </c>
      <c r="C253" s="1">
        <f>IF(B253="", "", "UBERON:genitourinary")</f>
        <v>0</v>
      </c>
      <c r="D253" s="1">
        <f>IF(B253="", "", "UBERON:urine")</f>
        <v>0</v>
      </c>
      <c r="E253" s="1">
        <f>IF(B253="", "", "UBERON:kidney")</f>
        <v>0</v>
      </c>
      <c r="F253" s="1">
        <f>IF(B253="", "", "animal corpus")</f>
        <v>0</v>
      </c>
      <c r="G253" s="1">
        <f>IF(B253="", "", "urine")</f>
        <v>0</v>
      </c>
      <c r="H253" s="1">
        <f>IF(B253="", "", "urine")</f>
        <v>0</v>
      </c>
      <c r="I253" s="1">
        <f>IF(B253="", "", "urine metagenome")</f>
        <v>0</v>
      </c>
      <c r="J253" s="1">
        <f>IF(B253="", "", "1346744")</f>
        <v>0</v>
      </c>
    </row>
    <row r="254" spans="1:10">
      <c r="A254">
        <f>IF(COUNTBLANK(B254:J254)&lt;&gt;COLUMNS(B254:J254),253,"")</f>
        <v>0</v>
      </c>
      <c r="C254" s="1">
        <f>IF(B254="", "", "UBERON:genitourinary")</f>
        <v>0</v>
      </c>
      <c r="D254" s="1">
        <f>IF(B254="", "", "UBERON:urine")</f>
        <v>0</v>
      </c>
      <c r="E254" s="1">
        <f>IF(B254="", "", "UBERON:kidney")</f>
        <v>0</v>
      </c>
      <c r="F254" s="1">
        <f>IF(B254="", "", "animal corpus")</f>
        <v>0</v>
      </c>
      <c r="G254" s="1">
        <f>IF(B254="", "", "urine")</f>
        <v>0</v>
      </c>
      <c r="H254" s="1">
        <f>IF(B254="", "", "urine")</f>
        <v>0</v>
      </c>
      <c r="I254" s="1">
        <f>IF(B254="", "", "urine metagenome")</f>
        <v>0</v>
      </c>
      <c r="J254" s="1">
        <f>IF(B254="", "", "1346744")</f>
        <v>0</v>
      </c>
    </row>
    <row r="255" spans="1:10">
      <c r="A255">
        <f>IF(COUNTBLANK(B255:J255)&lt;&gt;COLUMNS(B255:J255),254,"")</f>
        <v>0</v>
      </c>
      <c r="C255" s="1">
        <f>IF(B255="", "", "UBERON:genitourinary")</f>
        <v>0</v>
      </c>
      <c r="D255" s="1">
        <f>IF(B255="", "", "UBERON:urine")</f>
        <v>0</v>
      </c>
      <c r="E255" s="1">
        <f>IF(B255="", "", "UBERON:kidney")</f>
        <v>0</v>
      </c>
      <c r="F255" s="1">
        <f>IF(B255="", "", "animal corpus")</f>
        <v>0</v>
      </c>
      <c r="G255" s="1">
        <f>IF(B255="", "", "urine")</f>
        <v>0</v>
      </c>
      <c r="H255" s="1">
        <f>IF(B255="", "", "urine")</f>
        <v>0</v>
      </c>
      <c r="I255" s="1">
        <f>IF(B255="", "", "urine metagenome")</f>
        <v>0</v>
      </c>
      <c r="J255" s="1">
        <f>IF(B255="", "", "1346744")</f>
        <v>0</v>
      </c>
    </row>
    <row r="256" spans="1:10">
      <c r="A256">
        <f>IF(COUNTBLANK(B256:J256)&lt;&gt;COLUMNS(B256:J256),255,"")</f>
        <v>0</v>
      </c>
      <c r="C256" s="1">
        <f>IF(B256="", "", "UBERON:genitourinary")</f>
        <v>0</v>
      </c>
      <c r="D256" s="1">
        <f>IF(B256="", "", "UBERON:urine")</f>
        <v>0</v>
      </c>
      <c r="E256" s="1">
        <f>IF(B256="", "", "UBERON:kidney")</f>
        <v>0</v>
      </c>
      <c r="F256" s="1">
        <f>IF(B256="", "", "animal corpus")</f>
        <v>0</v>
      </c>
      <c r="G256" s="1">
        <f>IF(B256="", "", "urine")</f>
        <v>0</v>
      </c>
      <c r="H256" s="1">
        <f>IF(B256="", "", "urine")</f>
        <v>0</v>
      </c>
      <c r="I256" s="1">
        <f>IF(B256="", "", "urine metagenome")</f>
        <v>0</v>
      </c>
      <c r="J256" s="1">
        <f>IF(B256="", "", "1346744")</f>
        <v>0</v>
      </c>
    </row>
    <row r="257" spans="1:10">
      <c r="A257">
        <f>IF(COUNTBLANK(B257:J257)&lt;&gt;COLUMNS(B257:J257),256,"")</f>
        <v>0</v>
      </c>
      <c r="C257" s="1">
        <f>IF(B257="", "", "UBERON:genitourinary")</f>
        <v>0</v>
      </c>
      <c r="D257" s="1">
        <f>IF(B257="", "", "UBERON:urine")</f>
        <v>0</v>
      </c>
      <c r="E257" s="1">
        <f>IF(B257="", "", "UBERON:kidney")</f>
        <v>0</v>
      </c>
      <c r="F257" s="1">
        <f>IF(B257="", "", "animal corpus")</f>
        <v>0</v>
      </c>
      <c r="G257" s="1">
        <f>IF(B257="", "", "urine")</f>
        <v>0</v>
      </c>
      <c r="H257" s="1">
        <f>IF(B257="", "", "urine")</f>
        <v>0</v>
      </c>
      <c r="I257" s="1">
        <f>IF(B257="", "", "urine metagenome")</f>
        <v>0</v>
      </c>
      <c r="J257" s="1">
        <f>IF(B257="", "", "1346744")</f>
        <v>0</v>
      </c>
    </row>
    <row r="258" spans="1:10">
      <c r="A258">
        <f>IF(COUNTBLANK(B258:J258)&lt;&gt;COLUMNS(B258:J258),257,"")</f>
        <v>0</v>
      </c>
      <c r="C258" s="1">
        <f>IF(B258="", "", "UBERON:genitourinary")</f>
        <v>0</v>
      </c>
      <c r="D258" s="1">
        <f>IF(B258="", "", "UBERON:urine")</f>
        <v>0</v>
      </c>
      <c r="E258" s="1">
        <f>IF(B258="", "", "UBERON:kidney")</f>
        <v>0</v>
      </c>
      <c r="F258" s="1">
        <f>IF(B258="", "", "animal corpus")</f>
        <v>0</v>
      </c>
      <c r="G258" s="1">
        <f>IF(B258="", "", "urine")</f>
        <v>0</v>
      </c>
      <c r="H258" s="1">
        <f>IF(B258="", "", "urine")</f>
        <v>0</v>
      </c>
      <c r="I258" s="1">
        <f>IF(B258="", "", "urine metagenome")</f>
        <v>0</v>
      </c>
      <c r="J258" s="1">
        <f>IF(B258="", "", "1346744")</f>
        <v>0</v>
      </c>
    </row>
    <row r="259" spans="1:10">
      <c r="A259">
        <f>IF(COUNTBLANK(B259:J259)&lt;&gt;COLUMNS(B259:J259),258,"")</f>
        <v>0</v>
      </c>
      <c r="C259" s="1">
        <f>IF(B259="", "", "UBERON:genitourinary")</f>
        <v>0</v>
      </c>
      <c r="D259" s="1">
        <f>IF(B259="", "", "UBERON:urine")</f>
        <v>0</v>
      </c>
      <c r="E259" s="1">
        <f>IF(B259="", "", "UBERON:kidney")</f>
        <v>0</v>
      </c>
      <c r="F259" s="1">
        <f>IF(B259="", "", "animal corpus")</f>
        <v>0</v>
      </c>
      <c r="G259" s="1">
        <f>IF(B259="", "", "urine")</f>
        <v>0</v>
      </c>
      <c r="H259" s="1">
        <f>IF(B259="", "", "urine")</f>
        <v>0</v>
      </c>
      <c r="I259" s="1">
        <f>IF(B259="", "", "urine metagenome")</f>
        <v>0</v>
      </c>
      <c r="J259" s="1">
        <f>IF(B259="", "", "1346744")</f>
        <v>0</v>
      </c>
    </row>
    <row r="260" spans="1:10">
      <c r="A260">
        <f>IF(COUNTBLANK(B260:J260)&lt;&gt;COLUMNS(B260:J260),259,"")</f>
        <v>0</v>
      </c>
      <c r="C260" s="1">
        <f>IF(B260="", "", "UBERON:genitourinary")</f>
        <v>0</v>
      </c>
      <c r="D260" s="1">
        <f>IF(B260="", "", "UBERON:urine")</f>
        <v>0</v>
      </c>
      <c r="E260" s="1">
        <f>IF(B260="", "", "UBERON:kidney")</f>
        <v>0</v>
      </c>
      <c r="F260" s="1">
        <f>IF(B260="", "", "animal corpus")</f>
        <v>0</v>
      </c>
      <c r="G260" s="1">
        <f>IF(B260="", "", "urine")</f>
        <v>0</v>
      </c>
      <c r="H260" s="1">
        <f>IF(B260="", "", "urine")</f>
        <v>0</v>
      </c>
      <c r="I260" s="1">
        <f>IF(B260="", "", "urine metagenome")</f>
        <v>0</v>
      </c>
      <c r="J260" s="1">
        <f>IF(B260="", "", "1346744")</f>
        <v>0</v>
      </c>
    </row>
    <row r="261" spans="1:10">
      <c r="A261">
        <f>IF(COUNTBLANK(B261:J261)&lt;&gt;COLUMNS(B261:J261),260,"")</f>
        <v>0</v>
      </c>
      <c r="C261" s="1">
        <f>IF(B261="", "", "UBERON:genitourinary")</f>
        <v>0</v>
      </c>
      <c r="D261" s="1">
        <f>IF(B261="", "", "UBERON:urine")</f>
        <v>0</v>
      </c>
      <c r="E261" s="1">
        <f>IF(B261="", "", "UBERON:kidney")</f>
        <v>0</v>
      </c>
      <c r="F261" s="1">
        <f>IF(B261="", "", "animal corpus")</f>
        <v>0</v>
      </c>
      <c r="G261" s="1">
        <f>IF(B261="", "", "urine")</f>
        <v>0</v>
      </c>
      <c r="H261" s="1">
        <f>IF(B261="", "", "urine")</f>
        <v>0</v>
      </c>
      <c r="I261" s="1">
        <f>IF(B261="", "", "urine metagenome")</f>
        <v>0</v>
      </c>
      <c r="J261" s="1">
        <f>IF(B261="", "", "1346744")</f>
        <v>0</v>
      </c>
    </row>
    <row r="262" spans="1:10">
      <c r="A262">
        <f>IF(COUNTBLANK(B262:J262)&lt;&gt;COLUMNS(B262:J262),261,"")</f>
        <v>0</v>
      </c>
      <c r="C262" s="1">
        <f>IF(B262="", "", "UBERON:genitourinary")</f>
        <v>0</v>
      </c>
      <c r="D262" s="1">
        <f>IF(B262="", "", "UBERON:urine")</f>
        <v>0</v>
      </c>
      <c r="E262" s="1">
        <f>IF(B262="", "", "UBERON:kidney")</f>
        <v>0</v>
      </c>
      <c r="F262" s="1">
        <f>IF(B262="", "", "animal corpus")</f>
        <v>0</v>
      </c>
      <c r="G262" s="1">
        <f>IF(B262="", "", "urine")</f>
        <v>0</v>
      </c>
      <c r="H262" s="1">
        <f>IF(B262="", "", "urine")</f>
        <v>0</v>
      </c>
      <c r="I262" s="1">
        <f>IF(B262="", "", "urine metagenome")</f>
        <v>0</v>
      </c>
      <c r="J262" s="1">
        <f>IF(B262="", "", "1346744")</f>
        <v>0</v>
      </c>
    </row>
    <row r="263" spans="1:10">
      <c r="A263">
        <f>IF(COUNTBLANK(B263:J263)&lt;&gt;COLUMNS(B263:J263),262,"")</f>
        <v>0</v>
      </c>
      <c r="C263" s="1">
        <f>IF(B263="", "", "UBERON:genitourinary")</f>
        <v>0</v>
      </c>
      <c r="D263" s="1">
        <f>IF(B263="", "", "UBERON:urine")</f>
        <v>0</v>
      </c>
      <c r="E263" s="1">
        <f>IF(B263="", "", "UBERON:kidney")</f>
        <v>0</v>
      </c>
      <c r="F263" s="1">
        <f>IF(B263="", "", "animal corpus")</f>
        <v>0</v>
      </c>
      <c r="G263" s="1">
        <f>IF(B263="", "", "urine")</f>
        <v>0</v>
      </c>
      <c r="H263" s="1">
        <f>IF(B263="", "", "urine")</f>
        <v>0</v>
      </c>
      <c r="I263" s="1">
        <f>IF(B263="", "", "urine metagenome")</f>
        <v>0</v>
      </c>
      <c r="J263" s="1">
        <f>IF(B263="", "", "1346744")</f>
        <v>0</v>
      </c>
    </row>
    <row r="264" spans="1:10">
      <c r="A264">
        <f>IF(COUNTBLANK(B264:J264)&lt;&gt;COLUMNS(B264:J264),263,"")</f>
        <v>0</v>
      </c>
      <c r="C264" s="1">
        <f>IF(B264="", "", "UBERON:genitourinary")</f>
        <v>0</v>
      </c>
      <c r="D264" s="1">
        <f>IF(B264="", "", "UBERON:urine")</f>
        <v>0</v>
      </c>
      <c r="E264" s="1">
        <f>IF(B264="", "", "UBERON:kidney")</f>
        <v>0</v>
      </c>
      <c r="F264" s="1">
        <f>IF(B264="", "", "animal corpus")</f>
        <v>0</v>
      </c>
      <c r="G264" s="1">
        <f>IF(B264="", "", "urine")</f>
        <v>0</v>
      </c>
      <c r="H264" s="1">
        <f>IF(B264="", "", "urine")</f>
        <v>0</v>
      </c>
      <c r="I264" s="1">
        <f>IF(B264="", "", "urine metagenome")</f>
        <v>0</v>
      </c>
      <c r="J264" s="1">
        <f>IF(B264="", "", "1346744")</f>
        <v>0</v>
      </c>
    </row>
    <row r="265" spans="1:10">
      <c r="A265">
        <f>IF(COUNTBLANK(B265:J265)&lt;&gt;COLUMNS(B265:J265),264,"")</f>
        <v>0</v>
      </c>
      <c r="C265" s="1">
        <f>IF(B265="", "", "UBERON:genitourinary")</f>
        <v>0</v>
      </c>
      <c r="D265" s="1">
        <f>IF(B265="", "", "UBERON:urine")</f>
        <v>0</v>
      </c>
      <c r="E265" s="1">
        <f>IF(B265="", "", "UBERON:kidney")</f>
        <v>0</v>
      </c>
      <c r="F265" s="1">
        <f>IF(B265="", "", "animal corpus")</f>
        <v>0</v>
      </c>
      <c r="G265" s="1">
        <f>IF(B265="", "", "urine")</f>
        <v>0</v>
      </c>
      <c r="H265" s="1">
        <f>IF(B265="", "", "urine")</f>
        <v>0</v>
      </c>
      <c r="I265" s="1">
        <f>IF(B265="", "", "urine metagenome")</f>
        <v>0</v>
      </c>
      <c r="J265" s="1">
        <f>IF(B265="", "", "1346744")</f>
        <v>0</v>
      </c>
    </row>
    <row r="266" spans="1:10">
      <c r="A266">
        <f>IF(COUNTBLANK(B266:J266)&lt;&gt;COLUMNS(B266:J266),265,"")</f>
        <v>0</v>
      </c>
      <c r="C266" s="1">
        <f>IF(B266="", "", "UBERON:genitourinary")</f>
        <v>0</v>
      </c>
      <c r="D266" s="1">
        <f>IF(B266="", "", "UBERON:urine")</f>
        <v>0</v>
      </c>
      <c r="E266" s="1">
        <f>IF(B266="", "", "UBERON:kidney")</f>
        <v>0</v>
      </c>
      <c r="F266" s="1">
        <f>IF(B266="", "", "animal corpus")</f>
        <v>0</v>
      </c>
      <c r="G266" s="1">
        <f>IF(B266="", "", "urine")</f>
        <v>0</v>
      </c>
      <c r="H266" s="1">
        <f>IF(B266="", "", "urine")</f>
        <v>0</v>
      </c>
      <c r="I266" s="1">
        <f>IF(B266="", "", "urine metagenome")</f>
        <v>0</v>
      </c>
      <c r="J266" s="1">
        <f>IF(B266="", "", "1346744")</f>
        <v>0</v>
      </c>
    </row>
    <row r="267" spans="1:10">
      <c r="A267">
        <f>IF(COUNTBLANK(B267:J267)&lt;&gt;COLUMNS(B267:J267),266,"")</f>
        <v>0</v>
      </c>
      <c r="C267" s="1">
        <f>IF(B267="", "", "UBERON:genitourinary")</f>
        <v>0</v>
      </c>
      <c r="D267" s="1">
        <f>IF(B267="", "", "UBERON:urine")</f>
        <v>0</v>
      </c>
      <c r="E267" s="1">
        <f>IF(B267="", "", "UBERON:kidney")</f>
        <v>0</v>
      </c>
      <c r="F267" s="1">
        <f>IF(B267="", "", "animal corpus")</f>
        <v>0</v>
      </c>
      <c r="G267" s="1">
        <f>IF(B267="", "", "urine")</f>
        <v>0</v>
      </c>
      <c r="H267" s="1">
        <f>IF(B267="", "", "urine")</f>
        <v>0</v>
      </c>
      <c r="I267" s="1">
        <f>IF(B267="", "", "urine metagenome")</f>
        <v>0</v>
      </c>
      <c r="J267" s="1">
        <f>IF(B267="", "", "1346744")</f>
        <v>0</v>
      </c>
    </row>
    <row r="268" spans="1:10">
      <c r="A268">
        <f>IF(COUNTBLANK(B268:J268)&lt;&gt;COLUMNS(B268:J268),267,"")</f>
        <v>0</v>
      </c>
      <c r="C268" s="1">
        <f>IF(B268="", "", "UBERON:genitourinary")</f>
        <v>0</v>
      </c>
      <c r="D268" s="1">
        <f>IF(B268="", "", "UBERON:urine")</f>
        <v>0</v>
      </c>
      <c r="E268" s="1">
        <f>IF(B268="", "", "UBERON:kidney")</f>
        <v>0</v>
      </c>
      <c r="F268" s="1">
        <f>IF(B268="", "", "animal corpus")</f>
        <v>0</v>
      </c>
      <c r="G268" s="1">
        <f>IF(B268="", "", "urine")</f>
        <v>0</v>
      </c>
      <c r="H268" s="1">
        <f>IF(B268="", "", "urine")</f>
        <v>0</v>
      </c>
      <c r="I268" s="1">
        <f>IF(B268="", "", "urine metagenome")</f>
        <v>0</v>
      </c>
      <c r="J268" s="1">
        <f>IF(B268="", "", "1346744")</f>
        <v>0</v>
      </c>
    </row>
    <row r="269" spans="1:10">
      <c r="A269">
        <f>IF(COUNTBLANK(B269:J269)&lt;&gt;COLUMNS(B269:J269),268,"")</f>
        <v>0</v>
      </c>
      <c r="C269" s="1">
        <f>IF(B269="", "", "UBERON:genitourinary")</f>
        <v>0</v>
      </c>
      <c r="D269" s="1">
        <f>IF(B269="", "", "UBERON:urine")</f>
        <v>0</v>
      </c>
      <c r="E269" s="1">
        <f>IF(B269="", "", "UBERON:kidney")</f>
        <v>0</v>
      </c>
      <c r="F269" s="1">
        <f>IF(B269="", "", "animal corpus")</f>
        <v>0</v>
      </c>
      <c r="G269" s="1">
        <f>IF(B269="", "", "urine")</f>
        <v>0</v>
      </c>
      <c r="H269" s="1">
        <f>IF(B269="", "", "urine")</f>
        <v>0</v>
      </c>
      <c r="I269" s="1">
        <f>IF(B269="", "", "urine metagenome")</f>
        <v>0</v>
      </c>
      <c r="J269" s="1">
        <f>IF(B269="", "", "1346744")</f>
        <v>0</v>
      </c>
    </row>
    <row r="270" spans="1:10">
      <c r="A270">
        <f>IF(COUNTBLANK(B270:J270)&lt;&gt;COLUMNS(B270:J270),269,"")</f>
        <v>0</v>
      </c>
      <c r="C270" s="1">
        <f>IF(B270="", "", "UBERON:genitourinary")</f>
        <v>0</v>
      </c>
      <c r="D270" s="1">
        <f>IF(B270="", "", "UBERON:urine")</f>
        <v>0</v>
      </c>
      <c r="E270" s="1">
        <f>IF(B270="", "", "UBERON:kidney")</f>
        <v>0</v>
      </c>
      <c r="F270" s="1">
        <f>IF(B270="", "", "animal corpus")</f>
        <v>0</v>
      </c>
      <c r="G270" s="1">
        <f>IF(B270="", "", "urine")</f>
        <v>0</v>
      </c>
      <c r="H270" s="1">
        <f>IF(B270="", "", "urine")</f>
        <v>0</v>
      </c>
      <c r="I270" s="1">
        <f>IF(B270="", "", "urine metagenome")</f>
        <v>0</v>
      </c>
      <c r="J270" s="1">
        <f>IF(B270="", "", "1346744")</f>
        <v>0</v>
      </c>
    </row>
    <row r="271" spans="1:10">
      <c r="A271">
        <f>IF(COUNTBLANK(B271:J271)&lt;&gt;COLUMNS(B271:J271),270,"")</f>
        <v>0</v>
      </c>
      <c r="C271" s="1">
        <f>IF(B271="", "", "UBERON:genitourinary")</f>
        <v>0</v>
      </c>
      <c r="D271" s="1">
        <f>IF(B271="", "", "UBERON:urine")</f>
        <v>0</v>
      </c>
      <c r="E271" s="1">
        <f>IF(B271="", "", "UBERON:kidney")</f>
        <v>0</v>
      </c>
      <c r="F271" s="1">
        <f>IF(B271="", "", "animal corpus")</f>
        <v>0</v>
      </c>
      <c r="G271" s="1">
        <f>IF(B271="", "", "urine")</f>
        <v>0</v>
      </c>
      <c r="H271" s="1">
        <f>IF(B271="", "", "urine")</f>
        <v>0</v>
      </c>
      <c r="I271" s="1">
        <f>IF(B271="", "", "urine metagenome")</f>
        <v>0</v>
      </c>
      <c r="J271" s="1">
        <f>IF(B271="", "", "1346744")</f>
        <v>0</v>
      </c>
    </row>
    <row r="272" spans="1:10">
      <c r="A272">
        <f>IF(COUNTBLANK(B272:J272)&lt;&gt;COLUMNS(B272:J272),271,"")</f>
        <v>0</v>
      </c>
      <c r="C272" s="1">
        <f>IF(B272="", "", "UBERON:genitourinary")</f>
        <v>0</v>
      </c>
      <c r="D272" s="1">
        <f>IF(B272="", "", "UBERON:urine")</f>
        <v>0</v>
      </c>
      <c r="E272" s="1">
        <f>IF(B272="", "", "UBERON:kidney")</f>
        <v>0</v>
      </c>
      <c r="F272" s="1">
        <f>IF(B272="", "", "animal corpus")</f>
        <v>0</v>
      </c>
      <c r="G272" s="1">
        <f>IF(B272="", "", "urine")</f>
        <v>0</v>
      </c>
      <c r="H272" s="1">
        <f>IF(B272="", "", "urine")</f>
        <v>0</v>
      </c>
      <c r="I272" s="1">
        <f>IF(B272="", "", "urine metagenome")</f>
        <v>0</v>
      </c>
      <c r="J272" s="1">
        <f>IF(B272="", "", "1346744")</f>
        <v>0</v>
      </c>
    </row>
    <row r="273" spans="1:10">
      <c r="A273">
        <f>IF(COUNTBLANK(B273:J273)&lt;&gt;COLUMNS(B273:J273),272,"")</f>
        <v>0</v>
      </c>
      <c r="C273" s="1">
        <f>IF(B273="", "", "UBERON:genitourinary")</f>
        <v>0</v>
      </c>
      <c r="D273" s="1">
        <f>IF(B273="", "", "UBERON:urine")</f>
        <v>0</v>
      </c>
      <c r="E273" s="1">
        <f>IF(B273="", "", "UBERON:kidney")</f>
        <v>0</v>
      </c>
      <c r="F273" s="1">
        <f>IF(B273="", "", "animal corpus")</f>
        <v>0</v>
      </c>
      <c r="G273" s="1">
        <f>IF(B273="", "", "urine")</f>
        <v>0</v>
      </c>
      <c r="H273" s="1">
        <f>IF(B273="", "", "urine")</f>
        <v>0</v>
      </c>
      <c r="I273" s="1">
        <f>IF(B273="", "", "urine metagenome")</f>
        <v>0</v>
      </c>
      <c r="J273" s="1">
        <f>IF(B273="", "", "1346744")</f>
        <v>0</v>
      </c>
    </row>
    <row r="274" spans="1:10">
      <c r="A274">
        <f>IF(COUNTBLANK(B274:J274)&lt;&gt;COLUMNS(B274:J274),273,"")</f>
        <v>0</v>
      </c>
      <c r="C274" s="1">
        <f>IF(B274="", "", "UBERON:genitourinary")</f>
        <v>0</v>
      </c>
      <c r="D274" s="1">
        <f>IF(B274="", "", "UBERON:urine")</f>
        <v>0</v>
      </c>
      <c r="E274" s="1">
        <f>IF(B274="", "", "UBERON:kidney")</f>
        <v>0</v>
      </c>
      <c r="F274" s="1">
        <f>IF(B274="", "", "animal corpus")</f>
        <v>0</v>
      </c>
      <c r="G274" s="1">
        <f>IF(B274="", "", "urine")</f>
        <v>0</v>
      </c>
      <c r="H274" s="1">
        <f>IF(B274="", "", "urine")</f>
        <v>0</v>
      </c>
      <c r="I274" s="1">
        <f>IF(B274="", "", "urine metagenome")</f>
        <v>0</v>
      </c>
      <c r="J274" s="1">
        <f>IF(B274="", "", "1346744")</f>
        <v>0</v>
      </c>
    </row>
    <row r="275" spans="1:10">
      <c r="A275">
        <f>IF(COUNTBLANK(B275:J275)&lt;&gt;COLUMNS(B275:J275),274,"")</f>
        <v>0</v>
      </c>
      <c r="C275" s="1">
        <f>IF(B275="", "", "UBERON:genitourinary")</f>
        <v>0</v>
      </c>
      <c r="D275" s="1">
        <f>IF(B275="", "", "UBERON:urine")</f>
        <v>0</v>
      </c>
      <c r="E275" s="1">
        <f>IF(B275="", "", "UBERON:kidney")</f>
        <v>0</v>
      </c>
      <c r="F275" s="1">
        <f>IF(B275="", "", "animal corpus")</f>
        <v>0</v>
      </c>
      <c r="G275" s="1">
        <f>IF(B275="", "", "urine")</f>
        <v>0</v>
      </c>
      <c r="H275" s="1">
        <f>IF(B275="", "", "urine")</f>
        <v>0</v>
      </c>
      <c r="I275" s="1">
        <f>IF(B275="", "", "urine metagenome")</f>
        <v>0</v>
      </c>
      <c r="J275" s="1">
        <f>IF(B275="", "", "1346744")</f>
        <v>0</v>
      </c>
    </row>
    <row r="276" spans="1:10">
      <c r="A276">
        <f>IF(COUNTBLANK(B276:J276)&lt;&gt;COLUMNS(B276:J276),275,"")</f>
        <v>0</v>
      </c>
      <c r="C276" s="1">
        <f>IF(B276="", "", "UBERON:genitourinary")</f>
        <v>0</v>
      </c>
      <c r="D276" s="1">
        <f>IF(B276="", "", "UBERON:urine")</f>
        <v>0</v>
      </c>
      <c r="E276" s="1">
        <f>IF(B276="", "", "UBERON:kidney")</f>
        <v>0</v>
      </c>
      <c r="F276" s="1">
        <f>IF(B276="", "", "animal corpus")</f>
        <v>0</v>
      </c>
      <c r="G276" s="1">
        <f>IF(B276="", "", "urine")</f>
        <v>0</v>
      </c>
      <c r="H276" s="1">
        <f>IF(B276="", "", "urine")</f>
        <v>0</v>
      </c>
      <c r="I276" s="1">
        <f>IF(B276="", "", "urine metagenome")</f>
        <v>0</v>
      </c>
      <c r="J276" s="1">
        <f>IF(B276="", "", "1346744")</f>
        <v>0</v>
      </c>
    </row>
    <row r="277" spans="1:10">
      <c r="A277">
        <f>IF(COUNTBLANK(B277:J277)&lt;&gt;COLUMNS(B277:J277),276,"")</f>
        <v>0</v>
      </c>
      <c r="C277" s="1">
        <f>IF(B277="", "", "UBERON:genitourinary")</f>
        <v>0</v>
      </c>
      <c r="D277" s="1">
        <f>IF(B277="", "", "UBERON:urine")</f>
        <v>0</v>
      </c>
      <c r="E277" s="1">
        <f>IF(B277="", "", "UBERON:kidney")</f>
        <v>0</v>
      </c>
      <c r="F277" s="1">
        <f>IF(B277="", "", "animal corpus")</f>
        <v>0</v>
      </c>
      <c r="G277" s="1">
        <f>IF(B277="", "", "urine")</f>
        <v>0</v>
      </c>
      <c r="H277" s="1">
        <f>IF(B277="", "", "urine")</f>
        <v>0</v>
      </c>
      <c r="I277" s="1">
        <f>IF(B277="", "", "urine metagenome")</f>
        <v>0</v>
      </c>
      <c r="J277" s="1">
        <f>IF(B277="", "", "1346744")</f>
        <v>0</v>
      </c>
    </row>
    <row r="278" spans="1:10">
      <c r="A278">
        <f>IF(COUNTBLANK(B278:J278)&lt;&gt;COLUMNS(B278:J278),277,"")</f>
        <v>0</v>
      </c>
      <c r="C278" s="1">
        <f>IF(B278="", "", "UBERON:genitourinary")</f>
        <v>0</v>
      </c>
      <c r="D278" s="1">
        <f>IF(B278="", "", "UBERON:urine")</f>
        <v>0</v>
      </c>
      <c r="E278" s="1">
        <f>IF(B278="", "", "UBERON:kidney")</f>
        <v>0</v>
      </c>
      <c r="F278" s="1">
        <f>IF(B278="", "", "animal corpus")</f>
        <v>0</v>
      </c>
      <c r="G278" s="1">
        <f>IF(B278="", "", "urine")</f>
        <v>0</v>
      </c>
      <c r="H278" s="1">
        <f>IF(B278="", "", "urine")</f>
        <v>0</v>
      </c>
      <c r="I278" s="1">
        <f>IF(B278="", "", "urine metagenome")</f>
        <v>0</v>
      </c>
      <c r="J278" s="1">
        <f>IF(B278="", "", "1346744")</f>
        <v>0</v>
      </c>
    </row>
    <row r="279" spans="1:10">
      <c r="A279">
        <f>IF(COUNTBLANK(B279:J279)&lt;&gt;COLUMNS(B279:J279),278,"")</f>
        <v>0</v>
      </c>
      <c r="C279" s="1">
        <f>IF(B279="", "", "UBERON:genitourinary")</f>
        <v>0</v>
      </c>
      <c r="D279" s="1">
        <f>IF(B279="", "", "UBERON:urine")</f>
        <v>0</v>
      </c>
      <c r="E279" s="1">
        <f>IF(B279="", "", "UBERON:kidney")</f>
        <v>0</v>
      </c>
      <c r="F279" s="1">
        <f>IF(B279="", "", "animal corpus")</f>
        <v>0</v>
      </c>
      <c r="G279" s="1">
        <f>IF(B279="", "", "urine")</f>
        <v>0</v>
      </c>
      <c r="H279" s="1">
        <f>IF(B279="", "", "urine")</f>
        <v>0</v>
      </c>
      <c r="I279" s="1">
        <f>IF(B279="", "", "urine metagenome")</f>
        <v>0</v>
      </c>
      <c r="J279" s="1">
        <f>IF(B279="", "", "1346744")</f>
        <v>0</v>
      </c>
    </row>
    <row r="280" spans="1:10">
      <c r="A280">
        <f>IF(COUNTBLANK(B280:J280)&lt;&gt;COLUMNS(B280:J280),279,"")</f>
        <v>0</v>
      </c>
      <c r="C280" s="1">
        <f>IF(B280="", "", "UBERON:genitourinary")</f>
        <v>0</v>
      </c>
      <c r="D280" s="1">
        <f>IF(B280="", "", "UBERON:urine")</f>
        <v>0</v>
      </c>
      <c r="E280" s="1">
        <f>IF(B280="", "", "UBERON:kidney")</f>
        <v>0</v>
      </c>
      <c r="F280" s="1">
        <f>IF(B280="", "", "animal corpus")</f>
        <v>0</v>
      </c>
      <c r="G280" s="1">
        <f>IF(B280="", "", "urine")</f>
        <v>0</v>
      </c>
      <c r="H280" s="1">
        <f>IF(B280="", "", "urine")</f>
        <v>0</v>
      </c>
      <c r="I280" s="1">
        <f>IF(B280="", "", "urine metagenome")</f>
        <v>0</v>
      </c>
      <c r="J280" s="1">
        <f>IF(B280="", "", "1346744")</f>
        <v>0</v>
      </c>
    </row>
    <row r="281" spans="1:10">
      <c r="A281">
        <f>IF(COUNTBLANK(B281:J281)&lt;&gt;COLUMNS(B281:J281),280,"")</f>
        <v>0</v>
      </c>
      <c r="C281" s="1">
        <f>IF(B281="", "", "UBERON:genitourinary")</f>
        <v>0</v>
      </c>
      <c r="D281" s="1">
        <f>IF(B281="", "", "UBERON:urine")</f>
        <v>0</v>
      </c>
      <c r="E281" s="1">
        <f>IF(B281="", "", "UBERON:kidney")</f>
        <v>0</v>
      </c>
      <c r="F281" s="1">
        <f>IF(B281="", "", "animal corpus")</f>
        <v>0</v>
      </c>
      <c r="G281" s="1">
        <f>IF(B281="", "", "urine")</f>
        <v>0</v>
      </c>
      <c r="H281" s="1">
        <f>IF(B281="", "", "urine")</f>
        <v>0</v>
      </c>
      <c r="I281" s="1">
        <f>IF(B281="", "", "urine metagenome")</f>
        <v>0</v>
      </c>
      <c r="J281" s="1">
        <f>IF(B281="", "", "1346744")</f>
        <v>0</v>
      </c>
    </row>
    <row r="282" spans="1:10">
      <c r="A282">
        <f>IF(COUNTBLANK(B282:J282)&lt;&gt;COLUMNS(B282:J282),281,"")</f>
        <v>0</v>
      </c>
      <c r="C282" s="1">
        <f>IF(B282="", "", "UBERON:genitourinary")</f>
        <v>0</v>
      </c>
      <c r="D282" s="1">
        <f>IF(B282="", "", "UBERON:urine")</f>
        <v>0</v>
      </c>
      <c r="E282" s="1">
        <f>IF(B282="", "", "UBERON:kidney")</f>
        <v>0</v>
      </c>
      <c r="F282" s="1">
        <f>IF(B282="", "", "animal corpus")</f>
        <v>0</v>
      </c>
      <c r="G282" s="1">
        <f>IF(B282="", "", "urine")</f>
        <v>0</v>
      </c>
      <c r="H282" s="1">
        <f>IF(B282="", "", "urine")</f>
        <v>0</v>
      </c>
      <c r="I282" s="1">
        <f>IF(B282="", "", "urine metagenome")</f>
        <v>0</v>
      </c>
      <c r="J282" s="1">
        <f>IF(B282="", "", "1346744")</f>
        <v>0</v>
      </c>
    </row>
    <row r="283" spans="1:10">
      <c r="A283">
        <f>IF(COUNTBLANK(B283:J283)&lt;&gt;COLUMNS(B283:J283),282,"")</f>
        <v>0</v>
      </c>
      <c r="C283" s="1">
        <f>IF(B283="", "", "UBERON:genitourinary")</f>
        <v>0</v>
      </c>
      <c r="D283" s="1">
        <f>IF(B283="", "", "UBERON:urine")</f>
        <v>0</v>
      </c>
      <c r="E283" s="1">
        <f>IF(B283="", "", "UBERON:kidney")</f>
        <v>0</v>
      </c>
      <c r="F283" s="1">
        <f>IF(B283="", "", "animal corpus")</f>
        <v>0</v>
      </c>
      <c r="G283" s="1">
        <f>IF(B283="", "", "urine")</f>
        <v>0</v>
      </c>
      <c r="H283" s="1">
        <f>IF(B283="", "", "urine")</f>
        <v>0</v>
      </c>
      <c r="I283" s="1">
        <f>IF(B283="", "", "urine metagenome")</f>
        <v>0</v>
      </c>
      <c r="J283" s="1">
        <f>IF(B283="", "", "1346744")</f>
        <v>0</v>
      </c>
    </row>
    <row r="284" spans="1:10">
      <c r="A284">
        <f>IF(COUNTBLANK(B284:J284)&lt;&gt;COLUMNS(B284:J284),283,"")</f>
        <v>0</v>
      </c>
      <c r="C284" s="1">
        <f>IF(B284="", "", "UBERON:genitourinary")</f>
        <v>0</v>
      </c>
      <c r="D284" s="1">
        <f>IF(B284="", "", "UBERON:urine")</f>
        <v>0</v>
      </c>
      <c r="E284" s="1">
        <f>IF(B284="", "", "UBERON:kidney")</f>
        <v>0</v>
      </c>
      <c r="F284" s="1">
        <f>IF(B284="", "", "animal corpus")</f>
        <v>0</v>
      </c>
      <c r="G284" s="1">
        <f>IF(B284="", "", "urine")</f>
        <v>0</v>
      </c>
      <c r="H284" s="1">
        <f>IF(B284="", "", "urine")</f>
        <v>0</v>
      </c>
      <c r="I284" s="1">
        <f>IF(B284="", "", "urine metagenome")</f>
        <v>0</v>
      </c>
      <c r="J284" s="1">
        <f>IF(B284="", "", "1346744")</f>
        <v>0</v>
      </c>
    </row>
    <row r="285" spans="1:10">
      <c r="A285">
        <f>IF(COUNTBLANK(B285:J285)&lt;&gt;COLUMNS(B285:J285),284,"")</f>
        <v>0</v>
      </c>
      <c r="C285" s="1">
        <f>IF(B285="", "", "UBERON:genitourinary")</f>
        <v>0</v>
      </c>
      <c r="D285" s="1">
        <f>IF(B285="", "", "UBERON:urine")</f>
        <v>0</v>
      </c>
      <c r="E285" s="1">
        <f>IF(B285="", "", "UBERON:kidney")</f>
        <v>0</v>
      </c>
      <c r="F285" s="1">
        <f>IF(B285="", "", "animal corpus")</f>
        <v>0</v>
      </c>
      <c r="G285" s="1">
        <f>IF(B285="", "", "urine")</f>
        <v>0</v>
      </c>
      <c r="H285" s="1">
        <f>IF(B285="", "", "urine")</f>
        <v>0</v>
      </c>
      <c r="I285" s="1">
        <f>IF(B285="", "", "urine metagenome")</f>
        <v>0</v>
      </c>
      <c r="J285" s="1">
        <f>IF(B285="", "", "1346744")</f>
        <v>0</v>
      </c>
    </row>
    <row r="286" spans="1:10">
      <c r="A286">
        <f>IF(COUNTBLANK(B286:J286)&lt;&gt;COLUMNS(B286:J286),285,"")</f>
        <v>0</v>
      </c>
      <c r="C286" s="1">
        <f>IF(B286="", "", "UBERON:genitourinary")</f>
        <v>0</v>
      </c>
      <c r="D286" s="1">
        <f>IF(B286="", "", "UBERON:urine")</f>
        <v>0</v>
      </c>
      <c r="E286" s="1">
        <f>IF(B286="", "", "UBERON:kidney")</f>
        <v>0</v>
      </c>
      <c r="F286" s="1">
        <f>IF(B286="", "", "animal corpus")</f>
        <v>0</v>
      </c>
      <c r="G286" s="1">
        <f>IF(B286="", "", "urine")</f>
        <v>0</v>
      </c>
      <c r="H286" s="1">
        <f>IF(B286="", "", "urine")</f>
        <v>0</v>
      </c>
      <c r="I286" s="1">
        <f>IF(B286="", "", "urine metagenome")</f>
        <v>0</v>
      </c>
      <c r="J286" s="1">
        <f>IF(B286="", "", "1346744")</f>
        <v>0</v>
      </c>
    </row>
    <row r="287" spans="1:10">
      <c r="A287">
        <f>IF(COUNTBLANK(B287:J287)&lt;&gt;COLUMNS(B287:J287),286,"")</f>
        <v>0</v>
      </c>
      <c r="C287" s="1">
        <f>IF(B287="", "", "UBERON:genitourinary")</f>
        <v>0</v>
      </c>
      <c r="D287" s="1">
        <f>IF(B287="", "", "UBERON:urine")</f>
        <v>0</v>
      </c>
      <c r="E287" s="1">
        <f>IF(B287="", "", "UBERON:kidney")</f>
        <v>0</v>
      </c>
      <c r="F287" s="1">
        <f>IF(B287="", "", "animal corpus")</f>
        <v>0</v>
      </c>
      <c r="G287" s="1">
        <f>IF(B287="", "", "urine")</f>
        <v>0</v>
      </c>
      <c r="H287" s="1">
        <f>IF(B287="", "", "urine")</f>
        <v>0</v>
      </c>
      <c r="I287" s="1">
        <f>IF(B287="", "", "urine metagenome")</f>
        <v>0</v>
      </c>
      <c r="J287" s="1">
        <f>IF(B287="", "", "1346744")</f>
        <v>0</v>
      </c>
    </row>
    <row r="288" spans="1:10">
      <c r="A288">
        <f>IF(COUNTBLANK(B288:J288)&lt;&gt;COLUMNS(B288:J288),287,"")</f>
        <v>0</v>
      </c>
      <c r="C288" s="1">
        <f>IF(B288="", "", "UBERON:genitourinary")</f>
        <v>0</v>
      </c>
      <c r="D288" s="1">
        <f>IF(B288="", "", "UBERON:urine")</f>
        <v>0</v>
      </c>
      <c r="E288" s="1">
        <f>IF(B288="", "", "UBERON:kidney")</f>
        <v>0</v>
      </c>
      <c r="F288" s="1">
        <f>IF(B288="", "", "animal corpus")</f>
        <v>0</v>
      </c>
      <c r="G288" s="1">
        <f>IF(B288="", "", "urine")</f>
        <v>0</v>
      </c>
      <c r="H288" s="1">
        <f>IF(B288="", "", "urine")</f>
        <v>0</v>
      </c>
      <c r="I288" s="1">
        <f>IF(B288="", "", "urine metagenome")</f>
        <v>0</v>
      </c>
      <c r="J288" s="1">
        <f>IF(B288="", "", "1346744")</f>
        <v>0</v>
      </c>
    </row>
    <row r="289" spans="1:10">
      <c r="A289">
        <f>IF(COUNTBLANK(B289:J289)&lt;&gt;COLUMNS(B289:J289),288,"")</f>
        <v>0</v>
      </c>
      <c r="C289" s="1">
        <f>IF(B289="", "", "UBERON:genitourinary")</f>
        <v>0</v>
      </c>
      <c r="D289" s="1">
        <f>IF(B289="", "", "UBERON:urine")</f>
        <v>0</v>
      </c>
      <c r="E289" s="1">
        <f>IF(B289="", "", "UBERON:kidney")</f>
        <v>0</v>
      </c>
      <c r="F289" s="1">
        <f>IF(B289="", "", "animal corpus")</f>
        <v>0</v>
      </c>
      <c r="G289" s="1">
        <f>IF(B289="", "", "urine")</f>
        <v>0</v>
      </c>
      <c r="H289" s="1">
        <f>IF(B289="", "", "urine")</f>
        <v>0</v>
      </c>
      <c r="I289" s="1">
        <f>IF(B289="", "", "urine metagenome")</f>
        <v>0</v>
      </c>
      <c r="J289" s="1">
        <f>IF(B289="", "", "1346744")</f>
        <v>0</v>
      </c>
    </row>
    <row r="290" spans="1:10">
      <c r="A290">
        <f>IF(COUNTBLANK(B290:J290)&lt;&gt;COLUMNS(B290:J290),289,"")</f>
        <v>0</v>
      </c>
      <c r="C290" s="1">
        <f>IF(B290="", "", "UBERON:genitourinary")</f>
        <v>0</v>
      </c>
      <c r="D290" s="1">
        <f>IF(B290="", "", "UBERON:urine")</f>
        <v>0</v>
      </c>
      <c r="E290" s="1">
        <f>IF(B290="", "", "UBERON:kidney")</f>
        <v>0</v>
      </c>
      <c r="F290" s="1">
        <f>IF(B290="", "", "animal corpus")</f>
        <v>0</v>
      </c>
      <c r="G290" s="1">
        <f>IF(B290="", "", "urine")</f>
        <v>0</v>
      </c>
      <c r="H290" s="1">
        <f>IF(B290="", "", "urine")</f>
        <v>0</v>
      </c>
      <c r="I290" s="1">
        <f>IF(B290="", "", "urine metagenome")</f>
        <v>0</v>
      </c>
      <c r="J290" s="1">
        <f>IF(B290="", "", "1346744")</f>
        <v>0</v>
      </c>
    </row>
    <row r="291" spans="1:10">
      <c r="A291">
        <f>IF(COUNTBLANK(B291:J291)&lt;&gt;COLUMNS(B291:J291),290,"")</f>
        <v>0</v>
      </c>
      <c r="C291" s="1">
        <f>IF(B291="", "", "UBERON:genitourinary")</f>
        <v>0</v>
      </c>
      <c r="D291" s="1">
        <f>IF(B291="", "", "UBERON:urine")</f>
        <v>0</v>
      </c>
      <c r="E291" s="1">
        <f>IF(B291="", "", "UBERON:kidney")</f>
        <v>0</v>
      </c>
      <c r="F291" s="1">
        <f>IF(B291="", "", "animal corpus")</f>
        <v>0</v>
      </c>
      <c r="G291" s="1">
        <f>IF(B291="", "", "urine")</f>
        <v>0</v>
      </c>
      <c r="H291" s="1">
        <f>IF(B291="", "", "urine")</f>
        <v>0</v>
      </c>
      <c r="I291" s="1">
        <f>IF(B291="", "", "urine metagenome")</f>
        <v>0</v>
      </c>
      <c r="J291" s="1">
        <f>IF(B291="", "", "1346744")</f>
        <v>0</v>
      </c>
    </row>
    <row r="292" spans="1:10">
      <c r="A292">
        <f>IF(COUNTBLANK(B292:J292)&lt;&gt;COLUMNS(B292:J292),291,"")</f>
        <v>0</v>
      </c>
      <c r="C292" s="1">
        <f>IF(B292="", "", "UBERON:genitourinary")</f>
        <v>0</v>
      </c>
      <c r="D292" s="1">
        <f>IF(B292="", "", "UBERON:urine")</f>
        <v>0</v>
      </c>
      <c r="E292" s="1">
        <f>IF(B292="", "", "UBERON:kidney")</f>
        <v>0</v>
      </c>
      <c r="F292" s="1">
        <f>IF(B292="", "", "animal corpus")</f>
        <v>0</v>
      </c>
      <c r="G292" s="1">
        <f>IF(B292="", "", "urine")</f>
        <v>0</v>
      </c>
      <c r="H292" s="1">
        <f>IF(B292="", "", "urine")</f>
        <v>0</v>
      </c>
      <c r="I292" s="1">
        <f>IF(B292="", "", "urine metagenome")</f>
        <v>0</v>
      </c>
      <c r="J292" s="1">
        <f>IF(B292="", "", "1346744")</f>
        <v>0</v>
      </c>
    </row>
    <row r="293" spans="1:10">
      <c r="A293">
        <f>IF(COUNTBLANK(B293:J293)&lt;&gt;COLUMNS(B293:J293),292,"")</f>
        <v>0</v>
      </c>
      <c r="C293" s="1">
        <f>IF(B293="", "", "UBERON:genitourinary")</f>
        <v>0</v>
      </c>
      <c r="D293" s="1">
        <f>IF(B293="", "", "UBERON:urine")</f>
        <v>0</v>
      </c>
      <c r="E293" s="1">
        <f>IF(B293="", "", "UBERON:kidney")</f>
        <v>0</v>
      </c>
      <c r="F293" s="1">
        <f>IF(B293="", "", "animal corpus")</f>
        <v>0</v>
      </c>
      <c r="G293" s="1">
        <f>IF(B293="", "", "urine")</f>
        <v>0</v>
      </c>
      <c r="H293" s="1">
        <f>IF(B293="", "", "urine")</f>
        <v>0</v>
      </c>
      <c r="I293" s="1">
        <f>IF(B293="", "", "urine metagenome")</f>
        <v>0</v>
      </c>
      <c r="J293" s="1">
        <f>IF(B293="", "", "1346744")</f>
        <v>0</v>
      </c>
    </row>
    <row r="294" spans="1:10">
      <c r="A294">
        <f>IF(COUNTBLANK(B294:J294)&lt;&gt;COLUMNS(B294:J294),293,"")</f>
        <v>0</v>
      </c>
      <c r="C294" s="1">
        <f>IF(B294="", "", "UBERON:genitourinary")</f>
        <v>0</v>
      </c>
      <c r="D294" s="1">
        <f>IF(B294="", "", "UBERON:urine")</f>
        <v>0</v>
      </c>
      <c r="E294" s="1">
        <f>IF(B294="", "", "UBERON:kidney")</f>
        <v>0</v>
      </c>
      <c r="F294" s="1">
        <f>IF(B294="", "", "animal corpus")</f>
        <v>0</v>
      </c>
      <c r="G294" s="1">
        <f>IF(B294="", "", "urine")</f>
        <v>0</v>
      </c>
      <c r="H294" s="1">
        <f>IF(B294="", "", "urine")</f>
        <v>0</v>
      </c>
      <c r="I294" s="1">
        <f>IF(B294="", "", "urine metagenome")</f>
        <v>0</v>
      </c>
      <c r="J294" s="1">
        <f>IF(B294="", "", "1346744")</f>
        <v>0</v>
      </c>
    </row>
    <row r="295" spans="1:10">
      <c r="A295">
        <f>IF(COUNTBLANK(B295:J295)&lt;&gt;COLUMNS(B295:J295),294,"")</f>
        <v>0</v>
      </c>
      <c r="C295" s="1">
        <f>IF(B295="", "", "UBERON:genitourinary")</f>
        <v>0</v>
      </c>
      <c r="D295" s="1">
        <f>IF(B295="", "", "UBERON:urine")</f>
        <v>0</v>
      </c>
      <c r="E295" s="1">
        <f>IF(B295="", "", "UBERON:kidney")</f>
        <v>0</v>
      </c>
      <c r="F295" s="1">
        <f>IF(B295="", "", "animal corpus")</f>
        <v>0</v>
      </c>
      <c r="G295" s="1">
        <f>IF(B295="", "", "urine")</f>
        <v>0</v>
      </c>
      <c r="H295" s="1">
        <f>IF(B295="", "", "urine")</f>
        <v>0</v>
      </c>
      <c r="I295" s="1">
        <f>IF(B295="", "", "urine metagenome")</f>
        <v>0</v>
      </c>
      <c r="J295" s="1">
        <f>IF(B295="", "", "1346744")</f>
        <v>0</v>
      </c>
    </row>
    <row r="296" spans="1:10">
      <c r="A296">
        <f>IF(COUNTBLANK(B296:J296)&lt;&gt;COLUMNS(B296:J296),295,"")</f>
        <v>0</v>
      </c>
      <c r="C296" s="1">
        <f>IF(B296="", "", "UBERON:genitourinary")</f>
        <v>0</v>
      </c>
      <c r="D296" s="1">
        <f>IF(B296="", "", "UBERON:urine")</f>
        <v>0</v>
      </c>
      <c r="E296" s="1">
        <f>IF(B296="", "", "UBERON:kidney")</f>
        <v>0</v>
      </c>
      <c r="F296" s="1">
        <f>IF(B296="", "", "animal corpus")</f>
        <v>0</v>
      </c>
      <c r="G296" s="1">
        <f>IF(B296="", "", "urine")</f>
        <v>0</v>
      </c>
      <c r="H296" s="1">
        <f>IF(B296="", "", "urine")</f>
        <v>0</v>
      </c>
      <c r="I296" s="1">
        <f>IF(B296="", "", "urine metagenome")</f>
        <v>0</v>
      </c>
      <c r="J296" s="1">
        <f>IF(B296="", "", "1346744")</f>
        <v>0</v>
      </c>
    </row>
    <row r="297" spans="1:10">
      <c r="A297">
        <f>IF(COUNTBLANK(B297:J297)&lt;&gt;COLUMNS(B297:J297),296,"")</f>
        <v>0</v>
      </c>
      <c r="C297" s="1">
        <f>IF(B297="", "", "UBERON:genitourinary")</f>
        <v>0</v>
      </c>
      <c r="D297" s="1">
        <f>IF(B297="", "", "UBERON:urine")</f>
        <v>0</v>
      </c>
      <c r="E297" s="1">
        <f>IF(B297="", "", "UBERON:kidney")</f>
        <v>0</v>
      </c>
      <c r="F297" s="1">
        <f>IF(B297="", "", "animal corpus")</f>
        <v>0</v>
      </c>
      <c r="G297" s="1">
        <f>IF(B297="", "", "urine")</f>
        <v>0</v>
      </c>
      <c r="H297" s="1">
        <f>IF(B297="", "", "urine")</f>
        <v>0</v>
      </c>
      <c r="I297" s="1">
        <f>IF(B297="", "", "urine metagenome")</f>
        <v>0</v>
      </c>
      <c r="J297" s="1">
        <f>IF(B297="", "", "1346744")</f>
        <v>0</v>
      </c>
    </row>
    <row r="298" spans="1:10">
      <c r="A298">
        <f>IF(COUNTBLANK(B298:J298)&lt;&gt;COLUMNS(B298:J298),297,"")</f>
        <v>0</v>
      </c>
      <c r="C298" s="1">
        <f>IF(B298="", "", "UBERON:genitourinary")</f>
        <v>0</v>
      </c>
      <c r="D298" s="1">
        <f>IF(B298="", "", "UBERON:urine")</f>
        <v>0</v>
      </c>
      <c r="E298" s="1">
        <f>IF(B298="", "", "UBERON:kidney")</f>
        <v>0</v>
      </c>
      <c r="F298" s="1">
        <f>IF(B298="", "", "animal corpus")</f>
        <v>0</v>
      </c>
      <c r="G298" s="1">
        <f>IF(B298="", "", "urine")</f>
        <v>0</v>
      </c>
      <c r="H298" s="1">
        <f>IF(B298="", "", "urine")</f>
        <v>0</v>
      </c>
      <c r="I298" s="1">
        <f>IF(B298="", "", "urine metagenome")</f>
        <v>0</v>
      </c>
      <c r="J298" s="1">
        <f>IF(B298="", "", "1346744")</f>
        <v>0</v>
      </c>
    </row>
    <row r="299" spans="1:10">
      <c r="A299">
        <f>IF(COUNTBLANK(B299:J299)&lt;&gt;COLUMNS(B299:J299),298,"")</f>
        <v>0</v>
      </c>
      <c r="C299" s="1">
        <f>IF(B299="", "", "UBERON:genitourinary")</f>
        <v>0</v>
      </c>
      <c r="D299" s="1">
        <f>IF(B299="", "", "UBERON:urine")</f>
        <v>0</v>
      </c>
      <c r="E299" s="1">
        <f>IF(B299="", "", "UBERON:kidney")</f>
        <v>0</v>
      </c>
      <c r="F299" s="1">
        <f>IF(B299="", "", "animal corpus")</f>
        <v>0</v>
      </c>
      <c r="G299" s="1">
        <f>IF(B299="", "", "urine")</f>
        <v>0</v>
      </c>
      <c r="H299" s="1">
        <f>IF(B299="", "", "urine")</f>
        <v>0</v>
      </c>
      <c r="I299" s="1">
        <f>IF(B299="", "", "urine metagenome")</f>
        <v>0</v>
      </c>
      <c r="J299" s="1">
        <f>IF(B299="", "", "1346744")</f>
        <v>0</v>
      </c>
    </row>
    <row r="300" spans="1:10">
      <c r="A300">
        <f>IF(COUNTBLANK(B300:J300)&lt;&gt;COLUMNS(B300:J300),299,"")</f>
        <v>0</v>
      </c>
      <c r="C300" s="1">
        <f>IF(B300="", "", "UBERON:genitourinary")</f>
        <v>0</v>
      </c>
      <c r="D300" s="1">
        <f>IF(B300="", "", "UBERON:urine")</f>
        <v>0</v>
      </c>
      <c r="E300" s="1">
        <f>IF(B300="", "", "UBERON:kidney")</f>
        <v>0</v>
      </c>
      <c r="F300" s="1">
        <f>IF(B300="", "", "animal corpus")</f>
        <v>0</v>
      </c>
      <c r="G300" s="1">
        <f>IF(B300="", "", "urine")</f>
        <v>0</v>
      </c>
      <c r="H300" s="1">
        <f>IF(B300="", "", "urine")</f>
        <v>0</v>
      </c>
      <c r="I300" s="1">
        <f>IF(B300="", "", "urine metagenome")</f>
        <v>0</v>
      </c>
      <c r="J300" s="1">
        <f>IF(B300="", "", "1346744")</f>
        <v>0</v>
      </c>
    </row>
    <row r="301" spans="1:10">
      <c r="A301">
        <f>IF(COUNTBLANK(B301:J301)&lt;&gt;COLUMNS(B301:J301),300,"")</f>
        <v>0</v>
      </c>
      <c r="C301" s="1">
        <f>IF(B301="", "", "UBERON:genitourinary")</f>
        <v>0</v>
      </c>
      <c r="D301" s="1">
        <f>IF(B301="", "", "UBERON:urine")</f>
        <v>0</v>
      </c>
      <c r="E301" s="1">
        <f>IF(B301="", "", "UBERON:kidney")</f>
        <v>0</v>
      </c>
      <c r="F301" s="1">
        <f>IF(B301="", "", "animal corpus")</f>
        <v>0</v>
      </c>
      <c r="G301" s="1">
        <f>IF(B301="", "", "urine")</f>
        <v>0</v>
      </c>
      <c r="H301" s="1">
        <f>IF(B301="", "", "urine")</f>
        <v>0</v>
      </c>
      <c r="I301" s="1">
        <f>IF(B301="", "", "urine metagenome")</f>
        <v>0</v>
      </c>
      <c r="J301" s="1">
        <f>IF(B301="", "", "1346744")</f>
        <v>0</v>
      </c>
    </row>
    <row r="302" spans="1:10">
      <c r="A302">
        <f>IF(COUNTBLANK(B302:J302)&lt;&gt;COLUMNS(B302:J302),301,"")</f>
        <v>0</v>
      </c>
      <c r="C302" s="1">
        <f>IF(B302="", "", "UBERON:genitourinary")</f>
        <v>0</v>
      </c>
      <c r="D302" s="1">
        <f>IF(B302="", "", "UBERON:urine")</f>
        <v>0</v>
      </c>
      <c r="E302" s="1">
        <f>IF(B302="", "", "UBERON:kidney")</f>
        <v>0</v>
      </c>
      <c r="F302" s="1">
        <f>IF(B302="", "", "animal corpus")</f>
        <v>0</v>
      </c>
      <c r="G302" s="1">
        <f>IF(B302="", "", "urine")</f>
        <v>0</v>
      </c>
      <c r="H302" s="1">
        <f>IF(B302="", "", "urine")</f>
        <v>0</v>
      </c>
      <c r="I302" s="1">
        <f>IF(B302="", "", "urine metagenome")</f>
        <v>0</v>
      </c>
      <c r="J302" s="1">
        <f>IF(B302="", "", "1346744")</f>
        <v>0</v>
      </c>
    </row>
    <row r="303" spans="1:10">
      <c r="A303">
        <f>IF(COUNTBLANK(B303:J303)&lt;&gt;COLUMNS(B303:J303),302,"")</f>
        <v>0</v>
      </c>
      <c r="C303" s="1">
        <f>IF(B303="", "", "UBERON:genitourinary")</f>
        <v>0</v>
      </c>
      <c r="D303" s="1">
        <f>IF(B303="", "", "UBERON:urine")</f>
        <v>0</v>
      </c>
      <c r="E303" s="1">
        <f>IF(B303="", "", "UBERON:kidney")</f>
        <v>0</v>
      </c>
      <c r="F303" s="1">
        <f>IF(B303="", "", "animal corpus")</f>
        <v>0</v>
      </c>
      <c r="G303" s="1">
        <f>IF(B303="", "", "urine")</f>
        <v>0</v>
      </c>
      <c r="H303" s="1">
        <f>IF(B303="", "", "urine")</f>
        <v>0</v>
      </c>
      <c r="I303" s="1">
        <f>IF(B303="", "", "urine metagenome")</f>
        <v>0</v>
      </c>
      <c r="J303" s="1">
        <f>IF(B303="", "", "1346744")</f>
        <v>0</v>
      </c>
    </row>
    <row r="304" spans="1:10">
      <c r="A304">
        <f>IF(COUNTBLANK(B304:J304)&lt;&gt;COLUMNS(B304:J304),303,"")</f>
        <v>0</v>
      </c>
      <c r="C304" s="1">
        <f>IF(B304="", "", "UBERON:genitourinary")</f>
        <v>0</v>
      </c>
      <c r="D304" s="1">
        <f>IF(B304="", "", "UBERON:urine")</f>
        <v>0</v>
      </c>
      <c r="E304" s="1">
        <f>IF(B304="", "", "UBERON:kidney")</f>
        <v>0</v>
      </c>
      <c r="F304" s="1">
        <f>IF(B304="", "", "animal corpus")</f>
        <v>0</v>
      </c>
      <c r="G304" s="1">
        <f>IF(B304="", "", "urine")</f>
        <v>0</v>
      </c>
      <c r="H304" s="1">
        <f>IF(B304="", "", "urine")</f>
        <v>0</v>
      </c>
      <c r="I304" s="1">
        <f>IF(B304="", "", "urine metagenome")</f>
        <v>0</v>
      </c>
      <c r="J304" s="1">
        <f>IF(B304="", "", "1346744")</f>
        <v>0</v>
      </c>
    </row>
    <row r="305" spans="1:10">
      <c r="A305">
        <f>IF(COUNTBLANK(B305:J305)&lt;&gt;COLUMNS(B305:J305),304,"")</f>
        <v>0</v>
      </c>
      <c r="C305" s="1">
        <f>IF(B305="", "", "UBERON:genitourinary")</f>
        <v>0</v>
      </c>
      <c r="D305" s="1">
        <f>IF(B305="", "", "UBERON:urine")</f>
        <v>0</v>
      </c>
      <c r="E305" s="1">
        <f>IF(B305="", "", "UBERON:kidney")</f>
        <v>0</v>
      </c>
      <c r="F305" s="1">
        <f>IF(B305="", "", "animal corpus")</f>
        <v>0</v>
      </c>
      <c r="G305" s="1">
        <f>IF(B305="", "", "urine")</f>
        <v>0</v>
      </c>
      <c r="H305" s="1">
        <f>IF(B305="", "", "urine")</f>
        <v>0</v>
      </c>
      <c r="I305" s="1">
        <f>IF(B305="", "", "urine metagenome")</f>
        <v>0</v>
      </c>
      <c r="J305" s="1">
        <f>IF(B305="", "", "1346744")</f>
        <v>0</v>
      </c>
    </row>
    <row r="306" spans="1:10">
      <c r="A306">
        <f>IF(COUNTBLANK(B306:J306)&lt;&gt;COLUMNS(B306:J306),305,"")</f>
        <v>0</v>
      </c>
      <c r="C306" s="1">
        <f>IF(B306="", "", "UBERON:genitourinary")</f>
        <v>0</v>
      </c>
      <c r="D306" s="1">
        <f>IF(B306="", "", "UBERON:urine")</f>
        <v>0</v>
      </c>
      <c r="E306" s="1">
        <f>IF(B306="", "", "UBERON:kidney")</f>
        <v>0</v>
      </c>
      <c r="F306" s="1">
        <f>IF(B306="", "", "animal corpus")</f>
        <v>0</v>
      </c>
      <c r="G306" s="1">
        <f>IF(B306="", "", "urine")</f>
        <v>0</v>
      </c>
      <c r="H306" s="1">
        <f>IF(B306="", "", "urine")</f>
        <v>0</v>
      </c>
      <c r="I306" s="1">
        <f>IF(B306="", "", "urine metagenome")</f>
        <v>0</v>
      </c>
      <c r="J306" s="1">
        <f>IF(B306="", "", "1346744")</f>
        <v>0</v>
      </c>
    </row>
    <row r="307" spans="1:10">
      <c r="A307">
        <f>IF(COUNTBLANK(B307:J307)&lt;&gt;COLUMNS(B307:J307),306,"")</f>
        <v>0</v>
      </c>
      <c r="C307" s="1">
        <f>IF(B307="", "", "UBERON:genitourinary")</f>
        <v>0</v>
      </c>
      <c r="D307" s="1">
        <f>IF(B307="", "", "UBERON:urine")</f>
        <v>0</v>
      </c>
      <c r="E307" s="1">
        <f>IF(B307="", "", "UBERON:kidney")</f>
        <v>0</v>
      </c>
      <c r="F307" s="1">
        <f>IF(B307="", "", "animal corpus")</f>
        <v>0</v>
      </c>
      <c r="G307" s="1">
        <f>IF(B307="", "", "urine")</f>
        <v>0</v>
      </c>
      <c r="H307" s="1">
        <f>IF(B307="", "", "urine")</f>
        <v>0</v>
      </c>
      <c r="I307" s="1">
        <f>IF(B307="", "", "urine metagenome")</f>
        <v>0</v>
      </c>
      <c r="J307" s="1">
        <f>IF(B307="", "", "1346744")</f>
        <v>0</v>
      </c>
    </row>
    <row r="308" spans="1:10">
      <c r="A308">
        <f>IF(COUNTBLANK(B308:J308)&lt;&gt;COLUMNS(B308:J308),307,"")</f>
        <v>0</v>
      </c>
      <c r="C308" s="1">
        <f>IF(B308="", "", "UBERON:genitourinary")</f>
        <v>0</v>
      </c>
      <c r="D308" s="1">
        <f>IF(B308="", "", "UBERON:urine")</f>
        <v>0</v>
      </c>
      <c r="E308" s="1">
        <f>IF(B308="", "", "UBERON:kidney")</f>
        <v>0</v>
      </c>
      <c r="F308" s="1">
        <f>IF(B308="", "", "animal corpus")</f>
        <v>0</v>
      </c>
      <c r="G308" s="1">
        <f>IF(B308="", "", "urine")</f>
        <v>0</v>
      </c>
      <c r="H308" s="1">
        <f>IF(B308="", "", "urine")</f>
        <v>0</v>
      </c>
      <c r="I308" s="1">
        <f>IF(B308="", "", "urine metagenome")</f>
        <v>0</v>
      </c>
      <c r="J308" s="1">
        <f>IF(B308="", "", "1346744")</f>
        <v>0</v>
      </c>
    </row>
    <row r="309" spans="1:10">
      <c r="A309">
        <f>IF(COUNTBLANK(B309:J309)&lt;&gt;COLUMNS(B309:J309),308,"")</f>
        <v>0</v>
      </c>
      <c r="C309" s="1">
        <f>IF(B309="", "", "UBERON:genitourinary")</f>
        <v>0</v>
      </c>
      <c r="D309" s="1">
        <f>IF(B309="", "", "UBERON:urine")</f>
        <v>0</v>
      </c>
      <c r="E309" s="1">
        <f>IF(B309="", "", "UBERON:kidney")</f>
        <v>0</v>
      </c>
      <c r="F309" s="1">
        <f>IF(B309="", "", "animal corpus")</f>
        <v>0</v>
      </c>
      <c r="G309" s="1">
        <f>IF(B309="", "", "urine")</f>
        <v>0</v>
      </c>
      <c r="H309" s="1">
        <f>IF(B309="", "", "urine")</f>
        <v>0</v>
      </c>
      <c r="I309" s="1">
        <f>IF(B309="", "", "urine metagenome")</f>
        <v>0</v>
      </c>
      <c r="J309" s="1">
        <f>IF(B309="", "", "1346744")</f>
        <v>0</v>
      </c>
    </row>
    <row r="310" spans="1:10">
      <c r="A310">
        <f>IF(COUNTBLANK(B310:J310)&lt;&gt;COLUMNS(B310:J310),309,"")</f>
        <v>0</v>
      </c>
      <c r="C310" s="1">
        <f>IF(B310="", "", "UBERON:genitourinary")</f>
        <v>0</v>
      </c>
      <c r="D310" s="1">
        <f>IF(B310="", "", "UBERON:urine")</f>
        <v>0</v>
      </c>
      <c r="E310" s="1">
        <f>IF(B310="", "", "UBERON:kidney")</f>
        <v>0</v>
      </c>
      <c r="F310" s="1">
        <f>IF(B310="", "", "animal corpus")</f>
        <v>0</v>
      </c>
      <c r="G310" s="1">
        <f>IF(B310="", "", "urine")</f>
        <v>0</v>
      </c>
      <c r="H310" s="1">
        <f>IF(B310="", "", "urine")</f>
        <v>0</v>
      </c>
      <c r="I310" s="1">
        <f>IF(B310="", "", "urine metagenome")</f>
        <v>0</v>
      </c>
      <c r="J310" s="1">
        <f>IF(B310="", "", "1346744")</f>
        <v>0</v>
      </c>
    </row>
    <row r="311" spans="1:10">
      <c r="A311">
        <f>IF(COUNTBLANK(B311:J311)&lt;&gt;COLUMNS(B311:J311),310,"")</f>
        <v>0</v>
      </c>
      <c r="C311" s="1">
        <f>IF(B311="", "", "UBERON:genitourinary")</f>
        <v>0</v>
      </c>
      <c r="D311" s="1">
        <f>IF(B311="", "", "UBERON:urine")</f>
        <v>0</v>
      </c>
      <c r="E311" s="1">
        <f>IF(B311="", "", "UBERON:kidney")</f>
        <v>0</v>
      </c>
      <c r="F311" s="1">
        <f>IF(B311="", "", "animal corpus")</f>
        <v>0</v>
      </c>
      <c r="G311" s="1">
        <f>IF(B311="", "", "urine")</f>
        <v>0</v>
      </c>
      <c r="H311" s="1">
        <f>IF(B311="", "", "urine")</f>
        <v>0</v>
      </c>
      <c r="I311" s="1">
        <f>IF(B311="", "", "urine metagenome")</f>
        <v>0</v>
      </c>
      <c r="J311" s="1">
        <f>IF(B311="", "", "1346744")</f>
        <v>0</v>
      </c>
    </row>
    <row r="312" spans="1:10">
      <c r="A312">
        <f>IF(COUNTBLANK(B312:J312)&lt;&gt;COLUMNS(B312:J312),311,"")</f>
        <v>0</v>
      </c>
      <c r="C312" s="1">
        <f>IF(B312="", "", "UBERON:genitourinary")</f>
        <v>0</v>
      </c>
      <c r="D312" s="1">
        <f>IF(B312="", "", "UBERON:urine")</f>
        <v>0</v>
      </c>
      <c r="E312" s="1">
        <f>IF(B312="", "", "UBERON:kidney")</f>
        <v>0</v>
      </c>
      <c r="F312" s="1">
        <f>IF(B312="", "", "animal corpus")</f>
        <v>0</v>
      </c>
      <c r="G312" s="1">
        <f>IF(B312="", "", "urine")</f>
        <v>0</v>
      </c>
      <c r="H312" s="1">
        <f>IF(B312="", "", "urine")</f>
        <v>0</v>
      </c>
      <c r="I312" s="1">
        <f>IF(B312="", "", "urine metagenome")</f>
        <v>0</v>
      </c>
      <c r="J312" s="1">
        <f>IF(B312="", "", "1346744")</f>
        <v>0</v>
      </c>
    </row>
    <row r="313" spans="1:10">
      <c r="A313">
        <f>IF(COUNTBLANK(B313:J313)&lt;&gt;COLUMNS(B313:J313),312,"")</f>
        <v>0</v>
      </c>
      <c r="C313" s="1">
        <f>IF(B313="", "", "UBERON:genitourinary")</f>
        <v>0</v>
      </c>
      <c r="D313" s="1">
        <f>IF(B313="", "", "UBERON:urine")</f>
        <v>0</v>
      </c>
      <c r="E313" s="1">
        <f>IF(B313="", "", "UBERON:kidney")</f>
        <v>0</v>
      </c>
      <c r="F313" s="1">
        <f>IF(B313="", "", "animal corpus")</f>
        <v>0</v>
      </c>
      <c r="G313" s="1">
        <f>IF(B313="", "", "urine")</f>
        <v>0</v>
      </c>
      <c r="H313" s="1">
        <f>IF(B313="", "", "urine")</f>
        <v>0</v>
      </c>
      <c r="I313" s="1">
        <f>IF(B313="", "", "urine metagenome")</f>
        <v>0</v>
      </c>
      <c r="J313" s="1">
        <f>IF(B313="", "", "1346744")</f>
        <v>0</v>
      </c>
    </row>
    <row r="314" spans="1:10">
      <c r="A314">
        <f>IF(COUNTBLANK(B314:J314)&lt;&gt;COLUMNS(B314:J314),313,"")</f>
        <v>0</v>
      </c>
      <c r="C314" s="1">
        <f>IF(B314="", "", "UBERON:genitourinary")</f>
        <v>0</v>
      </c>
      <c r="D314" s="1">
        <f>IF(B314="", "", "UBERON:urine")</f>
        <v>0</v>
      </c>
      <c r="E314" s="1">
        <f>IF(B314="", "", "UBERON:kidney")</f>
        <v>0</v>
      </c>
      <c r="F314" s="1">
        <f>IF(B314="", "", "animal corpus")</f>
        <v>0</v>
      </c>
      <c r="G314" s="1">
        <f>IF(B314="", "", "urine")</f>
        <v>0</v>
      </c>
      <c r="H314" s="1">
        <f>IF(B314="", "", "urine")</f>
        <v>0</v>
      </c>
      <c r="I314" s="1">
        <f>IF(B314="", "", "urine metagenome")</f>
        <v>0</v>
      </c>
      <c r="J314" s="1">
        <f>IF(B314="", "", "1346744")</f>
        <v>0</v>
      </c>
    </row>
    <row r="315" spans="1:10">
      <c r="A315">
        <f>IF(COUNTBLANK(B315:J315)&lt;&gt;COLUMNS(B315:J315),314,"")</f>
        <v>0</v>
      </c>
      <c r="C315" s="1">
        <f>IF(B315="", "", "UBERON:genitourinary")</f>
        <v>0</v>
      </c>
      <c r="D315" s="1">
        <f>IF(B315="", "", "UBERON:urine")</f>
        <v>0</v>
      </c>
      <c r="E315" s="1">
        <f>IF(B315="", "", "UBERON:kidney")</f>
        <v>0</v>
      </c>
      <c r="F315" s="1">
        <f>IF(B315="", "", "animal corpus")</f>
        <v>0</v>
      </c>
      <c r="G315" s="1">
        <f>IF(B315="", "", "urine")</f>
        <v>0</v>
      </c>
      <c r="H315" s="1">
        <f>IF(B315="", "", "urine")</f>
        <v>0</v>
      </c>
      <c r="I315" s="1">
        <f>IF(B315="", "", "urine metagenome")</f>
        <v>0</v>
      </c>
      <c r="J315" s="1">
        <f>IF(B315="", "", "1346744")</f>
        <v>0</v>
      </c>
    </row>
    <row r="316" spans="1:10">
      <c r="A316">
        <f>IF(COUNTBLANK(B316:J316)&lt;&gt;COLUMNS(B316:J316),315,"")</f>
        <v>0</v>
      </c>
      <c r="C316" s="1">
        <f>IF(B316="", "", "UBERON:genitourinary")</f>
        <v>0</v>
      </c>
      <c r="D316" s="1">
        <f>IF(B316="", "", "UBERON:urine")</f>
        <v>0</v>
      </c>
      <c r="E316" s="1">
        <f>IF(B316="", "", "UBERON:kidney")</f>
        <v>0</v>
      </c>
      <c r="F316" s="1">
        <f>IF(B316="", "", "animal corpus")</f>
        <v>0</v>
      </c>
      <c r="G316" s="1">
        <f>IF(B316="", "", "urine")</f>
        <v>0</v>
      </c>
      <c r="H316" s="1">
        <f>IF(B316="", "", "urine")</f>
        <v>0</v>
      </c>
      <c r="I316" s="1">
        <f>IF(B316="", "", "urine metagenome")</f>
        <v>0</v>
      </c>
      <c r="J316" s="1">
        <f>IF(B316="", "", "1346744")</f>
        <v>0</v>
      </c>
    </row>
    <row r="317" spans="1:10">
      <c r="A317">
        <f>IF(COUNTBLANK(B317:J317)&lt;&gt;COLUMNS(B317:J317),316,"")</f>
        <v>0</v>
      </c>
      <c r="C317" s="1">
        <f>IF(B317="", "", "UBERON:genitourinary")</f>
        <v>0</v>
      </c>
      <c r="D317" s="1">
        <f>IF(B317="", "", "UBERON:urine")</f>
        <v>0</v>
      </c>
      <c r="E317" s="1">
        <f>IF(B317="", "", "UBERON:kidney")</f>
        <v>0</v>
      </c>
      <c r="F317" s="1">
        <f>IF(B317="", "", "animal corpus")</f>
        <v>0</v>
      </c>
      <c r="G317" s="1">
        <f>IF(B317="", "", "urine")</f>
        <v>0</v>
      </c>
      <c r="H317" s="1">
        <f>IF(B317="", "", "urine")</f>
        <v>0</v>
      </c>
      <c r="I317" s="1">
        <f>IF(B317="", "", "urine metagenome")</f>
        <v>0</v>
      </c>
      <c r="J317" s="1">
        <f>IF(B317="", "", "1346744")</f>
        <v>0</v>
      </c>
    </row>
    <row r="318" spans="1:10">
      <c r="A318">
        <f>IF(COUNTBLANK(B318:J318)&lt;&gt;COLUMNS(B318:J318),317,"")</f>
        <v>0</v>
      </c>
      <c r="C318" s="1">
        <f>IF(B318="", "", "UBERON:genitourinary")</f>
        <v>0</v>
      </c>
      <c r="D318" s="1">
        <f>IF(B318="", "", "UBERON:urine")</f>
        <v>0</v>
      </c>
      <c r="E318" s="1">
        <f>IF(B318="", "", "UBERON:kidney")</f>
        <v>0</v>
      </c>
      <c r="F318" s="1">
        <f>IF(B318="", "", "animal corpus")</f>
        <v>0</v>
      </c>
      <c r="G318" s="1">
        <f>IF(B318="", "", "urine")</f>
        <v>0</v>
      </c>
      <c r="H318" s="1">
        <f>IF(B318="", "", "urine")</f>
        <v>0</v>
      </c>
      <c r="I318" s="1">
        <f>IF(B318="", "", "urine metagenome")</f>
        <v>0</v>
      </c>
      <c r="J318" s="1">
        <f>IF(B318="", "", "1346744")</f>
        <v>0</v>
      </c>
    </row>
    <row r="319" spans="1:10">
      <c r="A319">
        <f>IF(COUNTBLANK(B319:J319)&lt;&gt;COLUMNS(B319:J319),318,"")</f>
        <v>0</v>
      </c>
      <c r="C319" s="1">
        <f>IF(B319="", "", "UBERON:genitourinary")</f>
        <v>0</v>
      </c>
      <c r="D319" s="1">
        <f>IF(B319="", "", "UBERON:urine")</f>
        <v>0</v>
      </c>
      <c r="E319" s="1">
        <f>IF(B319="", "", "UBERON:kidney")</f>
        <v>0</v>
      </c>
      <c r="F319" s="1">
        <f>IF(B319="", "", "animal corpus")</f>
        <v>0</v>
      </c>
      <c r="G319" s="1">
        <f>IF(B319="", "", "urine")</f>
        <v>0</v>
      </c>
      <c r="H319" s="1">
        <f>IF(B319="", "", "urine")</f>
        <v>0</v>
      </c>
      <c r="I319" s="1">
        <f>IF(B319="", "", "urine metagenome")</f>
        <v>0</v>
      </c>
      <c r="J319" s="1">
        <f>IF(B319="", "", "1346744")</f>
        <v>0</v>
      </c>
    </row>
    <row r="320" spans="1:10">
      <c r="A320">
        <f>IF(COUNTBLANK(B320:J320)&lt;&gt;COLUMNS(B320:J320),319,"")</f>
        <v>0</v>
      </c>
      <c r="C320" s="1">
        <f>IF(B320="", "", "UBERON:genitourinary")</f>
        <v>0</v>
      </c>
      <c r="D320" s="1">
        <f>IF(B320="", "", "UBERON:urine")</f>
        <v>0</v>
      </c>
      <c r="E320" s="1">
        <f>IF(B320="", "", "UBERON:kidney")</f>
        <v>0</v>
      </c>
      <c r="F320" s="1">
        <f>IF(B320="", "", "animal corpus")</f>
        <v>0</v>
      </c>
      <c r="G320" s="1">
        <f>IF(B320="", "", "urine")</f>
        <v>0</v>
      </c>
      <c r="H320" s="1">
        <f>IF(B320="", "", "urine")</f>
        <v>0</v>
      </c>
      <c r="I320" s="1">
        <f>IF(B320="", "", "urine metagenome")</f>
        <v>0</v>
      </c>
      <c r="J320" s="1">
        <f>IF(B320="", "", "1346744")</f>
        <v>0</v>
      </c>
    </row>
    <row r="321" spans="1:10">
      <c r="A321">
        <f>IF(COUNTBLANK(B321:J321)&lt;&gt;COLUMNS(B321:J321),320,"")</f>
        <v>0</v>
      </c>
      <c r="C321" s="1">
        <f>IF(B321="", "", "UBERON:genitourinary")</f>
        <v>0</v>
      </c>
      <c r="D321" s="1">
        <f>IF(B321="", "", "UBERON:urine")</f>
        <v>0</v>
      </c>
      <c r="E321" s="1">
        <f>IF(B321="", "", "UBERON:kidney")</f>
        <v>0</v>
      </c>
      <c r="F321" s="1">
        <f>IF(B321="", "", "animal corpus")</f>
        <v>0</v>
      </c>
      <c r="G321" s="1">
        <f>IF(B321="", "", "urine")</f>
        <v>0</v>
      </c>
      <c r="H321" s="1">
        <f>IF(B321="", "", "urine")</f>
        <v>0</v>
      </c>
      <c r="I321" s="1">
        <f>IF(B321="", "", "urine metagenome")</f>
        <v>0</v>
      </c>
      <c r="J321" s="1">
        <f>IF(B321="", "", "1346744")</f>
        <v>0</v>
      </c>
    </row>
    <row r="322" spans="1:10">
      <c r="A322">
        <f>IF(COUNTBLANK(B322:J322)&lt;&gt;COLUMNS(B322:J322),321,"")</f>
        <v>0</v>
      </c>
      <c r="C322" s="1">
        <f>IF(B322="", "", "UBERON:genitourinary")</f>
        <v>0</v>
      </c>
      <c r="D322" s="1">
        <f>IF(B322="", "", "UBERON:urine")</f>
        <v>0</v>
      </c>
      <c r="E322" s="1">
        <f>IF(B322="", "", "UBERON:kidney")</f>
        <v>0</v>
      </c>
      <c r="F322" s="1">
        <f>IF(B322="", "", "animal corpus")</f>
        <v>0</v>
      </c>
      <c r="G322" s="1">
        <f>IF(B322="", "", "urine")</f>
        <v>0</v>
      </c>
      <c r="H322" s="1">
        <f>IF(B322="", "", "urine")</f>
        <v>0</v>
      </c>
      <c r="I322" s="1">
        <f>IF(B322="", "", "urine metagenome")</f>
        <v>0</v>
      </c>
      <c r="J322" s="1">
        <f>IF(B322="", "", "1346744")</f>
        <v>0</v>
      </c>
    </row>
    <row r="323" spans="1:10">
      <c r="A323">
        <f>IF(COUNTBLANK(B323:J323)&lt;&gt;COLUMNS(B323:J323),322,"")</f>
        <v>0</v>
      </c>
      <c r="C323" s="1">
        <f>IF(B323="", "", "UBERON:genitourinary")</f>
        <v>0</v>
      </c>
      <c r="D323" s="1">
        <f>IF(B323="", "", "UBERON:urine")</f>
        <v>0</v>
      </c>
      <c r="E323" s="1">
        <f>IF(B323="", "", "UBERON:kidney")</f>
        <v>0</v>
      </c>
      <c r="F323" s="1">
        <f>IF(B323="", "", "animal corpus")</f>
        <v>0</v>
      </c>
      <c r="G323" s="1">
        <f>IF(B323="", "", "urine")</f>
        <v>0</v>
      </c>
      <c r="H323" s="1">
        <f>IF(B323="", "", "urine")</f>
        <v>0</v>
      </c>
      <c r="I323" s="1">
        <f>IF(B323="", "", "urine metagenome")</f>
        <v>0</v>
      </c>
      <c r="J323" s="1">
        <f>IF(B323="", "", "1346744")</f>
        <v>0</v>
      </c>
    </row>
    <row r="324" spans="1:10">
      <c r="A324">
        <f>IF(COUNTBLANK(B324:J324)&lt;&gt;COLUMNS(B324:J324),323,"")</f>
        <v>0</v>
      </c>
      <c r="C324" s="1">
        <f>IF(B324="", "", "UBERON:genitourinary")</f>
        <v>0</v>
      </c>
      <c r="D324" s="1">
        <f>IF(B324="", "", "UBERON:urine")</f>
        <v>0</v>
      </c>
      <c r="E324" s="1">
        <f>IF(B324="", "", "UBERON:kidney")</f>
        <v>0</v>
      </c>
      <c r="F324" s="1">
        <f>IF(B324="", "", "animal corpus")</f>
        <v>0</v>
      </c>
      <c r="G324" s="1">
        <f>IF(B324="", "", "urine")</f>
        <v>0</v>
      </c>
      <c r="H324" s="1">
        <f>IF(B324="", "", "urine")</f>
        <v>0</v>
      </c>
      <c r="I324" s="1">
        <f>IF(B324="", "", "urine metagenome")</f>
        <v>0</v>
      </c>
      <c r="J324" s="1">
        <f>IF(B324="", "", "1346744")</f>
        <v>0</v>
      </c>
    </row>
    <row r="325" spans="1:10">
      <c r="A325">
        <f>IF(COUNTBLANK(B325:J325)&lt;&gt;COLUMNS(B325:J325),324,"")</f>
        <v>0</v>
      </c>
      <c r="C325" s="1">
        <f>IF(B325="", "", "UBERON:genitourinary")</f>
        <v>0</v>
      </c>
      <c r="D325" s="1">
        <f>IF(B325="", "", "UBERON:urine")</f>
        <v>0</v>
      </c>
      <c r="E325" s="1">
        <f>IF(B325="", "", "UBERON:kidney")</f>
        <v>0</v>
      </c>
      <c r="F325" s="1">
        <f>IF(B325="", "", "animal corpus")</f>
        <v>0</v>
      </c>
      <c r="G325" s="1">
        <f>IF(B325="", "", "urine")</f>
        <v>0</v>
      </c>
      <c r="H325" s="1">
        <f>IF(B325="", "", "urine")</f>
        <v>0</v>
      </c>
      <c r="I325" s="1">
        <f>IF(B325="", "", "urine metagenome")</f>
        <v>0</v>
      </c>
      <c r="J325" s="1">
        <f>IF(B325="", "", "1346744")</f>
        <v>0</v>
      </c>
    </row>
    <row r="326" spans="1:10">
      <c r="A326">
        <f>IF(COUNTBLANK(B326:J326)&lt;&gt;COLUMNS(B326:J326),325,"")</f>
        <v>0</v>
      </c>
      <c r="C326" s="1">
        <f>IF(B326="", "", "UBERON:genitourinary")</f>
        <v>0</v>
      </c>
      <c r="D326" s="1">
        <f>IF(B326="", "", "UBERON:urine")</f>
        <v>0</v>
      </c>
      <c r="E326" s="1">
        <f>IF(B326="", "", "UBERON:kidney")</f>
        <v>0</v>
      </c>
      <c r="F326" s="1">
        <f>IF(B326="", "", "animal corpus")</f>
        <v>0</v>
      </c>
      <c r="G326" s="1">
        <f>IF(B326="", "", "urine")</f>
        <v>0</v>
      </c>
      <c r="H326" s="1">
        <f>IF(B326="", "", "urine")</f>
        <v>0</v>
      </c>
      <c r="I326" s="1">
        <f>IF(B326="", "", "urine metagenome")</f>
        <v>0</v>
      </c>
      <c r="J326" s="1">
        <f>IF(B326="", "", "1346744")</f>
        <v>0</v>
      </c>
    </row>
    <row r="327" spans="1:10">
      <c r="A327">
        <f>IF(COUNTBLANK(B327:J327)&lt;&gt;COLUMNS(B327:J327),326,"")</f>
        <v>0</v>
      </c>
      <c r="C327" s="1">
        <f>IF(B327="", "", "UBERON:genitourinary")</f>
        <v>0</v>
      </c>
      <c r="D327" s="1">
        <f>IF(B327="", "", "UBERON:urine")</f>
        <v>0</v>
      </c>
      <c r="E327" s="1">
        <f>IF(B327="", "", "UBERON:kidney")</f>
        <v>0</v>
      </c>
      <c r="F327" s="1">
        <f>IF(B327="", "", "animal corpus")</f>
        <v>0</v>
      </c>
      <c r="G327" s="1">
        <f>IF(B327="", "", "urine")</f>
        <v>0</v>
      </c>
      <c r="H327" s="1">
        <f>IF(B327="", "", "urine")</f>
        <v>0</v>
      </c>
      <c r="I327" s="1">
        <f>IF(B327="", "", "urine metagenome")</f>
        <v>0</v>
      </c>
      <c r="J327" s="1">
        <f>IF(B327="", "", "1346744")</f>
        <v>0</v>
      </c>
    </row>
    <row r="328" spans="1:10">
      <c r="A328">
        <f>IF(COUNTBLANK(B328:J328)&lt;&gt;COLUMNS(B328:J328),327,"")</f>
        <v>0</v>
      </c>
      <c r="C328" s="1">
        <f>IF(B328="", "", "UBERON:genitourinary")</f>
        <v>0</v>
      </c>
      <c r="D328" s="1">
        <f>IF(B328="", "", "UBERON:urine")</f>
        <v>0</v>
      </c>
      <c r="E328" s="1">
        <f>IF(B328="", "", "UBERON:kidney")</f>
        <v>0</v>
      </c>
      <c r="F328" s="1">
        <f>IF(B328="", "", "animal corpus")</f>
        <v>0</v>
      </c>
      <c r="G328" s="1">
        <f>IF(B328="", "", "urine")</f>
        <v>0</v>
      </c>
      <c r="H328" s="1">
        <f>IF(B328="", "", "urine")</f>
        <v>0</v>
      </c>
      <c r="I328" s="1">
        <f>IF(B328="", "", "urine metagenome")</f>
        <v>0</v>
      </c>
      <c r="J328" s="1">
        <f>IF(B328="", "", "1346744")</f>
        <v>0</v>
      </c>
    </row>
    <row r="329" spans="1:10">
      <c r="A329">
        <f>IF(COUNTBLANK(B329:J329)&lt;&gt;COLUMNS(B329:J329),328,"")</f>
        <v>0</v>
      </c>
      <c r="C329" s="1">
        <f>IF(B329="", "", "UBERON:genitourinary")</f>
        <v>0</v>
      </c>
      <c r="D329" s="1">
        <f>IF(B329="", "", "UBERON:urine")</f>
        <v>0</v>
      </c>
      <c r="E329" s="1">
        <f>IF(B329="", "", "UBERON:kidney")</f>
        <v>0</v>
      </c>
      <c r="F329" s="1">
        <f>IF(B329="", "", "animal corpus")</f>
        <v>0</v>
      </c>
      <c r="G329" s="1">
        <f>IF(B329="", "", "urine")</f>
        <v>0</v>
      </c>
      <c r="H329" s="1">
        <f>IF(B329="", "", "urine")</f>
        <v>0</v>
      </c>
      <c r="I329" s="1">
        <f>IF(B329="", "", "urine metagenome")</f>
        <v>0</v>
      </c>
      <c r="J329" s="1">
        <f>IF(B329="", "", "1346744")</f>
        <v>0</v>
      </c>
    </row>
    <row r="330" spans="1:10">
      <c r="A330">
        <f>IF(COUNTBLANK(B330:J330)&lt;&gt;COLUMNS(B330:J330),329,"")</f>
        <v>0</v>
      </c>
      <c r="C330" s="1">
        <f>IF(B330="", "", "UBERON:genitourinary")</f>
        <v>0</v>
      </c>
      <c r="D330" s="1">
        <f>IF(B330="", "", "UBERON:urine")</f>
        <v>0</v>
      </c>
      <c r="E330" s="1">
        <f>IF(B330="", "", "UBERON:kidney")</f>
        <v>0</v>
      </c>
      <c r="F330" s="1">
        <f>IF(B330="", "", "animal corpus")</f>
        <v>0</v>
      </c>
      <c r="G330" s="1">
        <f>IF(B330="", "", "urine")</f>
        <v>0</v>
      </c>
      <c r="H330" s="1">
        <f>IF(B330="", "", "urine")</f>
        <v>0</v>
      </c>
      <c r="I330" s="1">
        <f>IF(B330="", "", "urine metagenome")</f>
        <v>0</v>
      </c>
      <c r="J330" s="1">
        <f>IF(B330="", "", "1346744")</f>
        <v>0</v>
      </c>
    </row>
    <row r="331" spans="1:10">
      <c r="A331">
        <f>IF(COUNTBLANK(B331:J331)&lt;&gt;COLUMNS(B331:J331),330,"")</f>
        <v>0</v>
      </c>
      <c r="C331" s="1">
        <f>IF(B331="", "", "UBERON:genitourinary")</f>
        <v>0</v>
      </c>
      <c r="D331" s="1">
        <f>IF(B331="", "", "UBERON:urine")</f>
        <v>0</v>
      </c>
      <c r="E331" s="1">
        <f>IF(B331="", "", "UBERON:kidney")</f>
        <v>0</v>
      </c>
      <c r="F331" s="1">
        <f>IF(B331="", "", "animal corpus")</f>
        <v>0</v>
      </c>
      <c r="G331" s="1">
        <f>IF(B331="", "", "urine")</f>
        <v>0</v>
      </c>
      <c r="H331" s="1">
        <f>IF(B331="", "", "urine")</f>
        <v>0</v>
      </c>
      <c r="I331" s="1">
        <f>IF(B331="", "", "urine metagenome")</f>
        <v>0</v>
      </c>
      <c r="J331" s="1">
        <f>IF(B331="", "", "1346744")</f>
        <v>0</v>
      </c>
    </row>
    <row r="332" spans="1:10">
      <c r="A332">
        <f>IF(COUNTBLANK(B332:J332)&lt;&gt;COLUMNS(B332:J332),331,"")</f>
        <v>0</v>
      </c>
      <c r="C332" s="1">
        <f>IF(B332="", "", "UBERON:genitourinary")</f>
        <v>0</v>
      </c>
      <c r="D332" s="1">
        <f>IF(B332="", "", "UBERON:urine")</f>
        <v>0</v>
      </c>
      <c r="E332" s="1">
        <f>IF(B332="", "", "UBERON:kidney")</f>
        <v>0</v>
      </c>
      <c r="F332" s="1">
        <f>IF(B332="", "", "animal corpus")</f>
        <v>0</v>
      </c>
      <c r="G332" s="1">
        <f>IF(B332="", "", "urine")</f>
        <v>0</v>
      </c>
      <c r="H332" s="1">
        <f>IF(B332="", "", "urine")</f>
        <v>0</v>
      </c>
      <c r="I332" s="1">
        <f>IF(B332="", "", "urine metagenome")</f>
        <v>0</v>
      </c>
      <c r="J332" s="1">
        <f>IF(B332="", "", "1346744")</f>
        <v>0</v>
      </c>
    </row>
    <row r="333" spans="1:10">
      <c r="A333">
        <f>IF(COUNTBLANK(B333:J333)&lt;&gt;COLUMNS(B333:J333),332,"")</f>
        <v>0</v>
      </c>
      <c r="C333" s="1">
        <f>IF(B333="", "", "UBERON:genitourinary")</f>
        <v>0</v>
      </c>
      <c r="D333" s="1">
        <f>IF(B333="", "", "UBERON:urine")</f>
        <v>0</v>
      </c>
      <c r="E333" s="1">
        <f>IF(B333="", "", "UBERON:kidney")</f>
        <v>0</v>
      </c>
      <c r="F333" s="1">
        <f>IF(B333="", "", "animal corpus")</f>
        <v>0</v>
      </c>
      <c r="G333" s="1">
        <f>IF(B333="", "", "urine")</f>
        <v>0</v>
      </c>
      <c r="H333" s="1">
        <f>IF(B333="", "", "urine")</f>
        <v>0</v>
      </c>
      <c r="I333" s="1">
        <f>IF(B333="", "", "urine metagenome")</f>
        <v>0</v>
      </c>
      <c r="J333" s="1">
        <f>IF(B333="", "", "1346744")</f>
        <v>0</v>
      </c>
    </row>
    <row r="334" spans="1:10">
      <c r="A334">
        <f>IF(COUNTBLANK(B334:J334)&lt;&gt;COLUMNS(B334:J334),333,"")</f>
        <v>0</v>
      </c>
      <c r="C334" s="1">
        <f>IF(B334="", "", "UBERON:genitourinary")</f>
        <v>0</v>
      </c>
      <c r="D334" s="1">
        <f>IF(B334="", "", "UBERON:urine")</f>
        <v>0</v>
      </c>
      <c r="E334" s="1">
        <f>IF(B334="", "", "UBERON:kidney")</f>
        <v>0</v>
      </c>
      <c r="F334" s="1">
        <f>IF(B334="", "", "animal corpus")</f>
        <v>0</v>
      </c>
      <c r="G334" s="1">
        <f>IF(B334="", "", "urine")</f>
        <v>0</v>
      </c>
      <c r="H334" s="1">
        <f>IF(B334="", "", "urine")</f>
        <v>0</v>
      </c>
      <c r="I334" s="1">
        <f>IF(B334="", "", "urine metagenome")</f>
        <v>0</v>
      </c>
      <c r="J334" s="1">
        <f>IF(B334="", "", "1346744")</f>
        <v>0</v>
      </c>
    </row>
    <row r="335" spans="1:10">
      <c r="A335">
        <f>IF(COUNTBLANK(B335:J335)&lt;&gt;COLUMNS(B335:J335),334,"")</f>
        <v>0</v>
      </c>
      <c r="C335" s="1">
        <f>IF(B335="", "", "UBERON:genitourinary")</f>
        <v>0</v>
      </c>
      <c r="D335" s="1">
        <f>IF(B335="", "", "UBERON:urine")</f>
        <v>0</v>
      </c>
      <c r="E335" s="1">
        <f>IF(B335="", "", "UBERON:kidney")</f>
        <v>0</v>
      </c>
      <c r="F335" s="1">
        <f>IF(B335="", "", "animal corpus")</f>
        <v>0</v>
      </c>
      <c r="G335" s="1">
        <f>IF(B335="", "", "urine")</f>
        <v>0</v>
      </c>
      <c r="H335" s="1">
        <f>IF(B335="", "", "urine")</f>
        <v>0</v>
      </c>
      <c r="I335" s="1">
        <f>IF(B335="", "", "urine metagenome")</f>
        <v>0</v>
      </c>
      <c r="J335" s="1">
        <f>IF(B335="", "", "1346744")</f>
        <v>0</v>
      </c>
    </row>
    <row r="336" spans="1:10">
      <c r="A336">
        <f>IF(COUNTBLANK(B336:J336)&lt;&gt;COLUMNS(B336:J336),335,"")</f>
        <v>0</v>
      </c>
      <c r="C336" s="1">
        <f>IF(B336="", "", "UBERON:genitourinary")</f>
        <v>0</v>
      </c>
      <c r="D336" s="1">
        <f>IF(B336="", "", "UBERON:urine")</f>
        <v>0</v>
      </c>
      <c r="E336" s="1">
        <f>IF(B336="", "", "UBERON:kidney")</f>
        <v>0</v>
      </c>
      <c r="F336" s="1">
        <f>IF(B336="", "", "animal corpus")</f>
        <v>0</v>
      </c>
      <c r="G336" s="1">
        <f>IF(B336="", "", "urine")</f>
        <v>0</v>
      </c>
      <c r="H336" s="1">
        <f>IF(B336="", "", "urine")</f>
        <v>0</v>
      </c>
      <c r="I336" s="1">
        <f>IF(B336="", "", "urine metagenome")</f>
        <v>0</v>
      </c>
      <c r="J336" s="1">
        <f>IF(B336="", "", "1346744")</f>
        <v>0</v>
      </c>
    </row>
    <row r="337" spans="1:10">
      <c r="A337">
        <f>IF(COUNTBLANK(B337:J337)&lt;&gt;COLUMNS(B337:J337),336,"")</f>
        <v>0</v>
      </c>
      <c r="C337" s="1">
        <f>IF(B337="", "", "UBERON:genitourinary")</f>
        <v>0</v>
      </c>
      <c r="D337" s="1">
        <f>IF(B337="", "", "UBERON:urine")</f>
        <v>0</v>
      </c>
      <c r="E337" s="1">
        <f>IF(B337="", "", "UBERON:kidney")</f>
        <v>0</v>
      </c>
      <c r="F337" s="1">
        <f>IF(B337="", "", "animal corpus")</f>
        <v>0</v>
      </c>
      <c r="G337" s="1">
        <f>IF(B337="", "", "urine")</f>
        <v>0</v>
      </c>
      <c r="H337" s="1">
        <f>IF(B337="", "", "urine")</f>
        <v>0</v>
      </c>
      <c r="I337" s="1">
        <f>IF(B337="", "", "urine metagenome")</f>
        <v>0</v>
      </c>
      <c r="J337" s="1">
        <f>IF(B337="", "", "1346744")</f>
        <v>0</v>
      </c>
    </row>
    <row r="338" spans="1:10">
      <c r="A338">
        <f>IF(COUNTBLANK(B338:J338)&lt;&gt;COLUMNS(B338:J338),337,"")</f>
        <v>0</v>
      </c>
      <c r="C338" s="1">
        <f>IF(B338="", "", "UBERON:genitourinary")</f>
        <v>0</v>
      </c>
      <c r="D338" s="1">
        <f>IF(B338="", "", "UBERON:urine")</f>
        <v>0</v>
      </c>
      <c r="E338" s="1">
        <f>IF(B338="", "", "UBERON:kidney")</f>
        <v>0</v>
      </c>
      <c r="F338" s="1">
        <f>IF(B338="", "", "animal corpus")</f>
        <v>0</v>
      </c>
      <c r="G338" s="1">
        <f>IF(B338="", "", "urine")</f>
        <v>0</v>
      </c>
      <c r="H338" s="1">
        <f>IF(B338="", "", "urine")</f>
        <v>0</v>
      </c>
      <c r="I338" s="1">
        <f>IF(B338="", "", "urine metagenome")</f>
        <v>0</v>
      </c>
      <c r="J338" s="1">
        <f>IF(B338="", "", "1346744")</f>
        <v>0</v>
      </c>
    </row>
    <row r="339" spans="1:10">
      <c r="A339">
        <f>IF(COUNTBLANK(B339:J339)&lt;&gt;COLUMNS(B339:J339),338,"")</f>
        <v>0</v>
      </c>
      <c r="C339" s="1">
        <f>IF(B339="", "", "UBERON:genitourinary")</f>
        <v>0</v>
      </c>
      <c r="D339" s="1">
        <f>IF(B339="", "", "UBERON:urine")</f>
        <v>0</v>
      </c>
      <c r="E339" s="1">
        <f>IF(B339="", "", "UBERON:kidney")</f>
        <v>0</v>
      </c>
      <c r="F339" s="1">
        <f>IF(B339="", "", "animal corpus")</f>
        <v>0</v>
      </c>
      <c r="G339" s="1">
        <f>IF(B339="", "", "urine")</f>
        <v>0</v>
      </c>
      <c r="H339" s="1">
        <f>IF(B339="", "", "urine")</f>
        <v>0</v>
      </c>
      <c r="I339" s="1">
        <f>IF(B339="", "", "urine metagenome")</f>
        <v>0</v>
      </c>
      <c r="J339" s="1">
        <f>IF(B339="", "", "1346744")</f>
        <v>0</v>
      </c>
    </row>
    <row r="340" spans="1:10">
      <c r="A340">
        <f>IF(COUNTBLANK(B340:J340)&lt;&gt;COLUMNS(B340:J340),339,"")</f>
        <v>0</v>
      </c>
      <c r="C340" s="1">
        <f>IF(B340="", "", "UBERON:genitourinary")</f>
        <v>0</v>
      </c>
      <c r="D340" s="1">
        <f>IF(B340="", "", "UBERON:urine")</f>
        <v>0</v>
      </c>
      <c r="E340" s="1">
        <f>IF(B340="", "", "UBERON:kidney")</f>
        <v>0</v>
      </c>
      <c r="F340" s="1">
        <f>IF(B340="", "", "animal corpus")</f>
        <v>0</v>
      </c>
      <c r="G340" s="1">
        <f>IF(B340="", "", "urine")</f>
        <v>0</v>
      </c>
      <c r="H340" s="1">
        <f>IF(B340="", "", "urine")</f>
        <v>0</v>
      </c>
      <c r="I340" s="1">
        <f>IF(B340="", "", "urine metagenome")</f>
        <v>0</v>
      </c>
      <c r="J340" s="1">
        <f>IF(B340="", "", "1346744")</f>
        <v>0</v>
      </c>
    </row>
    <row r="341" spans="1:10">
      <c r="A341">
        <f>IF(COUNTBLANK(B341:J341)&lt;&gt;COLUMNS(B341:J341),340,"")</f>
        <v>0</v>
      </c>
      <c r="C341" s="1">
        <f>IF(B341="", "", "UBERON:genitourinary")</f>
        <v>0</v>
      </c>
      <c r="D341" s="1">
        <f>IF(B341="", "", "UBERON:urine")</f>
        <v>0</v>
      </c>
      <c r="E341" s="1">
        <f>IF(B341="", "", "UBERON:kidney")</f>
        <v>0</v>
      </c>
      <c r="F341" s="1">
        <f>IF(B341="", "", "animal corpus")</f>
        <v>0</v>
      </c>
      <c r="G341" s="1">
        <f>IF(B341="", "", "urine")</f>
        <v>0</v>
      </c>
      <c r="H341" s="1">
        <f>IF(B341="", "", "urine")</f>
        <v>0</v>
      </c>
      <c r="I341" s="1">
        <f>IF(B341="", "", "urine metagenome")</f>
        <v>0</v>
      </c>
      <c r="J341" s="1">
        <f>IF(B341="", "", "1346744")</f>
        <v>0</v>
      </c>
    </row>
    <row r="342" spans="1:10">
      <c r="A342">
        <f>IF(COUNTBLANK(B342:J342)&lt;&gt;COLUMNS(B342:J342),341,"")</f>
        <v>0</v>
      </c>
      <c r="C342" s="1">
        <f>IF(B342="", "", "UBERON:genitourinary")</f>
        <v>0</v>
      </c>
      <c r="D342" s="1">
        <f>IF(B342="", "", "UBERON:urine")</f>
        <v>0</v>
      </c>
      <c r="E342" s="1">
        <f>IF(B342="", "", "UBERON:kidney")</f>
        <v>0</v>
      </c>
      <c r="F342" s="1">
        <f>IF(B342="", "", "animal corpus")</f>
        <v>0</v>
      </c>
      <c r="G342" s="1">
        <f>IF(B342="", "", "urine")</f>
        <v>0</v>
      </c>
      <c r="H342" s="1">
        <f>IF(B342="", "", "urine")</f>
        <v>0</v>
      </c>
      <c r="I342" s="1">
        <f>IF(B342="", "", "urine metagenome")</f>
        <v>0</v>
      </c>
      <c r="J342" s="1">
        <f>IF(B342="", "", "1346744")</f>
        <v>0</v>
      </c>
    </row>
    <row r="343" spans="1:10">
      <c r="A343">
        <f>IF(COUNTBLANK(B343:J343)&lt;&gt;COLUMNS(B343:J343),342,"")</f>
        <v>0</v>
      </c>
      <c r="C343" s="1">
        <f>IF(B343="", "", "UBERON:genitourinary")</f>
        <v>0</v>
      </c>
      <c r="D343" s="1">
        <f>IF(B343="", "", "UBERON:urine")</f>
        <v>0</v>
      </c>
      <c r="E343" s="1">
        <f>IF(B343="", "", "UBERON:kidney")</f>
        <v>0</v>
      </c>
      <c r="F343" s="1">
        <f>IF(B343="", "", "animal corpus")</f>
        <v>0</v>
      </c>
      <c r="G343" s="1">
        <f>IF(B343="", "", "urine")</f>
        <v>0</v>
      </c>
      <c r="H343" s="1">
        <f>IF(B343="", "", "urine")</f>
        <v>0</v>
      </c>
      <c r="I343" s="1">
        <f>IF(B343="", "", "urine metagenome")</f>
        <v>0</v>
      </c>
      <c r="J343" s="1">
        <f>IF(B343="", "", "1346744")</f>
        <v>0</v>
      </c>
    </row>
    <row r="344" spans="1:10">
      <c r="A344">
        <f>IF(COUNTBLANK(B344:J344)&lt;&gt;COLUMNS(B344:J344),343,"")</f>
        <v>0</v>
      </c>
      <c r="C344" s="1">
        <f>IF(B344="", "", "UBERON:genitourinary")</f>
        <v>0</v>
      </c>
      <c r="D344" s="1">
        <f>IF(B344="", "", "UBERON:urine")</f>
        <v>0</v>
      </c>
      <c r="E344" s="1">
        <f>IF(B344="", "", "UBERON:kidney")</f>
        <v>0</v>
      </c>
      <c r="F344" s="1">
        <f>IF(B344="", "", "animal corpus")</f>
        <v>0</v>
      </c>
      <c r="G344" s="1">
        <f>IF(B344="", "", "urine")</f>
        <v>0</v>
      </c>
      <c r="H344" s="1">
        <f>IF(B344="", "", "urine")</f>
        <v>0</v>
      </c>
      <c r="I344" s="1">
        <f>IF(B344="", "", "urine metagenome")</f>
        <v>0</v>
      </c>
      <c r="J344" s="1">
        <f>IF(B344="", "", "1346744")</f>
        <v>0</v>
      </c>
    </row>
    <row r="345" spans="1:10">
      <c r="A345">
        <f>IF(COUNTBLANK(B345:J345)&lt;&gt;COLUMNS(B345:J345),344,"")</f>
        <v>0</v>
      </c>
      <c r="C345" s="1">
        <f>IF(B345="", "", "UBERON:genitourinary")</f>
        <v>0</v>
      </c>
      <c r="D345" s="1">
        <f>IF(B345="", "", "UBERON:urine")</f>
        <v>0</v>
      </c>
      <c r="E345" s="1">
        <f>IF(B345="", "", "UBERON:kidney")</f>
        <v>0</v>
      </c>
      <c r="F345" s="1">
        <f>IF(B345="", "", "animal corpus")</f>
        <v>0</v>
      </c>
      <c r="G345" s="1">
        <f>IF(B345="", "", "urine")</f>
        <v>0</v>
      </c>
      <c r="H345" s="1">
        <f>IF(B345="", "", "urine")</f>
        <v>0</v>
      </c>
      <c r="I345" s="1">
        <f>IF(B345="", "", "urine metagenome")</f>
        <v>0</v>
      </c>
      <c r="J345" s="1">
        <f>IF(B345="", "", "1346744")</f>
        <v>0</v>
      </c>
    </row>
    <row r="346" spans="1:10">
      <c r="A346">
        <f>IF(COUNTBLANK(B346:J346)&lt;&gt;COLUMNS(B346:J346),345,"")</f>
        <v>0</v>
      </c>
      <c r="C346" s="1">
        <f>IF(B346="", "", "UBERON:genitourinary")</f>
        <v>0</v>
      </c>
      <c r="D346" s="1">
        <f>IF(B346="", "", "UBERON:urine")</f>
        <v>0</v>
      </c>
      <c r="E346" s="1">
        <f>IF(B346="", "", "UBERON:kidney")</f>
        <v>0</v>
      </c>
      <c r="F346" s="1">
        <f>IF(B346="", "", "animal corpus")</f>
        <v>0</v>
      </c>
      <c r="G346" s="1">
        <f>IF(B346="", "", "urine")</f>
        <v>0</v>
      </c>
      <c r="H346" s="1">
        <f>IF(B346="", "", "urine")</f>
        <v>0</v>
      </c>
      <c r="I346" s="1">
        <f>IF(B346="", "", "urine metagenome")</f>
        <v>0</v>
      </c>
      <c r="J346" s="1">
        <f>IF(B346="", "", "1346744")</f>
        <v>0</v>
      </c>
    </row>
    <row r="347" spans="1:10">
      <c r="A347">
        <f>IF(COUNTBLANK(B347:J347)&lt;&gt;COLUMNS(B347:J347),346,"")</f>
        <v>0</v>
      </c>
      <c r="C347" s="1">
        <f>IF(B347="", "", "UBERON:genitourinary")</f>
        <v>0</v>
      </c>
      <c r="D347" s="1">
        <f>IF(B347="", "", "UBERON:urine")</f>
        <v>0</v>
      </c>
      <c r="E347" s="1">
        <f>IF(B347="", "", "UBERON:kidney")</f>
        <v>0</v>
      </c>
      <c r="F347" s="1">
        <f>IF(B347="", "", "animal corpus")</f>
        <v>0</v>
      </c>
      <c r="G347" s="1">
        <f>IF(B347="", "", "urine")</f>
        <v>0</v>
      </c>
      <c r="H347" s="1">
        <f>IF(B347="", "", "urine")</f>
        <v>0</v>
      </c>
      <c r="I347" s="1">
        <f>IF(B347="", "", "urine metagenome")</f>
        <v>0</v>
      </c>
      <c r="J347" s="1">
        <f>IF(B347="", "", "1346744")</f>
        <v>0</v>
      </c>
    </row>
    <row r="348" spans="1:10">
      <c r="A348">
        <f>IF(COUNTBLANK(B348:J348)&lt;&gt;COLUMNS(B348:J348),347,"")</f>
        <v>0</v>
      </c>
      <c r="C348" s="1">
        <f>IF(B348="", "", "UBERON:genitourinary")</f>
        <v>0</v>
      </c>
      <c r="D348" s="1">
        <f>IF(B348="", "", "UBERON:urine")</f>
        <v>0</v>
      </c>
      <c r="E348" s="1">
        <f>IF(B348="", "", "UBERON:kidney")</f>
        <v>0</v>
      </c>
      <c r="F348" s="1">
        <f>IF(B348="", "", "animal corpus")</f>
        <v>0</v>
      </c>
      <c r="G348" s="1">
        <f>IF(B348="", "", "urine")</f>
        <v>0</v>
      </c>
      <c r="H348" s="1">
        <f>IF(B348="", "", "urine")</f>
        <v>0</v>
      </c>
      <c r="I348" s="1">
        <f>IF(B348="", "", "urine metagenome")</f>
        <v>0</v>
      </c>
      <c r="J348" s="1">
        <f>IF(B348="", "", "1346744")</f>
        <v>0</v>
      </c>
    </row>
    <row r="349" spans="1:10">
      <c r="A349">
        <f>IF(COUNTBLANK(B349:J349)&lt;&gt;COLUMNS(B349:J349),348,"")</f>
        <v>0</v>
      </c>
      <c r="C349" s="1">
        <f>IF(B349="", "", "UBERON:genitourinary")</f>
        <v>0</v>
      </c>
      <c r="D349" s="1">
        <f>IF(B349="", "", "UBERON:urine")</f>
        <v>0</v>
      </c>
      <c r="E349" s="1">
        <f>IF(B349="", "", "UBERON:kidney")</f>
        <v>0</v>
      </c>
      <c r="F349" s="1">
        <f>IF(B349="", "", "animal corpus")</f>
        <v>0</v>
      </c>
      <c r="G349" s="1">
        <f>IF(B349="", "", "urine")</f>
        <v>0</v>
      </c>
      <c r="H349" s="1">
        <f>IF(B349="", "", "urine")</f>
        <v>0</v>
      </c>
      <c r="I349" s="1">
        <f>IF(B349="", "", "urine metagenome")</f>
        <v>0</v>
      </c>
      <c r="J349" s="1">
        <f>IF(B349="", "", "1346744")</f>
        <v>0</v>
      </c>
    </row>
    <row r="350" spans="1:10">
      <c r="A350">
        <f>IF(COUNTBLANK(B350:J350)&lt;&gt;COLUMNS(B350:J350),349,"")</f>
        <v>0</v>
      </c>
      <c r="C350" s="1">
        <f>IF(B350="", "", "UBERON:genitourinary")</f>
        <v>0</v>
      </c>
      <c r="D350" s="1">
        <f>IF(B350="", "", "UBERON:urine")</f>
        <v>0</v>
      </c>
      <c r="E350" s="1">
        <f>IF(B350="", "", "UBERON:kidney")</f>
        <v>0</v>
      </c>
      <c r="F350" s="1">
        <f>IF(B350="", "", "animal corpus")</f>
        <v>0</v>
      </c>
      <c r="G350" s="1">
        <f>IF(B350="", "", "urine")</f>
        <v>0</v>
      </c>
      <c r="H350" s="1">
        <f>IF(B350="", "", "urine")</f>
        <v>0</v>
      </c>
      <c r="I350" s="1">
        <f>IF(B350="", "", "urine metagenome")</f>
        <v>0</v>
      </c>
      <c r="J350" s="1">
        <f>IF(B350="", "", "1346744")</f>
        <v>0</v>
      </c>
    </row>
    <row r="351" spans="1:10">
      <c r="A351">
        <f>IF(COUNTBLANK(B351:J351)&lt;&gt;COLUMNS(B351:J351),350,"")</f>
        <v>0</v>
      </c>
      <c r="C351" s="1">
        <f>IF(B351="", "", "UBERON:genitourinary")</f>
        <v>0</v>
      </c>
      <c r="D351" s="1">
        <f>IF(B351="", "", "UBERON:urine")</f>
        <v>0</v>
      </c>
      <c r="E351" s="1">
        <f>IF(B351="", "", "UBERON:kidney")</f>
        <v>0</v>
      </c>
      <c r="F351" s="1">
        <f>IF(B351="", "", "animal corpus")</f>
        <v>0</v>
      </c>
      <c r="G351" s="1">
        <f>IF(B351="", "", "urine")</f>
        <v>0</v>
      </c>
      <c r="H351" s="1">
        <f>IF(B351="", "", "urine")</f>
        <v>0</v>
      </c>
      <c r="I351" s="1">
        <f>IF(B351="", "", "urine metagenome")</f>
        <v>0</v>
      </c>
      <c r="J351" s="1">
        <f>IF(B351="", "", "1346744")</f>
        <v>0</v>
      </c>
    </row>
    <row r="352" spans="1:10">
      <c r="A352">
        <f>IF(COUNTBLANK(B352:J352)&lt;&gt;COLUMNS(B352:J352),351,"")</f>
        <v>0</v>
      </c>
      <c r="C352" s="1">
        <f>IF(B352="", "", "UBERON:genitourinary")</f>
        <v>0</v>
      </c>
      <c r="D352" s="1">
        <f>IF(B352="", "", "UBERON:urine")</f>
        <v>0</v>
      </c>
      <c r="E352" s="1">
        <f>IF(B352="", "", "UBERON:kidney")</f>
        <v>0</v>
      </c>
      <c r="F352" s="1">
        <f>IF(B352="", "", "animal corpus")</f>
        <v>0</v>
      </c>
      <c r="G352" s="1">
        <f>IF(B352="", "", "urine")</f>
        <v>0</v>
      </c>
      <c r="H352" s="1">
        <f>IF(B352="", "", "urine")</f>
        <v>0</v>
      </c>
      <c r="I352" s="1">
        <f>IF(B352="", "", "urine metagenome")</f>
        <v>0</v>
      </c>
      <c r="J352" s="1">
        <f>IF(B352="", "", "1346744")</f>
        <v>0</v>
      </c>
    </row>
    <row r="353" spans="1:10">
      <c r="A353">
        <f>IF(COUNTBLANK(B353:J353)&lt;&gt;COLUMNS(B353:J353),352,"")</f>
        <v>0</v>
      </c>
      <c r="C353" s="1">
        <f>IF(B353="", "", "UBERON:genitourinary")</f>
        <v>0</v>
      </c>
      <c r="D353" s="1">
        <f>IF(B353="", "", "UBERON:urine")</f>
        <v>0</v>
      </c>
      <c r="E353" s="1">
        <f>IF(B353="", "", "UBERON:kidney")</f>
        <v>0</v>
      </c>
      <c r="F353" s="1">
        <f>IF(B353="", "", "animal corpus")</f>
        <v>0</v>
      </c>
      <c r="G353" s="1">
        <f>IF(B353="", "", "urine")</f>
        <v>0</v>
      </c>
      <c r="H353" s="1">
        <f>IF(B353="", "", "urine")</f>
        <v>0</v>
      </c>
      <c r="I353" s="1">
        <f>IF(B353="", "", "urine metagenome")</f>
        <v>0</v>
      </c>
      <c r="J353" s="1">
        <f>IF(B353="", "", "1346744")</f>
        <v>0</v>
      </c>
    </row>
    <row r="354" spans="1:10">
      <c r="A354">
        <f>IF(COUNTBLANK(B354:J354)&lt;&gt;COLUMNS(B354:J354),353,"")</f>
        <v>0</v>
      </c>
      <c r="C354" s="1">
        <f>IF(B354="", "", "UBERON:genitourinary")</f>
        <v>0</v>
      </c>
      <c r="D354" s="1">
        <f>IF(B354="", "", "UBERON:urine")</f>
        <v>0</v>
      </c>
      <c r="E354" s="1">
        <f>IF(B354="", "", "UBERON:kidney")</f>
        <v>0</v>
      </c>
      <c r="F354" s="1">
        <f>IF(B354="", "", "animal corpus")</f>
        <v>0</v>
      </c>
      <c r="G354" s="1">
        <f>IF(B354="", "", "urine")</f>
        <v>0</v>
      </c>
      <c r="H354" s="1">
        <f>IF(B354="", "", "urine")</f>
        <v>0</v>
      </c>
      <c r="I354" s="1">
        <f>IF(B354="", "", "urine metagenome")</f>
        <v>0</v>
      </c>
      <c r="J354" s="1">
        <f>IF(B354="", "", "1346744")</f>
        <v>0</v>
      </c>
    </row>
    <row r="355" spans="1:10">
      <c r="A355">
        <f>IF(COUNTBLANK(B355:J355)&lt;&gt;COLUMNS(B355:J355),354,"")</f>
        <v>0</v>
      </c>
      <c r="C355" s="1">
        <f>IF(B355="", "", "UBERON:genitourinary")</f>
        <v>0</v>
      </c>
      <c r="D355" s="1">
        <f>IF(B355="", "", "UBERON:urine")</f>
        <v>0</v>
      </c>
      <c r="E355" s="1">
        <f>IF(B355="", "", "UBERON:kidney")</f>
        <v>0</v>
      </c>
      <c r="F355" s="1">
        <f>IF(B355="", "", "animal corpus")</f>
        <v>0</v>
      </c>
      <c r="G355" s="1">
        <f>IF(B355="", "", "urine")</f>
        <v>0</v>
      </c>
      <c r="H355" s="1">
        <f>IF(B355="", "", "urine")</f>
        <v>0</v>
      </c>
      <c r="I355" s="1">
        <f>IF(B355="", "", "urine metagenome")</f>
        <v>0</v>
      </c>
      <c r="J355" s="1">
        <f>IF(B355="", "", "1346744")</f>
        <v>0</v>
      </c>
    </row>
    <row r="356" spans="1:10">
      <c r="A356">
        <f>IF(COUNTBLANK(B356:J356)&lt;&gt;COLUMNS(B356:J356),355,"")</f>
        <v>0</v>
      </c>
      <c r="C356" s="1">
        <f>IF(B356="", "", "UBERON:genitourinary")</f>
        <v>0</v>
      </c>
      <c r="D356" s="1">
        <f>IF(B356="", "", "UBERON:urine")</f>
        <v>0</v>
      </c>
      <c r="E356" s="1">
        <f>IF(B356="", "", "UBERON:kidney")</f>
        <v>0</v>
      </c>
      <c r="F356" s="1">
        <f>IF(B356="", "", "animal corpus")</f>
        <v>0</v>
      </c>
      <c r="G356" s="1">
        <f>IF(B356="", "", "urine")</f>
        <v>0</v>
      </c>
      <c r="H356" s="1">
        <f>IF(B356="", "", "urine")</f>
        <v>0</v>
      </c>
      <c r="I356" s="1">
        <f>IF(B356="", "", "urine metagenome")</f>
        <v>0</v>
      </c>
      <c r="J356" s="1">
        <f>IF(B356="", "", "1346744")</f>
        <v>0</v>
      </c>
    </row>
    <row r="357" spans="1:10">
      <c r="A357">
        <f>IF(COUNTBLANK(B357:J357)&lt;&gt;COLUMNS(B357:J357),356,"")</f>
        <v>0</v>
      </c>
      <c r="C357" s="1">
        <f>IF(B357="", "", "UBERON:genitourinary")</f>
        <v>0</v>
      </c>
      <c r="D357" s="1">
        <f>IF(B357="", "", "UBERON:urine")</f>
        <v>0</v>
      </c>
      <c r="E357" s="1">
        <f>IF(B357="", "", "UBERON:kidney")</f>
        <v>0</v>
      </c>
      <c r="F357" s="1">
        <f>IF(B357="", "", "animal corpus")</f>
        <v>0</v>
      </c>
      <c r="G357" s="1">
        <f>IF(B357="", "", "urine")</f>
        <v>0</v>
      </c>
      <c r="H357" s="1">
        <f>IF(B357="", "", "urine")</f>
        <v>0</v>
      </c>
      <c r="I357" s="1">
        <f>IF(B357="", "", "urine metagenome")</f>
        <v>0</v>
      </c>
      <c r="J357" s="1">
        <f>IF(B357="", "", "1346744")</f>
        <v>0</v>
      </c>
    </row>
    <row r="358" spans="1:10">
      <c r="A358">
        <f>IF(COUNTBLANK(B358:J358)&lt;&gt;COLUMNS(B358:J358),357,"")</f>
        <v>0</v>
      </c>
      <c r="C358" s="1">
        <f>IF(B358="", "", "UBERON:genitourinary")</f>
        <v>0</v>
      </c>
      <c r="D358" s="1">
        <f>IF(B358="", "", "UBERON:urine")</f>
        <v>0</v>
      </c>
      <c r="E358" s="1">
        <f>IF(B358="", "", "UBERON:kidney")</f>
        <v>0</v>
      </c>
      <c r="F358" s="1">
        <f>IF(B358="", "", "animal corpus")</f>
        <v>0</v>
      </c>
      <c r="G358" s="1">
        <f>IF(B358="", "", "urine")</f>
        <v>0</v>
      </c>
      <c r="H358" s="1">
        <f>IF(B358="", "", "urine")</f>
        <v>0</v>
      </c>
      <c r="I358" s="1">
        <f>IF(B358="", "", "urine metagenome")</f>
        <v>0</v>
      </c>
      <c r="J358" s="1">
        <f>IF(B358="", "", "1346744")</f>
        <v>0</v>
      </c>
    </row>
    <row r="359" spans="1:10">
      <c r="A359">
        <f>IF(COUNTBLANK(B359:J359)&lt;&gt;COLUMNS(B359:J359),358,"")</f>
        <v>0</v>
      </c>
      <c r="C359" s="1">
        <f>IF(B359="", "", "UBERON:genitourinary")</f>
        <v>0</v>
      </c>
      <c r="D359" s="1">
        <f>IF(B359="", "", "UBERON:urine")</f>
        <v>0</v>
      </c>
      <c r="E359" s="1">
        <f>IF(B359="", "", "UBERON:kidney")</f>
        <v>0</v>
      </c>
      <c r="F359" s="1">
        <f>IF(B359="", "", "animal corpus")</f>
        <v>0</v>
      </c>
      <c r="G359" s="1">
        <f>IF(B359="", "", "urine")</f>
        <v>0</v>
      </c>
      <c r="H359" s="1">
        <f>IF(B359="", "", "urine")</f>
        <v>0</v>
      </c>
      <c r="I359" s="1">
        <f>IF(B359="", "", "urine metagenome")</f>
        <v>0</v>
      </c>
      <c r="J359" s="1">
        <f>IF(B359="", "", "1346744")</f>
        <v>0</v>
      </c>
    </row>
    <row r="360" spans="1:10">
      <c r="A360">
        <f>IF(COUNTBLANK(B360:J360)&lt;&gt;COLUMNS(B360:J360),359,"")</f>
        <v>0</v>
      </c>
      <c r="C360" s="1">
        <f>IF(B360="", "", "UBERON:genitourinary")</f>
        <v>0</v>
      </c>
      <c r="D360" s="1">
        <f>IF(B360="", "", "UBERON:urine")</f>
        <v>0</v>
      </c>
      <c r="E360" s="1">
        <f>IF(B360="", "", "UBERON:kidney")</f>
        <v>0</v>
      </c>
      <c r="F360" s="1">
        <f>IF(B360="", "", "animal corpus")</f>
        <v>0</v>
      </c>
      <c r="G360" s="1">
        <f>IF(B360="", "", "urine")</f>
        <v>0</v>
      </c>
      <c r="H360" s="1">
        <f>IF(B360="", "", "urine")</f>
        <v>0</v>
      </c>
      <c r="I360" s="1">
        <f>IF(B360="", "", "urine metagenome")</f>
        <v>0</v>
      </c>
      <c r="J360" s="1">
        <f>IF(B360="", "", "1346744")</f>
        <v>0</v>
      </c>
    </row>
    <row r="361" spans="1:10">
      <c r="A361">
        <f>IF(COUNTBLANK(B361:J361)&lt;&gt;COLUMNS(B361:J361),360,"")</f>
        <v>0</v>
      </c>
      <c r="C361" s="1">
        <f>IF(B361="", "", "UBERON:genitourinary")</f>
        <v>0</v>
      </c>
      <c r="D361" s="1">
        <f>IF(B361="", "", "UBERON:urine")</f>
        <v>0</v>
      </c>
      <c r="E361" s="1">
        <f>IF(B361="", "", "UBERON:kidney")</f>
        <v>0</v>
      </c>
      <c r="F361" s="1">
        <f>IF(B361="", "", "animal corpus")</f>
        <v>0</v>
      </c>
      <c r="G361" s="1">
        <f>IF(B361="", "", "urine")</f>
        <v>0</v>
      </c>
      <c r="H361" s="1">
        <f>IF(B361="", "", "urine")</f>
        <v>0</v>
      </c>
      <c r="I361" s="1">
        <f>IF(B361="", "", "urine metagenome")</f>
        <v>0</v>
      </c>
      <c r="J361" s="1">
        <f>IF(B361="", "", "1346744")</f>
        <v>0</v>
      </c>
    </row>
    <row r="362" spans="1:10">
      <c r="A362">
        <f>IF(COUNTBLANK(B362:J362)&lt;&gt;COLUMNS(B362:J362),361,"")</f>
        <v>0</v>
      </c>
      <c r="C362" s="1">
        <f>IF(B362="", "", "UBERON:genitourinary")</f>
        <v>0</v>
      </c>
      <c r="D362" s="1">
        <f>IF(B362="", "", "UBERON:urine")</f>
        <v>0</v>
      </c>
      <c r="E362" s="1">
        <f>IF(B362="", "", "UBERON:kidney")</f>
        <v>0</v>
      </c>
      <c r="F362" s="1">
        <f>IF(B362="", "", "animal corpus")</f>
        <v>0</v>
      </c>
      <c r="G362" s="1">
        <f>IF(B362="", "", "urine")</f>
        <v>0</v>
      </c>
      <c r="H362" s="1">
        <f>IF(B362="", "", "urine")</f>
        <v>0</v>
      </c>
      <c r="I362" s="1">
        <f>IF(B362="", "", "urine metagenome")</f>
        <v>0</v>
      </c>
      <c r="J362" s="1">
        <f>IF(B362="", "", "1346744")</f>
        <v>0</v>
      </c>
    </row>
    <row r="363" spans="1:10">
      <c r="A363">
        <f>IF(COUNTBLANK(B363:J363)&lt;&gt;COLUMNS(B363:J363),362,"")</f>
        <v>0</v>
      </c>
      <c r="C363" s="1">
        <f>IF(B363="", "", "UBERON:genitourinary")</f>
        <v>0</v>
      </c>
      <c r="D363" s="1">
        <f>IF(B363="", "", "UBERON:urine")</f>
        <v>0</v>
      </c>
      <c r="E363" s="1">
        <f>IF(B363="", "", "UBERON:kidney")</f>
        <v>0</v>
      </c>
      <c r="F363" s="1">
        <f>IF(B363="", "", "animal corpus")</f>
        <v>0</v>
      </c>
      <c r="G363" s="1">
        <f>IF(B363="", "", "urine")</f>
        <v>0</v>
      </c>
      <c r="H363" s="1">
        <f>IF(B363="", "", "urine")</f>
        <v>0</v>
      </c>
      <c r="I363" s="1">
        <f>IF(B363="", "", "urine metagenome")</f>
        <v>0</v>
      </c>
      <c r="J363" s="1">
        <f>IF(B363="", "", "1346744")</f>
        <v>0</v>
      </c>
    </row>
    <row r="364" spans="1:10">
      <c r="A364">
        <f>IF(COUNTBLANK(B364:J364)&lt;&gt;COLUMNS(B364:J364),363,"")</f>
        <v>0</v>
      </c>
      <c r="C364" s="1">
        <f>IF(B364="", "", "UBERON:genitourinary")</f>
        <v>0</v>
      </c>
      <c r="D364" s="1">
        <f>IF(B364="", "", "UBERON:urine")</f>
        <v>0</v>
      </c>
      <c r="E364" s="1">
        <f>IF(B364="", "", "UBERON:kidney")</f>
        <v>0</v>
      </c>
      <c r="F364" s="1">
        <f>IF(B364="", "", "animal corpus")</f>
        <v>0</v>
      </c>
      <c r="G364" s="1">
        <f>IF(B364="", "", "urine")</f>
        <v>0</v>
      </c>
      <c r="H364" s="1">
        <f>IF(B364="", "", "urine")</f>
        <v>0</v>
      </c>
      <c r="I364" s="1">
        <f>IF(B364="", "", "urine metagenome")</f>
        <v>0</v>
      </c>
      <c r="J364" s="1">
        <f>IF(B364="", "", "1346744")</f>
        <v>0</v>
      </c>
    </row>
    <row r="365" spans="1:10">
      <c r="A365">
        <f>IF(COUNTBLANK(B365:J365)&lt;&gt;COLUMNS(B365:J365),364,"")</f>
        <v>0</v>
      </c>
      <c r="C365" s="1">
        <f>IF(B365="", "", "UBERON:genitourinary")</f>
        <v>0</v>
      </c>
      <c r="D365" s="1">
        <f>IF(B365="", "", "UBERON:urine")</f>
        <v>0</v>
      </c>
      <c r="E365" s="1">
        <f>IF(B365="", "", "UBERON:kidney")</f>
        <v>0</v>
      </c>
      <c r="F365" s="1">
        <f>IF(B365="", "", "animal corpus")</f>
        <v>0</v>
      </c>
      <c r="G365" s="1">
        <f>IF(B365="", "", "urine")</f>
        <v>0</v>
      </c>
      <c r="H365" s="1">
        <f>IF(B365="", "", "urine")</f>
        <v>0</v>
      </c>
      <c r="I365" s="1">
        <f>IF(B365="", "", "urine metagenome")</f>
        <v>0</v>
      </c>
      <c r="J365" s="1">
        <f>IF(B365="", "", "1346744")</f>
        <v>0</v>
      </c>
    </row>
    <row r="366" spans="1:10">
      <c r="A366">
        <f>IF(COUNTBLANK(B366:J366)&lt;&gt;COLUMNS(B366:J366),365,"")</f>
        <v>0</v>
      </c>
      <c r="C366" s="1">
        <f>IF(B366="", "", "UBERON:genitourinary")</f>
        <v>0</v>
      </c>
      <c r="D366" s="1">
        <f>IF(B366="", "", "UBERON:urine")</f>
        <v>0</v>
      </c>
      <c r="E366" s="1">
        <f>IF(B366="", "", "UBERON:kidney")</f>
        <v>0</v>
      </c>
      <c r="F366" s="1">
        <f>IF(B366="", "", "animal corpus")</f>
        <v>0</v>
      </c>
      <c r="G366" s="1">
        <f>IF(B366="", "", "urine")</f>
        <v>0</v>
      </c>
      <c r="H366" s="1">
        <f>IF(B366="", "", "urine")</f>
        <v>0</v>
      </c>
      <c r="I366" s="1">
        <f>IF(B366="", "", "urine metagenome")</f>
        <v>0</v>
      </c>
      <c r="J366" s="1">
        <f>IF(B366="", "", "1346744")</f>
        <v>0</v>
      </c>
    </row>
    <row r="367" spans="1:10">
      <c r="A367">
        <f>IF(COUNTBLANK(B367:J367)&lt;&gt;COLUMNS(B367:J367),366,"")</f>
        <v>0</v>
      </c>
      <c r="C367" s="1">
        <f>IF(B367="", "", "UBERON:genitourinary")</f>
        <v>0</v>
      </c>
      <c r="D367" s="1">
        <f>IF(B367="", "", "UBERON:urine")</f>
        <v>0</v>
      </c>
      <c r="E367" s="1">
        <f>IF(B367="", "", "UBERON:kidney")</f>
        <v>0</v>
      </c>
      <c r="F367" s="1">
        <f>IF(B367="", "", "animal corpus")</f>
        <v>0</v>
      </c>
      <c r="G367" s="1">
        <f>IF(B367="", "", "urine")</f>
        <v>0</v>
      </c>
      <c r="H367" s="1">
        <f>IF(B367="", "", "urine")</f>
        <v>0</v>
      </c>
      <c r="I367" s="1">
        <f>IF(B367="", "", "urine metagenome")</f>
        <v>0</v>
      </c>
      <c r="J367" s="1">
        <f>IF(B367="", "", "1346744")</f>
        <v>0</v>
      </c>
    </row>
    <row r="368" spans="1:10">
      <c r="A368">
        <f>IF(COUNTBLANK(B368:J368)&lt;&gt;COLUMNS(B368:J368),367,"")</f>
        <v>0</v>
      </c>
      <c r="C368" s="1">
        <f>IF(B368="", "", "UBERON:genitourinary")</f>
        <v>0</v>
      </c>
      <c r="D368" s="1">
        <f>IF(B368="", "", "UBERON:urine")</f>
        <v>0</v>
      </c>
      <c r="E368" s="1">
        <f>IF(B368="", "", "UBERON:kidney")</f>
        <v>0</v>
      </c>
      <c r="F368" s="1">
        <f>IF(B368="", "", "animal corpus")</f>
        <v>0</v>
      </c>
      <c r="G368" s="1">
        <f>IF(B368="", "", "urine")</f>
        <v>0</v>
      </c>
      <c r="H368" s="1">
        <f>IF(B368="", "", "urine")</f>
        <v>0</v>
      </c>
      <c r="I368" s="1">
        <f>IF(B368="", "", "urine metagenome")</f>
        <v>0</v>
      </c>
      <c r="J368" s="1">
        <f>IF(B368="", "", "1346744")</f>
        <v>0</v>
      </c>
    </row>
    <row r="369" spans="1:10">
      <c r="A369">
        <f>IF(COUNTBLANK(B369:J369)&lt;&gt;COLUMNS(B369:J369),368,"")</f>
        <v>0</v>
      </c>
      <c r="C369" s="1">
        <f>IF(B369="", "", "UBERON:genitourinary")</f>
        <v>0</v>
      </c>
      <c r="D369" s="1">
        <f>IF(B369="", "", "UBERON:urine")</f>
        <v>0</v>
      </c>
      <c r="E369" s="1">
        <f>IF(B369="", "", "UBERON:kidney")</f>
        <v>0</v>
      </c>
      <c r="F369" s="1">
        <f>IF(B369="", "", "animal corpus")</f>
        <v>0</v>
      </c>
      <c r="G369" s="1">
        <f>IF(B369="", "", "urine")</f>
        <v>0</v>
      </c>
      <c r="H369" s="1">
        <f>IF(B369="", "", "urine")</f>
        <v>0</v>
      </c>
      <c r="I369" s="1">
        <f>IF(B369="", "", "urine metagenome")</f>
        <v>0</v>
      </c>
      <c r="J369" s="1">
        <f>IF(B369="", "", "1346744")</f>
        <v>0</v>
      </c>
    </row>
    <row r="370" spans="1:10">
      <c r="A370">
        <f>IF(COUNTBLANK(B370:J370)&lt;&gt;COLUMNS(B370:J370),369,"")</f>
        <v>0</v>
      </c>
      <c r="C370" s="1">
        <f>IF(B370="", "", "UBERON:genitourinary")</f>
        <v>0</v>
      </c>
      <c r="D370" s="1">
        <f>IF(B370="", "", "UBERON:urine")</f>
        <v>0</v>
      </c>
      <c r="E370" s="1">
        <f>IF(B370="", "", "UBERON:kidney")</f>
        <v>0</v>
      </c>
      <c r="F370" s="1">
        <f>IF(B370="", "", "animal corpus")</f>
        <v>0</v>
      </c>
      <c r="G370" s="1">
        <f>IF(B370="", "", "urine")</f>
        <v>0</v>
      </c>
      <c r="H370" s="1">
        <f>IF(B370="", "", "urine")</f>
        <v>0</v>
      </c>
      <c r="I370" s="1">
        <f>IF(B370="", "", "urine metagenome")</f>
        <v>0</v>
      </c>
      <c r="J370" s="1">
        <f>IF(B370="", "", "1346744")</f>
        <v>0</v>
      </c>
    </row>
    <row r="371" spans="1:10">
      <c r="A371">
        <f>IF(COUNTBLANK(B371:J371)&lt;&gt;COLUMNS(B371:J371),370,"")</f>
        <v>0</v>
      </c>
      <c r="C371" s="1">
        <f>IF(B371="", "", "UBERON:genitourinary")</f>
        <v>0</v>
      </c>
      <c r="D371" s="1">
        <f>IF(B371="", "", "UBERON:urine")</f>
        <v>0</v>
      </c>
      <c r="E371" s="1">
        <f>IF(B371="", "", "UBERON:kidney")</f>
        <v>0</v>
      </c>
      <c r="F371" s="1">
        <f>IF(B371="", "", "animal corpus")</f>
        <v>0</v>
      </c>
      <c r="G371" s="1">
        <f>IF(B371="", "", "urine")</f>
        <v>0</v>
      </c>
      <c r="H371" s="1">
        <f>IF(B371="", "", "urine")</f>
        <v>0</v>
      </c>
      <c r="I371" s="1">
        <f>IF(B371="", "", "urine metagenome")</f>
        <v>0</v>
      </c>
      <c r="J371" s="1">
        <f>IF(B371="", "", "1346744")</f>
        <v>0</v>
      </c>
    </row>
    <row r="372" spans="1:10">
      <c r="A372">
        <f>IF(COUNTBLANK(B372:J372)&lt;&gt;COLUMNS(B372:J372),371,"")</f>
        <v>0</v>
      </c>
      <c r="C372" s="1">
        <f>IF(B372="", "", "UBERON:genitourinary")</f>
        <v>0</v>
      </c>
      <c r="D372" s="1">
        <f>IF(B372="", "", "UBERON:urine")</f>
        <v>0</v>
      </c>
      <c r="E372" s="1">
        <f>IF(B372="", "", "UBERON:kidney")</f>
        <v>0</v>
      </c>
      <c r="F372" s="1">
        <f>IF(B372="", "", "animal corpus")</f>
        <v>0</v>
      </c>
      <c r="G372" s="1">
        <f>IF(B372="", "", "urine")</f>
        <v>0</v>
      </c>
      <c r="H372" s="1">
        <f>IF(B372="", "", "urine")</f>
        <v>0</v>
      </c>
      <c r="I372" s="1">
        <f>IF(B372="", "", "urine metagenome")</f>
        <v>0</v>
      </c>
      <c r="J372" s="1">
        <f>IF(B372="", "", "1346744")</f>
        <v>0</v>
      </c>
    </row>
    <row r="373" spans="1:10">
      <c r="A373">
        <f>IF(COUNTBLANK(B373:J373)&lt;&gt;COLUMNS(B373:J373),372,"")</f>
        <v>0</v>
      </c>
      <c r="C373" s="1">
        <f>IF(B373="", "", "UBERON:genitourinary")</f>
        <v>0</v>
      </c>
      <c r="D373" s="1">
        <f>IF(B373="", "", "UBERON:urine")</f>
        <v>0</v>
      </c>
      <c r="E373" s="1">
        <f>IF(B373="", "", "UBERON:kidney")</f>
        <v>0</v>
      </c>
      <c r="F373" s="1">
        <f>IF(B373="", "", "animal corpus")</f>
        <v>0</v>
      </c>
      <c r="G373" s="1">
        <f>IF(B373="", "", "urine")</f>
        <v>0</v>
      </c>
      <c r="H373" s="1">
        <f>IF(B373="", "", "urine")</f>
        <v>0</v>
      </c>
      <c r="I373" s="1">
        <f>IF(B373="", "", "urine metagenome")</f>
        <v>0</v>
      </c>
      <c r="J373" s="1">
        <f>IF(B373="", "", "1346744")</f>
        <v>0</v>
      </c>
    </row>
    <row r="374" spans="1:10">
      <c r="A374">
        <f>IF(COUNTBLANK(B374:J374)&lt;&gt;COLUMNS(B374:J374),373,"")</f>
        <v>0</v>
      </c>
      <c r="C374" s="1">
        <f>IF(B374="", "", "UBERON:genitourinary")</f>
        <v>0</v>
      </c>
      <c r="D374" s="1">
        <f>IF(B374="", "", "UBERON:urine")</f>
        <v>0</v>
      </c>
      <c r="E374" s="1">
        <f>IF(B374="", "", "UBERON:kidney")</f>
        <v>0</v>
      </c>
      <c r="F374" s="1">
        <f>IF(B374="", "", "animal corpus")</f>
        <v>0</v>
      </c>
      <c r="G374" s="1">
        <f>IF(B374="", "", "urine")</f>
        <v>0</v>
      </c>
      <c r="H374" s="1">
        <f>IF(B374="", "", "urine")</f>
        <v>0</v>
      </c>
      <c r="I374" s="1">
        <f>IF(B374="", "", "urine metagenome")</f>
        <v>0</v>
      </c>
      <c r="J374" s="1">
        <f>IF(B374="", "", "1346744")</f>
        <v>0</v>
      </c>
    </row>
    <row r="375" spans="1:10">
      <c r="A375">
        <f>IF(COUNTBLANK(B375:J375)&lt;&gt;COLUMNS(B375:J375),374,"")</f>
        <v>0</v>
      </c>
      <c r="C375" s="1">
        <f>IF(B375="", "", "UBERON:genitourinary")</f>
        <v>0</v>
      </c>
      <c r="D375" s="1">
        <f>IF(B375="", "", "UBERON:urine")</f>
        <v>0</v>
      </c>
      <c r="E375" s="1">
        <f>IF(B375="", "", "UBERON:kidney")</f>
        <v>0</v>
      </c>
      <c r="F375" s="1">
        <f>IF(B375="", "", "animal corpus")</f>
        <v>0</v>
      </c>
      <c r="G375" s="1">
        <f>IF(B375="", "", "urine")</f>
        <v>0</v>
      </c>
      <c r="H375" s="1">
        <f>IF(B375="", "", "urine")</f>
        <v>0</v>
      </c>
      <c r="I375" s="1">
        <f>IF(B375="", "", "urine metagenome")</f>
        <v>0</v>
      </c>
      <c r="J375" s="1">
        <f>IF(B375="", "", "1346744")</f>
        <v>0</v>
      </c>
    </row>
    <row r="376" spans="1:10">
      <c r="A376">
        <f>IF(COUNTBLANK(B376:J376)&lt;&gt;COLUMNS(B376:J376),375,"")</f>
        <v>0</v>
      </c>
      <c r="C376" s="1">
        <f>IF(B376="", "", "UBERON:genitourinary")</f>
        <v>0</v>
      </c>
      <c r="D376" s="1">
        <f>IF(B376="", "", "UBERON:urine")</f>
        <v>0</v>
      </c>
      <c r="E376" s="1">
        <f>IF(B376="", "", "UBERON:kidney")</f>
        <v>0</v>
      </c>
      <c r="F376" s="1">
        <f>IF(B376="", "", "animal corpus")</f>
        <v>0</v>
      </c>
      <c r="G376" s="1">
        <f>IF(B376="", "", "urine")</f>
        <v>0</v>
      </c>
      <c r="H376" s="1">
        <f>IF(B376="", "", "urine")</f>
        <v>0</v>
      </c>
      <c r="I376" s="1">
        <f>IF(B376="", "", "urine metagenome")</f>
        <v>0</v>
      </c>
      <c r="J376" s="1">
        <f>IF(B376="", "", "1346744")</f>
        <v>0</v>
      </c>
    </row>
    <row r="377" spans="1:10">
      <c r="A377">
        <f>IF(COUNTBLANK(B377:J377)&lt;&gt;COLUMNS(B377:J377),376,"")</f>
        <v>0</v>
      </c>
      <c r="C377" s="1">
        <f>IF(B377="", "", "UBERON:genitourinary")</f>
        <v>0</v>
      </c>
      <c r="D377" s="1">
        <f>IF(B377="", "", "UBERON:urine")</f>
        <v>0</v>
      </c>
      <c r="E377" s="1">
        <f>IF(B377="", "", "UBERON:kidney")</f>
        <v>0</v>
      </c>
      <c r="F377" s="1">
        <f>IF(B377="", "", "animal corpus")</f>
        <v>0</v>
      </c>
      <c r="G377" s="1">
        <f>IF(B377="", "", "urine")</f>
        <v>0</v>
      </c>
      <c r="H377" s="1">
        <f>IF(B377="", "", "urine")</f>
        <v>0</v>
      </c>
      <c r="I377" s="1">
        <f>IF(B377="", "", "urine metagenome")</f>
        <v>0</v>
      </c>
      <c r="J377" s="1">
        <f>IF(B377="", "", "1346744")</f>
        <v>0</v>
      </c>
    </row>
    <row r="378" spans="1:10">
      <c r="A378">
        <f>IF(COUNTBLANK(B378:J378)&lt;&gt;COLUMNS(B378:J378),377,"")</f>
        <v>0</v>
      </c>
      <c r="C378" s="1">
        <f>IF(B378="", "", "UBERON:genitourinary")</f>
        <v>0</v>
      </c>
      <c r="D378" s="1">
        <f>IF(B378="", "", "UBERON:urine")</f>
        <v>0</v>
      </c>
      <c r="E378" s="1">
        <f>IF(B378="", "", "UBERON:kidney")</f>
        <v>0</v>
      </c>
      <c r="F378" s="1">
        <f>IF(B378="", "", "animal corpus")</f>
        <v>0</v>
      </c>
      <c r="G378" s="1">
        <f>IF(B378="", "", "urine")</f>
        <v>0</v>
      </c>
      <c r="H378" s="1">
        <f>IF(B378="", "", "urine")</f>
        <v>0</v>
      </c>
      <c r="I378" s="1">
        <f>IF(B378="", "", "urine metagenome")</f>
        <v>0</v>
      </c>
      <c r="J378" s="1">
        <f>IF(B378="", "", "1346744")</f>
        <v>0</v>
      </c>
    </row>
    <row r="379" spans="1:10">
      <c r="A379">
        <f>IF(COUNTBLANK(B379:J379)&lt;&gt;COLUMNS(B379:J379),378,"")</f>
        <v>0</v>
      </c>
      <c r="C379" s="1">
        <f>IF(B379="", "", "UBERON:genitourinary")</f>
        <v>0</v>
      </c>
      <c r="D379" s="1">
        <f>IF(B379="", "", "UBERON:urine")</f>
        <v>0</v>
      </c>
      <c r="E379" s="1">
        <f>IF(B379="", "", "UBERON:kidney")</f>
        <v>0</v>
      </c>
      <c r="F379" s="1">
        <f>IF(B379="", "", "animal corpus")</f>
        <v>0</v>
      </c>
      <c r="G379" s="1">
        <f>IF(B379="", "", "urine")</f>
        <v>0</v>
      </c>
      <c r="H379" s="1">
        <f>IF(B379="", "", "urine")</f>
        <v>0</v>
      </c>
      <c r="I379" s="1">
        <f>IF(B379="", "", "urine metagenome")</f>
        <v>0</v>
      </c>
      <c r="J379" s="1">
        <f>IF(B379="", "", "1346744")</f>
        <v>0</v>
      </c>
    </row>
    <row r="380" spans="1:10">
      <c r="A380">
        <f>IF(COUNTBLANK(B380:J380)&lt;&gt;COLUMNS(B380:J380),379,"")</f>
        <v>0</v>
      </c>
      <c r="C380" s="1">
        <f>IF(B380="", "", "UBERON:genitourinary")</f>
        <v>0</v>
      </c>
      <c r="D380" s="1">
        <f>IF(B380="", "", "UBERON:urine")</f>
        <v>0</v>
      </c>
      <c r="E380" s="1">
        <f>IF(B380="", "", "UBERON:kidney")</f>
        <v>0</v>
      </c>
      <c r="F380" s="1">
        <f>IF(B380="", "", "animal corpus")</f>
        <v>0</v>
      </c>
      <c r="G380" s="1">
        <f>IF(B380="", "", "urine")</f>
        <v>0</v>
      </c>
      <c r="H380" s="1">
        <f>IF(B380="", "", "urine")</f>
        <v>0</v>
      </c>
      <c r="I380" s="1">
        <f>IF(B380="", "", "urine metagenome")</f>
        <v>0</v>
      </c>
      <c r="J380" s="1">
        <f>IF(B380="", "", "1346744")</f>
        <v>0</v>
      </c>
    </row>
    <row r="381" spans="1:10">
      <c r="A381">
        <f>IF(COUNTBLANK(B381:J381)&lt;&gt;COLUMNS(B381:J381),380,"")</f>
        <v>0</v>
      </c>
      <c r="C381" s="1">
        <f>IF(B381="", "", "UBERON:genitourinary")</f>
        <v>0</v>
      </c>
      <c r="D381" s="1">
        <f>IF(B381="", "", "UBERON:urine")</f>
        <v>0</v>
      </c>
      <c r="E381" s="1">
        <f>IF(B381="", "", "UBERON:kidney")</f>
        <v>0</v>
      </c>
      <c r="F381" s="1">
        <f>IF(B381="", "", "animal corpus")</f>
        <v>0</v>
      </c>
      <c r="G381" s="1">
        <f>IF(B381="", "", "urine")</f>
        <v>0</v>
      </c>
      <c r="H381" s="1">
        <f>IF(B381="", "", "urine")</f>
        <v>0</v>
      </c>
      <c r="I381" s="1">
        <f>IF(B381="", "", "urine metagenome")</f>
        <v>0</v>
      </c>
      <c r="J381" s="1">
        <f>IF(B381="", "", "1346744")</f>
        <v>0</v>
      </c>
    </row>
    <row r="382" spans="1:10">
      <c r="A382">
        <f>IF(COUNTBLANK(B382:J382)&lt;&gt;COLUMNS(B382:J382),381,"")</f>
        <v>0</v>
      </c>
      <c r="C382" s="1">
        <f>IF(B382="", "", "UBERON:genitourinary")</f>
        <v>0</v>
      </c>
      <c r="D382" s="1">
        <f>IF(B382="", "", "UBERON:urine")</f>
        <v>0</v>
      </c>
      <c r="E382" s="1">
        <f>IF(B382="", "", "UBERON:kidney")</f>
        <v>0</v>
      </c>
      <c r="F382" s="1">
        <f>IF(B382="", "", "animal corpus")</f>
        <v>0</v>
      </c>
      <c r="G382" s="1">
        <f>IF(B382="", "", "urine")</f>
        <v>0</v>
      </c>
      <c r="H382" s="1">
        <f>IF(B382="", "", "urine")</f>
        <v>0</v>
      </c>
      <c r="I382" s="1">
        <f>IF(B382="", "", "urine metagenome")</f>
        <v>0</v>
      </c>
      <c r="J382" s="1">
        <f>IF(B382="", "", "1346744")</f>
        <v>0</v>
      </c>
    </row>
    <row r="383" spans="1:10">
      <c r="A383">
        <f>IF(COUNTBLANK(B383:J383)&lt;&gt;COLUMNS(B383:J383),382,"")</f>
        <v>0</v>
      </c>
      <c r="C383" s="1">
        <f>IF(B383="", "", "UBERON:genitourinary")</f>
        <v>0</v>
      </c>
      <c r="D383" s="1">
        <f>IF(B383="", "", "UBERON:urine")</f>
        <v>0</v>
      </c>
      <c r="E383" s="1">
        <f>IF(B383="", "", "UBERON:kidney")</f>
        <v>0</v>
      </c>
      <c r="F383" s="1">
        <f>IF(B383="", "", "animal corpus")</f>
        <v>0</v>
      </c>
      <c r="G383" s="1">
        <f>IF(B383="", "", "urine")</f>
        <v>0</v>
      </c>
      <c r="H383" s="1">
        <f>IF(B383="", "", "urine")</f>
        <v>0</v>
      </c>
      <c r="I383" s="1">
        <f>IF(B383="", "", "urine metagenome")</f>
        <v>0</v>
      </c>
      <c r="J383" s="1">
        <f>IF(B383="", "", "1346744")</f>
        <v>0</v>
      </c>
    </row>
    <row r="384" spans="1:10">
      <c r="A384">
        <f>IF(COUNTBLANK(B384:J384)&lt;&gt;COLUMNS(B384:J384),383,"")</f>
        <v>0</v>
      </c>
      <c r="C384" s="1">
        <f>IF(B384="", "", "UBERON:genitourinary")</f>
        <v>0</v>
      </c>
      <c r="D384" s="1">
        <f>IF(B384="", "", "UBERON:urine")</f>
        <v>0</v>
      </c>
      <c r="E384" s="1">
        <f>IF(B384="", "", "UBERON:kidney")</f>
        <v>0</v>
      </c>
      <c r="F384" s="1">
        <f>IF(B384="", "", "animal corpus")</f>
        <v>0</v>
      </c>
      <c r="G384" s="1">
        <f>IF(B384="", "", "urine")</f>
        <v>0</v>
      </c>
      <c r="H384" s="1">
        <f>IF(B384="", "", "urine")</f>
        <v>0</v>
      </c>
      <c r="I384" s="1">
        <f>IF(B384="", "", "urine metagenome")</f>
        <v>0</v>
      </c>
      <c r="J384" s="1">
        <f>IF(B384="", "", "1346744")</f>
        <v>0</v>
      </c>
    </row>
    <row r="385" spans="1:10">
      <c r="A385">
        <f>IF(COUNTBLANK(B385:J385)&lt;&gt;COLUMNS(B385:J385),384,"")</f>
        <v>0</v>
      </c>
      <c r="C385" s="1">
        <f>IF(B385="", "", "UBERON:genitourinary")</f>
        <v>0</v>
      </c>
      <c r="D385" s="1">
        <f>IF(B385="", "", "UBERON:urine")</f>
        <v>0</v>
      </c>
      <c r="E385" s="1">
        <f>IF(B385="", "", "UBERON:kidney")</f>
        <v>0</v>
      </c>
      <c r="F385" s="1">
        <f>IF(B385="", "", "animal corpus")</f>
        <v>0</v>
      </c>
      <c r="G385" s="1">
        <f>IF(B385="", "", "urine")</f>
        <v>0</v>
      </c>
      <c r="H385" s="1">
        <f>IF(B385="", "", "urine")</f>
        <v>0</v>
      </c>
      <c r="I385" s="1">
        <f>IF(B385="", "", "urine metagenome")</f>
        <v>0</v>
      </c>
      <c r="J385" s="1">
        <f>IF(B385="", "", "1346744")</f>
        <v>0</v>
      </c>
    </row>
    <row r="386" spans="1:10">
      <c r="A386">
        <f>IF(COUNTBLANK(B386:J386)&lt;&gt;COLUMNS(B386:J386),385,"")</f>
        <v>0</v>
      </c>
      <c r="C386" s="1">
        <f>IF(B386="", "", "UBERON:genitourinary")</f>
        <v>0</v>
      </c>
      <c r="D386" s="1">
        <f>IF(B386="", "", "UBERON:urine")</f>
        <v>0</v>
      </c>
      <c r="E386" s="1">
        <f>IF(B386="", "", "UBERON:kidney")</f>
        <v>0</v>
      </c>
      <c r="F386" s="1">
        <f>IF(B386="", "", "animal corpus")</f>
        <v>0</v>
      </c>
      <c r="G386" s="1">
        <f>IF(B386="", "", "urine")</f>
        <v>0</v>
      </c>
      <c r="H386" s="1">
        <f>IF(B386="", "", "urine")</f>
        <v>0</v>
      </c>
      <c r="I386" s="1">
        <f>IF(B386="", "", "urine metagenome")</f>
        <v>0</v>
      </c>
      <c r="J386" s="1">
        <f>IF(B386="", "", "1346744")</f>
        <v>0</v>
      </c>
    </row>
    <row r="387" spans="1:10">
      <c r="A387">
        <f>IF(COUNTBLANK(B387:J387)&lt;&gt;COLUMNS(B387:J387),386,"")</f>
        <v>0</v>
      </c>
      <c r="C387" s="1">
        <f>IF(B387="", "", "UBERON:genitourinary")</f>
        <v>0</v>
      </c>
      <c r="D387" s="1">
        <f>IF(B387="", "", "UBERON:urine")</f>
        <v>0</v>
      </c>
      <c r="E387" s="1">
        <f>IF(B387="", "", "UBERON:kidney")</f>
        <v>0</v>
      </c>
      <c r="F387" s="1">
        <f>IF(B387="", "", "animal corpus")</f>
        <v>0</v>
      </c>
      <c r="G387" s="1">
        <f>IF(B387="", "", "urine")</f>
        <v>0</v>
      </c>
      <c r="H387" s="1">
        <f>IF(B387="", "", "urine")</f>
        <v>0</v>
      </c>
      <c r="I387" s="1">
        <f>IF(B387="", "", "urine metagenome")</f>
        <v>0</v>
      </c>
      <c r="J387" s="1">
        <f>IF(B387="", "", "1346744")</f>
        <v>0</v>
      </c>
    </row>
    <row r="388" spans="1:10">
      <c r="A388">
        <f>IF(COUNTBLANK(B388:J388)&lt;&gt;COLUMNS(B388:J388),387,"")</f>
        <v>0</v>
      </c>
      <c r="C388" s="1">
        <f>IF(B388="", "", "UBERON:genitourinary")</f>
        <v>0</v>
      </c>
      <c r="D388" s="1">
        <f>IF(B388="", "", "UBERON:urine")</f>
        <v>0</v>
      </c>
      <c r="E388" s="1">
        <f>IF(B388="", "", "UBERON:kidney")</f>
        <v>0</v>
      </c>
      <c r="F388" s="1">
        <f>IF(B388="", "", "animal corpus")</f>
        <v>0</v>
      </c>
      <c r="G388" s="1">
        <f>IF(B388="", "", "urine")</f>
        <v>0</v>
      </c>
      <c r="H388" s="1">
        <f>IF(B388="", "", "urine")</f>
        <v>0</v>
      </c>
      <c r="I388" s="1">
        <f>IF(B388="", "", "urine metagenome")</f>
        <v>0</v>
      </c>
      <c r="J388" s="1">
        <f>IF(B388="", "", "1346744")</f>
        <v>0</v>
      </c>
    </row>
    <row r="389" spans="1:10">
      <c r="A389">
        <f>IF(COUNTBLANK(B389:J389)&lt;&gt;COLUMNS(B389:J389),388,"")</f>
        <v>0</v>
      </c>
      <c r="C389" s="1">
        <f>IF(B389="", "", "UBERON:genitourinary")</f>
        <v>0</v>
      </c>
      <c r="D389" s="1">
        <f>IF(B389="", "", "UBERON:urine")</f>
        <v>0</v>
      </c>
      <c r="E389" s="1">
        <f>IF(B389="", "", "UBERON:kidney")</f>
        <v>0</v>
      </c>
      <c r="F389" s="1">
        <f>IF(B389="", "", "animal corpus")</f>
        <v>0</v>
      </c>
      <c r="G389" s="1">
        <f>IF(B389="", "", "urine")</f>
        <v>0</v>
      </c>
      <c r="H389" s="1">
        <f>IF(B389="", "", "urine")</f>
        <v>0</v>
      </c>
      <c r="I389" s="1">
        <f>IF(B389="", "", "urine metagenome")</f>
        <v>0</v>
      </c>
      <c r="J389" s="1">
        <f>IF(B389="", "", "1346744")</f>
        <v>0</v>
      </c>
    </row>
    <row r="390" spans="1:10">
      <c r="A390">
        <f>IF(COUNTBLANK(B390:J390)&lt;&gt;COLUMNS(B390:J390),389,"")</f>
        <v>0</v>
      </c>
      <c r="C390" s="1">
        <f>IF(B390="", "", "UBERON:genitourinary")</f>
        <v>0</v>
      </c>
      <c r="D390" s="1">
        <f>IF(B390="", "", "UBERON:urine")</f>
        <v>0</v>
      </c>
      <c r="E390" s="1">
        <f>IF(B390="", "", "UBERON:kidney")</f>
        <v>0</v>
      </c>
      <c r="F390" s="1">
        <f>IF(B390="", "", "animal corpus")</f>
        <v>0</v>
      </c>
      <c r="G390" s="1">
        <f>IF(B390="", "", "urine")</f>
        <v>0</v>
      </c>
      <c r="H390" s="1">
        <f>IF(B390="", "", "urine")</f>
        <v>0</v>
      </c>
      <c r="I390" s="1">
        <f>IF(B390="", "", "urine metagenome")</f>
        <v>0</v>
      </c>
      <c r="J390" s="1">
        <f>IF(B390="", "", "1346744")</f>
        <v>0</v>
      </c>
    </row>
    <row r="391" spans="1:10">
      <c r="A391">
        <f>IF(COUNTBLANK(B391:J391)&lt;&gt;COLUMNS(B391:J391),390,"")</f>
        <v>0</v>
      </c>
      <c r="C391" s="1">
        <f>IF(B391="", "", "UBERON:genitourinary")</f>
        <v>0</v>
      </c>
      <c r="D391" s="1">
        <f>IF(B391="", "", "UBERON:urine")</f>
        <v>0</v>
      </c>
      <c r="E391" s="1">
        <f>IF(B391="", "", "UBERON:kidney")</f>
        <v>0</v>
      </c>
      <c r="F391" s="1">
        <f>IF(B391="", "", "animal corpus")</f>
        <v>0</v>
      </c>
      <c r="G391" s="1">
        <f>IF(B391="", "", "urine")</f>
        <v>0</v>
      </c>
      <c r="H391" s="1">
        <f>IF(B391="", "", "urine")</f>
        <v>0</v>
      </c>
      <c r="I391" s="1">
        <f>IF(B391="", "", "urine metagenome")</f>
        <v>0</v>
      </c>
      <c r="J391" s="1">
        <f>IF(B391="", "", "1346744")</f>
        <v>0</v>
      </c>
    </row>
    <row r="392" spans="1:10">
      <c r="A392">
        <f>IF(COUNTBLANK(B392:J392)&lt;&gt;COLUMNS(B392:J392),391,"")</f>
        <v>0</v>
      </c>
      <c r="C392" s="1">
        <f>IF(B392="", "", "UBERON:genitourinary")</f>
        <v>0</v>
      </c>
      <c r="D392" s="1">
        <f>IF(B392="", "", "UBERON:urine")</f>
        <v>0</v>
      </c>
      <c r="E392" s="1">
        <f>IF(B392="", "", "UBERON:kidney")</f>
        <v>0</v>
      </c>
      <c r="F392" s="1">
        <f>IF(B392="", "", "animal corpus")</f>
        <v>0</v>
      </c>
      <c r="G392" s="1">
        <f>IF(B392="", "", "urine")</f>
        <v>0</v>
      </c>
      <c r="H392" s="1">
        <f>IF(B392="", "", "urine")</f>
        <v>0</v>
      </c>
      <c r="I392" s="1">
        <f>IF(B392="", "", "urine metagenome")</f>
        <v>0</v>
      </c>
      <c r="J392" s="1">
        <f>IF(B392="", "", "1346744")</f>
        <v>0</v>
      </c>
    </row>
    <row r="393" spans="1:10">
      <c r="A393">
        <f>IF(COUNTBLANK(B393:J393)&lt;&gt;COLUMNS(B393:J393),392,"")</f>
        <v>0</v>
      </c>
      <c r="C393" s="1">
        <f>IF(B393="", "", "UBERON:genitourinary")</f>
        <v>0</v>
      </c>
      <c r="D393" s="1">
        <f>IF(B393="", "", "UBERON:urine")</f>
        <v>0</v>
      </c>
      <c r="E393" s="1">
        <f>IF(B393="", "", "UBERON:kidney")</f>
        <v>0</v>
      </c>
      <c r="F393" s="1">
        <f>IF(B393="", "", "animal corpus")</f>
        <v>0</v>
      </c>
      <c r="G393" s="1">
        <f>IF(B393="", "", "urine")</f>
        <v>0</v>
      </c>
      <c r="H393" s="1">
        <f>IF(B393="", "", "urine")</f>
        <v>0</v>
      </c>
      <c r="I393" s="1">
        <f>IF(B393="", "", "urine metagenome")</f>
        <v>0</v>
      </c>
      <c r="J393" s="1">
        <f>IF(B393="", "", "1346744")</f>
        <v>0</v>
      </c>
    </row>
    <row r="394" spans="1:10">
      <c r="A394">
        <f>IF(COUNTBLANK(B394:J394)&lt;&gt;COLUMNS(B394:J394),393,"")</f>
        <v>0</v>
      </c>
      <c r="C394" s="1">
        <f>IF(B394="", "", "UBERON:genitourinary")</f>
        <v>0</v>
      </c>
      <c r="D394" s="1">
        <f>IF(B394="", "", "UBERON:urine")</f>
        <v>0</v>
      </c>
      <c r="E394" s="1">
        <f>IF(B394="", "", "UBERON:kidney")</f>
        <v>0</v>
      </c>
      <c r="F394" s="1">
        <f>IF(B394="", "", "animal corpus")</f>
        <v>0</v>
      </c>
      <c r="G394" s="1">
        <f>IF(B394="", "", "urine")</f>
        <v>0</v>
      </c>
      <c r="H394" s="1">
        <f>IF(B394="", "", "urine")</f>
        <v>0</v>
      </c>
      <c r="I394" s="1">
        <f>IF(B394="", "", "urine metagenome")</f>
        <v>0</v>
      </c>
      <c r="J394" s="1">
        <f>IF(B394="", "", "1346744")</f>
        <v>0</v>
      </c>
    </row>
    <row r="395" spans="1:10">
      <c r="A395">
        <f>IF(COUNTBLANK(B395:J395)&lt;&gt;COLUMNS(B395:J395),394,"")</f>
        <v>0</v>
      </c>
      <c r="C395" s="1">
        <f>IF(B395="", "", "UBERON:genitourinary")</f>
        <v>0</v>
      </c>
      <c r="D395" s="1">
        <f>IF(B395="", "", "UBERON:urine")</f>
        <v>0</v>
      </c>
      <c r="E395" s="1">
        <f>IF(B395="", "", "UBERON:kidney")</f>
        <v>0</v>
      </c>
      <c r="F395" s="1">
        <f>IF(B395="", "", "animal corpus")</f>
        <v>0</v>
      </c>
      <c r="G395" s="1">
        <f>IF(B395="", "", "urine")</f>
        <v>0</v>
      </c>
      <c r="H395" s="1">
        <f>IF(B395="", "", "urine")</f>
        <v>0</v>
      </c>
      <c r="I395" s="1">
        <f>IF(B395="", "", "urine metagenome")</f>
        <v>0</v>
      </c>
      <c r="J395" s="1">
        <f>IF(B395="", "", "1346744")</f>
        <v>0</v>
      </c>
    </row>
    <row r="396" spans="1:10">
      <c r="A396">
        <f>IF(COUNTBLANK(B396:J396)&lt;&gt;COLUMNS(B396:J396),395,"")</f>
        <v>0</v>
      </c>
      <c r="C396" s="1">
        <f>IF(B396="", "", "UBERON:genitourinary")</f>
        <v>0</v>
      </c>
      <c r="D396" s="1">
        <f>IF(B396="", "", "UBERON:urine")</f>
        <v>0</v>
      </c>
      <c r="E396" s="1">
        <f>IF(B396="", "", "UBERON:kidney")</f>
        <v>0</v>
      </c>
      <c r="F396" s="1">
        <f>IF(B396="", "", "animal corpus")</f>
        <v>0</v>
      </c>
      <c r="G396" s="1">
        <f>IF(B396="", "", "urine")</f>
        <v>0</v>
      </c>
      <c r="H396" s="1">
        <f>IF(B396="", "", "urine")</f>
        <v>0</v>
      </c>
      <c r="I396" s="1">
        <f>IF(B396="", "", "urine metagenome")</f>
        <v>0</v>
      </c>
      <c r="J396" s="1">
        <f>IF(B396="", "", "1346744")</f>
        <v>0</v>
      </c>
    </row>
    <row r="397" spans="1:10">
      <c r="A397">
        <f>IF(COUNTBLANK(B397:J397)&lt;&gt;COLUMNS(B397:J397),396,"")</f>
        <v>0</v>
      </c>
      <c r="C397" s="1">
        <f>IF(B397="", "", "UBERON:genitourinary")</f>
        <v>0</v>
      </c>
      <c r="D397" s="1">
        <f>IF(B397="", "", "UBERON:urine")</f>
        <v>0</v>
      </c>
      <c r="E397" s="1">
        <f>IF(B397="", "", "UBERON:kidney")</f>
        <v>0</v>
      </c>
      <c r="F397" s="1">
        <f>IF(B397="", "", "animal corpus")</f>
        <v>0</v>
      </c>
      <c r="G397" s="1">
        <f>IF(B397="", "", "urine")</f>
        <v>0</v>
      </c>
      <c r="H397" s="1">
        <f>IF(B397="", "", "urine")</f>
        <v>0</v>
      </c>
      <c r="I397" s="1">
        <f>IF(B397="", "", "urine metagenome")</f>
        <v>0</v>
      </c>
      <c r="J397" s="1">
        <f>IF(B397="", "", "1346744")</f>
        <v>0</v>
      </c>
    </row>
    <row r="398" spans="1:10">
      <c r="A398">
        <f>IF(COUNTBLANK(B398:J398)&lt;&gt;COLUMNS(B398:J398),397,"")</f>
        <v>0</v>
      </c>
      <c r="C398" s="1">
        <f>IF(B398="", "", "UBERON:genitourinary")</f>
        <v>0</v>
      </c>
      <c r="D398" s="1">
        <f>IF(B398="", "", "UBERON:urine")</f>
        <v>0</v>
      </c>
      <c r="E398" s="1">
        <f>IF(B398="", "", "UBERON:kidney")</f>
        <v>0</v>
      </c>
      <c r="F398" s="1">
        <f>IF(B398="", "", "animal corpus")</f>
        <v>0</v>
      </c>
      <c r="G398" s="1">
        <f>IF(B398="", "", "urine")</f>
        <v>0</v>
      </c>
      <c r="H398" s="1">
        <f>IF(B398="", "", "urine")</f>
        <v>0</v>
      </c>
      <c r="I398" s="1">
        <f>IF(B398="", "", "urine metagenome")</f>
        <v>0</v>
      </c>
      <c r="J398" s="1">
        <f>IF(B398="", "", "1346744")</f>
        <v>0</v>
      </c>
    </row>
    <row r="399" spans="1:10">
      <c r="A399">
        <f>IF(COUNTBLANK(B399:J399)&lt;&gt;COLUMNS(B399:J399),398,"")</f>
        <v>0</v>
      </c>
      <c r="C399" s="1">
        <f>IF(B399="", "", "UBERON:genitourinary")</f>
        <v>0</v>
      </c>
      <c r="D399" s="1">
        <f>IF(B399="", "", "UBERON:urine")</f>
        <v>0</v>
      </c>
      <c r="E399" s="1">
        <f>IF(B399="", "", "UBERON:kidney")</f>
        <v>0</v>
      </c>
      <c r="F399" s="1">
        <f>IF(B399="", "", "animal corpus")</f>
        <v>0</v>
      </c>
      <c r="G399" s="1">
        <f>IF(B399="", "", "urine")</f>
        <v>0</v>
      </c>
      <c r="H399" s="1">
        <f>IF(B399="", "", "urine")</f>
        <v>0</v>
      </c>
      <c r="I399" s="1">
        <f>IF(B399="", "", "urine metagenome")</f>
        <v>0</v>
      </c>
      <c r="J399" s="1">
        <f>IF(B399="", "", "1346744")</f>
        <v>0</v>
      </c>
    </row>
    <row r="400" spans="1:10">
      <c r="A400">
        <f>IF(COUNTBLANK(B400:J400)&lt;&gt;COLUMNS(B400:J400),399,"")</f>
        <v>0</v>
      </c>
      <c r="C400" s="1">
        <f>IF(B400="", "", "UBERON:genitourinary")</f>
        <v>0</v>
      </c>
      <c r="D400" s="1">
        <f>IF(B400="", "", "UBERON:urine")</f>
        <v>0</v>
      </c>
      <c r="E400" s="1">
        <f>IF(B400="", "", "UBERON:kidney")</f>
        <v>0</v>
      </c>
      <c r="F400" s="1">
        <f>IF(B400="", "", "animal corpus")</f>
        <v>0</v>
      </c>
      <c r="G400" s="1">
        <f>IF(B400="", "", "urine")</f>
        <v>0</v>
      </c>
      <c r="H400" s="1">
        <f>IF(B400="", "", "urine")</f>
        <v>0</v>
      </c>
      <c r="I400" s="1">
        <f>IF(B400="", "", "urine metagenome")</f>
        <v>0</v>
      </c>
      <c r="J400" s="1">
        <f>IF(B400="", "", "1346744")</f>
        <v>0</v>
      </c>
    </row>
    <row r="401" spans="1:10">
      <c r="A401">
        <f>IF(COUNTBLANK(B401:J401)&lt;&gt;COLUMNS(B401:J401),400,"")</f>
        <v>0</v>
      </c>
      <c r="C401" s="1">
        <f>IF(B401="", "", "UBERON:genitourinary")</f>
        <v>0</v>
      </c>
      <c r="D401" s="1">
        <f>IF(B401="", "", "UBERON:urine")</f>
        <v>0</v>
      </c>
      <c r="E401" s="1">
        <f>IF(B401="", "", "UBERON:kidney")</f>
        <v>0</v>
      </c>
      <c r="F401" s="1">
        <f>IF(B401="", "", "animal corpus")</f>
        <v>0</v>
      </c>
      <c r="G401" s="1">
        <f>IF(B401="", "", "urine")</f>
        <v>0</v>
      </c>
      <c r="H401" s="1">
        <f>IF(B401="", "", "urine")</f>
        <v>0</v>
      </c>
      <c r="I401" s="1">
        <f>IF(B401="", "", "urine metagenome")</f>
        <v>0</v>
      </c>
      <c r="J401" s="1">
        <f>IF(B401="", "", "1346744")</f>
        <v>0</v>
      </c>
    </row>
    <row r="402" spans="1:10">
      <c r="A402">
        <f>IF(COUNTBLANK(B402:J402)&lt;&gt;COLUMNS(B402:J402),401,"")</f>
        <v>0</v>
      </c>
      <c r="C402" s="1">
        <f>IF(B402="", "", "UBERON:genitourinary")</f>
        <v>0</v>
      </c>
      <c r="D402" s="1">
        <f>IF(B402="", "", "UBERON:urine")</f>
        <v>0</v>
      </c>
      <c r="E402" s="1">
        <f>IF(B402="", "", "UBERON:kidney")</f>
        <v>0</v>
      </c>
      <c r="F402" s="1">
        <f>IF(B402="", "", "animal corpus")</f>
        <v>0</v>
      </c>
      <c r="G402" s="1">
        <f>IF(B402="", "", "urine")</f>
        <v>0</v>
      </c>
      <c r="H402" s="1">
        <f>IF(B402="", "", "urine")</f>
        <v>0</v>
      </c>
      <c r="I402" s="1">
        <f>IF(B402="", "", "urine metagenome")</f>
        <v>0</v>
      </c>
      <c r="J402" s="1">
        <f>IF(B402="", "", "1346744")</f>
        <v>0</v>
      </c>
    </row>
    <row r="403" spans="1:10">
      <c r="A403">
        <f>IF(COUNTBLANK(B403:J403)&lt;&gt;COLUMNS(B403:J403),402,"")</f>
        <v>0</v>
      </c>
      <c r="C403" s="1">
        <f>IF(B403="", "", "UBERON:genitourinary")</f>
        <v>0</v>
      </c>
      <c r="D403" s="1">
        <f>IF(B403="", "", "UBERON:urine")</f>
        <v>0</v>
      </c>
      <c r="E403" s="1">
        <f>IF(B403="", "", "UBERON:kidney")</f>
        <v>0</v>
      </c>
      <c r="F403" s="1">
        <f>IF(B403="", "", "animal corpus")</f>
        <v>0</v>
      </c>
      <c r="G403" s="1">
        <f>IF(B403="", "", "urine")</f>
        <v>0</v>
      </c>
      <c r="H403" s="1">
        <f>IF(B403="", "", "urine")</f>
        <v>0</v>
      </c>
      <c r="I403" s="1">
        <f>IF(B403="", "", "urine metagenome")</f>
        <v>0</v>
      </c>
      <c r="J403" s="1">
        <f>IF(B403="", "", "1346744")</f>
        <v>0</v>
      </c>
    </row>
    <row r="404" spans="1:10">
      <c r="A404">
        <f>IF(COUNTBLANK(B404:J404)&lt;&gt;COLUMNS(B404:J404),403,"")</f>
        <v>0</v>
      </c>
      <c r="C404" s="1">
        <f>IF(B404="", "", "UBERON:genitourinary")</f>
        <v>0</v>
      </c>
      <c r="D404" s="1">
        <f>IF(B404="", "", "UBERON:urine")</f>
        <v>0</v>
      </c>
      <c r="E404" s="1">
        <f>IF(B404="", "", "UBERON:kidney")</f>
        <v>0</v>
      </c>
      <c r="F404" s="1">
        <f>IF(B404="", "", "animal corpus")</f>
        <v>0</v>
      </c>
      <c r="G404" s="1">
        <f>IF(B404="", "", "urine")</f>
        <v>0</v>
      </c>
      <c r="H404" s="1">
        <f>IF(B404="", "", "urine")</f>
        <v>0</v>
      </c>
      <c r="I404" s="1">
        <f>IF(B404="", "", "urine metagenome")</f>
        <v>0</v>
      </c>
      <c r="J404" s="1">
        <f>IF(B404="", "", "1346744")</f>
        <v>0</v>
      </c>
    </row>
    <row r="405" spans="1:10">
      <c r="A405">
        <f>IF(COUNTBLANK(B405:J405)&lt;&gt;COLUMNS(B405:J405),404,"")</f>
        <v>0</v>
      </c>
      <c r="C405" s="1">
        <f>IF(B405="", "", "UBERON:genitourinary")</f>
        <v>0</v>
      </c>
      <c r="D405" s="1">
        <f>IF(B405="", "", "UBERON:urine")</f>
        <v>0</v>
      </c>
      <c r="E405" s="1">
        <f>IF(B405="", "", "UBERON:kidney")</f>
        <v>0</v>
      </c>
      <c r="F405" s="1">
        <f>IF(B405="", "", "animal corpus")</f>
        <v>0</v>
      </c>
      <c r="G405" s="1">
        <f>IF(B405="", "", "urine")</f>
        <v>0</v>
      </c>
      <c r="H405" s="1">
        <f>IF(B405="", "", "urine")</f>
        <v>0</v>
      </c>
      <c r="I405" s="1">
        <f>IF(B405="", "", "urine metagenome")</f>
        <v>0</v>
      </c>
      <c r="J405" s="1">
        <f>IF(B405="", "", "1346744")</f>
        <v>0</v>
      </c>
    </row>
    <row r="406" spans="1:10">
      <c r="A406">
        <f>IF(COUNTBLANK(B406:J406)&lt;&gt;COLUMNS(B406:J406),405,"")</f>
        <v>0</v>
      </c>
      <c r="C406" s="1">
        <f>IF(B406="", "", "UBERON:genitourinary")</f>
        <v>0</v>
      </c>
      <c r="D406" s="1">
        <f>IF(B406="", "", "UBERON:urine")</f>
        <v>0</v>
      </c>
      <c r="E406" s="1">
        <f>IF(B406="", "", "UBERON:kidney")</f>
        <v>0</v>
      </c>
      <c r="F406" s="1">
        <f>IF(B406="", "", "animal corpus")</f>
        <v>0</v>
      </c>
      <c r="G406" s="1">
        <f>IF(B406="", "", "urine")</f>
        <v>0</v>
      </c>
      <c r="H406" s="1">
        <f>IF(B406="", "", "urine")</f>
        <v>0</v>
      </c>
      <c r="I406" s="1">
        <f>IF(B406="", "", "urine metagenome")</f>
        <v>0</v>
      </c>
      <c r="J406" s="1">
        <f>IF(B406="", "", "1346744")</f>
        <v>0</v>
      </c>
    </row>
    <row r="407" spans="1:10">
      <c r="A407">
        <f>IF(COUNTBLANK(B407:J407)&lt;&gt;COLUMNS(B407:J407),406,"")</f>
        <v>0</v>
      </c>
      <c r="C407" s="1">
        <f>IF(B407="", "", "UBERON:genitourinary")</f>
        <v>0</v>
      </c>
      <c r="D407" s="1">
        <f>IF(B407="", "", "UBERON:urine")</f>
        <v>0</v>
      </c>
      <c r="E407" s="1">
        <f>IF(B407="", "", "UBERON:kidney")</f>
        <v>0</v>
      </c>
      <c r="F407" s="1">
        <f>IF(B407="", "", "animal corpus")</f>
        <v>0</v>
      </c>
      <c r="G407" s="1">
        <f>IF(B407="", "", "urine")</f>
        <v>0</v>
      </c>
      <c r="H407" s="1">
        <f>IF(B407="", "", "urine")</f>
        <v>0</v>
      </c>
      <c r="I407" s="1">
        <f>IF(B407="", "", "urine metagenome")</f>
        <v>0</v>
      </c>
      <c r="J407" s="1">
        <f>IF(B407="", "", "1346744")</f>
        <v>0</v>
      </c>
    </row>
    <row r="408" spans="1:10">
      <c r="A408">
        <f>IF(COUNTBLANK(B408:J408)&lt;&gt;COLUMNS(B408:J408),407,"")</f>
        <v>0</v>
      </c>
      <c r="C408" s="1">
        <f>IF(B408="", "", "UBERON:genitourinary")</f>
        <v>0</v>
      </c>
      <c r="D408" s="1">
        <f>IF(B408="", "", "UBERON:urine")</f>
        <v>0</v>
      </c>
      <c r="E408" s="1">
        <f>IF(B408="", "", "UBERON:kidney")</f>
        <v>0</v>
      </c>
      <c r="F408" s="1">
        <f>IF(B408="", "", "animal corpus")</f>
        <v>0</v>
      </c>
      <c r="G408" s="1">
        <f>IF(B408="", "", "urine")</f>
        <v>0</v>
      </c>
      <c r="H408" s="1">
        <f>IF(B408="", "", "urine")</f>
        <v>0</v>
      </c>
      <c r="I408" s="1">
        <f>IF(B408="", "", "urine metagenome")</f>
        <v>0</v>
      </c>
      <c r="J408" s="1">
        <f>IF(B408="", "", "1346744")</f>
        <v>0</v>
      </c>
    </row>
    <row r="409" spans="1:10">
      <c r="A409">
        <f>IF(COUNTBLANK(B409:J409)&lt;&gt;COLUMNS(B409:J409),408,"")</f>
        <v>0</v>
      </c>
      <c r="C409" s="1">
        <f>IF(B409="", "", "UBERON:genitourinary")</f>
        <v>0</v>
      </c>
      <c r="D409" s="1">
        <f>IF(B409="", "", "UBERON:urine")</f>
        <v>0</v>
      </c>
      <c r="E409" s="1">
        <f>IF(B409="", "", "UBERON:kidney")</f>
        <v>0</v>
      </c>
      <c r="F409" s="1">
        <f>IF(B409="", "", "animal corpus")</f>
        <v>0</v>
      </c>
      <c r="G409" s="1">
        <f>IF(B409="", "", "urine")</f>
        <v>0</v>
      </c>
      <c r="H409" s="1">
        <f>IF(B409="", "", "urine")</f>
        <v>0</v>
      </c>
      <c r="I409" s="1">
        <f>IF(B409="", "", "urine metagenome")</f>
        <v>0</v>
      </c>
      <c r="J409" s="1">
        <f>IF(B409="", "", "1346744")</f>
        <v>0</v>
      </c>
    </row>
    <row r="410" spans="1:10">
      <c r="A410">
        <f>IF(COUNTBLANK(B410:J410)&lt;&gt;COLUMNS(B410:J410),409,"")</f>
        <v>0</v>
      </c>
      <c r="C410" s="1">
        <f>IF(B410="", "", "UBERON:genitourinary")</f>
        <v>0</v>
      </c>
      <c r="D410" s="1">
        <f>IF(B410="", "", "UBERON:urine")</f>
        <v>0</v>
      </c>
      <c r="E410" s="1">
        <f>IF(B410="", "", "UBERON:kidney")</f>
        <v>0</v>
      </c>
      <c r="F410" s="1">
        <f>IF(B410="", "", "animal corpus")</f>
        <v>0</v>
      </c>
      <c r="G410" s="1">
        <f>IF(B410="", "", "urine")</f>
        <v>0</v>
      </c>
      <c r="H410" s="1">
        <f>IF(B410="", "", "urine")</f>
        <v>0</v>
      </c>
      <c r="I410" s="1">
        <f>IF(B410="", "", "urine metagenome")</f>
        <v>0</v>
      </c>
      <c r="J410" s="1">
        <f>IF(B410="", "", "1346744")</f>
        <v>0</v>
      </c>
    </row>
    <row r="411" spans="1:10">
      <c r="A411">
        <f>IF(COUNTBLANK(B411:J411)&lt;&gt;COLUMNS(B411:J411),410,"")</f>
        <v>0</v>
      </c>
      <c r="C411" s="1">
        <f>IF(B411="", "", "UBERON:genitourinary")</f>
        <v>0</v>
      </c>
      <c r="D411" s="1">
        <f>IF(B411="", "", "UBERON:urine")</f>
        <v>0</v>
      </c>
      <c r="E411" s="1">
        <f>IF(B411="", "", "UBERON:kidney")</f>
        <v>0</v>
      </c>
      <c r="F411" s="1">
        <f>IF(B411="", "", "animal corpus")</f>
        <v>0</v>
      </c>
      <c r="G411" s="1">
        <f>IF(B411="", "", "urine")</f>
        <v>0</v>
      </c>
      <c r="H411" s="1">
        <f>IF(B411="", "", "urine")</f>
        <v>0</v>
      </c>
      <c r="I411" s="1">
        <f>IF(B411="", "", "urine metagenome")</f>
        <v>0</v>
      </c>
      <c r="J411" s="1">
        <f>IF(B411="", "", "1346744")</f>
        <v>0</v>
      </c>
    </row>
    <row r="412" spans="1:10">
      <c r="A412">
        <f>IF(COUNTBLANK(B412:J412)&lt;&gt;COLUMNS(B412:J412),411,"")</f>
        <v>0</v>
      </c>
      <c r="C412" s="1">
        <f>IF(B412="", "", "UBERON:genitourinary")</f>
        <v>0</v>
      </c>
      <c r="D412" s="1">
        <f>IF(B412="", "", "UBERON:urine")</f>
        <v>0</v>
      </c>
      <c r="E412" s="1">
        <f>IF(B412="", "", "UBERON:kidney")</f>
        <v>0</v>
      </c>
      <c r="F412" s="1">
        <f>IF(B412="", "", "animal corpus")</f>
        <v>0</v>
      </c>
      <c r="G412" s="1">
        <f>IF(B412="", "", "urine")</f>
        <v>0</v>
      </c>
      <c r="H412" s="1">
        <f>IF(B412="", "", "urine")</f>
        <v>0</v>
      </c>
      <c r="I412" s="1">
        <f>IF(B412="", "", "urine metagenome")</f>
        <v>0</v>
      </c>
      <c r="J412" s="1">
        <f>IF(B412="", "", "1346744")</f>
        <v>0</v>
      </c>
    </row>
    <row r="413" spans="1:10">
      <c r="A413">
        <f>IF(COUNTBLANK(B413:J413)&lt;&gt;COLUMNS(B413:J413),412,"")</f>
        <v>0</v>
      </c>
      <c r="C413" s="1">
        <f>IF(B413="", "", "UBERON:genitourinary")</f>
        <v>0</v>
      </c>
      <c r="D413" s="1">
        <f>IF(B413="", "", "UBERON:urine")</f>
        <v>0</v>
      </c>
      <c r="E413" s="1">
        <f>IF(B413="", "", "UBERON:kidney")</f>
        <v>0</v>
      </c>
      <c r="F413" s="1">
        <f>IF(B413="", "", "animal corpus")</f>
        <v>0</v>
      </c>
      <c r="G413" s="1">
        <f>IF(B413="", "", "urine")</f>
        <v>0</v>
      </c>
      <c r="H413" s="1">
        <f>IF(B413="", "", "urine")</f>
        <v>0</v>
      </c>
      <c r="I413" s="1">
        <f>IF(B413="", "", "urine metagenome")</f>
        <v>0</v>
      </c>
      <c r="J413" s="1">
        <f>IF(B413="", "", "1346744")</f>
        <v>0</v>
      </c>
    </row>
    <row r="414" spans="1:10">
      <c r="A414">
        <f>IF(COUNTBLANK(B414:J414)&lt;&gt;COLUMNS(B414:J414),413,"")</f>
        <v>0</v>
      </c>
      <c r="C414" s="1">
        <f>IF(B414="", "", "UBERON:genitourinary")</f>
        <v>0</v>
      </c>
      <c r="D414" s="1">
        <f>IF(B414="", "", "UBERON:urine")</f>
        <v>0</v>
      </c>
      <c r="E414" s="1">
        <f>IF(B414="", "", "UBERON:kidney")</f>
        <v>0</v>
      </c>
      <c r="F414" s="1">
        <f>IF(B414="", "", "animal corpus")</f>
        <v>0</v>
      </c>
      <c r="G414" s="1">
        <f>IF(B414="", "", "urine")</f>
        <v>0</v>
      </c>
      <c r="H414" s="1">
        <f>IF(B414="", "", "urine")</f>
        <v>0</v>
      </c>
      <c r="I414" s="1">
        <f>IF(B414="", "", "urine metagenome")</f>
        <v>0</v>
      </c>
      <c r="J414" s="1">
        <f>IF(B414="", "", "1346744")</f>
        <v>0</v>
      </c>
    </row>
    <row r="415" spans="1:10">
      <c r="A415">
        <f>IF(COUNTBLANK(B415:J415)&lt;&gt;COLUMNS(B415:J415),414,"")</f>
        <v>0</v>
      </c>
      <c r="C415" s="1">
        <f>IF(B415="", "", "UBERON:genitourinary")</f>
        <v>0</v>
      </c>
      <c r="D415" s="1">
        <f>IF(B415="", "", "UBERON:urine")</f>
        <v>0</v>
      </c>
      <c r="E415" s="1">
        <f>IF(B415="", "", "UBERON:kidney")</f>
        <v>0</v>
      </c>
      <c r="F415" s="1">
        <f>IF(B415="", "", "animal corpus")</f>
        <v>0</v>
      </c>
      <c r="G415" s="1">
        <f>IF(B415="", "", "urine")</f>
        <v>0</v>
      </c>
      <c r="H415" s="1">
        <f>IF(B415="", "", "urine")</f>
        <v>0</v>
      </c>
      <c r="I415" s="1">
        <f>IF(B415="", "", "urine metagenome")</f>
        <v>0</v>
      </c>
      <c r="J415" s="1">
        <f>IF(B415="", "", "1346744")</f>
        <v>0</v>
      </c>
    </row>
    <row r="416" spans="1:10">
      <c r="A416">
        <f>IF(COUNTBLANK(B416:J416)&lt;&gt;COLUMNS(B416:J416),415,"")</f>
        <v>0</v>
      </c>
      <c r="C416" s="1">
        <f>IF(B416="", "", "UBERON:genitourinary")</f>
        <v>0</v>
      </c>
      <c r="D416" s="1">
        <f>IF(B416="", "", "UBERON:urine")</f>
        <v>0</v>
      </c>
      <c r="E416" s="1">
        <f>IF(B416="", "", "UBERON:kidney")</f>
        <v>0</v>
      </c>
      <c r="F416" s="1">
        <f>IF(B416="", "", "animal corpus")</f>
        <v>0</v>
      </c>
      <c r="G416" s="1">
        <f>IF(B416="", "", "urine")</f>
        <v>0</v>
      </c>
      <c r="H416" s="1">
        <f>IF(B416="", "", "urine")</f>
        <v>0</v>
      </c>
      <c r="I416" s="1">
        <f>IF(B416="", "", "urine metagenome")</f>
        <v>0</v>
      </c>
      <c r="J416" s="1">
        <f>IF(B416="", "", "1346744")</f>
        <v>0</v>
      </c>
    </row>
    <row r="417" spans="1:10">
      <c r="A417">
        <f>IF(COUNTBLANK(B417:J417)&lt;&gt;COLUMNS(B417:J417),416,"")</f>
        <v>0</v>
      </c>
      <c r="C417" s="1">
        <f>IF(B417="", "", "UBERON:genitourinary")</f>
        <v>0</v>
      </c>
      <c r="D417" s="1">
        <f>IF(B417="", "", "UBERON:urine")</f>
        <v>0</v>
      </c>
      <c r="E417" s="1">
        <f>IF(B417="", "", "UBERON:kidney")</f>
        <v>0</v>
      </c>
      <c r="F417" s="1">
        <f>IF(B417="", "", "animal corpus")</f>
        <v>0</v>
      </c>
      <c r="G417" s="1">
        <f>IF(B417="", "", "urine")</f>
        <v>0</v>
      </c>
      <c r="H417" s="1">
        <f>IF(B417="", "", "urine")</f>
        <v>0</v>
      </c>
      <c r="I417" s="1">
        <f>IF(B417="", "", "urine metagenome")</f>
        <v>0</v>
      </c>
      <c r="J417" s="1">
        <f>IF(B417="", "", "1346744")</f>
        <v>0</v>
      </c>
    </row>
    <row r="418" spans="1:10">
      <c r="A418">
        <f>IF(COUNTBLANK(B418:J418)&lt;&gt;COLUMNS(B418:J418),417,"")</f>
        <v>0</v>
      </c>
      <c r="C418" s="1">
        <f>IF(B418="", "", "UBERON:genitourinary")</f>
        <v>0</v>
      </c>
      <c r="D418" s="1">
        <f>IF(B418="", "", "UBERON:urine")</f>
        <v>0</v>
      </c>
      <c r="E418" s="1">
        <f>IF(B418="", "", "UBERON:kidney")</f>
        <v>0</v>
      </c>
      <c r="F418" s="1">
        <f>IF(B418="", "", "animal corpus")</f>
        <v>0</v>
      </c>
      <c r="G418" s="1">
        <f>IF(B418="", "", "urine")</f>
        <v>0</v>
      </c>
      <c r="H418" s="1">
        <f>IF(B418="", "", "urine")</f>
        <v>0</v>
      </c>
      <c r="I418" s="1">
        <f>IF(B418="", "", "urine metagenome")</f>
        <v>0</v>
      </c>
      <c r="J418" s="1">
        <f>IF(B418="", "", "1346744")</f>
        <v>0</v>
      </c>
    </row>
    <row r="419" spans="1:10">
      <c r="A419">
        <f>IF(COUNTBLANK(B419:J419)&lt;&gt;COLUMNS(B419:J419),418,"")</f>
        <v>0</v>
      </c>
      <c r="C419" s="1">
        <f>IF(B419="", "", "UBERON:genitourinary")</f>
        <v>0</v>
      </c>
      <c r="D419" s="1">
        <f>IF(B419="", "", "UBERON:urine")</f>
        <v>0</v>
      </c>
      <c r="E419" s="1">
        <f>IF(B419="", "", "UBERON:kidney")</f>
        <v>0</v>
      </c>
      <c r="F419" s="1">
        <f>IF(B419="", "", "animal corpus")</f>
        <v>0</v>
      </c>
      <c r="G419" s="1">
        <f>IF(B419="", "", "urine")</f>
        <v>0</v>
      </c>
      <c r="H419" s="1">
        <f>IF(B419="", "", "urine")</f>
        <v>0</v>
      </c>
      <c r="I419" s="1">
        <f>IF(B419="", "", "urine metagenome")</f>
        <v>0</v>
      </c>
      <c r="J419" s="1">
        <f>IF(B419="", "", "1346744")</f>
        <v>0</v>
      </c>
    </row>
    <row r="420" spans="1:10">
      <c r="A420">
        <f>IF(COUNTBLANK(B420:J420)&lt;&gt;COLUMNS(B420:J420),419,"")</f>
        <v>0</v>
      </c>
      <c r="C420" s="1">
        <f>IF(B420="", "", "UBERON:genitourinary")</f>
        <v>0</v>
      </c>
      <c r="D420" s="1">
        <f>IF(B420="", "", "UBERON:urine")</f>
        <v>0</v>
      </c>
      <c r="E420" s="1">
        <f>IF(B420="", "", "UBERON:kidney")</f>
        <v>0</v>
      </c>
      <c r="F420" s="1">
        <f>IF(B420="", "", "animal corpus")</f>
        <v>0</v>
      </c>
      <c r="G420" s="1">
        <f>IF(B420="", "", "urine")</f>
        <v>0</v>
      </c>
      <c r="H420" s="1">
        <f>IF(B420="", "", "urine")</f>
        <v>0</v>
      </c>
      <c r="I420" s="1">
        <f>IF(B420="", "", "urine metagenome")</f>
        <v>0</v>
      </c>
      <c r="J420" s="1">
        <f>IF(B420="", "", "1346744")</f>
        <v>0</v>
      </c>
    </row>
    <row r="421" spans="1:10">
      <c r="A421">
        <f>IF(COUNTBLANK(B421:J421)&lt;&gt;COLUMNS(B421:J421),420,"")</f>
        <v>0</v>
      </c>
      <c r="C421" s="1">
        <f>IF(B421="", "", "UBERON:genitourinary")</f>
        <v>0</v>
      </c>
      <c r="D421" s="1">
        <f>IF(B421="", "", "UBERON:urine")</f>
        <v>0</v>
      </c>
      <c r="E421" s="1">
        <f>IF(B421="", "", "UBERON:kidney")</f>
        <v>0</v>
      </c>
      <c r="F421" s="1">
        <f>IF(B421="", "", "animal corpus")</f>
        <v>0</v>
      </c>
      <c r="G421" s="1">
        <f>IF(B421="", "", "urine")</f>
        <v>0</v>
      </c>
      <c r="H421" s="1">
        <f>IF(B421="", "", "urine")</f>
        <v>0</v>
      </c>
      <c r="I421" s="1">
        <f>IF(B421="", "", "urine metagenome")</f>
        <v>0</v>
      </c>
      <c r="J421" s="1">
        <f>IF(B421="", "", "1346744")</f>
        <v>0</v>
      </c>
    </row>
    <row r="422" spans="1:10">
      <c r="A422">
        <f>IF(COUNTBLANK(B422:J422)&lt;&gt;COLUMNS(B422:J422),421,"")</f>
        <v>0</v>
      </c>
      <c r="C422" s="1">
        <f>IF(B422="", "", "UBERON:genitourinary")</f>
        <v>0</v>
      </c>
      <c r="D422" s="1">
        <f>IF(B422="", "", "UBERON:urine")</f>
        <v>0</v>
      </c>
      <c r="E422" s="1">
        <f>IF(B422="", "", "UBERON:kidney")</f>
        <v>0</v>
      </c>
      <c r="F422" s="1">
        <f>IF(B422="", "", "animal corpus")</f>
        <v>0</v>
      </c>
      <c r="G422" s="1">
        <f>IF(B422="", "", "urine")</f>
        <v>0</v>
      </c>
      <c r="H422" s="1">
        <f>IF(B422="", "", "urine")</f>
        <v>0</v>
      </c>
      <c r="I422" s="1">
        <f>IF(B422="", "", "urine metagenome")</f>
        <v>0</v>
      </c>
      <c r="J422" s="1">
        <f>IF(B422="", "", "1346744")</f>
        <v>0</v>
      </c>
    </row>
    <row r="423" spans="1:10">
      <c r="A423">
        <f>IF(COUNTBLANK(B423:J423)&lt;&gt;COLUMNS(B423:J423),422,"")</f>
        <v>0</v>
      </c>
      <c r="C423" s="1">
        <f>IF(B423="", "", "UBERON:genitourinary")</f>
        <v>0</v>
      </c>
      <c r="D423" s="1">
        <f>IF(B423="", "", "UBERON:urine")</f>
        <v>0</v>
      </c>
      <c r="E423" s="1">
        <f>IF(B423="", "", "UBERON:kidney")</f>
        <v>0</v>
      </c>
      <c r="F423" s="1">
        <f>IF(B423="", "", "animal corpus")</f>
        <v>0</v>
      </c>
      <c r="G423" s="1">
        <f>IF(B423="", "", "urine")</f>
        <v>0</v>
      </c>
      <c r="H423" s="1">
        <f>IF(B423="", "", "urine")</f>
        <v>0</v>
      </c>
      <c r="I423" s="1">
        <f>IF(B423="", "", "urine metagenome")</f>
        <v>0</v>
      </c>
      <c r="J423" s="1">
        <f>IF(B423="", "", "1346744")</f>
        <v>0</v>
      </c>
    </row>
    <row r="424" spans="1:10">
      <c r="A424">
        <f>IF(COUNTBLANK(B424:J424)&lt;&gt;COLUMNS(B424:J424),423,"")</f>
        <v>0</v>
      </c>
      <c r="C424" s="1">
        <f>IF(B424="", "", "UBERON:genitourinary")</f>
        <v>0</v>
      </c>
      <c r="D424" s="1">
        <f>IF(B424="", "", "UBERON:urine")</f>
        <v>0</v>
      </c>
      <c r="E424" s="1">
        <f>IF(B424="", "", "UBERON:kidney")</f>
        <v>0</v>
      </c>
      <c r="F424" s="1">
        <f>IF(B424="", "", "animal corpus")</f>
        <v>0</v>
      </c>
      <c r="G424" s="1">
        <f>IF(B424="", "", "urine")</f>
        <v>0</v>
      </c>
      <c r="H424" s="1">
        <f>IF(B424="", "", "urine")</f>
        <v>0</v>
      </c>
      <c r="I424" s="1">
        <f>IF(B424="", "", "urine metagenome")</f>
        <v>0</v>
      </c>
      <c r="J424" s="1">
        <f>IF(B424="", "", "1346744")</f>
        <v>0</v>
      </c>
    </row>
    <row r="425" spans="1:10">
      <c r="A425">
        <f>IF(COUNTBLANK(B425:J425)&lt;&gt;COLUMNS(B425:J425),424,"")</f>
        <v>0</v>
      </c>
      <c r="C425" s="1">
        <f>IF(B425="", "", "UBERON:genitourinary")</f>
        <v>0</v>
      </c>
      <c r="D425" s="1">
        <f>IF(B425="", "", "UBERON:urine")</f>
        <v>0</v>
      </c>
      <c r="E425" s="1">
        <f>IF(B425="", "", "UBERON:kidney")</f>
        <v>0</v>
      </c>
      <c r="F425" s="1">
        <f>IF(B425="", "", "animal corpus")</f>
        <v>0</v>
      </c>
      <c r="G425" s="1">
        <f>IF(B425="", "", "urine")</f>
        <v>0</v>
      </c>
      <c r="H425" s="1">
        <f>IF(B425="", "", "urine")</f>
        <v>0</v>
      </c>
      <c r="I425" s="1">
        <f>IF(B425="", "", "urine metagenome")</f>
        <v>0</v>
      </c>
      <c r="J425" s="1">
        <f>IF(B425="", "", "1346744")</f>
        <v>0</v>
      </c>
    </row>
    <row r="426" spans="1:10">
      <c r="A426">
        <f>IF(COUNTBLANK(B426:J426)&lt;&gt;COLUMNS(B426:J426),425,"")</f>
        <v>0</v>
      </c>
      <c r="C426" s="1">
        <f>IF(B426="", "", "UBERON:genitourinary")</f>
        <v>0</v>
      </c>
      <c r="D426" s="1">
        <f>IF(B426="", "", "UBERON:urine")</f>
        <v>0</v>
      </c>
      <c r="E426" s="1">
        <f>IF(B426="", "", "UBERON:kidney")</f>
        <v>0</v>
      </c>
      <c r="F426" s="1">
        <f>IF(B426="", "", "animal corpus")</f>
        <v>0</v>
      </c>
      <c r="G426" s="1">
        <f>IF(B426="", "", "urine")</f>
        <v>0</v>
      </c>
      <c r="H426" s="1">
        <f>IF(B426="", "", "urine")</f>
        <v>0</v>
      </c>
      <c r="I426" s="1">
        <f>IF(B426="", "", "urine metagenome")</f>
        <v>0</v>
      </c>
      <c r="J426" s="1">
        <f>IF(B426="", "", "1346744")</f>
        <v>0</v>
      </c>
    </row>
    <row r="427" spans="1:10">
      <c r="A427">
        <f>IF(COUNTBLANK(B427:J427)&lt;&gt;COLUMNS(B427:J427),426,"")</f>
        <v>0</v>
      </c>
      <c r="C427" s="1">
        <f>IF(B427="", "", "UBERON:genitourinary")</f>
        <v>0</v>
      </c>
      <c r="D427" s="1">
        <f>IF(B427="", "", "UBERON:urine")</f>
        <v>0</v>
      </c>
      <c r="E427" s="1">
        <f>IF(B427="", "", "UBERON:kidney")</f>
        <v>0</v>
      </c>
      <c r="F427" s="1">
        <f>IF(B427="", "", "animal corpus")</f>
        <v>0</v>
      </c>
      <c r="G427" s="1">
        <f>IF(B427="", "", "urine")</f>
        <v>0</v>
      </c>
      <c r="H427" s="1">
        <f>IF(B427="", "", "urine")</f>
        <v>0</v>
      </c>
      <c r="I427" s="1">
        <f>IF(B427="", "", "urine metagenome")</f>
        <v>0</v>
      </c>
      <c r="J427" s="1">
        <f>IF(B427="", "", "1346744")</f>
        <v>0</v>
      </c>
    </row>
    <row r="428" spans="1:10">
      <c r="A428">
        <f>IF(COUNTBLANK(B428:J428)&lt;&gt;COLUMNS(B428:J428),427,"")</f>
        <v>0</v>
      </c>
      <c r="C428" s="1">
        <f>IF(B428="", "", "UBERON:genitourinary")</f>
        <v>0</v>
      </c>
      <c r="D428" s="1">
        <f>IF(B428="", "", "UBERON:urine")</f>
        <v>0</v>
      </c>
      <c r="E428" s="1">
        <f>IF(B428="", "", "UBERON:kidney")</f>
        <v>0</v>
      </c>
      <c r="F428" s="1">
        <f>IF(B428="", "", "animal corpus")</f>
        <v>0</v>
      </c>
      <c r="G428" s="1">
        <f>IF(B428="", "", "urine")</f>
        <v>0</v>
      </c>
      <c r="H428" s="1">
        <f>IF(B428="", "", "urine")</f>
        <v>0</v>
      </c>
      <c r="I428" s="1">
        <f>IF(B428="", "", "urine metagenome")</f>
        <v>0</v>
      </c>
      <c r="J428" s="1">
        <f>IF(B428="", "", "1346744")</f>
        <v>0</v>
      </c>
    </row>
    <row r="429" spans="1:10">
      <c r="A429">
        <f>IF(COUNTBLANK(B429:J429)&lt;&gt;COLUMNS(B429:J429),428,"")</f>
        <v>0</v>
      </c>
      <c r="C429" s="1">
        <f>IF(B429="", "", "UBERON:genitourinary")</f>
        <v>0</v>
      </c>
      <c r="D429" s="1">
        <f>IF(B429="", "", "UBERON:urine")</f>
        <v>0</v>
      </c>
      <c r="E429" s="1">
        <f>IF(B429="", "", "UBERON:kidney")</f>
        <v>0</v>
      </c>
      <c r="F429" s="1">
        <f>IF(B429="", "", "animal corpus")</f>
        <v>0</v>
      </c>
      <c r="G429" s="1">
        <f>IF(B429="", "", "urine")</f>
        <v>0</v>
      </c>
      <c r="H429" s="1">
        <f>IF(B429="", "", "urine")</f>
        <v>0</v>
      </c>
      <c r="I429" s="1">
        <f>IF(B429="", "", "urine metagenome")</f>
        <v>0</v>
      </c>
      <c r="J429" s="1">
        <f>IF(B429="", "", "1346744")</f>
        <v>0</v>
      </c>
    </row>
    <row r="430" spans="1:10">
      <c r="A430">
        <f>IF(COUNTBLANK(B430:J430)&lt;&gt;COLUMNS(B430:J430),429,"")</f>
        <v>0</v>
      </c>
      <c r="C430" s="1">
        <f>IF(B430="", "", "UBERON:genitourinary")</f>
        <v>0</v>
      </c>
      <c r="D430" s="1">
        <f>IF(B430="", "", "UBERON:urine")</f>
        <v>0</v>
      </c>
      <c r="E430" s="1">
        <f>IF(B430="", "", "UBERON:kidney")</f>
        <v>0</v>
      </c>
      <c r="F430" s="1">
        <f>IF(B430="", "", "animal corpus")</f>
        <v>0</v>
      </c>
      <c r="G430" s="1">
        <f>IF(B430="", "", "urine")</f>
        <v>0</v>
      </c>
      <c r="H430" s="1">
        <f>IF(B430="", "", "urine")</f>
        <v>0</v>
      </c>
      <c r="I430" s="1">
        <f>IF(B430="", "", "urine metagenome")</f>
        <v>0</v>
      </c>
      <c r="J430" s="1">
        <f>IF(B430="", "", "1346744")</f>
        <v>0</v>
      </c>
    </row>
    <row r="431" spans="1:10">
      <c r="A431">
        <f>IF(COUNTBLANK(B431:J431)&lt;&gt;COLUMNS(B431:J431),430,"")</f>
        <v>0</v>
      </c>
      <c r="C431" s="1">
        <f>IF(B431="", "", "UBERON:genitourinary")</f>
        <v>0</v>
      </c>
      <c r="D431" s="1">
        <f>IF(B431="", "", "UBERON:urine")</f>
        <v>0</v>
      </c>
      <c r="E431" s="1">
        <f>IF(B431="", "", "UBERON:kidney")</f>
        <v>0</v>
      </c>
      <c r="F431" s="1">
        <f>IF(B431="", "", "animal corpus")</f>
        <v>0</v>
      </c>
      <c r="G431" s="1">
        <f>IF(B431="", "", "urine")</f>
        <v>0</v>
      </c>
      <c r="H431" s="1">
        <f>IF(B431="", "", "urine")</f>
        <v>0</v>
      </c>
      <c r="I431" s="1">
        <f>IF(B431="", "", "urine metagenome")</f>
        <v>0</v>
      </c>
      <c r="J431" s="1">
        <f>IF(B431="", "", "1346744")</f>
        <v>0</v>
      </c>
    </row>
    <row r="432" spans="1:10">
      <c r="A432">
        <f>IF(COUNTBLANK(B432:J432)&lt;&gt;COLUMNS(B432:J432),431,"")</f>
        <v>0</v>
      </c>
      <c r="C432" s="1">
        <f>IF(B432="", "", "UBERON:genitourinary")</f>
        <v>0</v>
      </c>
      <c r="D432" s="1">
        <f>IF(B432="", "", "UBERON:urine")</f>
        <v>0</v>
      </c>
      <c r="E432" s="1">
        <f>IF(B432="", "", "UBERON:kidney")</f>
        <v>0</v>
      </c>
      <c r="F432" s="1">
        <f>IF(B432="", "", "animal corpus")</f>
        <v>0</v>
      </c>
      <c r="G432" s="1">
        <f>IF(B432="", "", "urine")</f>
        <v>0</v>
      </c>
      <c r="H432" s="1">
        <f>IF(B432="", "", "urine")</f>
        <v>0</v>
      </c>
      <c r="I432" s="1">
        <f>IF(B432="", "", "urine metagenome")</f>
        <v>0</v>
      </c>
      <c r="J432" s="1">
        <f>IF(B432="", "", "1346744")</f>
        <v>0</v>
      </c>
    </row>
    <row r="433" spans="1:10">
      <c r="A433">
        <f>IF(COUNTBLANK(B433:J433)&lt;&gt;COLUMNS(B433:J433),432,"")</f>
        <v>0</v>
      </c>
      <c r="C433" s="1">
        <f>IF(B433="", "", "UBERON:genitourinary")</f>
        <v>0</v>
      </c>
      <c r="D433" s="1">
        <f>IF(B433="", "", "UBERON:urine")</f>
        <v>0</v>
      </c>
      <c r="E433" s="1">
        <f>IF(B433="", "", "UBERON:kidney")</f>
        <v>0</v>
      </c>
      <c r="F433" s="1">
        <f>IF(B433="", "", "animal corpus")</f>
        <v>0</v>
      </c>
      <c r="G433" s="1">
        <f>IF(B433="", "", "urine")</f>
        <v>0</v>
      </c>
      <c r="H433" s="1">
        <f>IF(B433="", "", "urine")</f>
        <v>0</v>
      </c>
      <c r="I433" s="1">
        <f>IF(B433="", "", "urine metagenome")</f>
        <v>0</v>
      </c>
      <c r="J433" s="1">
        <f>IF(B433="", "", "1346744")</f>
        <v>0</v>
      </c>
    </row>
    <row r="434" spans="1:10">
      <c r="A434">
        <f>IF(COUNTBLANK(B434:J434)&lt;&gt;COLUMNS(B434:J434),433,"")</f>
        <v>0</v>
      </c>
      <c r="C434" s="1">
        <f>IF(B434="", "", "UBERON:genitourinary")</f>
        <v>0</v>
      </c>
      <c r="D434" s="1">
        <f>IF(B434="", "", "UBERON:urine")</f>
        <v>0</v>
      </c>
      <c r="E434" s="1">
        <f>IF(B434="", "", "UBERON:kidney")</f>
        <v>0</v>
      </c>
      <c r="F434" s="1">
        <f>IF(B434="", "", "animal corpus")</f>
        <v>0</v>
      </c>
      <c r="G434" s="1">
        <f>IF(B434="", "", "urine")</f>
        <v>0</v>
      </c>
      <c r="H434" s="1">
        <f>IF(B434="", "", "urine")</f>
        <v>0</v>
      </c>
      <c r="I434" s="1">
        <f>IF(B434="", "", "urine metagenome")</f>
        <v>0</v>
      </c>
      <c r="J434" s="1">
        <f>IF(B434="", "", "1346744")</f>
        <v>0</v>
      </c>
    </row>
    <row r="435" spans="1:10">
      <c r="A435">
        <f>IF(COUNTBLANK(B435:J435)&lt;&gt;COLUMNS(B435:J435),434,"")</f>
        <v>0</v>
      </c>
      <c r="C435" s="1">
        <f>IF(B435="", "", "UBERON:genitourinary")</f>
        <v>0</v>
      </c>
      <c r="D435" s="1">
        <f>IF(B435="", "", "UBERON:urine")</f>
        <v>0</v>
      </c>
      <c r="E435" s="1">
        <f>IF(B435="", "", "UBERON:kidney")</f>
        <v>0</v>
      </c>
      <c r="F435" s="1">
        <f>IF(B435="", "", "animal corpus")</f>
        <v>0</v>
      </c>
      <c r="G435" s="1">
        <f>IF(B435="", "", "urine")</f>
        <v>0</v>
      </c>
      <c r="H435" s="1">
        <f>IF(B435="", "", "urine")</f>
        <v>0</v>
      </c>
      <c r="I435" s="1">
        <f>IF(B435="", "", "urine metagenome")</f>
        <v>0</v>
      </c>
      <c r="J435" s="1">
        <f>IF(B435="", "", "1346744")</f>
        <v>0</v>
      </c>
    </row>
    <row r="436" spans="1:10">
      <c r="A436">
        <f>IF(COUNTBLANK(B436:J436)&lt;&gt;COLUMNS(B436:J436),435,"")</f>
        <v>0</v>
      </c>
      <c r="C436" s="1">
        <f>IF(B436="", "", "UBERON:genitourinary")</f>
        <v>0</v>
      </c>
      <c r="D436" s="1">
        <f>IF(B436="", "", "UBERON:urine")</f>
        <v>0</v>
      </c>
      <c r="E436" s="1">
        <f>IF(B436="", "", "UBERON:kidney")</f>
        <v>0</v>
      </c>
      <c r="F436" s="1">
        <f>IF(B436="", "", "animal corpus")</f>
        <v>0</v>
      </c>
      <c r="G436" s="1">
        <f>IF(B436="", "", "urine")</f>
        <v>0</v>
      </c>
      <c r="H436" s="1">
        <f>IF(B436="", "", "urine")</f>
        <v>0</v>
      </c>
      <c r="I436" s="1">
        <f>IF(B436="", "", "urine metagenome")</f>
        <v>0</v>
      </c>
      <c r="J436" s="1">
        <f>IF(B436="", "", "1346744")</f>
        <v>0</v>
      </c>
    </row>
    <row r="437" spans="1:10">
      <c r="A437">
        <f>IF(COUNTBLANK(B437:J437)&lt;&gt;COLUMNS(B437:J437),436,"")</f>
        <v>0</v>
      </c>
      <c r="C437" s="1">
        <f>IF(B437="", "", "UBERON:genitourinary")</f>
        <v>0</v>
      </c>
      <c r="D437" s="1">
        <f>IF(B437="", "", "UBERON:urine")</f>
        <v>0</v>
      </c>
      <c r="E437" s="1">
        <f>IF(B437="", "", "UBERON:kidney")</f>
        <v>0</v>
      </c>
      <c r="F437" s="1">
        <f>IF(B437="", "", "animal corpus")</f>
        <v>0</v>
      </c>
      <c r="G437" s="1">
        <f>IF(B437="", "", "urine")</f>
        <v>0</v>
      </c>
      <c r="H437" s="1">
        <f>IF(B437="", "", "urine")</f>
        <v>0</v>
      </c>
      <c r="I437" s="1">
        <f>IF(B437="", "", "urine metagenome")</f>
        <v>0</v>
      </c>
      <c r="J437" s="1">
        <f>IF(B437="", "", "1346744")</f>
        <v>0</v>
      </c>
    </row>
    <row r="438" spans="1:10">
      <c r="A438">
        <f>IF(COUNTBLANK(B438:J438)&lt;&gt;COLUMNS(B438:J438),437,"")</f>
        <v>0</v>
      </c>
      <c r="C438" s="1">
        <f>IF(B438="", "", "UBERON:genitourinary")</f>
        <v>0</v>
      </c>
      <c r="D438" s="1">
        <f>IF(B438="", "", "UBERON:urine")</f>
        <v>0</v>
      </c>
      <c r="E438" s="1">
        <f>IF(B438="", "", "UBERON:kidney")</f>
        <v>0</v>
      </c>
      <c r="F438" s="1">
        <f>IF(B438="", "", "animal corpus")</f>
        <v>0</v>
      </c>
      <c r="G438" s="1">
        <f>IF(B438="", "", "urine")</f>
        <v>0</v>
      </c>
      <c r="H438" s="1">
        <f>IF(B438="", "", "urine")</f>
        <v>0</v>
      </c>
      <c r="I438" s="1">
        <f>IF(B438="", "", "urine metagenome")</f>
        <v>0</v>
      </c>
      <c r="J438" s="1">
        <f>IF(B438="", "", "1346744")</f>
        <v>0</v>
      </c>
    </row>
    <row r="439" spans="1:10">
      <c r="A439">
        <f>IF(COUNTBLANK(B439:J439)&lt;&gt;COLUMNS(B439:J439),438,"")</f>
        <v>0</v>
      </c>
      <c r="C439" s="1">
        <f>IF(B439="", "", "UBERON:genitourinary")</f>
        <v>0</v>
      </c>
      <c r="D439" s="1">
        <f>IF(B439="", "", "UBERON:urine")</f>
        <v>0</v>
      </c>
      <c r="E439" s="1">
        <f>IF(B439="", "", "UBERON:kidney")</f>
        <v>0</v>
      </c>
      <c r="F439" s="1">
        <f>IF(B439="", "", "animal corpus")</f>
        <v>0</v>
      </c>
      <c r="G439" s="1">
        <f>IF(B439="", "", "urine")</f>
        <v>0</v>
      </c>
      <c r="H439" s="1">
        <f>IF(B439="", "", "urine")</f>
        <v>0</v>
      </c>
      <c r="I439" s="1">
        <f>IF(B439="", "", "urine metagenome")</f>
        <v>0</v>
      </c>
      <c r="J439" s="1">
        <f>IF(B439="", "", "1346744")</f>
        <v>0</v>
      </c>
    </row>
    <row r="440" spans="1:10">
      <c r="A440">
        <f>IF(COUNTBLANK(B440:J440)&lt;&gt;COLUMNS(B440:J440),439,"")</f>
        <v>0</v>
      </c>
      <c r="C440" s="1">
        <f>IF(B440="", "", "UBERON:genitourinary")</f>
        <v>0</v>
      </c>
      <c r="D440" s="1">
        <f>IF(B440="", "", "UBERON:urine")</f>
        <v>0</v>
      </c>
      <c r="E440" s="1">
        <f>IF(B440="", "", "UBERON:kidney")</f>
        <v>0</v>
      </c>
      <c r="F440" s="1">
        <f>IF(B440="", "", "animal corpus")</f>
        <v>0</v>
      </c>
      <c r="G440" s="1">
        <f>IF(B440="", "", "urine")</f>
        <v>0</v>
      </c>
      <c r="H440" s="1">
        <f>IF(B440="", "", "urine")</f>
        <v>0</v>
      </c>
      <c r="I440" s="1">
        <f>IF(B440="", "", "urine metagenome")</f>
        <v>0</v>
      </c>
      <c r="J440" s="1">
        <f>IF(B440="", "", "1346744")</f>
        <v>0</v>
      </c>
    </row>
    <row r="441" spans="1:10">
      <c r="A441">
        <f>IF(COUNTBLANK(B441:J441)&lt;&gt;COLUMNS(B441:J441),440,"")</f>
        <v>0</v>
      </c>
      <c r="C441" s="1">
        <f>IF(B441="", "", "UBERON:genitourinary")</f>
        <v>0</v>
      </c>
      <c r="D441" s="1">
        <f>IF(B441="", "", "UBERON:urine")</f>
        <v>0</v>
      </c>
      <c r="E441" s="1">
        <f>IF(B441="", "", "UBERON:kidney")</f>
        <v>0</v>
      </c>
      <c r="F441" s="1">
        <f>IF(B441="", "", "animal corpus")</f>
        <v>0</v>
      </c>
      <c r="G441" s="1">
        <f>IF(B441="", "", "urine")</f>
        <v>0</v>
      </c>
      <c r="H441" s="1">
        <f>IF(B441="", "", "urine")</f>
        <v>0</v>
      </c>
      <c r="I441" s="1">
        <f>IF(B441="", "", "urine metagenome")</f>
        <v>0</v>
      </c>
      <c r="J441" s="1">
        <f>IF(B441="", "", "1346744")</f>
        <v>0</v>
      </c>
    </row>
    <row r="442" spans="1:10">
      <c r="A442">
        <f>IF(COUNTBLANK(B442:J442)&lt;&gt;COLUMNS(B442:J442),441,"")</f>
        <v>0</v>
      </c>
      <c r="C442" s="1">
        <f>IF(B442="", "", "UBERON:genitourinary")</f>
        <v>0</v>
      </c>
      <c r="D442" s="1">
        <f>IF(B442="", "", "UBERON:urine")</f>
        <v>0</v>
      </c>
      <c r="E442" s="1">
        <f>IF(B442="", "", "UBERON:kidney")</f>
        <v>0</v>
      </c>
      <c r="F442" s="1">
        <f>IF(B442="", "", "animal corpus")</f>
        <v>0</v>
      </c>
      <c r="G442" s="1">
        <f>IF(B442="", "", "urine")</f>
        <v>0</v>
      </c>
      <c r="H442" s="1">
        <f>IF(B442="", "", "urine")</f>
        <v>0</v>
      </c>
      <c r="I442" s="1">
        <f>IF(B442="", "", "urine metagenome")</f>
        <v>0</v>
      </c>
      <c r="J442" s="1">
        <f>IF(B442="", "", "1346744")</f>
        <v>0</v>
      </c>
    </row>
    <row r="443" spans="1:10">
      <c r="A443">
        <f>IF(COUNTBLANK(B443:J443)&lt;&gt;COLUMNS(B443:J443),442,"")</f>
        <v>0</v>
      </c>
      <c r="C443" s="1">
        <f>IF(B443="", "", "UBERON:genitourinary")</f>
        <v>0</v>
      </c>
      <c r="D443" s="1">
        <f>IF(B443="", "", "UBERON:urine")</f>
        <v>0</v>
      </c>
      <c r="E443" s="1">
        <f>IF(B443="", "", "UBERON:kidney")</f>
        <v>0</v>
      </c>
      <c r="F443" s="1">
        <f>IF(B443="", "", "animal corpus")</f>
        <v>0</v>
      </c>
      <c r="G443" s="1">
        <f>IF(B443="", "", "urine")</f>
        <v>0</v>
      </c>
      <c r="H443" s="1">
        <f>IF(B443="", "", "urine")</f>
        <v>0</v>
      </c>
      <c r="I443" s="1">
        <f>IF(B443="", "", "urine metagenome")</f>
        <v>0</v>
      </c>
      <c r="J443" s="1">
        <f>IF(B443="", "", "1346744")</f>
        <v>0</v>
      </c>
    </row>
    <row r="444" spans="1:10">
      <c r="A444">
        <f>IF(COUNTBLANK(B444:J444)&lt;&gt;COLUMNS(B444:J444),443,"")</f>
        <v>0</v>
      </c>
      <c r="C444" s="1">
        <f>IF(B444="", "", "UBERON:genitourinary")</f>
        <v>0</v>
      </c>
      <c r="D444" s="1">
        <f>IF(B444="", "", "UBERON:urine")</f>
        <v>0</v>
      </c>
      <c r="E444" s="1">
        <f>IF(B444="", "", "UBERON:kidney")</f>
        <v>0</v>
      </c>
      <c r="F444" s="1">
        <f>IF(B444="", "", "animal corpus")</f>
        <v>0</v>
      </c>
      <c r="G444" s="1">
        <f>IF(B444="", "", "urine")</f>
        <v>0</v>
      </c>
      <c r="H444" s="1">
        <f>IF(B444="", "", "urine")</f>
        <v>0</v>
      </c>
      <c r="I444" s="1">
        <f>IF(B444="", "", "urine metagenome")</f>
        <v>0</v>
      </c>
      <c r="J444" s="1">
        <f>IF(B444="", "", "1346744")</f>
        <v>0</v>
      </c>
    </row>
    <row r="445" spans="1:10">
      <c r="A445">
        <f>IF(COUNTBLANK(B445:J445)&lt;&gt;COLUMNS(B445:J445),444,"")</f>
        <v>0</v>
      </c>
      <c r="C445" s="1">
        <f>IF(B445="", "", "UBERON:genitourinary")</f>
        <v>0</v>
      </c>
      <c r="D445" s="1">
        <f>IF(B445="", "", "UBERON:urine")</f>
        <v>0</v>
      </c>
      <c r="E445" s="1">
        <f>IF(B445="", "", "UBERON:kidney")</f>
        <v>0</v>
      </c>
      <c r="F445" s="1">
        <f>IF(B445="", "", "animal corpus")</f>
        <v>0</v>
      </c>
      <c r="G445" s="1">
        <f>IF(B445="", "", "urine")</f>
        <v>0</v>
      </c>
      <c r="H445" s="1">
        <f>IF(B445="", "", "urine")</f>
        <v>0</v>
      </c>
      <c r="I445" s="1">
        <f>IF(B445="", "", "urine metagenome")</f>
        <v>0</v>
      </c>
      <c r="J445" s="1">
        <f>IF(B445="", "", "1346744")</f>
        <v>0</v>
      </c>
    </row>
    <row r="446" spans="1:10">
      <c r="A446">
        <f>IF(COUNTBLANK(B446:J446)&lt;&gt;COLUMNS(B446:J446),445,"")</f>
        <v>0</v>
      </c>
      <c r="C446" s="1">
        <f>IF(B446="", "", "UBERON:genitourinary")</f>
        <v>0</v>
      </c>
      <c r="D446" s="1">
        <f>IF(B446="", "", "UBERON:urine")</f>
        <v>0</v>
      </c>
      <c r="E446" s="1">
        <f>IF(B446="", "", "UBERON:kidney")</f>
        <v>0</v>
      </c>
      <c r="F446" s="1">
        <f>IF(B446="", "", "animal corpus")</f>
        <v>0</v>
      </c>
      <c r="G446" s="1">
        <f>IF(B446="", "", "urine")</f>
        <v>0</v>
      </c>
      <c r="H446" s="1">
        <f>IF(B446="", "", "urine")</f>
        <v>0</v>
      </c>
      <c r="I446" s="1">
        <f>IF(B446="", "", "urine metagenome")</f>
        <v>0</v>
      </c>
      <c r="J446" s="1">
        <f>IF(B446="", "", "1346744")</f>
        <v>0</v>
      </c>
    </row>
    <row r="447" spans="1:10">
      <c r="A447">
        <f>IF(COUNTBLANK(B447:J447)&lt;&gt;COLUMNS(B447:J447),446,"")</f>
        <v>0</v>
      </c>
      <c r="C447" s="1">
        <f>IF(B447="", "", "UBERON:genitourinary")</f>
        <v>0</v>
      </c>
      <c r="D447" s="1">
        <f>IF(B447="", "", "UBERON:urine")</f>
        <v>0</v>
      </c>
      <c r="E447" s="1">
        <f>IF(B447="", "", "UBERON:kidney")</f>
        <v>0</v>
      </c>
      <c r="F447" s="1">
        <f>IF(B447="", "", "animal corpus")</f>
        <v>0</v>
      </c>
      <c r="G447" s="1">
        <f>IF(B447="", "", "urine")</f>
        <v>0</v>
      </c>
      <c r="H447" s="1">
        <f>IF(B447="", "", "urine")</f>
        <v>0</v>
      </c>
      <c r="I447" s="1">
        <f>IF(B447="", "", "urine metagenome")</f>
        <v>0</v>
      </c>
      <c r="J447" s="1">
        <f>IF(B447="", "", "1346744")</f>
        <v>0</v>
      </c>
    </row>
    <row r="448" spans="1:10">
      <c r="A448">
        <f>IF(COUNTBLANK(B448:J448)&lt;&gt;COLUMNS(B448:J448),447,"")</f>
        <v>0</v>
      </c>
      <c r="C448" s="1">
        <f>IF(B448="", "", "UBERON:genitourinary")</f>
        <v>0</v>
      </c>
      <c r="D448" s="1">
        <f>IF(B448="", "", "UBERON:urine")</f>
        <v>0</v>
      </c>
      <c r="E448" s="1">
        <f>IF(B448="", "", "UBERON:kidney")</f>
        <v>0</v>
      </c>
      <c r="F448" s="1">
        <f>IF(B448="", "", "animal corpus")</f>
        <v>0</v>
      </c>
      <c r="G448" s="1">
        <f>IF(B448="", "", "urine")</f>
        <v>0</v>
      </c>
      <c r="H448" s="1">
        <f>IF(B448="", "", "urine")</f>
        <v>0</v>
      </c>
      <c r="I448" s="1">
        <f>IF(B448="", "", "urine metagenome")</f>
        <v>0</v>
      </c>
      <c r="J448" s="1">
        <f>IF(B448="", "", "1346744")</f>
        <v>0</v>
      </c>
    </row>
    <row r="449" spans="1:10">
      <c r="A449">
        <f>IF(COUNTBLANK(B449:J449)&lt;&gt;COLUMNS(B449:J449),448,"")</f>
        <v>0</v>
      </c>
      <c r="C449" s="1">
        <f>IF(B449="", "", "UBERON:genitourinary")</f>
        <v>0</v>
      </c>
      <c r="D449" s="1">
        <f>IF(B449="", "", "UBERON:urine")</f>
        <v>0</v>
      </c>
      <c r="E449" s="1">
        <f>IF(B449="", "", "UBERON:kidney")</f>
        <v>0</v>
      </c>
      <c r="F449" s="1">
        <f>IF(B449="", "", "animal corpus")</f>
        <v>0</v>
      </c>
      <c r="G449" s="1">
        <f>IF(B449="", "", "urine")</f>
        <v>0</v>
      </c>
      <c r="H449" s="1">
        <f>IF(B449="", "", "urine")</f>
        <v>0</v>
      </c>
      <c r="I449" s="1">
        <f>IF(B449="", "", "urine metagenome")</f>
        <v>0</v>
      </c>
      <c r="J449" s="1">
        <f>IF(B449="", "", "1346744")</f>
        <v>0</v>
      </c>
    </row>
    <row r="450" spans="1:10">
      <c r="A450">
        <f>IF(COUNTBLANK(B450:J450)&lt;&gt;COLUMNS(B450:J450),449,"")</f>
        <v>0</v>
      </c>
      <c r="C450" s="1">
        <f>IF(B450="", "", "UBERON:genitourinary")</f>
        <v>0</v>
      </c>
      <c r="D450" s="1">
        <f>IF(B450="", "", "UBERON:urine")</f>
        <v>0</v>
      </c>
      <c r="E450" s="1">
        <f>IF(B450="", "", "UBERON:kidney")</f>
        <v>0</v>
      </c>
      <c r="F450" s="1">
        <f>IF(B450="", "", "animal corpus")</f>
        <v>0</v>
      </c>
      <c r="G450" s="1">
        <f>IF(B450="", "", "urine")</f>
        <v>0</v>
      </c>
      <c r="H450" s="1">
        <f>IF(B450="", "", "urine")</f>
        <v>0</v>
      </c>
      <c r="I450" s="1">
        <f>IF(B450="", "", "urine metagenome")</f>
        <v>0</v>
      </c>
      <c r="J450" s="1">
        <f>IF(B450="", "", "1346744")</f>
        <v>0</v>
      </c>
    </row>
    <row r="451" spans="1:10">
      <c r="A451">
        <f>IF(COUNTBLANK(B451:J451)&lt;&gt;COLUMNS(B451:J451),450,"")</f>
        <v>0</v>
      </c>
      <c r="C451" s="1">
        <f>IF(B451="", "", "UBERON:genitourinary")</f>
        <v>0</v>
      </c>
      <c r="D451" s="1">
        <f>IF(B451="", "", "UBERON:urine")</f>
        <v>0</v>
      </c>
      <c r="E451" s="1">
        <f>IF(B451="", "", "UBERON:kidney")</f>
        <v>0</v>
      </c>
      <c r="F451" s="1">
        <f>IF(B451="", "", "animal corpus")</f>
        <v>0</v>
      </c>
      <c r="G451" s="1">
        <f>IF(B451="", "", "urine")</f>
        <v>0</v>
      </c>
      <c r="H451" s="1">
        <f>IF(B451="", "", "urine")</f>
        <v>0</v>
      </c>
      <c r="I451" s="1">
        <f>IF(B451="", "", "urine metagenome")</f>
        <v>0</v>
      </c>
      <c r="J451" s="1">
        <f>IF(B451="", "", "1346744")</f>
        <v>0</v>
      </c>
    </row>
    <row r="452" spans="1:10">
      <c r="A452">
        <f>IF(COUNTBLANK(B452:J452)&lt;&gt;COLUMNS(B452:J452),451,"")</f>
        <v>0</v>
      </c>
      <c r="C452" s="1">
        <f>IF(B452="", "", "UBERON:genitourinary")</f>
        <v>0</v>
      </c>
      <c r="D452" s="1">
        <f>IF(B452="", "", "UBERON:urine")</f>
        <v>0</v>
      </c>
      <c r="E452" s="1">
        <f>IF(B452="", "", "UBERON:kidney")</f>
        <v>0</v>
      </c>
      <c r="F452" s="1">
        <f>IF(B452="", "", "animal corpus")</f>
        <v>0</v>
      </c>
      <c r="G452" s="1">
        <f>IF(B452="", "", "urine")</f>
        <v>0</v>
      </c>
      <c r="H452" s="1">
        <f>IF(B452="", "", "urine")</f>
        <v>0</v>
      </c>
      <c r="I452" s="1">
        <f>IF(B452="", "", "urine metagenome")</f>
        <v>0</v>
      </c>
      <c r="J452" s="1">
        <f>IF(B452="", "", "1346744")</f>
        <v>0</v>
      </c>
    </row>
    <row r="453" spans="1:10">
      <c r="A453">
        <f>IF(COUNTBLANK(B453:J453)&lt;&gt;COLUMNS(B453:J453),452,"")</f>
        <v>0</v>
      </c>
      <c r="C453" s="1">
        <f>IF(B453="", "", "UBERON:genitourinary")</f>
        <v>0</v>
      </c>
      <c r="D453" s="1">
        <f>IF(B453="", "", "UBERON:urine")</f>
        <v>0</v>
      </c>
      <c r="E453" s="1">
        <f>IF(B453="", "", "UBERON:kidney")</f>
        <v>0</v>
      </c>
      <c r="F453" s="1">
        <f>IF(B453="", "", "animal corpus")</f>
        <v>0</v>
      </c>
      <c r="G453" s="1">
        <f>IF(B453="", "", "urine")</f>
        <v>0</v>
      </c>
      <c r="H453" s="1">
        <f>IF(B453="", "", "urine")</f>
        <v>0</v>
      </c>
      <c r="I453" s="1">
        <f>IF(B453="", "", "urine metagenome")</f>
        <v>0</v>
      </c>
      <c r="J453" s="1">
        <f>IF(B453="", "", "1346744")</f>
        <v>0</v>
      </c>
    </row>
    <row r="454" spans="1:10">
      <c r="A454">
        <f>IF(COUNTBLANK(B454:J454)&lt;&gt;COLUMNS(B454:J454),453,"")</f>
        <v>0</v>
      </c>
      <c r="C454" s="1">
        <f>IF(B454="", "", "UBERON:genitourinary")</f>
        <v>0</v>
      </c>
      <c r="D454" s="1">
        <f>IF(B454="", "", "UBERON:urine")</f>
        <v>0</v>
      </c>
      <c r="E454" s="1">
        <f>IF(B454="", "", "UBERON:kidney")</f>
        <v>0</v>
      </c>
      <c r="F454" s="1">
        <f>IF(B454="", "", "animal corpus")</f>
        <v>0</v>
      </c>
      <c r="G454" s="1">
        <f>IF(B454="", "", "urine")</f>
        <v>0</v>
      </c>
      <c r="H454" s="1">
        <f>IF(B454="", "", "urine")</f>
        <v>0</v>
      </c>
      <c r="I454" s="1">
        <f>IF(B454="", "", "urine metagenome")</f>
        <v>0</v>
      </c>
      <c r="J454" s="1">
        <f>IF(B454="", "", "1346744")</f>
        <v>0</v>
      </c>
    </row>
    <row r="455" spans="1:10">
      <c r="A455">
        <f>IF(COUNTBLANK(B455:J455)&lt;&gt;COLUMNS(B455:J455),454,"")</f>
        <v>0</v>
      </c>
      <c r="C455" s="1">
        <f>IF(B455="", "", "UBERON:genitourinary")</f>
        <v>0</v>
      </c>
      <c r="D455" s="1">
        <f>IF(B455="", "", "UBERON:urine")</f>
        <v>0</v>
      </c>
      <c r="E455" s="1">
        <f>IF(B455="", "", "UBERON:kidney")</f>
        <v>0</v>
      </c>
      <c r="F455" s="1">
        <f>IF(B455="", "", "animal corpus")</f>
        <v>0</v>
      </c>
      <c r="G455" s="1">
        <f>IF(B455="", "", "urine")</f>
        <v>0</v>
      </c>
      <c r="H455" s="1">
        <f>IF(B455="", "", "urine")</f>
        <v>0</v>
      </c>
      <c r="I455" s="1">
        <f>IF(B455="", "", "urine metagenome")</f>
        <v>0</v>
      </c>
      <c r="J455" s="1">
        <f>IF(B455="", "", "1346744")</f>
        <v>0</v>
      </c>
    </row>
    <row r="456" spans="1:10">
      <c r="A456">
        <f>IF(COUNTBLANK(B456:J456)&lt;&gt;COLUMNS(B456:J456),455,"")</f>
        <v>0</v>
      </c>
      <c r="C456" s="1">
        <f>IF(B456="", "", "UBERON:genitourinary")</f>
        <v>0</v>
      </c>
      <c r="D456" s="1">
        <f>IF(B456="", "", "UBERON:urine")</f>
        <v>0</v>
      </c>
      <c r="E456" s="1">
        <f>IF(B456="", "", "UBERON:kidney")</f>
        <v>0</v>
      </c>
      <c r="F456" s="1">
        <f>IF(B456="", "", "animal corpus")</f>
        <v>0</v>
      </c>
      <c r="G456" s="1">
        <f>IF(B456="", "", "urine")</f>
        <v>0</v>
      </c>
      <c r="H456" s="1">
        <f>IF(B456="", "", "urine")</f>
        <v>0</v>
      </c>
      <c r="I456" s="1">
        <f>IF(B456="", "", "urine metagenome")</f>
        <v>0</v>
      </c>
      <c r="J456" s="1">
        <f>IF(B456="", "", "1346744")</f>
        <v>0</v>
      </c>
    </row>
    <row r="457" spans="1:10">
      <c r="A457">
        <f>IF(COUNTBLANK(B457:J457)&lt;&gt;COLUMNS(B457:J457),456,"")</f>
        <v>0</v>
      </c>
      <c r="C457" s="1">
        <f>IF(B457="", "", "UBERON:genitourinary")</f>
        <v>0</v>
      </c>
      <c r="D457" s="1">
        <f>IF(B457="", "", "UBERON:urine")</f>
        <v>0</v>
      </c>
      <c r="E457" s="1">
        <f>IF(B457="", "", "UBERON:kidney")</f>
        <v>0</v>
      </c>
      <c r="F457" s="1">
        <f>IF(B457="", "", "animal corpus")</f>
        <v>0</v>
      </c>
      <c r="G457" s="1">
        <f>IF(B457="", "", "urine")</f>
        <v>0</v>
      </c>
      <c r="H457" s="1">
        <f>IF(B457="", "", "urine")</f>
        <v>0</v>
      </c>
      <c r="I457" s="1">
        <f>IF(B457="", "", "urine metagenome")</f>
        <v>0</v>
      </c>
      <c r="J457" s="1">
        <f>IF(B457="", "", "1346744")</f>
        <v>0</v>
      </c>
    </row>
    <row r="458" spans="1:10">
      <c r="A458">
        <f>IF(COUNTBLANK(B458:J458)&lt;&gt;COLUMNS(B458:J458),457,"")</f>
        <v>0</v>
      </c>
      <c r="C458" s="1">
        <f>IF(B458="", "", "UBERON:genitourinary")</f>
        <v>0</v>
      </c>
      <c r="D458" s="1">
        <f>IF(B458="", "", "UBERON:urine")</f>
        <v>0</v>
      </c>
      <c r="E458" s="1">
        <f>IF(B458="", "", "UBERON:kidney")</f>
        <v>0</v>
      </c>
      <c r="F458" s="1">
        <f>IF(B458="", "", "animal corpus")</f>
        <v>0</v>
      </c>
      <c r="G458" s="1">
        <f>IF(B458="", "", "urine")</f>
        <v>0</v>
      </c>
      <c r="H458" s="1">
        <f>IF(B458="", "", "urine")</f>
        <v>0</v>
      </c>
      <c r="I458" s="1">
        <f>IF(B458="", "", "urine metagenome")</f>
        <v>0</v>
      </c>
      <c r="J458" s="1">
        <f>IF(B458="", "", "1346744")</f>
        <v>0</v>
      </c>
    </row>
    <row r="459" spans="1:10">
      <c r="A459">
        <f>IF(COUNTBLANK(B459:J459)&lt;&gt;COLUMNS(B459:J459),458,"")</f>
        <v>0</v>
      </c>
      <c r="C459" s="1">
        <f>IF(B459="", "", "UBERON:genitourinary")</f>
        <v>0</v>
      </c>
      <c r="D459" s="1">
        <f>IF(B459="", "", "UBERON:urine")</f>
        <v>0</v>
      </c>
      <c r="E459" s="1">
        <f>IF(B459="", "", "UBERON:kidney")</f>
        <v>0</v>
      </c>
      <c r="F459" s="1">
        <f>IF(B459="", "", "animal corpus")</f>
        <v>0</v>
      </c>
      <c r="G459" s="1">
        <f>IF(B459="", "", "urine")</f>
        <v>0</v>
      </c>
      <c r="H459" s="1">
        <f>IF(B459="", "", "urine")</f>
        <v>0</v>
      </c>
      <c r="I459" s="1">
        <f>IF(B459="", "", "urine metagenome")</f>
        <v>0</v>
      </c>
      <c r="J459" s="1">
        <f>IF(B459="", "", "1346744")</f>
        <v>0</v>
      </c>
    </row>
    <row r="460" spans="1:10">
      <c r="A460">
        <f>IF(COUNTBLANK(B460:J460)&lt;&gt;COLUMNS(B460:J460),459,"")</f>
        <v>0</v>
      </c>
      <c r="C460" s="1">
        <f>IF(B460="", "", "UBERON:genitourinary")</f>
        <v>0</v>
      </c>
      <c r="D460" s="1">
        <f>IF(B460="", "", "UBERON:urine")</f>
        <v>0</v>
      </c>
      <c r="E460" s="1">
        <f>IF(B460="", "", "UBERON:kidney")</f>
        <v>0</v>
      </c>
      <c r="F460" s="1">
        <f>IF(B460="", "", "animal corpus")</f>
        <v>0</v>
      </c>
      <c r="G460" s="1">
        <f>IF(B460="", "", "urine")</f>
        <v>0</v>
      </c>
      <c r="H460" s="1">
        <f>IF(B460="", "", "urine")</f>
        <v>0</v>
      </c>
      <c r="I460" s="1">
        <f>IF(B460="", "", "urine metagenome")</f>
        <v>0</v>
      </c>
      <c r="J460" s="1">
        <f>IF(B460="", "", "1346744")</f>
        <v>0</v>
      </c>
    </row>
    <row r="461" spans="1:10">
      <c r="A461">
        <f>IF(COUNTBLANK(B461:J461)&lt;&gt;COLUMNS(B461:J461),460,"")</f>
        <v>0</v>
      </c>
      <c r="C461" s="1">
        <f>IF(B461="", "", "UBERON:genitourinary")</f>
        <v>0</v>
      </c>
      <c r="D461" s="1">
        <f>IF(B461="", "", "UBERON:urine")</f>
        <v>0</v>
      </c>
      <c r="E461" s="1">
        <f>IF(B461="", "", "UBERON:kidney")</f>
        <v>0</v>
      </c>
      <c r="F461" s="1">
        <f>IF(B461="", "", "animal corpus")</f>
        <v>0</v>
      </c>
      <c r="G461" s="1">
        <f>IF(B461="", "", "urine")</f>
        <v>0</v>
      </c>
      <c r="H461" s="1">
        <f>IF(B461="", "", "urine")</f>
        <v>0</v>
      </c>
      <c r="I461" s="1">
        <f>IF(B461="", "", "urine metagenome")</f>
        <v>0</v>
      </c>
      <c r="J461" s="1">
        <f>IF(B461="", "", "1346744")</f>
        <v>0</v>
      </c>
    </row>
    <row r="462" spans="1:10">
      <c r="A462">
        <f>IF(COUNTBLANK(B462:J462)&lt;&gt;COLUMNS(B462:J462),461,"")</f>
        <v>0</v>
      </c>
      <c r="C462" s="1">
        <f>IF(B462="", "", "UBERON:genitourinary")</f>
        <v>0</v>
      </c>
      <c r="D462" s="1">
        <f>IF(B462="", "", "UBERON:urine")</f>
        <v>0</v>
      </c>
      <c r="E462" s="1">
        <f>IF(B462="", "", "UBERON:kidney")</f>
        <v>0</v>
      </c>
      <c r="F462" s="1">
        <f>IF(B462="", "", "animal corpus")</f>
        <v>0</v>
      </c>
      <c r="G462" s="1">
        <f>IF(B462="", "", "urine")</f>
        <v>0</v>
      </c>
      <c r="H462" s="1">
        <f>IF(B462="", "", "urine")</f>
        <v>0</v>
      </c>
      <c r="I462" s="1">
        <f>IF(B462="", "", "urine metagenome")</f>
        <v>0</v>
      </c>
      <c r="J462" s="1">
        <f>IF(B462="", "", "1346744")</f>
        <v>0</v>
      </c>
    </row>
    <row r="463" spans="1:10">
      <c r="A463">
        <f>IF(COUNTBLANK(B463:J463)&lt;&gt;COLUMNS(B463:J463),462,"")</f>
        <v>0</v>
      </c>
      <c r="C463" s="1">
        <f>IF(B463="", "", "UBERON:genitourinary")</f>
        <v>0</v>
      </c>
      <c r="D463" s="1">
        <f>IF(B463="", "", "UBERON:urine")</f>
        <v>0</v>
      </c>
      <c r="E463" s="1">
        <f>IF(B463="", "", "UBERON:kidney")</f>
        <v>0</v>
      </c>
      <c r="F463" s="1">
        <f>IF(B463="", "", "animal corpus")</f>
        <v>0</v>
      </c>
      <c r="G463" s="1">
        <f>IF(B463="", "", "urine")</f>
        <v>0</v>
      </c>
      <c r="H463" s="1">
        <f>IF(B463="", "", "urine")</f>
        <v>0</v>
      </c>
      <c r="I463" s="1">
        <f>IF(B463="", "", "urine metagenome")</f>
        <v>0</v>
      </c>
      <c r="J463" s="1">
        <f>IF(B463="", "", "1346744")</f>
        <v>0</v>
      </c>
    </row>
    <row r="464" spans="1:10">
      <c r="A464">
        <f>IF(COUNTBLANK(B464:J464)&lt;&gt;COLUMNS(B464:J464),463,"")</f>
        <v>0</v>
      </c>
      <c r="C464" s="1">
        <f>IF(B464="", "", "UBERON:genitourinary")</f>
        <v>0</v>
      </c>
      <c r="D464" s="1">
        <f>IF(B464="", "", "UBERON:urine")</f>
        <v>0</v>
      </c>
      <c r="E464" s="1">
        <f>IF(B464="", "", "UBERON:kidney")</f>
        <v>0</v>
      </c>
      <c r="F464" s="1">
        <f>IF(B464="", "", "animal corpus")</f>
        <v>0</v>
      </c>
      <c r="G464" s="1">
        <f>IF(B464="", "", "urine")</f>
        <v>0</v>
      </c>
      <c r="H464" s="1">
        <f>IF(B464="", "", "urine")</f>
        <v>0</v>
      </c>
      <c r="I464" s="1">
        <f>IF(B464="", "", "urine metagenome")</f>
        <v>0</v>
      </c>
      <c r="J464" s="1">
        <f>IF(B464="", "", "1346744")</f>
        <v>0</v>
      </c>
    </row>
    <row r="465" spans="1:10">
      <c r="A465">
        <f>IF(COUNTBLANK(B465:J465)&lt;&gt;COLUMNS(B465:J465),464,"")</f>
        <v>0</v>
      </c>
      <c r="C465" s="1">
        <f>IF(B465="", "", "UBERON:genitourinary")</f>
        <v>0</v>
      </c>
      <c r="D465" s="1">
        <f>IF(B465="", "", "UBERON:urine")</f>
        <v>0</v>
      </c>
      <c r="E465" s="1">
        <f>IF(B465="", "", "UBERON:kidney")</f>
        <v>0</v>
      </c>
      <c r="F465" s="1">
        <f>IF(B465="", "", "animal corpus")</f>
        <v>0</v>
      </c>
      <c r="G465" s="1">
        <f>IF(B465="", "", "urine")</f>
        <v>0</v>
      </c>
      <c r="H465" s="1">
        <f>IF(B465="", "", "urine")</f>
        <v>0</v>
      </c>
      <c r="I465" s="1">
        <f>IF(B465="", "", "urine metagenome")</f>
        <v>0</v>
      </c>
      <c r="J465" s="1">
        <f>IF(B465="", "", "1346744")</f>
        <v>0</v>
      </c>
    </row>
    <row r="466" spans="1:10">
      <c r="A466">
        <f>IF(COUNTBLANK(B466:J466)&lt;&gt;COLUMNS(B466:J466),465,"")</f>
        <v>0</v>
      </c>
      <c r="C466" s="1">
        <f>IF(B466="", "", "UBERON:genitourinary")</f>
        <v>0</v>
      </c>
      <c r="D466" s="1">
        <f>IF(B466="", "", "UBERON:urine")</f>
        <v>0</v>
      </c>
      <c r="E466" s="1">
        <f>IF(B466="", "", "UBERON:kidney")</f>
        <v>0</v>
      </c>
      <c r="F466" s="1">
        <f>IF(B466="", "", "animal corpus")</f>
        <v>0</v>
      </c>
      <c r="G466" s="1">
        <f>IF(B466="", "", "urine")</f>
        <v>0</v>
      </c>
      <c r="H466" s="1">
        <f>IF(B466="", "", "urine")</f>
        <v>0</v>
      </c>
      <c r="I466" s="1">
        <f>IF(B466="", "", "urine metagenome")</f>
        <v>0</v>
      </c>
      <c r="J466" s="1">
        <f>IF(B466="", "", "1346744")</f>
        <v>0</v>
      </c>
    </row>
    <row r="467" spans="1:10">
      <c r="A467">
        <f>IF(COUNTBLANK(B467:J467)&lt;&gt;COLUMNS(B467:J467),466,"")</f>
        <v>0</v>
      </c>
      <c r="C467" s="1">
        <f>IF(B467="", "", "UBERON:genitourinary")</f>
        <v>0</v>
      </c>
      <c r="D467" s="1">
        <f>IF(B467="", "", "UBERON:urine")</f>
        <v>0</v>
      </c>
      <c r="E467" s="1">
        <f>IF(B467="", "", "UBERON:kidney")</f>
        <v>0</v>
      </c>
      <c r="F467" s="1">
        <f>IF(B467="", "", "animal corpus")</f>
        <v>0</v>
      </c>
      <c r="G467" s="1">
        <f>IF(B467="", "", "urine")</f>
        <v>0</v>
      </c>
      <c r="H467" s="1">
        <f>IF(B467="", "", "urine")</f>
        <v>0</v>
      </c>
      <c r="I467" s="1">
        <f>IF(B467="", "", "urine metagenome")</f>
        <v>0</v>
      </c>
      <c r="J467" s="1">
        <f>IF(B467="", "", "1346744")</f>
        <v>0</v>
      </c>
    </row>
    <row r="468" spans="1:10">
      <c r="A468">
        <f>IF(COUNTBLANK(B468:J468)&lt;&gt;COLUMNS(B468:J468),467,"")</f>
        <v>0</v>
      </c>
      <c r="C468" s="1">
        <f>IF(B468="", "", "UBERON:genitourinary")</f>
        <v>0</v>
      </c>
      <c r="D468" s="1">
        <f>IF(B468="", "", "UBERON:urine")</f>
        <v>0</v>
      </c>
      <c r="E468" s="1">
        <f>IF(B468="", "", "UBERON:kidney")</f>
        <v>0</v>
      </c>
      <c r="F468" s="1">
        <f>IF(B468="", "", "animal corpus")</f>
        <v>0</v>
      </c>
      <c r="G468" s="1">
        <f>IF(B468="", "", "urine")</f>
        <v>0</v>
      </c>
      <c r="H468" s="1">
        <f>IF(B468="", "", "urine")</f>
        <v>0</v>
      </c>
      <c r="I468" s="1">
        <f>IF(B468="", "", "urine metagenome")</f>
        <v>0</v>
      </c>
      <c r="J468" s="1">
        <f>IF(B468="", "", "1346744")</f>
        <v>0</v>
      </c>
    </row>
    <row r="469" spans="1:10">
      <c r="A469">
        <f>IF(COUNTBLANK(B469:J469)&lt;&gt;COLUMNS(B469:J469),468,"")</f>
        <v>0</v>
      </c>
      <c r="C469" s="1">
        <f>IF(B469="", "", "UBERON:genitourinary")</f>
        <v>0</v>
      </c>
      <c r="D469" s="1">
        <f>IF(B469="", "", "UBERON:urine")</f>
        <v>0</v>
      </c>
      <c r="E469" s="1">
        <f>IF(B469="", "", "UBERON:kidney")</f>
        <v>0</v>
      </c>
      <c r="F469" s="1">
        <f>IF(B469="", "", "animal corpus")</f>
        <v>0</v>
      </c>
      <c r="G469" s="1">
        <f>IF(B469="", "", "urine")</f>
        <v>0</v>
      </c>
      <c r="H469" s="1">
        <f>IF(B469="", "", "urine")</f>
        <v>0</v>
      </c>
      <c r="I469" s="1">
        <f>IF(B469="", "", "urine metagenome")</f>
        <v>0</v>
      </c>
      <c r="J469" s="1">
        <f>IF(B469="", "", "1346744")</f>
        <v>0</v>
      </c>
    </row>
    <row r="470" spans="1:10">
      <c r="A470">
        <f>IF(COUNTBLANK(B470:J470)&lt;&gt;COLUMNS(B470:J470),469,"")</f>
        <v>0</v>
      </c>
      <c r="C470" s="1">
        <f>IF(B470="", "", "UBERON:genitourinary")</f>
        <v>0</v>
      </c>
      <c r="D470" s="1">
        <f>IF(B470="", "", "UBERON:urine")</f>
        <v>0</v>
      </c>
      <c r="E470" s="1">
        <f>IF(B470="", "", "UBERON:kidney")</f>
        <v>0</v>
      </c>
      <c r="F470" s="1">
        <f>IF(B470="", "", "animal corpus")</f>
        <v>0</v>
      </c>
      <c r="G470" s="1">
        <f>IF(B470="", "", "urine")</f>
        <v>0</v>
      </c>
      <c r="H470" s="1">
        <f>IF(B470="", "", "urine")</f>
        <v>0</v>
      </c>
      <c r="I470" s="1">
        <f>IF(B470="", "", "urine metagenome")</f>
        <v>0</v>
      </c>
      <c r="J470" s="1">
        <f>IF(B470="", "", "1346744")</f>
        <v>0</v>
      </c>
    </row>
    <row r="471" spans="1:10">
      <c r="A471">
        <f>IF(COUNTBLANK(B471:J471)&lt;&gt;COLUMNS(B471:J471),470,"")</f>
        <v>0</v>
      </c>
      <c r="C471" s="1">
        <f>IF(B471="", "", "UBERON:genitourinary")</f>
        <v>0</v>
      </c>
      <c r="D471" s="1">
        <f>IF(B471="", "", "UBERON:urine")</f>
        <v>0</v>
      </c>
      <c r="E471" s="1">
        <f>IF(B471="", "", "UBERON:kidney")</f>
        <v>0</v>
      </c>
      <c r="F471" s="1">
        <f>IF(B471="", "", "animal corpus")</f>
        <v>0</v>
      </c>
      <c r="G471" s="1">
        <f>IF(B471="", "", "urine")</f>
        <v>0</v>
      </c>
      <c r="H471" s="1">
        <f>IF(B471="", "", "urine")</f>
        <v>0</v>
      </c>
      <c r="I471" s="1">
        <f>IF(B471="", "", "urine metagenome")</f>
        <v>0</v>
      </c>
      <c r="J471" s="1">
        <f>IF(B471="", "", "1346744")</f>
        <v>0</v>
      </c>
    </row>
    <row r="472" spans="1:10">
      <c r="A472">
        <f>IF(COUNTBLANK(B472:J472)&lt;&gt;COLUMNS(B472:J472),471,"")</f>
        <v>0</v>
      </c>
      <c r="C472" s="1">
        <f>IF(B472="", "", "UBERON:genitourinary")</f>
        <v>0</v>
      </c>
      <c r="D472" s="1">
        <f>IF(B472="", "", "UBERON:urine")</f>
        <v>0</v>
      </c>
      <c r="E472" s="1">
        <f>IF(B472="", "", "UBERON:kidney")</f>
        <v>0</v>
      </c>
      <c r="F472" s="1">
        <f>IF(B472="", "", "animal corpus")</f>
        <v>0</v>
      </c>
      <c r="G472" s="1">
        <f>IF(B472="", "", "urine")</f>
        <v>0</v>
      </c>
      <c r="H472" s="1">
        <f>IF(B472="", "", "urine")</f>
        <v>0</v>
      </c>
      <c r="I472" s="1">
        <f>IF(B472="", "", "urine metagenome")</f>
        <v>0</v>
      </c>
      <c r="J472" s="1">
        <f>IF(B472="", "", "1346744")</f>
        <v>0</v>
      </c>
    </row>
    <row r="473" spans="1:10">
      <c r="A473">
        <f>IF(COUNTBLANK(B473:J473)&lt;&gt;COLUMNS(B473:J473),472,"")</f>
        <v>0</v>
      </c>
      <c r="C473" s="1">
        <f>IF(B473="", "", "UBERON:genitourinary")</f>
        <v>0</v>
      </c>
      <c r="D473" s="1">
        <f>IF(B473="", "", "UBERON:urine")</f>
        <v>0</v>
      </c>
      <c r="E473" s="1">
        <f>IF(B473="", "", "UBERON:kidney")</f>
        <v>0</v>
      </c>
      <c r="F473" s="1">
        <f>IF(B473="", "", "animal corpus")</f>
        <v>0</v>
      </c>
      <c r="G473" s="1">
        <f>IF(B473="", "", "urine")</f>
        <v>0</v>
      </c>
      <c r="H473" s="1">
        <f>IF(B473="", "", "urine")</f>
        <v>0</v>
      </c>
      <c r="I473" s="1">
        <f>IF(B473="", "", "urine metagenome")</f>
        <v>0</v>
      </c>
      <c r="J473" s="1">
        <f>IF(B473="", "", "1346744")</f>
        <v>0</v>
      </c>
    </row>
    <row r="474" spans="1:10">
      <c r="A474">
        <f>IF(COUNTBLANK(B474:J474)&lt;&gt;COLUMNS(B474:J474),473,"")</f>
        <v>0</v>
      </c>
      <c r="C474" s="1">
        <f>IF(B474="", "", "UBERON:genitourinary")</f>
        <v>0</v>
      </c>
      <c r="D474" s="1">
        <f>IF(B474="", "", "UBERON:urine")</f>
        <v>0</v>
      </c>
      <c r="E474" s="1">
        <f>IF(B474="", "", "UBERON:kidney")</f>
        <v>0</v>
      </c>
      <c r="F474" s="1">
        <f>IF(B474="", "", "animal corpus")</f>
        <v>0</v>
      </c>
      <c r="G474" s="1">
        <f>IF(B474="", "", "urine")</f>
        <v>0</v>
      </c>
      <c r="H474" s="1">
        <f>IF(B474="", "", "urine")</f>
        <v>0</v>
      </c>
      <c r="I474" s="1">
        <f>IF(B474="", "", "urine metagenome")</f>
        <v>0</v>
      </c>
      <c r="J474" s="1">
        <f>IF(B474="", "", "1346744")</f>
        <v>0</v>
      </c>
    </row>
    <row r="475" spans="1:10">
      <c r="A475">
        <f>IF(COUNTBLANK(B475:J475)&lt;&gt;COLUMNS(B475:J475),474,"")</f>
        <v>0</v>
      </c>
      <c r="C475" s="1">
        <f>IF(B475="", "", "UBERON:genitourinary")</f>
        <v>0</v>
      </c>
      <c r="D475" s="1">
        <f>IF(B475="", "", "UBERON:urine")</f>
        <v>0</v>
      </c>
      <c r="E475" s="1">
        <f>IF(B475="", "", "UBERON:kidney")</f>
        <v>0</v>
      </c>
      <c r="F475" s="1">
        <f>IF(B475="", "", "animal corpus")</f>
        <v>0</v>
      </c>
      <c r="G475" s="1">
        <f>IF(B475="", "", "urine")</f>
        <v>0</v>
      </c>
      <c r="H475" s="1">
        <f>IF(B475="", "", "urine")</f>
        <v>0</v>
      </c>
      <c r="I475" s="1">
        <f>IF(B475="", "", "urine metagenome")</f>
        <v>0</v>
      </c>
      <c r="J475" s="1">
        <f>IF(B475="", "", "1346744")</f>
        <v>0</v>
      </c>
    </row>
    <row r="476" spans="1:10">
      <c r="A476">
        <f>IF(COUNTBLANK(B476:J476)&lt;&gt;COLUMNS(B476:J476),475,"")</f>
        <v>0</v>
      </c>
      <c r="C476" s="1">
        <f>IF(B476="", "", "UBERON:genitourinary")</f>
        <v>0</v>
      </c>
      <c r="D476" s="1">
        <f>IF(B476="", "", "UBERON:urine")</f>
        <v>0</v>
      </c>
      <c r="E476" s="1">
        <f>IF(B476="", "", "UBERON:kidney")</f>
        <v>0</v>
      </c>
      <c r="F476" s="1">
        <f>IF(B476="", "", "animal corpus")</f>
        <v>0</v>
      </c>
      <c r="G476" s="1">
        <f>IF(B476="", "", "urine")</f>
        <v>0</v>
      </c>
      <c r="H476" s="1">
        <f>IF(B476="", "", "urine")</f>
        <v>0</v>
      </c>
      <c r="I476" s="1">
        <f>IF(B476="", "", "urine metagenome")</f>
        <v>0</v>
      </c>
      <c r="J476" s="1">
        <f>IF(B476="", "", "1346744")</f>
        <v>0</v>
      </c>
    </row>
    <row r="477" spans="1:10">
      <c r="A477">
        <f>IF(COUNTBLANK(B477:J477)&lt;&gt;COLUMNS(B477:J477),476,"")</f>
        <v>0</v>
      </c>
      <c r="C477" s="1">
        <f>IF(B477="", "", "UBERON:genitourinary")</f>
        <v>0</v>
      </c>
      <c r="D477" s="1">
        <f>IF(B477="", "", "UBERON:urine")</f>
        <v>0</v>
      </c>
      <c r="E477" s="1">
        <f>IF(B477="", "", "UBERON:kidney")</f>
        <v>0</v>
      </c>
      <c r="F477" s="1">
        <f>IF(B477="", "", "animal corpus")</f>
        <v>0</v>
      </c>
      <c r="G477" s="1">
        <f>IF(B477="", "", "urine")</f>
        <v>0</v>
      </c>
      <c r="H477" s="1">
        <f>IF(B477="", "", "urine")</f>
        <v>0</v>
      </c>
      <c r="I477" s="1">
        <f>IF(B477="", "", "urine metagenome")</f>
        <v>0</v>
      </c>
      <c r="J477" s="1">
        <f>IF(B477="", "", "1346744")</f>
        <v>0</v>
      </c>
    </row>
    <row r="478" spans="1:10">
      <c r="A478">
        <f>IF(COUNTBLANK(B478:J478)&lt;&gt;COLUMNS(B478:J478),477,"")</f>
        <v>0</v>
      </c>
      <c r="C478" s="1">
        <f>IF(B478="", "", "UBERON:genitourinary")</f>
        <v>0</v>
      </c>
      <c r="D478" s="1">
        <f>IF(B478="", "", "UBERON:urine")</f>
        <v>0</v>
      </c>
      <c r="E478" s="1">
        <f>IF(B478="", "", "UBERON:kidney")</f>
        <v>0</v>
      </c>
      <c r="F478" s="1">
        <f>IF(B478="", "", "animal corpus")</f>
        <v>0</v>
      </c>
      <c r="G478" s="1">
        <f>IF(B478="", "", "urine")</f>
        <v>0</v>
      </c>
      <c r="H478" s="1">
        <f>IF(B478="", "", "urine")</f>
        <v>0</v>
      </c>
      <c r="I478" s="1">
        <f>IF(B478="", "", "urine metagenome")</f>
        <v>0</v>
      </c>
      <c r="J478" s="1">
        <f>IF(B478="", "", "1346744")</f>
        <v>0</v>
      </c>
    </row>
    <row r="479" spans="1:10">
      <c r="A479">
        <f>IF(COUNTBLANK(B479:J479)&lt;&gt;COLUMNS(B479:J479),478,"")</f>
        <v>0</v>
      </c>
      <c r="C479" s="1">
        <f>IF(B479="", "", "UBERON:genitourinary")</f>
        <v>0</v>
      </c>
      <c r="D479" s="1">
        <f>IF(B479="", "", "UBERON:urine")</f>
        <v>0</v>
      </c>
      <c r="E479" s="1">
        <f>IF(B479="", "", "UBERON:kidney")</f>
        <v>0</v>
      </c>
      <c r="F479" s="1">
        <f>IF(B479="", "", "animal corpus")</f>
        <v>0</v>
      </c>
      <c r="G479" s="1">
        <f>IF(B479="", "", "urine")</f>
        <v>0</v>
      </c>
      <c r="H479" s="1">
        <f>IF(B479="", "", "urine")</f>
        <v>0</v>
      </c>
      <c r="I479" s="1">
        <f>IF(B479="", "", "urine metagenome")</f>
        <v>0</v>
      </c>
      <c r="J479" s="1">
        <f>IF(B479="", "", "1346744")</f>
        <v>0</v>
      </c>
    </row>
    <row r="480" spans="1:10">
      <c r="A480">
        <f>IF(COUNTBLANK(B480:J480)&lt;&gt;COLUMNS(B480:J480),479,"")</f>
        <v>0</v>
      </c>
      <c r="C480" s="1">
        <f>IF(B480="", "", "UBERON:genitourinary")</f>
        <v>0</v>
      </c>
      <c r="D480" s="1">
        <f>IF(B480="", "", "UBERON:urine")</f>
        <v>0</v>
      </c>
      <c r="E480" s="1">
        <f>IF(B480="", "", "UBERON:kidney")</f>
        <v>0</v>
      </c>
      <c r="F480" s="1">
        <f>IF(B480="", "", "animal corpus")</f>
        <v>0</v>
      </c>
      <c r="G480" s="1">
        <f>IF(B480="", "", "urine")</f>
        <v>0</v>
      </c>
      <c r="H480" s="1">
        <f>IF(B480="", "", "urine")</f>
        <v>0</v>
      </c>
      <c r="I480" s="1">
        <f>IF(B480="", "", "urine metagenome")</f>
        <v>0</v>
      </c>
      <c r="J480" s="1">
        <f>IF(B480="", "", "1346744")</f>
        <v>0</v>
      </c>
    </row>
    <row r="481" spans="1:10">
      <c r="A481">
        <f>IF(COUNTBLANK(B481:J481)&lt;&gt;COLUMNS(B481:J481),480,"")</f>
        <v>0</v>
      </c>
      <c r="C481" s="1">
        <f>IF(B481="", "", "UBERON:genitourinary")</f>
        <v>0</v>
      </c>
      <c r="D481" s="1">
        <f>IF(B481="", "", "UBERON:urine")</f>
        <v>0</v>
      </c>
      <c r="E481" s="1">
        <f>IF(B481="", "", "UBERON:kidney")</f>
        <v>0</v>
      </c>
      <c r="F481" s="1">
        <f>IF(B481="", "", "animal corpus")</f>
        <v>0</v>
      </c>
      <c r="G481" s="1">
        <f>IF(B481="", "", "urine")</f>
        <v>0</v>
      </c>
      <c r="H481" s="1">
        <f>IF(B481="", "", "urine")</f>
        <v>0</v>
      </c>
      <c r="I481" s="1">
        <f>IF(B481="", "", "urine metagenome")</f>
        <v>0</v>
      </c>
      <c r="J481" s="1">
        <f>IF(B481="", "", "1346744")</f>
        <v>0</v>
      </c>
    </row>
    <row r="482" spans="1:10">
      <c r="A482">
        <f>IF(COUNTBLANK(B482:J482)&lt;&gt;COLUMNS(B482:J482),481,"")</f>
        <v>0</v>
      </c>
      <c r="C482" s="1">
        <f>IF(B482="", "", "UBERON:genitourinary")</f>
        <v>0</v>
      </c>
      <c r="D482" s="1">
        <f>IF(B482="", "", "UBERON:urine")</f>
        <v>0</v>
      </c>
      <c r="E482" s="1">
        <f>IF(B482="", "", "UBERON:kidney")</f>
        <v>0</v>
      </c>
      <c r="F482" s="1">
        <f>IF(B482="", "", "animal corpus")</f>
        <v>0</v>
      </c>
      <c r="G482" s="1">
        <f>IF(B482="", "", "urine")</f>
        <v>0</v>
      </c>
      <c r="H482" s="1">
        <f>IF(B482="", "", "urine")</f>
        <v>0</v>
      </c>
      <c r="I482" s="1">
        <f>IF(B482="", "", "urine metagenome")</f>
        <v>0</v>
      </c>
      <c r="J482" s="1">
        <f>IF(B482="", "", "1346744")</f>
        <v>0</v>
      </c>
    </row>
    <row r="483" spans="1:10">
      <c r="A483">
        <f>IF(COUNTBLANK(B483:J483)&lt;&gt;COLUMNS(B483:J483),482,"")</f>
        <v>0</v>
      </c>
      <c r="C483" s="1">
        <f>IF(B483="", "", "UBERON:genitourinary")</f>
        <v>0</v>
      </c>
      <c r="D483" s="1">
        <f>IF(B483="", "", "UBERON:urine")</f>
        <v>0</v>
      </c>
      <c r="E483" s="1">
        <f>IF(B483="", "", "UBERON:kidney")</f>
        <v>0</v>
      </c>
      <c r="F483" s="1">
        <f>IF(B483="", "", "animal corpus")</f>
        <v>0</v>
      </c>
      <c r="G483" s="1">
        <f>IF(B483="", "", "urine")</f>
        <v>0</v>
      </c>
      <c r="H483" s="1">
        <f>IF(B483="", "", "urine")</f>
        <v>0</v>
      </c>
      <c r="I483" s="1">
        <f>IF(B483="", "", "urine metagenome")</f>
        <v>0</v>
      </c>
      <c r="J483" s="1">
        <f>IF(B483="", "", "1346744")</f>
        <v>0</v>
      </c>
    </row>
    <row r="484" spans="1:10">
      <c r="A484">
        <f>IF(COUNTBLANK(B484:J484)&lt;&gt;COLUMNS(B484:J484),483,"")</f>
        <v>0</v>
      </c>
      <c r="C484" s="1">
        <f>IF(B484="", "", "UBERON:genitourinary")</f>
        <v>0</v>
      </c>
      <c r="D484" s="1">
        <f>IF(B484="", "", "UBERON:urine")</f>
        <v>0</v>
      </c>
      <c r="E484" s="1">
        <f>IF(B484="", "", "UBERON:kidney")</f>
        <v>0</v>
      </c>
      <c r="F484" s="1">
        <f>IF(B484="", "", "animal corpus")</f>
        <v>0</v>
      </c>
      <c r="G484" s="1">
        <f>IF(B484="", "", "urine")</f>
        <v>0</v>
      </c>
      <c r="H484" s="1">
        <f>IF(B484="", "", "urine")</f>
        <v>0</v>
      </c>
      <c r="I484" s="1">
        <f>IF(B484="", "", "urine metagenome")</f>
        <v>0</v>
      </c>
      <c r="J484" s="1">
        <f>IF(B484="", "", "1346744")</f>
        <v>0</v>
      </c>
    </row>
    <row r="485" spans="1:10">
      <c r="A485">
        <f>IF(COUNTBLANK(B485:J485)&lt;&gt;COLUMNS(B485:J485),484,"")</f>
        <v>0</v>
      </c>
      <c r="C485" s="1">
        <f>IF(B485="", "", "UBERON:genitourinary")</f>
        <v>0</v>
      </c>
      <c r="D485" s="1">
        <f>IF(B485="", "", "UBERON:urine")</f>
        <v>0</v>
      </c>
      <c r="E485" s="1">
        <f>IF(B485="", "", "UBERON:kidney")</f>
        <v>0</v>
      </c>
      <c r="F485" s="1">
        <f>IF(B485="", "", "animal corpus")</f>
        <v>0</v>
      </c>
      <c r="G485" s="1">
        <f>IF(B485="", "", "urine")</f>
        <v>0</v>
      </c>
      <c r="H485" s="1">
        <f>IF(B485="", "", "urine")</f>
        <v>0</v>
      </c>
      <c r="I485" s="1">
        <f>IF(B485="", "", "urine metagenome")</f>
        <v>0</v>
      </c>
      <c r="J485" s="1">
        <f>IF(B485="", "", "1346744")</f>
        <v>0</v>
      </c>
    </row>
    <row r="486" spans="1:10">
      <c r="A486">
        <f>IF(COUNTBLANK(B486:J486)&lt;&gt;COLUMNS(B486:J486),485,"")</f>
        <v>0</v>
      </c>
      <c r="C486" s="1">
        <f>IF(B486="", "", "UBERON:genitourinary")</f>
        <v>0</v>
      </c>
      <c r="D486" s="1">
        <f>IF(B486="", "", "UBERON:urine")</f>
        <v>0</v>
      </c>
      <c r="E486" s="1">
        <f>IF(B486="", "", "UBERON:kidney")</f>
        <v>0</v>
      </c>
      <c r="F486" s="1">
        <f>IF(B486="", "", "animal corpus")</f>
        <v>0</v>
      </c>
      <c r="G486" s="1">
        <f>IF(B486="", "", "urine")</f>
        <v>0</v>
      </c>
      <c r="H486" s="1">
        <f>IF(B486="", "", "urine")</f>
        <v>0</v>
      </c>
      <c r="I486" s="1">
        <f>IF(B486="", "", "urine metagenome")</f>
        <v>0</v>
      </c>
      <c r="J486" s="1">
        <f>IF(B486="", "", "1346744")</f>
        <v>0</v>
      </c>
    </row>
    <row r="487" spans="1:10">
      <c r="A487">
        <f>IF(COUNTBLANK(B487:J487)&lt;&gt;COLUMNS(B487:J487),486,"")</f>
        <v>0</v>
      </c>
      <c r="C487" s="1">
        <f>IF(B487="", "", "UBERON:genitourinary")</f>
        <v>0</v>
      </c>
      <c r="D487" s="1">
        <f>IF(B487="", "", "UBERON:urine")</f>
        <v>0</v>
      </c>
      <c r="E487" s="1">
        <f>IF(B487="", "", "UBERON:kidney")</f>
        <v>0</v>
      </c>
      <c r="F487" s="1">
        <f>IF(B487="", "", "animal corpus")</f>
        <v>0</v>
      </c>
      <c r="G487" s="1">
        <f>IF(B487="", "", "urine")</f>
        <v>0</v>
      </c>
      <c r="H487" s="1">
        <f>IF(B487="", "", "urine")</f>
        <v>0</v>
      </c>
      <c r="I487" s="1">
        <f>IF(B487="", "", "urine metagenome")</f>
        <v>0</v>
      </c>
      <c r="J487" s="1">
        <f>IF(B487="", "", "1346744")</f>
        <v>0</v>
      </c>
    </row>
    <row r="488" spans="1:10">
      <c r="A488">
        <f>IF(COUNTBLANK(B488:J488)&lt;&gt;COLUMNS(B488:J488),487,"")</f>
        <v>0</v>
      </c>
      <c r="C488" s="1">
        <f>IF(B488="", "", "UBERON:genitourinary")</f>
        <v>0</v>
      </c>
      <c r="D488" s="1">
        <f>IF(B488="", "", "UBERON:urine")</f>
        <v>0</v>
      </c>
      <c r="E488" s="1">
        <f>IF(B488="", "", "UBERON:kidney")</f>
        <v>0</v>
      </c>
      <c r="F488" s="1">
        <f>IF(B488="", "", "animal corpus")</f>
        <v>0</v>
      </c>
      <c r="G488" s="1">
        <f>IF(B488="", "", "urine")</f>
        <v>0</v>
      </c>
      <c r="H488" s="1">
        <f>IF(B488="", "", "urine")</f>
        <v>0</v>
      </c>
      <c r="I488" s="1">
        <f>IF(B488="", "", "urine metagenome")</f>
        <v>0</v>
      </c>
      <c r="J488" s="1">
        <f>IF(B488="", "", "1346744")</f>
        <v>0</v>
      </c>
    </row>
    <row r="489" spans="1:10">
      <c r="A489">
        <f>IF(COUNTBLANK(B489:J489)&lt;&gt;COLUMNS(B489:J489),488,"")</f>
        <v>0</v>
      </c>
      <c r="C489" s="1">
        <f>IF(B489="", "", "UBERON:genitourinary")</f>
        <v>0</v>
      </c>
      <c r="D489" s="1">
        <f>IF(B489="", "", "UBERON:urine")</f>
        <v>0</v>
      </c>
      <c r="E489" s="1">
        <f>IF(B489="", "", "UBERON:kidney")</f>
        <v>0</v>
      </c>
      <c r="F489" s="1">
        <f>IF(B489="", "", "animal corpus")</f>
        <v>0</v>
      </c>
      <c r="G489" s="1">
        <f>IF(B489="", "", "urine")</f>
        <v>0</v>
      </c>
      <c r="H489" s="1">
        <f>IF(B489="", "", "urine")</f>
        <v>0</v>
      </c>
      <c r="I489" s="1">
        <f>IF(B489="", "", "urine metagenome")</f>
        <v>0</v>
      </c>
      <c r="J489" s="1">
        <f>IF(B489="", "", "1346744")</f>
        <v>0</v>
      </c>
    </row>
    <row r="490" spans="1:10">
      <c r="A490">
        <f>IF(COUNTBLANK(B490:J490)&lt;&gt;COLUMNS(B490:J490),489,"")</f>
        <v>0</v>
      </c>
      <c r="C490" s="1">
        <f>IF(B490="", "", "UBERON:genitourinary")</f>
        <v>0</v>
      </c>
      <c r="D490" s="1">
        <f>IF(B490="", "", "UBERON:urine")</f>
        <v>0</v>
      </c>
      <c r="E490" s="1">
        <f>IF(B490="", "", "UBERON:kidney")</f>
        <v>0</v>
      </c>
      <c r="F490" s="1">
        <f>IF(B490="", "", "animal corpus")</f>
        <v>0</v>
      </c>
      <c r="G490" s="1">
        <f>IF(B490="", "", "urine")</f>
        <v>0</v>
      </c>
      <c r="H490" s="1">
        <f>IF(B490="", "", "urine")</f>
        <v>0</v>
      </c>
      <c r="I490" s="1">
        <f>IF(B490="", "", "urine metagenome")</f>
        <v>0</v>
      </c>
      <c r="J490" s="1">
        <f>IF(B490="", "", "1346744")</f>
        <v>0</v>
      </c>
    </row>
    <row r="491" spans="1:10">
      <c r="A491">
        <f>IF(COUNTBLANK(B491:J491)&lt;&gt;COLUMNS(B491:J491),490,"")</f>
        <v>0</v>
      </c>
      <c r="C491" s="1">
        <f>IF(B491="", "", "UBERON:genitourinary")</f>
        <v>0</v>
      </c>
      <c r="D491" s="1">
        <f>IF(B491="", "", "UBERON:urine")</f>
        <v>0</v>
      </c>
      <c r="E491" s="1">
        <f>IF(B491="", "", "UBERON:kidney")</f>
        <v>0</v>
      </c>
      <c r="F491" s="1">
        <f>IF(B491="", "", "animal corpus")</f>
        <v>0</v>
      </c>
      <c r="G491" s="1">
        <f>IF(B491="", "", "urine")</f>
        <v>0</v>
      </c>
      <c r="H491" s="1">
        <f>IF(B491="", "", "urine")</f>
        <v>0</v>
      </c>
      <c r="I491" s="1">
        <f>IF(B491="", "", "urine metagenome")</f>
        <v>0</v>
      </c>
      <c r="J491" s="1">
        <f>IF(B491="", "", "1346744")</f>
        <v>0</v>
      </c>
    </row>
    <row r="492" spans="1:10">
      <c r="A492">
        <f>IF(COUNTBLANK(B492:J492)&lt;&gt;COLUMNS(B492:J492),491,"")</f>
        <v>0</v>
      </c>
      <c r="C492" s="1">
        <f>IF(B492="", "", "UBERON:genitourinary")</f>
        <v>0</v>
      </c>
      <c r="D492" s="1">
        <f>IF(B492="", "", "UBERON:urine")</f>
        <v>0</v>
      </c>
      <c r="E492" s="1">
        <f>IF(B492="", "", "UBERON:kidney")</f>
        <v>0</v>
      </c>
      <c r="F492" s="1">
        <f>IF(B492="", "", "animal corpus")</f>
        <v>0</v>
      </c>
      <c r="G492" s="1">
        <f>IF(B492="", "", "urine")</f>
        <v>0</v>
      </c>
      <c r="H492" s="1">
        <f>IF(B492="", "", "urine")</f>
        <v>0</v>
      </c>
      <c r="I492" s="1">
        <f>IF(B492="", "", "urine metagenome")</f>
        <v>0</v>
      </c>
      <c r="J492" s="1">
        <f>IF(B492="", "", "1346744")</f>
        <v>0</v>
      </c>
    </row>
    <row r="493" spans="1:10">
      <c r="A493">
        <f>IF(COUNTBLANK(B493:J493)&lt;&gt;COLUMNS(B493:J493),492,"")</f>
        <v>0</v>
      </c>
      <c r="C493" s="1">
        <f>IF(B493="", "", "UBERON:genitourinary")</f>
        <v>0</v>
      </c>
      <c r="D493" s="1">
        <f>IF(B493="", "", "UBERON:urine")</f>
        <v>0</v>
      </c>
      <c r="E493" s="1">
        <f>IF(B493="", "", "UBERON:kidney")</f>
        <v>0</v>
      </c>
      <c r="F493" s="1">
        <f>IF(B493="", "", "animal corpus")</f>
        <v>0</v>
      </c>
      <c r="G493" s="1">
        <f>IF(B493="", "", "urine")</f>
        <v>0</v>
      </c>
      <c r="H493" s="1">
        <f>IF(B493="", "", "urine")</f>
        <v>0</v>
      </c>
      <c r="I493" s="1">
        <f>IF(B493="", "", "urine metagenome")</f>
        <v>0</v>
      </c>
      <c r="J493" s="1">
        <f>IF(B493="", "", "1346744")</f>
        <v>0</v>
      </c>
    </row>
    <row r="494" spans="1:10">
      <c r="A494">
        <f>IF(COUNTBLANK(B494:J494)&lt;&gt;COLUMNS(B494:J494),493,"")</f>
        <v>0</v>
      </c>
      <c r="C494" s="1">
        <f>IF(B494="", "", "UBERON:genitourinary")</f>
        <v>0</v>
      </c>
      <c r="D494" s="1">
        <f>IF(B494="", "", "UBERON:urine")</f>
        <v>0</v>
      </c>
      <c r="E494" s="1">
        <f>IF(B494="", "", "UBERON:kidney")</f>
        <v>0</v>
      </c>
      <c r="F494" s="1">
        <f>IF(B494="", "", "animal corpus")</f>
        <v>0</v>
      </c>
      <c r="G494" s="1">
        <f>IF(B494="", "", "urine")</f>
        <v>0</v>
      </c>
      <c r="H494" s="1">
        <f>IF(B494="", "", "urine")</f>
        <v>0</v>
      </c>
      <c r="I494" s="1">
        <f>IF(B494="", "", "urine metagenome")</f>
        <v>0</v>
      </c>
      <c r="J494" s="1">
        <f>IF(B494="", "", "1346744")</f>
        <v>0</v>
      </c>
    </row>
    <row r="495" spans="1:10">
      <c r="A495">
        <f>IF(COUNTBLANK(B495:J495)&lt;&gt;COLUMNS(B495:J495),494,"")</f>
        <v>0</v>
      </c>
      <c r="C495" s="1">
        <f>IF(B495="", "", "UBERON:genitourinary")</f>
        <v>0</v>
      </c>
      <c r="D495" s="1">
        <f>IF(B495="", "", "UBERON:urine")</f>
        <v>0</v>
      </c>
      <c r="E495" s="1">
        <f>IF(B495="", "", "UBERON:kidney")</f>
        <v>0</v>
      </c>
      <c r="F495" s="1">
        <f>IF(B495="", "", "animal corpus")</f>
        <v>0</v>
      </c>
      <c r="G495" s="1">
        <f>IF(B495="", "", "urine")</f>
        <v>0</v>
      </c>
      <c r="H495" s="1">
        <f>IF(B495="", "", "urine")</f>
        <v>0</v>
      </c>
      <c r="I495" s="1">
        <f>IF(B495="", "", "urine metagenome")</f>
        <v>0</v>
      </c>
      <c r="J495" s="1">
        <f>IF(B495="", "", "1346744")</f>
        <v>0</v>
      </c>
    </row>
    <row r="496" spans="1:10">
      <c r="A496">
        <f>IF(COUNTBLANK(B496:J496)&lt;&gt;COLUMNS(B496:J496),495,"")</f>
        <v>0</v>
      </c>
      <c r="C496" s="1">
        <f>IF(B496="", "", "UBERON:genitourinary")</f>
        <v>0</v>
      </c>
      <c r="D496" s="1">
        <f>IF(B496="", "", "UBERON:urine")</f>
        <v>0</v>
      </c>
      <c r="E496" s="1">
        <f>IF(B496="", "", "UBERON:kidney")</f>
        <v>0</v>
      </c>
      <c r="F496" s="1">
        <f>IF(B496="", "", "animal corpus")</f>
        <v>0</v>
      </c>
      <c r="G496" s="1">
        <f>IF(B496="", "", "urine")</f>
        <v>0</v>
      </c>
      <c r="H496" s="1">
        <f>IF(B496="", "", "urine")</f>
        <v>0</v>
      </c>
      <c r="I496" s="1">
        <f>IF(B496="", "", "urine metagenome")</f>
        <v>0</v>
      </c>
      <c r="J496" s="1">
        <f>IF(B496="", "", "1346744")</f>
        <v>0</v>
      </c>
    </row>
    <row r="497" spans="1:10">
      <c r="A497">
        <f>IF(COUNTBLANK(B497:J497)&lt;&gt;COLUMNS(B497:J497),496,"")</f>
        <v>0</v>
      </c>
      <c r="C497" s="1">
        <f>IF(B497="", "", "UBERON:genitourinary")</f>
        <v>0</v>
      </c>
      <c r="D497" s="1">
        <f>IF(B497="", "", "UBERON:urine")</f>
        <v>0</v>
      </c>
      <c r="E497" s="1">
        <f>IF(B497="", "", "UBERON:kidney")</f>
        <v>0</v>
      </c>
      <c r="F497" s="1">
        <f>IF(B497="", "", "animal corpus")</f>
        <v>0</v>
      </c>
      <c r="G497" s="1">
        <f>IF(B497="", "", "urine")</f>
        <v>0</v>
      </c>
      <c r="H497" s="1">
        <f>IF(B497="", "", "urine")</f>
        <v>0</v>
      </c>
      <c r="I497" s="1">
        <f>IF(B497="", "", "urine metagenome")</f>
        <v>0</v>
      </c>
      <c r="J497" s="1">
        <f>IF(B497="", "", "1346744")</f>
        <v>0</v>
      </c>
    </row>
    <row r="498" spans="1:10">
      <c r="A498">
        <f>IF(COUNTBLANK(B498:J498)&lt;&gt;COLUMNS(B498:J498),497,"")</f>
        <v>0</v>
      </c>
      <c r="C498" s="1">
        <f>IF(B498="", "", "UBERON:genitourinary")</f>
        <v>0</v>
      </c>
      <c r="D498" s="1">
        <f>IF(B498="", "", "UBERON:urine")</f>
        <v>0</v>
      </c>
      <c r="E498" s="1">
        <f>IF(B498="", "", "UBERON:kidney")</f>
        <v>0</v>
      </c>
      <c r="F498" s="1">
        <f>IF(B498="", "", "animal corpus")</f>
        <v>0</v>
      </c>
      <c r="G498" s="1">
        <f>IF(B498="", "", "urine")</f>
        <v>0</v>
      </c>
      <c r="H498" s="1">
        <f>IF(B498="", "", "urine")</f>
        <v>0</v>
      </c>
      <c r="I498" s="1">
        <f>IF(B498="", "", "urine metagenome")</f>
        <v>0</v>
      </c>
      <c r="J498" s="1">
        <f>IF(B498="", "", "1346744")</f>
        <v>0</v>
      </c>
    </row>
    <row r="499" spans="1:10">
      <c r="A499">
        <f>IF(COUNTBLANK(B499:J499)&lt;&gt;COLUMNS(B499:J499),498,"")</f>
        <v>0</v>
      </c>
      <c r="C499" s="1">
        <f>IF(B499="", "", "UBERON:genitourinary")</f>
        <v>0</v>
      </c>
      <c r="D499" s="1">
        <f>IF(B499="", "", "UBERON:urine")</f>
        <v>0</v>
      </c>
      <c r="E499" s="1">
        <f>IF(B499="", "", "UBERON:kidney")</f>
        <v>0</v>
      </c>
      <c r="F499" s="1">
        <f>IF(B499="", "", "animal corpus")</f>
        <v>0</v>
      </c>
      <c r="G499" s="1">
        <f>IF(B499="", "", "urine")</f>
        <v>0</v>
      </c>
      <c r="H499" s="1">
        <f>IF(B499="", "", "urine")</f>
        <v>0</v>
      </c>
      <c r="I499" s="1">
        <f>IF(B499="", "", "urine metagenome")</f>
        <v>0</v>
      </c>
      <c r="J499" s="1">
        <f>IF(B499="", "", "1346744")</f>
        <v>0</v>
      </c>
    </row>
    <row r="500" spans="1:10">
      <c r="A500">
        <f>IF(COUNTBLANK(B500:J500)&lt;&gt;COLUMNS(B500:J500),499,"")</f>
        <v>0</v>
      </c>
      <c r="C500" s="1">
        <f>IF(B500="", "", "UBERON:genitourinary")</f>
        <v>0</v>
      </c>
      <c r="D500" s="1">
        <f>IF(B500="", "", "UBERON:urine")</f>
        <v>0</v>
      </c>
      <c r="E500" s="1">
        <f>IF(B500="", "", "UBERON:kidney")</f>
        <v>0</v>
      </c>
      <c r="F500" s="1">
        <f>IF(B500="", "", "animal corpus")</f>
        <v>0</v>
      </c>
      <c r="G500" s="1">
        <f>IF(B500="", "", "urine")</f>
        <v>0</v>
      </c>
      <c r="H500" s="1">
        <f>IF(B500="", "", "urine")</f>
        <v>0</v>
      </c>
      <c r="I500" s="1">
        <f>IF(B500="", "", "urine metagenome")</f>
        <v>0</v>
      </c>
      <c r="J500" s="1">
        <f>IF(B500="", "", "1346744")</f>
        <v>0</v>
      </c>
    </row>
    <row r="501" spans="1:10">
      <c r="A501">
        <f>IF(COUNTBLANK(B501:J501)&lt;&gt;COLUMNS(B501:J501),500,"")</f>
        <v>0</v>
      </c>
      <c r="C501" s="1">
        <f>IF(B501="", "", "UBERON:genitourinary")</f>
        <v>0</v>
      </c>
      <c r="D501" s="1">
        <f>IF(B501="", "", "UBERON:urine")</f>
        <v>0</v>
      </c>
      <c r="E501" s="1">
        <f>IF(B501="", "", "UBERON:kidney")</f>
        <v>0</v>
      </c>
      <c r="F501" s="1">
        <f>IF(B501="", "", "animal corpus")</f>
        <v>0</v>
      </c>
      <c r="G501" s="1">
        <f>IF(B501="", "", "urine")</f>
        <v>0</v>
      </c>
      <c r="H501" s="1">
        <f>IF(B501="", "", "urine")</f>
        <v>0</v>
      </c>
      <c r="I501" s="1">
        <f>IF(B501="", "", "urine metagenome")</f>
        <v>0</v>
      </c>
      <c r="J501" s="1">
        <f>IF(B501="", "", "1346744")</f>
        <v>0</v>
      </c>
    </row>
    <row r="502" spans="1:10">
      <c r="A502">
        <f>IF(COUNTBLANK(B502:J502)&lt;&gt;COLUMNS(B502:J502),501,"")</f>
        <v>0</v>
      </c>
      <c r="C502" s="1">
        <f>IF(B502="", "", "UBERON:genitourinary")</f>
        <v>0</v>
      </c>
      <c r="D502" s="1">
        <f>IF(B502="", "", "UBERON:urine")</f>
        <v>0</v>
      </c>
      <c r="E502" s="1">
        <f>IF(B502="", "", "UBERON:kidney")</f>
        <v>0</v>
      </c>
      <c r="F502" s="1">
        <f>IF(B502="", "", "animal corpus")</f>
        <v>0</v>
      </c>
      <c r="G502" s="1">
        <f>IF(B502="", "", "urine")</f>
        <v>0</v>
      </c>
      <c r="H502" s="1">
        <f>IF(B502="", "", "urine")</f>
        <v>0</v>
      </c>
      <c r="I502" s="1">
        <f>IF(B502="", "", "urine metagenome")</f>
        <v>0</v>
      </c>
      <c r="J502" s="1">
        <f>IF(B502="", "", "1346744")</f>
        <v>0</v>
      </c>
    </row>
    <row r="503" spans="1:10">
      <c r="A503">
        <f>IF(COUNTBLANK(B503:J503)&lt;&gt;COLUMNS(B503:J503),502,"")</f>
        <v>0</v>
      </c>
      <c r="C503" s="1">
        <f>IF(B503="", "", "UBERON:genitourinary")</f>
        <v>0</v>
      </c>
      <c r="D503" s="1">
        <f>IF(B503="", "", "UBERON:urine")</f>
        <v>0</v>
      </c>
      <c r="E503" s="1">
        <f>IF(B503="", "", "UBERON:kidney")</f>
        <v>0</v>
      </c>
      <c r="F503" s="1">
        <f>IF(B503="", "", "animal corpus")</f>
        <v>0</v>
      </c>
      <c r="G503" s="1">
        <f>IF(B503="", "", "urine")</f>
        <v>0</v>
      </c>
      <c r="H503" s="1">
        <f>IF(B503="", "", "urine")</f>
        <v>0</v>
      </c>
      <c r="I503" s="1">
        <f>IF(B503="", "", "urine metagenome")</f>
        <v>0</v>
      </c>
      <c r="J503" s="1">
        <f>IF(B503="", "", "1346744")</f>
        <v>0</v>
      </c>
    </row>
    <row r="504" spans="1:10">
      <c r="A504">
        <f>IF(COUNTBLANK(B504:J504)&lt;&gt;COLUMNS(B504:J504),503,"")</f>
        <v>0</v>
      </c>
      <c r="C504" s="1">
        <f>IF(B504="", "", "UBERON:genitourinary")</f>
        <v>0</v>
      </c>
      <c r="D504" s="1">
        <f>IF(B504="", "", "UBERON:urine")</f>
        <v>0</v>
      </c>
      <c r="E504" s="1">
        <f>IF(B504="", "", "UBERON:kidney")</f>
        <v>0</v>
      </c>
      <c r="F504" s="1">
        <f>IF(B504="", "", "animal corpus")</f>
        <v>0</v>
      </c>
      <c r="G504" s="1">
        <f>IF(B504="", "", "urine")</f>
        <v>0</v>
      </c>
      <c r="H504" s="1">
        <f>IF(B504="", "", "urine")</f>
        <v>0</v>
      </c>
      <c r="I504" s="1">
        <f>IF(B504="", "", "urine metagenome")</f>
        <v>0</v>
      </c>
      <c r="J504" s="1">
        <f>IF(B504="", "", "1346744")</f>
        <v>0</v>
      </c>
    </row>
    <row r="505" spans="1:10">
      <c r="A505">
        <f>IF(COUNTBLANK(B505:J505)&lt;&gt;COLUMNS(B505:J505),504,"")</f>
        <v>0</v>
      </c>
      <c r="C505" s="1">
        <f>IF(B505="", "", "UBERON:genitourinary")</f>
        <v>0</v>
      </c>
      <c r="D505" s="1">
        <f>IF(B505="", "", "UBERON:urine")</f>
        <v>0</v>
      </c>
      <c r="E505" s="1">
        <f>IF(B505="", "", "UBERON:kidney")</f>
        <v>0</v>
      </c>
      <c r="F505" s="1">
        <f>IF(B505="", "", "animal corpus")</f>
        <v>0</v>
      </c>
      <c r="G505" s="1">
        <f>IF(B505="", "", "urine")</f>
        <v>0</v>
      </c>
      <c r="H505" s="1">
        <f>IF(B505="", "", "urine")</f>
        <v>0</v>
      </c>
      <c r="I505" s="1">
        <f>IF(B505="", "", "urine metagenome")</f>
        <v>0</v>
      </c>
      <c r="J505" s="1">
        <f>IF(B505="", "", "1346744")</f>
        <v>0</v>
      </c>
    </row>
    <row r="506" spans="1:10">
      <c r="A506">
        <f>IF(COUNTBLANK(B506:J506)&lt;&gt;COLUMNS(B506:J506),505,"")</f>
        <v>0</v>
      </c>
      <c r="C506" s="1">
        <f>IF(B506="", "", "UBERON:genitourinary")</f>
        <v>0</v>
      </c>
      <c r="D506" s="1">
        <f>IF(B506="", "", "UBERON:urine")</f>
        <v>0</v>
      </c>
      <c r="E506" s="1">
        <f>IF(B506="", "", "UBERON:kidney")</f>
        <v>0</v>
      </c>
      <c r="F506" s="1">
        <f>IF(B506="", "", "animal corpus")</f>
        <v>0</v>
      </c>
      <c r="G506" s="1">
        <f>IF(B506="", "", "urine")</f>
        <v>0</v>
      </c>
      <c r="H506" s="1">
        <f>IF(B506="", "", "urine")</f>
        <v>0</v>
      </c>
      <c r="I506" s="1">
        <f>IF(B506="", "", "urine metagenome")</f>
        <v>0</v>
      </c>
      <c r="J506" s="1">
        <f>IF(B506="", "", "1346744")</f>
        <v>0</v>
      </c>
    </row>
    <row r="507" spans="1:10">
      <c r="A507">
        <f>IF(COUNTBLANK(B507:J507)&lt;&gt;COLUMNS(B507:J507),506,"")</f>
        <v>0</v>
      </c>
      <c r="C507" s="1">
        <f>IF(B507="", "", "UBERON:genitourinary")</f>
        <v>0</v>
      </c>
      <c r="D507" s="1">
        <f>IF(B507="", "", "UBERON:urine")</f>
        <v>0</v>
      </c>
      <c r="E507" s="1">
        <f>IF(B507="", "", "UBERON:kidney")</f>
        <v>0</v>
      </c>
      <c r="F507" s="1">
        <f>IF(B507="", "", "animal corpus")</f>
        <v>0</v>
      </c>
      <c r="G507" s="1">
        <f>IF(B507="", "", "urine")</f>
        <v>0</v>
      </c>
      <c r="H507" s="1">
        <f>IF(B507="", "", "urine")</f>
        <v>0</v>
      </c>
      <c r="I507" s="1">
        <f>IF(B507="", "", "urine metagenome")</f>
        <v>0</v>
      </c>
      <c r="J507" s="1">
        <f>IF(B507="", "", "1346744")</f>
        <v>0</v>
      </c>
    </row>
    <row r="508" spans="1:10">
      <c r="A508">
        <f>IF(COUNTBLANK(B508:J508)&lt;&gt;COLUMNS(B508:J508),507,"")</f>
        <v>0</v>
      </c>
      <c r="C508" s="1">
        <f>IF(B508="", "", "UBERON:genitourinary")</f>
        <v>0</v>
      </c>
      <c r="D508" s="1">
        <f>IF(B508="", "", "UBERON:urine")</f>
        <v>0</v>
      </c>
      <c r="E508" s="1">
        <f>IF(B508="", "", "UBERON:kidney")</f>
        <v>0</v>
      </c>
      <c r="F508" s="1">
        <f>IF(B508="", "", "animal corpus")</f>
        <v>0</v>
      </c>
      <c r="G508" s="1">
        <f>IF(B508="", "", "urine")</f>
        <v>0</v>
      </c>
      <c r="H508" s="1">
        <f>IF(B508="", "", "urine")</f>
        <v>0</v>
      </c>
      <c r="I508" s="1">
        <f>IF(B508="", "", "urine metagenome")</f>
        <v>0</v>
      </c>
      <c r="J508" s="1">
        <f>IF(B508="", "", "1346744")</f>
        <v>0</v>
      </c>
    </row>
    <row r="509" spans="1:10">
      <c r="A509">
        <f>IF(COUNTBLANK(B509:J509)&lt;&gt;COLUMNS(B509:J509),508,"")</f>
        <v>0</v>
      </c>
      <c r="C509" s="1">
        <f>IF(B509="", "", "UBERON:genitourinary")</f>
        <v>0</v>
      </c>
      <c r="D509" s="1">
        <f>IF(B509="", "", "UBERON:urine")</f>
        <v>0</v>
      </c>
      <c r="E509" s="1">
        <f>IF(B509="", "", "UBERON:kidney")</f>
        <v>0</v>
      </c>
      <c r="F509" s="1">
        <f>IF(B509="", "", "animal corpus")</f>
        <v>0</v>
      </c>
      <c r="G509" s="1">
        <f>IF(B509="", "", "urine")</f>
        <v>0</v>
      </c>
      <c r="H509" s="1">
        <f>IF(B509="", "", "urine")</f>
        <v>0</v>
      </c>
      <c r="I509" s="1">
        <f>IF(B509="", "", "urine metagenome")</f>
        <v>0</v>
      </c>
      <c r="J509" s="1">
        <f>IF(B509="", "", "1346744")</f>
        <v>0</v>
      </c>
    </row>
    <row r="510" spans="1:10">
      <c r="A510">
        <f>IF(COUNTBLANK(B510:J510)&lt;&gt;COLUMNS(B510:J510),509,"")</f>
        <v>0</v>
      </c>
      <c r="C510" s="1">
        <f>IF(B510="", "", "UBERON:genitourinary")</f>
        <v>0</v>
      </c>
      <c r="D510" s="1">
        <f>IF(B510="", "", "UBERON:urine")</f>
        <v>0</v>
      </c>
      <c r="E510" s="1">
        <f>IF(B510="", "", "UBERON:kidney")</f>
        <v>0</v>
      </c>
      <c r="F510" s="1">
        <f>IF(B510="", "", "animal corpus")</f>
        <v>0</v>
      </c>
      <c r="G510" s="1">
        <f>IF(B510="", "", "urine")</f>
        <v>0</v>
      </c>
      <c r="H510" s="1">
        <f>IF(B510="", "", "urine")</f>
        <v>0</v>
      </c>
      <c r="I510" s="1">
        <f>IF(B510="", "", "urine metagenome")</f>
        <v>0</v>
      </c>
      <c r="J510" s="1">
        <f>IF(B510="", "", "1346744")</f>
        <v>0</v>
      </c>
    </row>
    <row r="511" spans="1:10">
      <c r="A511">
        <f>IF(COUNTBLANK(B511:J511)&lt;&gt;COLUMNS(B511:J511),510,"")</f>
        <v>0</v>
      </c>
      <c r="C511" s="1">
        <f>IF(B511="", "", "UBERON:genitourinary")</f>
        <v>0</v>
      </c>
      <c r="D511" s="1">
        <f>IF(B511="", "", "UBERON:urine")</f>
        <v>0</v>
      </c>
      <c r="E511" s="1">
        <f>IF(B511="", "", "UBERON:kidney")</f>
        <v>0</v>
      </c>
      <c r="F511" s="1">
        <f>IF(B511="", "", "animal corpus")</f>
        <v>0</v>
      </c>
      <c r="G511" s="1">
        <f>IF(B511="", "", "urine")</f>
        <v>0</v>
      </c>
      <c r="H511" s="1">
        <f>IF(B511="", "", "urine")</f>
        <v>0</v>
      </c>
      <c r="I511" s="1">
        <f>IF(B511="", "", "urine metagenome")</f>
        <v>0</v>
      </c>
      <c r="J511" s="1">
        <f>IF(B511="", "", "1346744")</f>
        <v>0</v>
      </c>
    </row>
    <row r="512" spans="1:10">
      <c r="A512">
        <f>IF(COUNTBLANK(B512:J512)&lt;&gt;COLUMNS(B512:J512),511,"")</f>
        <v>0</v>
      </c>
      <c r="C512" s="1">
        <f>IF(B512="", "", "UBERON:genitourinary")</f>
        <v>0</v>
      </c>
      <c r="D512" s="1">
        <f>IF(B512="", "", "UBERON:urine")</f>
        <v>0</v>
      </c>
      <c r="E512" s="1">
        <f>IF(B512="", "", "UBERON:kidney")</f>
        <v>0</v>
      </c>
      <c r="F512" s="1">
        <f>IF(B512="", "", "animal corpus")</f>
        <v>0</v>
      </c>
      <c r="G512" s="1">
        <f>IF(B512="", "", "urine")</f>
        <v>0</v>
      </c>
      <c r="H512" s="1">
        <f>IF(B512="", "", "urine")</f>
        <v>0</v>
      </c>
      <c r="I512" s="1">
        <f>IF(B512="", "", "urine metagenome")</f>
        <v>0</v>
      </c>
      <c r="J512" s="1">
        <f>IF(B512="", "", "1346744")</f>
        <v>0</v>
      </c>
    </row>
    <row r="513" spans="1:10">
      <c r="A513">
        <f>IF(COUNTBLANK(B513:J513)&lt;&gt;COLUMNS(B513:J513),512,"")</f>
        <v>0</v>
      </c>
      <c r="C513" s="1">
        <f>IF(B513="", "", "UBERON:genitourinary")</f>
        <v>0</v>
      </c>
      <c r="D513" s="1">
        <f>IF(B513="", "", "UBERON:urine")</f>
        <v>0</v>
      </c>
      <c r="E513" s="1">
        <f>IF(B513="", "", "UBERON:kidney")</f>
        <v>0</v>
      </c>
      <c r="F513" s="1">
        <f>IF(B513="", "", "animal corpus")</f>
        <v>0</v>
      </c>
      <c r="G513" s="1">
        <f>IF(B513="", "", "urine")</f>
        <v>0</v>
      </c>
      <c r="H513" s="1">
        <f>IF(B513="", "", "urine")</f>
        <v>0</v>
      </c>
      <c r="I513" s="1">
        <f>IF(B513="", "", "urine metagenome")</f>
        <v>0</v>
      </c>
      <c r="J513" s="1">
        <f>IF(B513="", "", "1346744")</f>
        <v>0</v>
      </c>
    </row>
    <row r="514" spans="1:10">
      <c r="A514">
        <f>IF(COUNTBLANK(B514:J514)&lt;&gt;COLUMNS(B514:J514),513,"")</f>
        <v>0</v>
      </c>
      <c r="C514" s="1">
        <f>IF(B514="", "", "UBERON:genitourinary")</f>
        <v>0</v>
      </c>
      <c r="D514" s="1">
        <f>IF(B514="", "", "UBERON:urine")</f>
        <v>0</v>
      </c>
      <c r="E514" s="1">
        <f>IF(B514="", "", "UBERON:kidney")</f>
        <v>0</v>
      </c>
      <c r="F514" s="1">
        <f>IF(B514="", "", "animal corpus")</f>
        <v>0</v>
      </c>
      <c r="G514" s="1">
        <f>IF(B514="", "", "urine")</f>
        <v>0</v>
      </c>
      <c r="H514" s="1">
        <f>IF(B514="", "", "urine")</f>
        <v>0</v>
      </c>
      <c r="I514" s="1">
        <f>IF(B514="", "", "urine metagenome")</f>
        <v>0</v>
      </c>
      <c r="J514" s="1">
        <f>IF(B514="", "", "1346744")</f>
        <v>0</v>
      </c>
    </row>
    <row r="515" spans="1:10">
      <c r="A515">
        <f>IF(COUNTBLANK(B515:J515)&lt;&gt;COLUMNS(B515:J515),514,"")</f>
        <v>0</v>
      </c>
      <c r="C515" s="1">
        <f>IF(B515="", "", "UBERON:genitourinary")</f>
        <v>0</v>
      </c>
      <c r="D515" s="1">
        <f>IF(B515="", "", "UBERON:urine")</f>
        <v>0</v>
      </c>
      <c r="E515" s="1">
        <f>IF(B515="", "", "UBERON:kidney")</f>
        <v>0</v>
      </c>
      <c r="F515" s="1">
        <f>IF(B515="", "", "animal corpus")</f>
        <v>0</v>
      </c>
      <c r="G515" s="1">
        <f>IF(B515="", "", "urine")</f>
        <v>0</v>
      </c>
      <c r="H515" s="1">
        <f>IF(B515="", "", "urine")</f>
        <v>0</v>
      </c>
      <c r="I515" s="1">
        <f>IF(B515="", "", "urine metagenome")</f>
        <v>0</v>
      </c>
      <c r="J515" s="1">
        <f>IF(B515="", "", "1346744")</f>
        <v>0</v>
      </c>
    </row>
    <row r="516" spans="1:10">
      <c r="A516">
        <f>IF(COUNTBLANK(B516:J516)&lt;&gt;COLUMNS(B516:J516),515,"")</f>
        <v>0</v>
      </c>
      <c r="C516" s="1">
        <f>IF(B516="", "", "UBERON:genitourinary")</f>
        <v>0</v>
      </c>
      <c r="D516" s="1">
        <f>IF(B516="", "", "UBERON:urine")</f>
        <v>0</v>
      </c>
      <c r="E516" s="1">
        <f>IF(B516="", "", "UBERON:kidney")</f>
        <v>0</v>
      </c>
      <c r="F516" s="1">
        <f>IF(B516="", "", "animal corpus")</f>
        <v>0</v>
      </c>
      <c r="G516" s="1">
        <f>IF(B516="", "", "urine")</f>
        <v>0</v>
      </c>
      <c r="H516" s="1">
        <f>IF(B516="", "", "urine")</f>
        <v>0</v>
      </c>
      <c r="I516" s="1">
        <f>IF(B516="", "", "urine metagenome")</f>
        <v>0</v>
      </c>
      <c r="J516" s="1">
        <f>IF(B516="", "", "1346744")</f>
        <v>0</v>
      </c>
    </row>
    <row r="517" spans="1:10">
      <c r="A517">
        <f>IF(COUNTBLANK(B517:J517)&lt;&gt;COLUMNS(B517:J517),516,"")</f>
        <v>0</v>
      </c>
      <c r="C517" s="1">
        <f>IF(B517="", "", "UBERON:genitourinary")</f>
        <v>0</v>
      </c>
      <c r="D517" s="1">
        <f>IF(B517="", "", "UBERON:urine")</f>
        <v>0</v>
      </c>
      <c r="E517" s="1">
        <f>IF(B517="", "", "UBERON:kidney")</f>
        <v>0</v>
      </c>
      <c r="F517" s="1">
        <f>IF(B517="", "", "animal corpus")</f>
        <v>0</v>
      </c>
      <c r="G517" s="1">
        <f>IF(B517="", "", "urine")</f>
        <v>0</v>
      </c>
      <c r="H517" s="1">
        <f>IF(B517="", "", "urine")</f>
        <v>0</v>
      </c>
      <c r="I517" s="1">
        <f>IF(B517="", "", "urine metagenome")</f>
        <v>0</v>
      </c>
      <c r="J517" s="1">
        <f>IF(B517="", "", "1346744")</f>
        <v>0</v>
      </c>
    </row>
    <row r="518" spans="1:10">
      <c r="A518">
        <f>IF(COUNTBLANK(B518:J518)&lt;&gt;COLUMNS(B518:J518),517,"")</f>
        <v>0</v>
      </c>
      <c r="C518" s="1">
        <f>IF(B518="", "", "UBERON:genitourinary")</f>
        <v>0</v>
      </c>
      <c r="D518" s="1">
        <f>IF(B518="", "", "UBERON:urine")</f>
        <v>0</v>
      </c>
      <c r="E518" s="1">
        <f>IF(B518="", "", "UBERON:kidney")</f>
        <v>0</v>
      </c>
      <c r="F518" s="1">
        <f>IF(B518="", "", "animal corpus")</f>
        <v>0</v>
      </c>
      <c r="G518" s="1">
        <f>IF(B518="", "", "urine")</f>
        <v>0</v>
      </c>
      <c r="H518" s="1">
        <f>IF(B518="", "", "urine")</f>
        <v>0</v>
      </c>
      <c r="I518" s="1">
        <f>IF(B518="", "", "urine metagenome")</f>
        <v>0</v>
      </c>
      <c r="J518" s="1">
        <f>IF(B518="", "", "1346744")</f>
        <v>0</v>
      </c>
    </row>
    <row r="519" spans="1:10">
      <c r="A519">
        <f>IF(COUNTBLANK(B519:J519)&lt;&gt;COLUMNS(B519:J519),518,"")</f>
        <v>0</v>
      </c>
      <c r="C519" s="1">
        <f>IF(B519="", "", "UBERON:genitourinary")</f>
        <v>0</v>
      </c>
      <c r="D519" s="1">
        <f>IF(B519="", "", "UBERON:urine")</f>
        <v>0</v>
      </c>
      <c r="E519" s="1">
        <f>IF(B519="", "", "UBERON:kidney")</f>
        <v>0</v>
      </c>
      <c r="F519" s="1">
        <f>IF(B519="", "", "animal corpus")</f>
        <v>0</v>
      </c>
      <c r="G519" s="1">
        <f>IF(B519="", "", "urine")</f>
        <v>0</v>
      </c>
      <c r="H519" s="1">
        <f>IF(B519="", "", "urine")</f>
        <v>0</v>
      </c>
      <c r="I519" s="1">
        <f>IF(B519="", "", "urine metagenome")</f>
        <v>0</v>
      </c>
      <c r="J519" s="1">
        <f>IF(B519="", "", "1346744")</f>
        <v>0</v>
      </c>
    </row>
    <row r="520" spans="1:10">
      <c r="A520">
        <f>IF(COUNTBLANK(B520:J520)&lt;&gt;COLUMNS(B520:J520),519,"")</f>
        <v>0</v>
      </c>
      <c r="C520" s="1">
        <f>IF(B520="", "", "UBERON:genitourinary")</f>
        <v>0</v>
      </c>
      <c r="D520" s="1">
        <f>IF(B520="", "", "UBERON:urine")</f>
        <v>0</v>
      </c>
      <c r="E520" s="1">
        <f>IF(B520="", "", "UBERON:kidney")</f>
        <v>0</v>
      </c>
      <c r="F520" s="1">
        <f>IF(B520="", "", "animal corpus")</f>
        <v>0</v>
      </c>
      <c r="G520" s="1">
        <f>IF(B520="", "", "urine")</f>
        <v>0</v>
      </c>
      <c r="H520" s="1">
        <f>IF(B520="", "", "urine")</f>
        <v>0</v>
      </c>
      <c r="I520" s="1">
        <f>IF(B520="", "", "urine metagenome")</f>
        <v>0</v>
      </c>
      <c r="J520" s="1">
        <f>IF(B520="", "", "1346744")</f>
        <v>0</v>
      </c>
    </row>
    <row r="521" spans="1:10">
      <c r="A521">
        <f>IF(COUNTBLANK(B521:J521)&lt;&gt;COLUMNS(B521:J521),520,"")</f>
        <v>0</v>
      </c>
      <c r="C521" s="1">
        <f>IF(B521="", "", "UBERON:genitourinary")</f>
        <v>0</v>
      </c>
      <c r="D521" s="1">
        <f>IF(B521="", "", "UBERON:urine")</f>
        <v>0</v>
      </c>
      <c r="E521" s="1">
        <f>IF(B521="", "", "UBERON:kidney")</f>
        <v>0</v>
      </c>
      <c r="F521" s="1">
        <f>IF(B521="", "", "animal corpus")</f>
        <v>0</v>
      </c>
      <c r="G521" s="1">
        <f>IF(B521="", "", "urine")</f>
        <v>0</v>
      </c>
      <c r="H521" s="1">
        <f>IF(B521="", "", "urine")</f>
        <v>0</v>
      </c>
      <c r="I521" s="1">
        <f>IF(B521="", "", "urine metagenome")</f>
        <v>0</v>
      </c>
      <c r="J521" s="1">
        <f>IF(B521="", "", "1346744")</f>
        <v>0</v>
      </c>
    </row>
    <row r="522" spans="1:10">
      <c r="A522">
        <f>IF(COUNTBLANK(B522:J522)&lt;&gt;COLUMNS(B522:J522),521,"")</f>
        <v>0</v>
      </c>
      <c r="C522" s="1">
        <f>IF(B522="", "", "UBERON:genitourinary")</f>
        <v>0</v>
      </c>
      <c r="D522" s="1">
        <f>IF(B522="", "", "UBERON:urine")</f>
        <v>0</v>
      </c>
      <c r="E522" s="1">
        <f>IF(B522="", "", "UBERON:kidney")</f>
        <v>0</v>
      </c>
      <c r="F522" s="1">
        <f>IF(B522="", "", "animal corpus")</f>
        <v>0</v>
      </c>
      <c r="G522" s="1">
        <f>IF(B522="", "", "urine")</f>
        <v>0</v>
      </c>
      <c r="H522" s="1">
        <f>IF(B522="", "", "urine")</f>
        <v>0</v>
      </c>
      <c r="I522" s="1">
        <f>IF(B522="", "", "urine metagenome")</f>
        <v>0</v>
      </c>
      <c r="J522" s="1">
        <f>IF(B522="", "", "1346744")</f>
        <v>0</v>
      </c>
    </row>
    <row r="523" spans="1:10">
      <c r="A523">
        <f>IF(COUNTBLANK(B523:J523)&lt;&gt;COLUMNS(B523:J523),522,"")</f>
        <v>0</v>
      </c>
      <c r="C523" s="1">
        <f>IF(B523="", "", "UBERON:genitourinary")</f>
        <v>0</v>
      </c>
      <c r="D523" s="1">
        <f>IF(B523="", "", "UBERON:urine")</f>
        <v>0</v>
      </c>
      <c r="E523" s="1">
        <f>IF(B523="", "", "UBERON:kidney")</f>
        <v>0</v>
      </c>
      <c r="F523" s="1">
        <f>IF(B523="", "", "animal corpus")</f>
        <v>0</v>
      </c>
      <c r="G523" s="1">
        <f>IF(B523="", "", "urine")</f>
        <v>0</v>
      </c>
      <c r="H523" s="1">
        <f>IF(B523="", "", "urine")</f>
        <v>0</v>
      </c>
      <c r="I523" s="1">
        <f>IF(B523="", "", "urine metagenome")</f>
        <v>0</v>
      </c>
      <c r="J523" s="1">
        <f>IF(B523="", "", "1346744")</f>
        <v>0</v>
      </c>
    </row>
    <row r="524" spans="1:10">
      <c r="A524">
        <f>IF(COUNTBLANK(B524:J524)&lt;&gt;COLUMNS(B524:J524),523,"")</f>
        <v>0</v>
      </c>
      <c r="C524" s="1">
        <f>IF(B524="", "", "UBERON:genitourinary")</f>
        <v>0</v>
      </c>
      <c r="D524" s="1">
        <f>IF(B524="", "", "UBERON:urine")</f>
        <v>0</v>
      </c>
      <c r="E524" s="1">
        <f>IF(B524="", "", "UBERON:kidney")</f>
        <v>0</v>
      </c>
      <c r="F524" s="1">
        <f>IF(B524="", "", "animal corpus")</f>
        <v>0</v>
      </c>
      <c r="G524" s="1">
        <f>IF(B524="", "", "urine")</f>
        <v>0</v>
      </c>
      <c r="H524" s="1">
        <f>IF(B524="", "", "urine")</f>
        <v>0</v>
      </c>
      <c r="I524" s="1">
        <f>IF(B524="", "", "urine metagenome")</f>
        <v>0</v>
      </c>
      <c r="J524" s="1">
        <f>IF(B524="", "", "1346744")</f>
        <v>0</v>
      </c>
    </row>
    <row r="525" spans="1:10">
      <c r="A525">
        <f>IF(COUNTBLANK(B525:J525)&lt;&gt;COLUMNS(B525:J525),524,"")</f>
        <v>0</v>
      </c>
      <c r="C525" s="1">
        <f>IF(B525="", "", "UBERON:genitourinary")</f>
        <v>0</v>
      </c>
      <c r="D525" s="1">
        <f>IF(B525="", "", "UBERON:urine")</f>
        <v>0</v>
      </c>
      <c r="E525" s="1">
        <f>IF(B525="", "", "UBERON:kidney")</f>
        <v>0</v>
      </c>
      <c r="F525" s="1">
        <f>IF(B525="", "", "animal corpus")</f>
        <v>0</v>
      </c>
      <c r="G525" s="1">
        <f>IF(B525="", "", "urine")</f>
        <v>0</v>
      </c>
      <c r="H525" s="1">
        <f>IF(B525="", "", "urine")</f>
        <v>0</v>
      </c>
      <c r="I525" s="1">
        <f>IF(B525="", "", "urine metagenome")</f>
        <v>0</v>
      </c>
      <c r="J525" s="1">
        <f>IF(B525="", "", "1346744")</f>
        <v>0</v>
      </c>
    </row>
    <row r="526" spans="1:10">
      <c r="A526">
        <f>IF(COUNTBLANK(B526:J526)&lt;&gt;COLUMNS(B526:J526),525,"")</f>
        <v>0</v>
      </c>
      <c r="C526" s="1">
        <f>IF(B526="", "", "UBERON:genitourinary")</f>
        <v>0</v>
      </c>
      <c r="D526" s="1">
        <f>IF(B526="", "", "UBERON:urine")</f>
        <v>0</v>
      </c>
      <c r="E526" s="1">
        <f>IF(B526="", "", "UBERON:kidney")</f>
        <v>0</v>
      </c>
      <c r="F526" s="1">
        <f>IF(B526="", "", "animal corpus")</f>
        <v>0</v>
      </c>
      <c r="G526" s="1">
        <f>IF(B526="", "", "urine")</f>
        <v>0</v>
      </c>
      <c r="H526" s="1">
        <f>IF(B526="", "", "urine")</f>
        <v>0</v>
      </c>
      <c r="I526" s="1">
        <f>IF(B526="", "", "urine metagenome")</f>
        <v>0</v>
      </c>
      <c r="J526" s="1">
        <f>IF(B526="", "", "1346744")</f>
        <v>0</v>
      </c>
    </row>
    <row r="527" spans="1:10">
      <c r="A527">
        <f>IF(COUNTBLANK(B527:J527)&lt;&gt;COLUMNS(B527:J527),526,"")</f>
        <v>0</v>
      </c>
      <c r="C527" s="1">
        <f>IF(B527="", "", "UBERON:genitourinary")</f>
        <v>0</v>
      </c>
      <c r="D527" s="1">
        <f>IF(B527="", "", "UBERON:urine")</f>
        <v>0</v>
      </c>
      <c r="E527" s="1">
        <f>IF(B527="", "", "UBERON:kidney")</f>
        <v>0</v>
      </c>
      <c r="F527" s="1">
        <f>IF(B527="", "", "animal corpus")</f>
        <v>0</v>
      </c>
      <c r="G527" s="1">
        <f>IF(B527="", "", "urine")</f>
        <v>0</v>
      </c>
      <c r="H527" s="1">
        <f>IF(B527="", "", "urine")</f>
        <v>0</v>
      </c>
      <c r="I527" s="1">
        <f>IF(B527="", "", "urine metagenome")</f>
        <v>0</v>
      </c>
      <c r="J527" s="1">
        <f>IF(B527="", "", "1346744")</f>
        <v>0</v>
      </c>
    </row>
    <row r="528" spans="1:10">
      <c r="A528">
        <f>IF(COUNTBLANK(B528:J528)&lt;&gt;COLUMNS(B528:J528),527,"")</f>
        <v>0</v>
      </c>
      <c r="C528" s="1">
        <f>IF(B528="", "", "UBERON:genitourinary")</f>
        <v>0</v>
      </c>
      <c r="D528" s="1">
        <f>IF(B528="", "", "UBERON:urine")</f>
        <v>0</v>
      </c>
      <c r="E528" s="1">
        <f>IF(B528="", "", "UBERON:kidney")</f>
        <v>0</v>
      </c>
      <c r="F528" s="1">
        <f>IF(B528="", "", "animal corpus")</f>
        <v>0</v>
      </c>
      <c r="G528" s="1">
        <f>IF(B528="", "", "urine")</f>
        <v>0</v>
      </c>
      <c r="H528" s="1">
        <f>IF(B528="", "", "urine")</f>
        <v>0</v>
      </c>
      <c r="I528" s="1">
        <f>IF(B528="", "", "urine metagenome")</f>
        <v>0</v>
      </c>
      <c r="J528" s="1">
        <f>IF(B528="", "", "1346744")</f>
        <v>0</v>
      </c>
    </row>
    <row r="529" spans="1:10">
      <c r="A529">
        <f>IF(COUNTBLANK(B529:J529)&lt;&gt;COLUMNS(B529:J529),528,"")</f>
        <v>0</v>
      </c>
      <c r="C529" s="1">
        <f>IF(B529="", "", "UBERON:genitourinary")</f>
        <v>0</v>
      </c>
      <c r="D529" s="1">
        <f>IF(B529="", "", "UBERON:urine")</f>
        <v>0</v>
      </c>
      <c r="E529" s="1">
        <f>IF(B529="", "", "UBERON:kidney")</f>
        <v>0</v>
      </c>
      <c r="F529" s="1">
        <f>IF(B529="", "", "animal corpus")</f>
        <v>0</v>
      </c>
      <c r="G529" s="1">
        <f>IF(B529="", "", "urine")</f>
        <v>0</v>
      </c>
      <c r="H529" s="1">
        <f>IF(B529="", "", "urine")</f>
        <v>0</v>
      </c>
      <c r="I529" s="1">
        <f>IF(B529="", "", "urine metagenome")</f>
        <v>0</v>
      </c>
      <c r="J529" s="1">
        <f>IF(B529="", "", "1346744")</f>
        <v>0</v>
      </c>
    </row>
    <row r="530" spans="1:10">
      <c r="A530">
        <f>IF(COUNTBLANK(B530:J530)&lt;&gt;COLUMNS(B530:J530),529,"")</f>
        <v>0</v>
      </c>
      <c r="C530" s="1">
        <f>IF(B530="", "", "UBERON:genitourinary")</f>
        <v>0</v>
      </c>
      <c r="D530" s="1">
        <f>IF(B530="", "", "UBERON:urine")</f>
        <v>0</v>
      </c>
      <c r="E530" s="1">
        <f>IF(B530="", "", "UBERON:kidney")</f>
        <v>0</v>
      </c>
      <c r="F530" s="1">
        <f>IF(B530="", "", "animal corpus")</f>
        <v>0</v>
      </c>
      <c r="G530" s="1">
        <f>IF(B530="", "", "urine")</f>
        <v>0</v>
      </c>
      <c r="H530" s="1">
        <f>IF(B530="", "", "urine")</f>
        <v>0</v>
      </c>
      <c r="I530" s="1">
        <f>IF(B530="", "", "urine metagenome")</f>
        <v>0</v>
      </c>
      <c r="J530" s="1">
        <f>IF(B530="", "", "1346744")</f>
        <v>0</v>
      </c>
    </row>
    <row r="531" spans="1:10">
      <c r="A531">
        <f>IF(COUNTBLANK(B531:J531)&lt;&gt;COLUMNS(B531:J531),530,"")</f>
        <v>0</v>
      </c>
      <c r="C531" s="1">
        <f>IF(B531="", "", "UBERON:genitourinary")</f>
        <v>0</v>
      </c>
      <c r="D531" s="1">
        <f>IF(B531="", "", "UBERON:urine")</f>
        <v>0</v>
      </c>
      <c r="E531" s="1">
        <f>IF(B531="", "", "UBERON:kidney")</f>
        <v>0</v>
      </c>
      <c r="F531" s="1">
        <f>IF(B531="", "", "animal corpus")</f>
        <v>0</v>
      </c>
      <c r="G531" s="1">
        <f>IF(B531="", "", "urine")</f>
        <v>0</v>
      </c>
      <c r="H531" s="1">
        <f>IF(B531="", "", "urine")</f>
        <v>0</v>
      </c>
      <c r="I531" s="1">
        <f>IF(B531="", "", "urine metagenome")</f>
        <v>0</v>
      </c>
      <c r="J531" s="1">
        <f>IF(B531="", "", "1346744")</f>
        <v>0</v>
      </c>
    </row>
    <row r="532" spans="1:10">
      <c r="A532">
        <f>IF(COUNTBLANK(B532:J532)&lt;&gt;COLUMNS(B532:J532),531,"")</f>
        <v>0</v>
      </c>
      <c r="C532" s="1">
        <f>IF(B532="", "", "UBERON:genitourinary")</f>
        <v>0</v>
      </c>
      <c r="D532" s="1">
        <f>IF(B532="", "", "UBERON:urine")</f>
        <v>0</v>
      </c>
      <c r="E532" s="1">
        <f>IF(B532="", "", "UBERON:kidney")</f>
        <v>0</v>
      </c>
      <c r="F532" s="1">
        <f>IF(B532="", "", "animal corpus")</f>
        <v>0</v>
      </c>
      <c r="G532" s="1">
        <f>IF(B532="", "", "urine")</f>
        <v>0</v>
      </c>
      <c r="H532" s="1">
        <f>IF(B532="", "", "urine")</f>
        <v>0</v>
      </c>
      <c r="I532" s="1">
        <f>IF(B532="", "", "urine metagenome")</f>
        <v>0</v>
      </c>
      <c r="J532" s="1">
        <f>IF(B532="", "", "1346744")</f>
        <v>0</v>
      </c>
    </row>
    <row r="533" spans="1:10">
      <c r="A533">
        <f>IF(COUNTBLANK(B533:J533)&lt;&gt;COLUMNS(B533:J533),532,"")</f>
        <v>0</v>
      </c>
      <c r="C533" s="1">
        <f>IF(B533="", "", "UBERON:genitourinary")</f>
        <v>0</v>
      </c>
      <c r="D533" s="1">
        <f>IF(B533="", "", "UBERON:urine")</f>
        <v>0</v>
      </c>
      <c r="E533" s="1">
        <f>IF(B533="", "", "UBERON:kidney")</f>
        <v>0</v>
      </c>
      <c r="F533" s="1">
        <f>IF(B533="", "", "animal corpus")</f>
        <v>0</v>
      </c>
      <c r="G533" s="1">
        <f>IF(B533="", "", "urine")</f>
        <v>0</v>
      </c>
      <c r="H533" s="1">
        <f>IF(B533="", "", "urine")</f>
        <v>0</v>
      </c>
      <c r="I533" s="1">
        <f>IF(B533="", "", "urine metagenome")</f>
        <v>0</v>
      </c>
      <c r="J533" s="1">
        <f>IF(B533="", "", "1346744")</f>
        <v>0</v>
      </c>
    </row>
    <row r="534" spans="1:10">
      <c r="A534">
        <f>IF(COUNTBLANK(B534:J534)&lt;&gt;COLUMNS(B534:J534),533,"")</f>
        <v>0</v>
      </c>
      <c r="C534" s="1">
        <f>IF(B534="", "", "UBERON:genitourinary")</f>
        <v>0</v>
      </c>
      <c r="D534" s="1">
        <f>IF(B534="", "", "UBERON:urine")</f>
        <v>0</v>
      </c>
      <c r="E534" s="1">
        <f>IF(B534="", "", "UBERON:kidney")</f>
        <v>0</v>
      </c>
      <c r="F534" s="1">
        <f>IF(B534="", "", "animal corpus")</f>
        <v>0</v>
      </c>
      <c r="G534" s="1">
        <f>IF(B534="", "", "urine")</f>
        <v>0</v>
      </c>
      <c r="H534" s="1">
        <f>IF(B534="", "", "urine")</f>
        <v>0</v>
      </c>
      <c r="I534" s="1">
        <f>IF(B534="", "", "urine metagenome")</f>
        <v>0</v>
      </c>
      <c r="J534" s="1">
        <f>IF(B534="", "", "1346744")</f>
        <v>0</v>
      </c>
    </row>
    <row r="535" spans="1:10">
      <c r="A535">
        <f>IF(COUNTBLANK(B535:J535)&lt;&gt;COLUMNS(B535:J535),534,"")</f>
        <v>0</v>
      </c>
      <c r="C535" s="1">
        <f>IF(B535="", "", "UBERON:genitourinary")</f>
        <v>0</v>
      </c>
      <c r="D535" s="1">
        <f>IF(B535="", "", "UBERON:urine")</f>
        <v>0</v>
      </c>
      <c r="E535" s="1">
        <f>IF(B535="", "", "UBERON:kidney")</f>
        <v>0</v>
      </c>
      <c r="F535" s="1">
        <f>IF(B535="", "", "animal corpus")</f>
        <v>0</v>
      </c>
      <c r="G535" s="1">
        <f>IF(B535="", "", "urine")</f>
        <v>0</v>
      </c>
      <c r="H535" s="1">
        <f>IF(B535="", "", "urine")</f>
        <v>0</v>
      </c>
      <c r="I535" s="1">
        <f>IF(B535="", "", "urine metagenome")</f>
        <v>0</v>
      </c>
      <c r="J535" s="1">
        <f>IF(B535="", "", "1346744")</f>
        <v>0</v>
      </c>
    </row>
    <row r="536" spans="1:10">
      <c r="A536">
        <f>IF(COUNTBLANK(B536:J536)&lt;&gt;COLUMNS(B536:J536),535,"")</f>
        <v>0</v>
      </c>
      <c r="C536" s="1">
        <f>IF(B536="", "", "UBERON:genitourinary")</f>
        <v>0</v>
      </c>
      <c r="D536" s="1">
        <f>IF(B536="", "", "UBERON:urine")</f>
        <v>0</v>
      </c>
      <c r="E536" s="1">
        <f>IF(B536="", "", "UBERON:kidney")</f>
        <v>0</v>
      </c>
      <c r="F536" s="1">
        <f>IF(B536="", "", "animal corpus")</f>
        <v>0</v>
      </c>
      <c r="G536" s="1">
        <f>IF(B536="", "", "urine")</f>
        <v>0</v>
      </c>
      <c r="H536" s="1">
        <f>IF(B536="", "", "urine")</f>
        <v>0</v>
      </c>
      <c r="I536" s="1">
        <f>IF(B536="", "", "urine metagenome")</f>
        <v>0</v>
      </c>
      <c r="J536" s="1">
        <f>IF(B536="", "", "1346744")</f>
        <v>0</v>
      </c>
    </row>
    <row r="537" spans="1:10">
      <c r="A537">
        <f>IF(COUNTBLANK(B537:J537)&lt;&gt;COLUMNS(B537:J537),536,"")</f>
        <v>0</v>
      </c>
      <c r="C537" s="1">
        <f>IF(B537="", "", "UBERON:genitourinary")</f>
        <v>0</v>
      </c>
      <c r="D537" s="1">
        <f>IF(B537="", "", "UBERON:urine")</f>
        <v>0</v>
      </c>
      <c r="E537" s="1">
        <f>IF(B537="", "", "UBERON:kidney")</f>
        <v>0</v>
      </c>
      <c r="F537" s="1">
        <f>IF(B537="", "", "animal corpus")</f>
        <v>0</v>
      </c>
      <c r="G537" s="1">
        <f>IF(B537="", "", "urine")</f>
        <v>0</v>
      </c>
      <c r="H537" s="1">
        <f>IF(B537="", "", "urine")</f>
        <v>0</v>
      </c>
      <c r="I537" s="1">
        <f>IF(B537="", "", "urine metagenome")</f>
        <v>0</v>
      </c>
      <c r="J537" s="1">
        <f>IF(B537="", "", "1346744")</f>
        <v>0</v>
      </c>
    </row>
    <row r="538" spans="1:10">
      <c r="A538">
        <f>IF(COUNTBLANK(B538:J538)&lt;&gt;COLUMNS(B538:J538),537,"")</f>
        <v>0</v>
      </c>
      <c r="C538" s="1">
        <f>IF(B538="", "", "UBERON:genitourinary")</f>
        <v>0</v>
      </c>
      <c r="D538" s="1">
        <f>IF(B538="", "", "UBERON:urine")</f>
        <v>0</v>
      </c>
      <c r="E538" s="1">
        <f>IF(B538="", "", "UBERON:kidney")</f>
        <v>0</v>
      </c>
      <c r="F538" s="1">
        <f>IF(B538="", "", "animal corpus")</f>
        <v>0</v>
      </c>
      <c r="G538" s="1">
        <f>IF(B538="", "", "urine")</f>
        <v>0</v>
      </c>
      <c r="H538" s="1">
        <f>IF(B538="", "", "urine")</f>
        <v>0</v>
      </c>
      <c r="I538" s="1">
        <f>IF(B538="", "", "urine metagenome")</f>
        <v>0</v>
      </c>
      <c r="J538" s="1">
        <f>IF(B538="", "", "1346744")</f>
        <v>0</v>
      </c>
    </row>
    <row r="539" spans="1:10">
      <c r="A539">
        <f>IF(COUNTBLANK(B539:J539)&lt;&gt;COLUMNS(B539:J539),538,"")</f>
        <v>0</v>
      </c>
      <c r="C539" s="1">
        <f>IF(B539="", "", "UBERON:genitourinary")</f>
        <v>0</v>
      </c>
      <c r="D539" s="1">
        <f>IF(B539="", "", "UBERON:urine")</f>
        <v>0</v>
      </c>
      <c r="E539" s="1">
        <f>IF(B539="", "", "UBERON:kidney")</f>
        <v>0</v>
      </c>
      <c r="F539" s="1">
        <f>IF(B539="", "", "animal corpus")</f>
        <v>0</v>
      </c>
      <c r="G539" s="1">
        <f>IF(B539="", "", "urine")</f>
        <v>0</v>
      </c>
      <c r="H539" s="1">
        <f>IF(B539="", "", "urine")</f>
        <v>0</v>
      </c>
      <c r="I539" s="1">
        <f>IF(B539="", "", "urine metagenome")</f>
        <v>0</v>
      </c>
      <c r="J539" s="1">
        <f>IF(B539="", "", "1346744")</f>
        <v>0</v>
      </c>
    </row>
    <row r="540" spans="1:10">
      <c r="A540">
        <f>IF(COUNTBLANK(B540:J540)&lt;&gt;COLUMNS(B540:J540),539,"")</f>
        <v>0</v>
      </c>
      <c r="C540" s="1">
        <f>IF(B540="", "", "UBERON:genitourinary")</f>
        <v>0</v>
      </c>
      <c r="D540" s="1">
        <f>IF(B540="", "", "UBERON:urine")</f>
        <v>0</v>
      </c>
      <c r="E540" s="1">
        <f>IF(B540="", "", "UBERON:kidney")</f>
        <v>0</v>
      </c>
      <c r="F540" s="1">
        <f>IF(B540="", "", "animal corpus")</f>
        <v>0</v>
      </c>
      <c r="G540" s="1">
        <f>IF(B540="", "", "urine")</f>
        <v>0</v>
      </c>
      <c r="H540" s="1">
        <f>IF(B540="", "", "urine")</f>
        <v>0</v>
      </c>
      <c r="I540" s="1">
        <f>IF(B540="", "", "urine metagenome")</f>
        <v>0</v>
      </c>
      <c r="J540" s="1">
        <f>IF(B540="", "", "1346744")</f>
        <v>0</v>
      </c>
    </row>
    <row r="541" spans="1:10">
      <c r="A541">
        <f>IF(COUNTBLANK(B541:J541)&lt;&gt;COLUMNS(B541:J541),540,"")</f>
        <v>0</v>
      </c>
      <c r="C541" s="1">
        <f>IF(B541="", "", "UBERON:genitourinary")</f>
        <v>0</v>
      </c>
      <c r="D541" s="1">
        <f>IF(B541="", "", "UBERON:urine")</f>
        <v>0</v>
      </c>
      <c r="E541" s="1">
        <f>IF(B541="", "", "UBERON:kidney")</f>
        <v>0</v>
      </c>
      <c r="F541" s="1">
        <f>IF(B541="", "", "animal corpus")</f>
        <v>0</v>
      </c>
      <c r="G541" s="1">
        <f>IF(B541="", "", "urine")</f>
        <v>0</v>
      </c>
      <c r="H541" s="1">
        <f>IF(B541="", "", "urine")</f>
        <v>0</v>
      </c>
      <c r="I541" s="1">
        <f>IF(B541="", "", "urine metagenome")</f>
        <v>0</v>
      </c>
      <c r="J541" s="1">
        <f>IF(B541="", "", "1346744")</f>
        <v>0</v>
      </c>
    </row>
    <row r="542" spans="1:10">
      <c r="A542">
        <f>IF(COUNTBLANK(B542:J542)&lt;&gt;COLUMNS(B542:J542),541,"")</f>
        <v>0</v>
      </c>
      <c r="C542" s="1">
        <f>IF(B542="", "", "UBERON:genitourinary")</f>
        <v>0</v>
      </c>
      <c r="D542" s="1">
        <f>IF(B542="", "", "UBERON:urine")</f>
        <v>0</v>
      </c>
      <c r="E542" s="1">
        <f>IF(B542="", "", "UBERON:kidney")</f>
        <v>0</v>
      </c>
      <c r="F542" s="1">
        <f>IF(B542="", "", "animal corpus")</f>
        <v>0</v>
      </c>
      <c r="G542" s="1">
        <f>IF(B542="", "", "urine")</f>
        <v>0</v>
      </c>
      <c r="H542" s="1">
        <f>IF(B542="", "", "urine")</f>
        <v>0</v>
      </c>
      <c r="I542" s="1">
        <f>IF(B542="", "", "urine metagenome")</f>
        <v>0</v>
      </c>
      <c r="J542" s="1">
        <f>IF(B542="", "", "1346744")</f>
        <v>0</v>
      </c>
    </row>
    <row r="543" spans="1:10">
      <c r="A543">
        <f>IF(COUNTBLANK(B543:J543)&lt;&gt;COLUMNS(B543:J543),542,"")</f>
        <v>0</v>
      </c>
      <c r="C543" s="1">
        <f>IF(B543="", "", "UBERON:genitourinary")</f>
        <v>0</v>
      </c>
      <c r="D543" s="1">
        <f>IF(B543="", "", "UBERON:urine")</f>
        <v>0</v>
      </c>
      <c r="E543" s="1">
        <f>IF(B543="", "", "UBERON:kidney")</f>
        <v>0</v>
      </c>
      <c r="F543" s="1">
        <f>IF(B543="", "", "animal corpus")</f>
        <v>0</v>
      </c>
      <c r="G543" s="1">
        <f>IF(B543="", "", "urine")</f>
        <v>0</v>
      </c>
      <c r="H543" s="1">
        <f>IF(B543="", "", "urine")</f>
        <v>0</v>
      </c>
      <c r="I543" s="1">
        <f>IF(B543="", "", "urine metagenome")</f>
        <v>0</v>
      </c>
      <c r="J543" s="1">
        <f>IF(B543="", "", "1346744")</f>
        <v>0</v>
      </c>
    </row>
    <row r="544" spans="1:10">
      <c r="A544">
        <f>IF(COUNTBLANK(B544:J544)&lt;&gt;COLUMNS(B544:J544),543,"")</f>
        <v>0</v>
      </c>
      <c r="C544" s="1">
        <f>IF(B544="", "", "UBERON:genitourinary")</f>
        <v>0</v>
      </c>
      <c r="D544" s="1">
        <f>IF(B544="", "", "UBERON:urine")</f>
        <v>0</v>
      </c>
      <c r="E544" s="1">
        <f>IF(B544="", "", "UBERON:kidney")</f>
        <v>0</v>
      </c>
      <c r="F544" s="1">
        <f>IF(B544="", "", "animal corpus")</f>
        <v>0</v>
      </c>
      <c r="G544" s="1">
        <f>IF(B544="", "", "urine")</f>
        <v>0</v>
      </c>
      <c r="H544" s="1">
        <f>IF(B544="", "", "urine")</f>
        <v>0</v>
      </c>
      <c r="I544" s="1">
        <f>IF(B544="", "", "urine metagenome")</f>
        <v>0</v>
      </c>
      <c r="J544" s="1">
        <f>IF(B544="", "", "1346744")</f>
        <v>0</v>
      </c>
    </row>
    <row r="545" spans="1:10">
      <c r="A545">
        <f>IF(COUNTBLANK(B545:J545)&lt;&gt;COLUMNS(B545:J545),544,"")</f>
        <v>0</v>
      </c>
      <c r="C545" s="1">
        <f>IF(B545="", "", "UBERON:genitourinary")</f>
        <v>0</v>
      </c>
      <c r="D545" s="1">
        <f>IF(B545="", "", "UBERON:urine")</f>
        <v>0</v>
      </c>
      <c r="E545" s="1">
        <f>IF(B545="", "", "UBERON:kidney")</f>
        <v>0</v>
      </c>
      <c r="F545" s="1">
        <f>IF(B545="", "", "animal corpus")</f>
        <v>0</v>
      </c>
      <c r="G545" s="1">
        <f>IF(B545="", "", "urine")</f>
        <v>0</v>
      </c>
      <c r="H545" s="1">
        <f>IF(B545="", "", "urine")</f>
        <v>0</v>
      </c>
      <c r="I545" s="1">
        <f>IF(B545="", "", "urine metagenome")</f>
        <v>0</v>
      </c>
      <c r="J545" s="1">
        <f>IF(B545="", "", "1346744")</f>
        <v>0</v>
      </c>
    </row>
    <row r="546" spans="1:10">
      <c r="A546">
        <f>IF(COUNTBLANK(B546:J546)&lt;&gt;COLUMNS(B546:J546),545,"")</f>
        <v>0</v>
      </c>
      <c r="C546" s="1">
        <f>IF(B546="", "", "UBERON:genitourinary")</f>
        <v>0</v>
      </c>
      <c r="D546" s="1">
        <f>IF(B546="", "", "UBERON:urine")</f>
        <v>0</v>
      </c>
      <c r="E546" s="1">
        <f>IF(B546="", "", "UBERON:kidney")</f>
        <v>0</v>
      </c>
      <c r="F546" s="1">
        <f>IF(B546="", "", "animal corpus")</f>
        <v>0</v>
      </c>
      <c r="G546" s="1">
        <f>IF(B546="", "", "urine")</f>
        <v>0</v>
      </c>
      <c r="H546" s="1">
        <f>IF(B546="", "", "urine")</f>
        <v>0</v>
      </c>
      <c r="I546" s="1">
        <f>IF(B546="", "", "urine metagenome")</f>
        <v>0</v>
      </c>
      <c r="J546" s="1">
        <f>IF(B546="", "", "1346744")</f>
        <v>0</v>
      </c>
    </row>
    <row r="547" spans="1:10">
      <c r="A547">
        <f>IF(COUNTBLANK(B547:J547)&lt;&gt;COLUMNS(B547:J547),546,"")</f>
        <v>0</v>
      </c>
      <c r="C547" s="1">
        <f>IF(B547="", "", "UBERON:genitourinary")</f>
        <v>0</v>
      </c>
      <c r="D547" s="1">
        <f>IF(B547="", "", "UBERON:urine")</f>
        <v>0</v>
      </c>
      <c r="E547" s="1">
        <f>IF(B547="", "", "UBERON:kidney")</f>
        <v>0</v>
      </c>
      <c r="F547" s="1">
        <f>IF(B547="", "", "animal corpus")</f>
        <v>0</v>
      </c>
      <c r="G547" s="1">
        <f>IF(B547="", "", "urine")</f>
        <v>0</v>
      </c>
      <c r="H547" s="1">
        <f>IF(B547="", "", "urine")</f>
        <v>0</v>
      </c>
      <c r="I547" s="1">
        <f>IF(B547="", "", "urine metagenome")</f>
        <v>0</v>
      </c>
      <c r="J547" s="1">
        <f>IF(B547="", "", "1346744")</f>
        <v>0</v>
      </c>
    </row>
    <row r="548" spans="1:10">
      <c r="A548">
        <f>IF(COUNTBLANK(B548:J548)&lt;&gt;COLUMNS(B548:J548),547,"")</f>
        <v>0</v>
      </c>
      <c r="C548" s="1">
        <f>IF(B548="", "", "UBERON:genitourinary")</f>
        <v>0</v>
      </c>
      <c r="D548" s="1">
        <f>IF(B548="", "", "UBERON:urine")</f>
        <v>0</v>
      </c>
      <c r="E548" s="1">
        <f>IF(B548="", "", "UBERON:kidney")</f>
        <v>0</v>
      </c>
      <c r="F548" s="1">
        <f>IF(B548="", "", "animal corpus")</f>
        <v>0</v>
      </c>
      <c r="G548" s="1">
        <f>IF(B548="", "", "urine")</f>
        <v>0</v>
      </c>
      <c r="H548" s="1">
        <f>IF(B548="", "", "urine")</f>
        <v>0</v>
      </c>
      <c r="I548" s="1">
        <f>IF(B548="", "", "urine metagenome")</f>
        <v>0</v>
      </c>
      <c r="J548" s="1">
        <f>IF(B548="", "", "1346744")</f>
        <v>0</v>
      </c>
    </row>
    <row r="549" spans="1:10">
      <c r="A549">
        <f>IF(COUNTBLANK(B549:J549)&lt;&gt;COLUMNS(B549:J549),548,"")</f>
        <v>0</v>
      </c>
      <c r="C549" s="1">
        <f>IF(B549="", "", "UBERON:genitourinary")</f>
        <v>0</v>
      </c>
      <c r="D549" s="1">
        <f>IF(B549="", "", "UBERON:urine")</f>
        <v>0</v>
      </c>
      <c r="E549" s="1">
        <f>IF(B549="", "", "UBERON:kidney")</f>
        <v>0</v>
      </c>
      <c r="F549" s="1">
        <f>IF(B549="", "", "animal corpus")</f>
        <v>0</v>
      </c>
      <c r="G549" s="1">
        <f>IF(B549="", "", "urine")</f>
        <v>0</v>
      </c>
      <c r="H549" s="1">
        <f>IF(B549="", "", "urine")</f>
        <v>0</v>
      </c>
      <c r="I549" s="1">
        <f>IF(B549="", "", "urine metagenome")</f>
        <v>0</v>
      </c>
      <c r="J549" s="1">
        <f>IF(B549="", "", "1346744")</f>
        <v>0</v>
      </c>
    </row>
    <row r="550" spans="1:10">
      <c r="A550">
        <f>IF(COUNTBLANK(B550:J550)&lt;&gt;COLUMNS(B550:J550),549,"")</f>
        <v>0</v>
      </c>
      <c r="C550" s="1">
        <f>IF(B550="", "", "UBERON:genitourinary")</f>
        <v>0</v>
      </c>
      <c r="D550" s="1">
        <f>IF(B550="", "", "UBERON:urine")</f>
        <v>0</v>
      </c>
      <c r="E550" s="1">
        <f>IF(B550="", "", "UBERON:kidney")</f>
        <v>0</v>
      </c>
      <c r="F550" s="1">
        <f>IF(B550="", "", "animal corpus")</f>
        <v>0</v>
      </c>
      <c r="G550" s="1">
        <f>IF(B550="", "", "urine")</f>
        <v>0</v>
      </c>
      <c r="H550" s="1">
        <f>IF(B550="", "", "urine")</f>
        <v>0</v>
      </c>
      <c r="I550" s="1">
        <f>IF(B550="", "", "urine metagenome")</f>
        <v>0</v>
      </c>
      <c r="J550" s="1">
        <f>IF(B550="", "", "1346744")</f>
        <v>0</v>
      </c>
    </row>
    <row r="551" spans="1:10">
      <c r="A551">
        <f>IF(COUNTBLANK(B551:J551)&lt;&gt;COLUMNS(B551:J551),550,"")</f>
        <v>0</v>
      </c>
      <c r="C551" s="1">
        <f>IF(B551="", "", "UBERON:genitourinary")</f>
        <v>0</v>
      </c>
      <c r="D551" s="1">
        <f>IF(B551="", "", "UBERON:urine")</f>
        <v>0</v>
      </c>
      <c r="E551" s="1">
        <f>IF(B551="", "", "UBERON:kidney")</f>
        <v>0</v>
      </c>
      <c r="F551" s="1">
        <f>IF(B551="", "", "animal corpus")</f>
        <v>0</v>
      </c>
      <c r="G551" s="1">
        <f>IF(B551="", "", "urine")</f>
        <v>0</v>
      </c>
      <c r="H551" s="1">
        <f>IF(B551="", "", "urine")</f>
        <v>0</v>
      </c>
      <c r="I551" s="1">
        <f>IF(B551="", "", "urine metagenome")</f>
        <v>0</v>
      </c>
      <c r="J551" s="1">
        <f>IF(B551="", "", "1346744")</f>
        <v>0</v>
      </c>
    </row>
    <row r="552" spans="1:10">
      <c r="A552">
        <f>IF(COUNTBLANK(B552:J552)&lt;&gt;COLUMNS(B552:J552),551,"")</f>
        <v>0</v>
      </c>
      <c r="C552" s="1">
        <f>IF(B552="", "", "UBERON:genitourinary")</f>
        <v>0</v>
      </c>
      <c r="D552" s="1">
        <f>IF(B552="", "", "UBERON:urine")</f>
        <v>0</v>
      </c>
      <c r="E552" s="1">
        <f>IF(B552="", "", "UBERON:kidney")</f>
        <v>0</v>
      </c>
      <c r="F552" s="1">
        <f>IF(B552="", "", "animal corpus")</f>
        <v>0</v>
      </c>
      <c r="G552" s="1">
        <f>IF(B552="", "", "urine")</f>
        <v>0</v>
      </c>
      <c r="H552" s="1">
        <f>IF(B552="", "", "urine")</f>
        <v>0</v>
      </c>
      <c r="I552" s="1">
        <f>IF(B552="", "", "urine metagenome")</f>
        <v>0</v>
      </c>
      <c r="J552" s="1">
        <f>IF(B552="", "", "1346744")</f>
        <v>0</v>
      </c>
    </row>
    <row r="553" spans="1:10">
      <c r="A553">
        <f>IF(COUNTBLANK(B553:J553)&lt;&gt;COLUMNS(B553:J553),552,"")</f>
        <v>0</v>
      </c>
      <c r="C553" s="1">
        <f>IF(B553="", "", "UBERON:genitourinary")</f>
        <v>0</v>
      </c>
      <c r="D553" s="1">
        <f>IF(B553="", "", "UBERON:urine")</f>
        <v>0</v>
      </c>
      <c r="E553" s="1">
        <f>IF(B553="", "", "UBERON:kidney")</f>
        <v>0</v>
      </c>
      <c r="F553" s="1">
        <f>IF(B553="", "", "animal corpus")</f>
        <v>0</v>
      </c>
      <c r="G553" s="1">
        <f>IF(B553="", "", "urine")</f>
        <v>0</v>
      </c>
      <c r="H553" s="1">
        <f>IF(B553="", "", "urine")</f>
        <v>0</v>
      </c>
      <c r="I553" s="1">
        <f>IF(B553="", "", "urine metagenome")</f>
        <v>0</v>
      </c>
      <c r="J553" s="1">
        <f>IF(B553="", "", "1346744")</f>
        <v>0</v>
      </c>
    </row>
    <row r="554" spans="1:10">
      <c r="A554">
        <f>IF(COUNTBLANK(B554:J554)&lt;&gt;COLUMNS(B554:J554),553,"")</f>
        <v>0</v>
      </c>
      <c r="C554" s="1">
        <f>IF(B554="", "", "UBERON:genitourinary")</f>
        <v>0</v>
      </c>
      <c r="D554" s="1">
        <f>IF(B554="", "", "UBERON:urine")</f>
        <v>0</v>
      </c>
      <c r="E554" s="1">
        <f>IF(B554="", "", "UBERON:kidney")</f>
        <v>0</v>
      </c>
      <c r="F554" s="1">
        <f>IF(B554="", "", "animal corpus")</f>
        <v>0</v>
      </c>
      <c r="G554" s="1">
        <f>IF(B554="", "", "urine")</f>
        <v>0</v>
      </c>
      <c r="H554" s="1">
        <f>IF(B554="", "", "urine")</f>
        <v>0</v>
      </c>
      <c r="I554" s="1">
        <f>IF(B554="", "", "urine metagenome")</f>
        <v>0</v>
      </c>
      <c r="J554" s="1">
        <f>IF(B554="", "", "1346744")</f>
        <v>0</v>
      </c>
    </row>
    <row r="555" spans="1:10">
      <c r="A555">
        <f>IF(COUNTBLANK(B555:J555)&lt;&gt;COLUMNS(B555:J555),554,"")</f>
        <v>0</v>
      </c>
      <c r="C555" s="1">
        <f>IF(B555="", "", "UBERON:genitourinary")</f>
        <v>0</v>
      </c>
      <c r="D555" s="1">
        <f>IF(B555="", "", "UBERON:urine")</f>
        <v>0</v>
      </c>
      <c r="E555" s="1">
        <f>IF(B555="", "", "UBERON:kidney")</f>
        <v>0</v>
      </c>
      <c r="F555" s="1">
        <f>IF(B555="", "", "animal corpus")</f>
        <v>0</v>
      </c>
      <c r="G555" s="1">
        <f>IF(B555="", "", "urine")</f>
        <v>0</v>
      </c>
      <c r="H555" s="1">
        <f>IF(B555="", "", "urine")</f>
        <v>0</v>
      </c>
      <c r="I555" s="1">
        <f>IF(B555="", "", "urine metagenome")</f>
        <v>0</v>
      </c>
      <c r="J555" s="1">
        <f>IF(B555="", "", "1346744")</f>
        <v>0</v>
      </c>
    </row>
    <row r="556" spans="1:10">
      <c r="A556">
        <f>IF(COUNTBLANK(B556:J556)&lt;&gt;COLUMNS(B556:J556),555,"")</f>
        <v>0</v>
      </c>
      <c r="C556" s="1">
        <f>IF(B556="", "", "UBERON:genitourinary")</f>
        <v>0</v>
      </c>
      <c r="D556" s="1">
        <f>IF(B556="", "", "UBERON:urine")</f>
        <v>0</v>
      </c>
      <c r="E556" s="1">
        <f>IF(B556="", "", "UBERON:kidney")</f>
        <v>0</v>
      </c>
      <c r="F556" s="1">
        <f>IF(B556="", "", "animal corpus")</f>
        <v>0</v>
      </c>
      <c r="G556" s="1">
        <f>IF(B556="", "", "urine")</f>
        <v>0</v>
      </c>
      <c r="H556" s="1">
        <f>IF(B556="", "", "urine")</f>
        <v>0</v>
      </c>
      <c r="I556" s="1">
        <f>IF(B556="", "", "urine metagenome")</f>
        <v>0</v>
      </c>
      <c r="J556" s="1">
        <f>IF(B556="", "", "1346744")</f>
        <v>0</v>
      </c>
    </row>
    <row r="557" spans="1:10">
      <c r="A557">
        <f>IF(COUNTBLANK(B557:J557)&lt;&gt;COLUMNS(B557:J557),556,"")</f>
        <v>0</v>
      </c>
      <c r="C557" s="1">
        <f>IF(B557="", "", "UBERON:genitourinary")</f>
        <v>0</v>
      </c>
      <c r="D557" s="1">
        <f>IF(B557="", "", "UBERON:urine")</f>
        <v>0</v>
      </c>
      <c r="E557" s="1">
        <f>IF(B557="", "", "UBERON:kidney")</f>
        <v>0</v>
      </c>
      <c r="F557" s="1">
        <f>IF(B557="", "", "animal corpus")</f>
        <v>0</v>
      </c>
      <c r="G557" s="1">
        <f>IF(B557="", "", "urine")</f>
        <v>0</v>
      </c>
      <c r="H557" s="1">
        <f>IF(B557="", "", "urine")</f>
        <v>0</v>
      </c>
      <c r="I557" s="1">
        <f>IF(B557="", "", "urine metagenome")</f>
        <v>0</v>
      </c>
      <c r="J557" s="1">
        <f>IF(B557="", "", "1346744")</f>
        <v>0</v>
      </c>
    </row>
    <row r="558" spans="1:10">
      <c r="A558">
        <f>IF(COUNTBLANK(B558:J558)&lt;&gt;COLUMNS(B558:J558),557,"")</f>
        <v>0</v>
      </c>
      <c r="C558" s="1">
        <f>IF(B558="", "", "UBERON:genitourinary")</f>
        <v>0</v>
      </c>
      <c r="D558" s="1">
        <f>IF(B558="", "", "UBERON:urine")</f>
        <v>0</v>
      </c>
      <c r="E558" s="1">
        <f>IF(B558="", "", "UBERON:kidney")</f>
        <v>0</v>
      </c>
      <c r="F558" s="1">
        <f>IF(B558="", "", "animal corpus")</f>
        <v>0</v>
      </c>
      <c r="G558" s="1">
        <f>IF(B558="", "", "urine")</f>
        <v>0</v>
      </c>
      <c r="H558" s="1">
        <f>IF(B558="", "", "urine")</f>
        <v>0</v>
      </c>
      <c r="I558" s="1">
        <f>IF(B558="", "", "urine metagenome")</f>
        <v>0</v>
      </c>
      <c r="J558" s="1">
        <f>IF(B558="", "", "1346744")</f>
        <v>0</v>
      </c>
    </row>
    <row r="559" spans="1:10">
      <c r="A559">
        <f>IF(COUNTBLANK(B559:J559)&lt;&gt;COLUMNS(B559:J559),558,"")</f>
        <v>0</v>
      </c>
      <c r="C559" s="1">
        <f>IF(B559="", "", "UBERON:genitourinary")</f>
        <v>0</v>
      </c>
      <c r="D559" s="1">
        <f>IF(B559="", "", "UBERON:urine")</f>
        <v>0</v>
      </c>
      <c r="E559" s="1">
        <f>IF(B559="", "", "UBERON:kidney")</f>
        <v>0</v>
      </c>
      <c r="F559" s="1">
        <f>IF(B559="", "", "animal corpus")</f>
        <v>0</v>
      </c>
      <c r="G559" s="1">
        <f>IF(B559="", "", "urine")</f>
        <v>0</v>
      </c>
      <c r="H559" s="1">
        <f>IF(B559="", "", "urine")</f>
        <v>0</v>
      </c>
      <c r="I559" s="1">
        <f>IF(B559="", "", "urine metagenome")</f>
        <v>0</v>
      </c>
      <c r="J559" s="1">
        <f>IF(B559="", "", "1346744")</f>
        <v>0</v>
      </c>
    </row>
    <row r="560" spans="1:10">
      <c r="A560">
        <f>IF(COUNTBLANK(B560:J560)&lt;&gt;COLUMNS(B560:J560),559,"")</f>
        <v>0</v>
      </c>
      <c r="C560" s="1">
        <f>IF(B560="", "", "UBERON:genitourinary")</f>
        <v>0</v>
      </c>
      <c r="D560" s="1">
        <f>IF(B560="", "", "UBERON:urine")</f>
        <v>0</v>
      </c>
      <c r="E560" s="1">
        <f>IF(B560="", "", "UBERON:kidney")</f>
        <v>0</v>
      </c>
      <c r="F560" s="1">
        <f>IF(B560="", "", "animal corpus")</f>
        <v>0</v>
      </c>
      <c r="G560" s="1">
        <f>IF(B560="", "", "urine")</f>
        <v>0</v>
      </c>
      <c r="H560" s="1">
        <f>IF(B560="", "", "urine")</f>
        <v>0</v>
      </c>
      <c r="I560" s="1">
        <f>IF(B560="", "", "urine metagenome")</f>
        <v>0</v>
      </c>
      <c r="J560" s="1">
        <f>IF(B560="", "", "1346744")</f>
        <v>0</v>
      </c>
    </row>
    <row r="561" spans="1:10">
      <c r="A561">
        <f>IF(COUNTBLANK(B561:J561)&lt;&gt;COLUMNS(B561:J561),560,"")</f>
        <v>0</v>
      </c>
      <c r="C561" s="1">
        <f>IF(B561="", "", "UBERON:genitourinary")</f>
        <v>0</v>
      </c>
      <c r="D561" s="1">
        <f>IF(B561="", "", "UBERON:urine")</f>
        <v>0</v>
      </c>
      <c r="E561" s="1">
        <f>IF(B561="", "", "UBERON:kidney")</f>
        <v>0</v>
      </c>
      <c r="F561" s="1">
        <f>IF(B561="", "", "animal corpus")</f>
        <v>0</v>
      </c>
      <c r="G561" s="1">
        <f>IF(B561="", "", "urine")</f>
        <v>0</v>
      </c>
      <c r="H561" s="1">
        <f>IF(B561="", "", "urine")</f>
        <v>0</v>
      </c>
      <c r="I561" s="1">
        <f>IF(B561="", "", "urine metagenome")</f>
        <v>0</v>
      </c>
      <c r="J561" s="1">
        <f>IF(B561="", "", "1346744")</f>
        <v>0</v>
      </c>
    </row>
    <row r="562" spans="1:10">
      <c r="A562">
        <f>IF(COUNTBLANK(B562:J562)&lt;&gt;COLUMNS(B562:J562),561,"")</f>
        <v>0</v>
      </c>
      <c r="C562" s="1">
        <f>IF(B562="", "", "UBERON:genitourinary")</f>
        <v>0</v>
      </c>
      <c r="D562" s="1">
        <f>IF(B562="", "", "UBERON:urine")</f>
        <v>0</v>
      </c>
      <c r="E562" s="1">
        <f>IF(B562="", "", "UBERON:kidney")</f>
        <v>0</v>
      </c>
      <c r="F562" s="1">
        <f>IF(B562="", "", "animal corpus")</f>
        <v>0</v>
      </c>
      <c r="G562" s="1">
        <f>IF(B562="", "", "urine")</f>
        <v>0</v>
      </c>
      <c r="H562" s="1">
        <f>IF(B562="", "", "urine")</f>
        <v>0</v>
      </c>
      <c r="I562" s="1">
        <f>IF(B562="", "", "urine metagenome")</f>
        <v>0</v>
      </c>
      <c r="J562" s="1">
        <f>IF(B562="", "", "1346744")</f>
        <v>0</v>
      </c>
    </row>
    <row r="563" spans="1:10">
      <c r="A563">
        <f>IF(COUNTBLANK(B563:J563)&lt;&gt;COLUMNS(B563:J563),562,"")</f>
        <v>0</v>
      </c>
      <c r="C563" s="1">
        <f>IF(B563="", "", "UBERON:genitourinary")</f>
        <v>0</v>
      </c>
      <c r="D563" s="1">
        <f>IF(B563="", "", "UBERON:urine")</f>
        <v>0</v>
      </c>
      <c r="E563" s="1">
        <f>IF(B563="", "", "UBERON:kidney")</f>
        <v>0</v>
      </c>
      <c r="F563" s="1">
        <f>IF(B563="", "", "animal corpus")</f>
        <v>0</v>
      </c>
      <c r="G563" s="1">
        <f>IF(B563="", "", "urine")</f>
        <v>0</v>
      </c>
      <c r="H563" s="1">
        <f>IF(B563="", "", "urine")</f>
        <v>0</v>
      </c>
      <c r="I563" s="1">
        <f>IF(B563="", "", "urine metagenome")</f>
        <v>0</v>
      </c>
      <c r="J563" s="1">
        <f>IF(B563="", "", "1346744")</f>
        <v>0</v>
      </c>
    </row>
    <row r="564" spans="1:10">
      <c r="A564">
        <f>IF(COUNTBLANK(B564:J564)&lt;&gt;COLUMNS(B564:J564),563,"")</f>
        <v>0</v>
      </c>
      <c r="C564" s="1">
        <f>IF(B564="", "", "UBERON:genitourinary")</f>
        <v>0</v>
      </c>
      <c r="D564" s="1">
        <f>IF(B564="", "", "UBERON:urine")</f>
        <v>0</v>
      </c>
      <c r="E564" s="1">
        <f>IF(B564="", "", "UBERON:kidney")</f>
        <v>0</v>
      </c>
      <c r="F564" s="1">
        <f>IF(B564="", "", "animal corpus")</f>
        <v>0</v>
      </c>
      <c r="G564" s="1">
        <f>IF(B564="", "", "urine")</f>
        <v>0</v>
      </c>
      <c r="H564" s="1">
        <f>IF(B564="", "", "urine")</f>
        <v>0</v>
      </c>
      <c r="I564" s="1">
        <f>IF(B564="", "", "urine metagenome")</f>
        <v>0</v>
      </c>
      <c r="J564" s="1">
        <f>IF(B564="", "", "1346744")</f>
        <v>0</v>
      </c>
    </row>
    <row r="565" spans="1:10">
      <c r="A565">
        <f>IF(COUNTBLANK(B565:J565)&lt;&gt;COLUMNS(B565:J565),564,"")</f>
        <v>0</v>
      </c>
      <c r="C565" s="1">
        <f>IF(B565="", "", "UBERON:genitourinary")</f>
        <v>0</v>
      </c>
      <c r="D565" s="1">
        <f>IF(B565="", "", "UBERON:urine")</f>
        <v>0</v>
      </c>
      <c r="E565" s="1">
        <f>IF(B565="", "", "UBERON:kidney")</f>
        <v>0</v>
      </c>
      <c r="F565" s="1">
        <f>IF(B565="", "", "animal corpus")</f>
        <v>0</v>
      </c>
      <c r="G565" s="1">
        <f>IF(B565="", "", "urine")</f>
        <v>0</v>
      </c>
      <c r="H565" s="1">
        <f>IF(B565="", "", "urine")</f>
        <v>0</v>
      </c>
      <c r="I565" s="1">
        <f>IF(B565="", "", "urine metagenome")</f>
        <v>0</v>
      </c>
      <c r="J565" s="1">
        <f>IF(B565="", "", "1346744")</f>
        <v>0</v>
      </c>
    </row>
    <row r="566" spans="1:10">
      <c r="A566">
        <f>IF(COUNTBLANK(B566:J566)&lt;&gt;COLUMNS(B566:J566),565,"")</f>
        <v>0</v>
      </c>
      <c r="C566" s="1">
        <f>IF(B566="", "", "UBERON:genitourinary")</f>
        <v>0</v>
      </c>
      <c r="D566" s="1">
        <f>IF(B566="", "", "UBERON:urine")</f>
        <v>0</v>
      </c>
      <c r="E566" s="1">
        <f>IF(B566="", "", "UBERON:kidney")</f>
        <v>0</v>
      </c>
      <c r="F566" s="1">
        <f>IF(B566="", "", "animal corpus")</f>
        <v>0</v>
      </c>
      <c r="G566" s="1">
        <f>IF(B566="", "", "urine")</f>
        <v>0</v>
      </c>
      <c r="H566" s="1">
        <f>IF(B566="", "", "urine")</f>
        <v>0</v>
      </c>
      <c r="I566" s="1">
        <f>IF(B566="", "", "urine metagenome")</f>
        <v>0</v>
      </c>
      <c r="J566" s="1">
        <f>IF(B566="", "", "1346744")</f>
        <v>0</v>
      </c>
    </row>
    <row r="567" spans="1:10">
      <c r="A567">
        <f>IF(COUNTBLANK(B567:J567)&lt;&gt;COLUMNS(B567:J567),566,"")</f>
        <v>0</v>
      </c>
      <c r="C567" s="1">
        <f>IF(B567="", "", "UBERON:genitourinary")</f>
        <v>0</v>
      </c>
      <c r="D567" s="1">
        <f>IF(B567="", "", "UBERON:urine")</f>
        <v>0</v>
      </c>
      <c r="E567" s="1">
        <f>IF(B567="", "", "UBERON:kidney")</f>
        <v>0</v>
      </c>
      <c r="F567" s="1">
        <f>IF(B567="", "", "animal corpus")</f>
        <v>0</v>
      </c>
      <c r="G567" s="1">
        <f>IF(B567="", "", "urine")</f>
        <v>0</v>
      </c>
      <c r="H567" s="1">
        <f>IF(B567="", "", "urine")</f>
        <v>0</v>
      </c>
      <c r="I567" s="1">
        <f>IF(B567="", "", "urine metagenome")</f>
        <v>0</v>
      </c>
      <c r="J567" s="1">
        <f>IF(B567="", "", "1346744")</f>
        <v>0</v>
      </c>
    </row>
    <row r="568" spans="1:10">
      <c r="A568">
        <f>IF(COUNTBLANK(B568:J568)&lt;&gt;COLUMNS(B568:J568),567,"")</f>
        <v>0</v>
      </c>
      <c r="C568" s="1">
        <f>IF(B568="", "", "UBERON:genitourinary")</f>
        <v>0</v>
      </c>
      <c r="D568" s="1">
        <f>IF(B568="", "", "UBERON:urine")</f>
        <v>0</v>
      </c>
      <c r="E568" s="1">
        <f>IF(B568="", "", "UBERON:kidney")</f>
        <v>0</v>
      </c>
      <c r="F568" s="1">
        <f>IF(B568="", "", "animal corpus")</f>
        <v>0</v>
      </c>
      <c r="G568" s="1">
        <f>IF(B568="", "", "urine")</f>
        <v>0</v>
      </c>
      <c r="H568" s="1">
        <f>IF(B568="", "", "urine")</f>
        <v>0</v>
      </c>
      <c r="I568" s="1">
        <f>IF(B568="", "", "urine metagenome")</f>
        <v>0</v>
      </c>
      <c r="J568" s="1">
        <f>IF(B568="", "", "1346744")</f>
        <v>0</v>
      </c>
    </row>
    <row r="569" spans="1:10">
      <c r="A569">
        <f>IF(COUNTBLANK(B569:J569)&lt;&gt;COLUMNS(B569:J569),568,"")</f>
        <v>0</v>
      </c>
      <c r="C569" s="1">
        <f>IF(B569="", "", "UBERON:genitourinary")</f>
        <v>0</v>
      </c>
      <c r="D569" s="1">
        <f>IF(B569="", "", "UBERON:urine")</f>
        <v>0</v>
      </c>
      <c r="E569" s="1">
        <f>IF(B569="", "", "UBERON:kidney")</f>
        <v>0</v>
      </c>
      <c r="F569" s="1">
        <f>IF(B569="", "", "animal corpus")</f>
        <v>0</v>
      </c>
      <c r="G569" s="1">
        <f>IF(B569="", "", "urine")</f>
        <v>0</v>
      </c>
      <c r="H569" s="1">
        <f>IF(B569="", "", "urine")</f>
        <v>0</v>
      </c>
      <c r="I569" s="1">
        <f>IF(B569="", "", "urine metagenome")</f>
        <v>0</v>
      </c>
      <c r="J569" s="1">
        <f>IF(B569="", "", "1346744")</f>
        <v>0</v>
      </c>
    </row>
    <row r="570" spans="1:10">
      <c r="A570">
        <f>IF(COUNTBLANK(B570:J570)&lt;&gt;COLUMNS(B570:J570),569,"")</f>
        <v>0</v>
      </c>
      <c r="C570" s="1">
        <f>IF(B570="", "", "UBERON:genitourinary")</f>
        <v>0</v>
      </c>
      <c r="D570" s="1">
        <f>IF(B570="", "", "UBERON:urine")</f>
        <v>0</v>
      </c>
      <c r="E570" s="1">
        <f>IF(B570="", "", "UBERON:kidney")</f>
        <v>0</v>
      </c>
      <c r="F570" s="1">
        <f>IF(B570="", "", "animal corpus")</f>
        <v>0</v>
      </c>
      <c r="G570" s="1">
        <f>IF(B570="", "", "urine")</f>
        <v>0</v>
      </c>
      <c r="H570" s="1">
        <f>IF(B570="", "", "urine")</f>
        <v>0</v>
      </c>
      <c r="I570" s="1">
        <f>IF(B570="", "", "urine metagenome")</f>
        <v>0</v>
      </c>
      <c r="J570" s="1">
        <f>IF(B570="", "", "1346744")</f>
        <v>0</v>
      </c>
    </row>
    <row r="571" spans="1:10">
      <c r="A571">
        <f>IF(COUNTBLANK(B571:J571)&lt;&gt;COLUMNS(B571:J571),570,"")</f>
        <v>0</v>
      </c>
      <c r="C571" s="1">
        <f>IF(B571="", "", "UBERON:genitourinary")</f>
        <v>0</v>
      </c>
      <c r="D571" s="1">
        <f>IF(B571="", "", "UBERON:urine")</f>
        <v>0</v>
      </c>
      <c r="E571" s="1">
        <f>IF(B571="", "", "UBERON:kidney")</f>
        <v>0</v>
      </c>
      <c r="F571" s="1">
        <f>IF(B571="", "", "animal corpus")</f>
        <v>0</v>
      </c>
      <c r="G571" s="1">
        <f>IF(B571="", "", "urine")</f>
        <v>0</v>
      </c>
      <c r="H571" s="1">
        <f>IF(B571="", "", "urine")</f>
        <v>0</v>
      </c>
      <c r="I571" s="1">
        <f>IF(B571="", "", "urine metagenome")</f>
        <v>0</v>
      </c>
      <c r="J571" s="1">
        <f>IF(B571="", "", "1346744")</f>
        <v>0</v>
      </c>
    </row>
    <row r="572" spans="1:10">
      <c r="A572">
        <f>IF(COUNTBLANK(B572:J572)&lt;&gt;COLUMNS(B572:J572),571,"")</f>
        <v>0</v>
      </c>
      <c r="C572" s="1">
        <f>IF(B572="", "", "UBERON:genitourinary")</f>
        <v>0</v>
      </c>
      <c r="D572" s="1">
        <f>IF(B572="", "", "UBERON:urine")</f>
        <v>0</v>
      </c>
      <c r="E572" s="1">
        <f>IF(B572="", "", "UBERON:kidney")</f>
        <v>0</v>
      </c>
      <c r="F572" s="1">
        <f>IF(B572="", "", "animal corpus")</f>
        <v>0</v>
      </c>
      <c r="G572" s="1">
        <f>IF(B572="", "", "urine")</f>
        <v>0</v>
      </c>
      <c r="H572" s="1">
        <f>IF(B572="", "", "urine")</f>
        <v>0</v>
      </c>
      <c r="I572" s="1">
        <f>IF(B572="", "", "urine metagenome")</f>
        <v>0</v>
      </c>
      <c r="J572" s="1">
        <f>IF(B572="", "", "1346744")</f>
        <v>0</v>
      </c>
    </row>
    <row r="573" spans="1:10">
      <c r="A573">
        <f>IF(COUNTBLANK(B573:J573)&lt;&gt;COLUMNS(B573:J573),572,"")</f>
        <v>0</v>
      </c>
      <c r="C573" s="1">
        <f>IF(B573="", "", "UBERON:genitourinary")</f>
        <v>0</v>
      </c>
      <c r="D573" s="1">
        <f>IF(B573="", "", "UBERON:urine")</f>
        <v>0</v>
      </c>
      <c r="E573" s="1">
        <f>IF(B573="", "", "UBERON:kidney")</f>
        <v>0</v>
      </c>
      <c r="F573" s="1">
        <f>IF(B573="", "", "animal corpus")</f>
        <v>0</v>
      </c>
      <c r="G573" s="1">
        <f>IF(B573="", "", "urine")</f>
        <v>0</v>
      </c>
      <c r="H573" s="1">
        <f>IF(B573="", "", "urine")</f>
        <v>0</v>
      </c>
      <c r="I573" s="1">
        <f>IF(B573="", "", "urine metagenome")</f>
        <v>0</v>
      </c>
      <c r="J573" s="1">
        <f>IF(B573="", "", "1346744")</f>
        <v>0</v>
      </c>
    </row>
    <row r="574" spans="1:10">
      <c r="A574">
        <f>IF(COUNTBLANK(B574:J574)&lt;&gt;COLUMNS(B574:J574),573,"")</f>
        <v>0</v>
      </c>
      <c r="C574" s="1">
        <f>IF(B574="", "", "UBERON:genitourinary")</f>
        <v>0</v>
      </c>
      <c r="D574" s="1">
        <f>IF(B574="", "", "UBERON:urine")</f>
        <v>0</v>
      </c>
      <c r="E574" s="1">
        <f>IF(B574="", "", "UBERON:kidney")</f>
        <v>0</v>
      </c>
      <c r="F574" s="1">
        <f>IF(B574="", "", "animal corpus")</f>
        <v>0</v>
      </c>
      <c r="G574" s="1">
        <f>IF(B574="", "", "urine")</f>
        <v>0</v>
      </c>
      <c r="H574" s="1">
        <f>IF(B574="", "", "urine")</f>
        <v>0</v>
      </c>
      <c r="I574" s="1">
        <f>IF(B574="", "", "urine metagenome")</f>
        <v>0</v>
      </c>
      <c r="J574" s="1">
        <f>IF(B574="", "", "1346744")</f>
        <v>0</v>
      </c>
    </row>
    <row r="575" spans="1:10">
      <c r="A575">
        <f>IF(COUNTBLANK(B575:J575)&lt;&gt;COLUMNS(B575:J575),574,"")</f>
        <v>0</v>
      </c>
      <c r="C575" s="1">
        <f>IF(B575="", "", "UBERON:genitourinary")</f>
        <v>0</v>
      </c>
      <c r="D575" s="1">
        <f>IF(B575="", "", "UBERON:urine")</f>
        <v>0</v>
      </c>
      <c r="E575" s="1">
        <f>IF(B575="", "", "UBERON:kidney")</f>
        <v>0</v>
      </c>
      <c r="F575" s="1">
        <f>IF(B575="", "", "animal corpus")</f>
        <v>0</v>
      </c>
      <c r="G575" s="1">
        <f>IF(B575="", "", "urine")</f>
        <v>0</v>
      </c>
      <c r="H575" s="1">
        <f>IF(B575="", "", "urine")</f>
        <v>0</v>
      </c>
      <c r="I575" s="1">
        <f>IF(B575="", "", "urine metagenome")</f>
        <v>0</v>
      </c>
      <c r="J575" s="1">
        <f>IF(B575="", "", "1346744")</f>
        <v>0</v>
      </c>
    </row>
    <row r="576" spans="1:10">
      <c r="A576">
        <f>IF(COUNTBLANK(B576:J576)&lt;&gt;COLUMNS(B576:J576),575,"")</f>
        <v>0</v>
      </c>
      <c r="C576" s="1">
        <f>IF(B576="", "", "UBERON:genitourinary")</f>
        <v>0</v>
      </c>
      <c r="D576" s="1">
        <f>IF(B576="", "", "UBERON:urine")</f>
        <v>0</v>
      </c>
      <c r="E576" s="1">
        <f>IF(B576="", "", "UBERON:kidney")</f>
        <v>0</v>
      </c>
      <c r="F576" s="1">
        <f>IF(B576="", "", "animal corpus")</f>
        <v>0</v>
      </c>
      <c r="G576" s="1">
        <f>IF(B576="", "", "urine")</f>
        <v>0</v>
      </c>
      <c r="H576" s="1">
        <f>IF(B576="", "", "urine")</f>
        <v>0</v>
      </c>
      <c r="I576" s="1">
        <f>IF(B576="", "", "urine metagenome")</f>
        <v>0</v>
      </c>
      <c r="J576" s="1">
        <f>IF(B576="", "", "1346744")</f>
        <v>0</v>
      </c>
    </row>
    <row r="577" spans="1:10">
      <c r="A577">
        <f>IF(COUNTBLANK(B577:J577)&lt;&gt;COLUMNS(B577:J577),576,"")</f>
        <v>0</v>
      </c>
      <c r="C577" s="1">
        <f>IF(B577="", "", "UBERON:genitourinary")</f>
        <v>0</v>
      </c>
      <c r="D577" s="1">
        <f>IF(B577="", "", "UBERON:urine")</f>
        <v>0</v>
      </c>
      <c r="E577" s="1">
        <f>IF(B577="", "", "UBERON:kidney")</f>
        <v>0</v>
      </c>
      <c r="F577" s="1">
        <f>IF(B577="", "", "animal corpus")</f>
        <v>0</v>
      </c>
      <c r="G577" s="1">
        <f>IF(B577="", "", "urine")</f>
        <v>0</v>
      </c>
      <c r="H577" s="1">
        <f>IF(B577="", "", "urine")</f>
        <v>0</v>
      </c>
      <c r="I577" s="1">
        <f>IF(B577="", "", "urine metagenome")</f>
        <v>0</v>
      </c>
      <c r="J577" s="1">
        <f>IF(B577="", "", "1346744")</f>
        <v>0</v>
      </c>
    </row>
    <row r="578" spans="1:10">
      <c r="A578">
        <f>IF(COUNTBLANK(B578:J578)&lt;&gt;COLUMNS(B578:J578),577,"")</f>
        <v>0</v>
      </c>
      <c r="C578" s="1">
        <f>IF(B578="", "", "UBERON:genitourinary")</f>
        <v>0</v>
      </c>
      <c r="D578" s="1">
        <f>IF(B578="", "", "UBERON:urine")</f>
        <v>0</v>
      </c>
      <c r="E578" s="1">
        <f>IF(B578="", "", "UBERON:kidney")</f>
        <v>0</v>
      </c>
      <c r="F578" s="1">
        <f>IF(B578="", "", "animal corpus")</f>
        <v>0</v>
      </c>
      <c r="G578" s="1">
        <f>IF(B578="", "", "urine")</f>
        <v>0</v>
      </c>
      <c r="H578" s="1">
        <f>IF(B578="", "", "urine")</f>
        <v>0</v>
      </c>
      <c r="I578" s="1">
        <f>IF(B578="", "", "urine metagenome")</f>
        <v>0</v>
      </c>
      <c r="J578" s="1">
        <f>IF(B578="", "", "1346744")</f>
        <v>0</v>
      </c>
    </row>
    <row r="579" spans="1:10">
      <c r="A579">
        <f>IF(COUNTBLANK(B579:J579)&lt;&gt;COLUMNS(B579:J579),578,"")</f>
        <v>0</v>
      </c>
      <c r="C579" s="1">
        <f>IF(B579="", "", "UBERON:genitourinary")</f>
        <v>0</v>
      </c>
      <c r="D579" s="1">
        <f>IF(B579="", "", "UBERON:urine")</f>
        <v>0</v>
      </c>
      <c r="E579" s="1">
        <f>IF(B579="", "", "UBERON:kidney")</f>
        <v>0</v>
      </c>
      <c r="F579" s="1">
        <f>IF(B579="", "", "animal corpus")</f>
        <v>0</v>
      </c>
      <c r="G579" s="1">
        <f>IF(B579="", "", "urine")</f>
        <v>0</v>
      </c>
      <c r="H579" s="1">
        <f>IF(B579="", "", "urine")</f>
        <v>0</v>
      </c>
      <c r="I579" s="1">
        <f>IF(B579="", "", "urine metagenome")</f>
        <v>0</v>
      </c>
      <c r="J579" s="1">
        <f>IF(B579="", "", "1346744")</f>
        <v>0</v>
      </c>
    </row>
    <row r="580" spans="1:10">
      <c r="A580">
        <f>IF(COUNTBLANK(B580:J580)&lt;&gt;COLUMNS(B580:J580),579,"")</f>
        <v>0</v>
      </c>
      <c r="C580" s="1">
        <f>IF(B580="", "", "UBERON:genitourinary")</f>
        <v>0</v>
      </c>
      <c r="D580" s="1">
        <f>IF(B580="", "", "UBERON:urine")</f>
        <v>0</v>
      </c>
      <c r="E580" s="1">
        <f>IF(B580="", "", "UBERON:kidney")</f>
        <v>0</v>
      </c>
      <c r="F580" s="1">
        <f>IF(B580="", "", "animal corpus")</f>
        <v>0</v>
      </c>
      <c r="G580" s="1">
        <f>IF(B580="", "", "urine")</f>
        <v>0</v>
      </c>
      <c r="H580" s="1">
        <f>IF(B580="", "", "urine")</f>
        <v>0</v>
      </c>
      <c r="I580" s="1">
        <f>IF(B580="", "", "urine metagenome")</f>
        <v>0</v>
      </c>
      <c r="J580" s="1">
        <f>IF(B580="", "", "1346744")</f>
        <v>0</v>
      </c>
    </row>
    <row r="581" spans="1:10">
      <c r="A581">
        <f>IF(COUNTBLANK(B581:J581)&lt;&gt;COLUMNS(B581:J581),580,"")</f>
        <v>0</v>
      </c>
      <c r="C581" s="1">
        <f>IF(B581="", "", "UBERON:genitourinary")</f>
        <v>0</v>
      </c>
      <c r="D581" s="1">
        <f>IF(B581="", "", "UBERON:urine")</f>
        <v>0</v>
      </c>
      <c r="E581" s="1">
        <f>IF(B581="", "", "UBERON:kidney")</f>
        <v>0</v>
      </c>
      <c r="F581" s="1">
        <f>IF(B581="", "", "animal corpus")</f>
        <v>0</v>
      </c>
      <c r="G581" s="1">
        <f>IF(B581="", "", "urine")</f>
        <v>0</v>
      </c>
      <c r="H581" s="1">
        <f>IF(B581="", "", "urine")</f>
        <v>0</v>
      </c>
      <c r="I581" s="1">
        <f>IF(B581="", "", "urine metagenome")</f>
        <v>0</v>
      </c>
      <c r="J581" s="1">
        <f>IF(B581="", "", "1346744")</f>
        <v>0</v>
      </c>
    </row>
    <row r="582" spans="1:10">
      <c r="A582">
        <f>IF(COUNTBLANK(B582:J582)&lt;&gt;COLUMNS(B582:J582),581,"")</f>
        <v>0</v>
      </c>
      <c r="C582" s="1">
        <f>IF(B582="", "", "UBERON:genitourinary")</f>
        <v>0</v>
      </c>
      <c r="D582" s="1">
        <f>IF(B582="", "", "UBERON:urine")</f>
        <v>0</v>
      </c>
      <c r="E582" s="1">
        <f>IF(B582="", "", "UBERON:kidney")</f>
        <v>0</v>
      </c>
      <c r="F582" s="1">
        <f>IF(B582="", "", "animal corpus")</f>
        <v>0</v>
      </c>
      <c r="G582" s="1">
        <f>IF(B582="", "", "urine")</f>
        <v>0</v>
      </c>
      <c r="H582" s="1">
        <f>IF(B582="", "", "urine")</f>
        <v>0</v>
      </c>
      <c r="I582" s="1">
        <f>IF(B582="", "", "urine metagenome")</f>
        <v>0</v>
      </c>
      <c r="J582" s="1">
        <f>IF(B582="", "", "1346744")</f>
        <v>0</v>
      </c>
    </row>
    <row r="583" spans="1:10">
      <c r="A583">
        <f>IF(COUNTBLANK(B583:J583)&lt;&gt;COLUMNS(B583:J583),582,"")</f>
        <v>0</v>
      </c>
      <c r="C583" s="1">
        <f>IF(B583="", "", "UBERON:genitourinary")</f>
        <v>0</v>
      </c>
      <c r="D583" s="1">
        <f>IF(B583="", "", "UBERON:urine")</f>
        <v>0</v>
      </c>
      <c r="E583" s="1">
        <f>IF(B583="", "", "UBERON:kidney")</f>
        <v>0</v>
      </c>
      <c r="F583" s="1">
        <f>IF(B583="", "", "animal corpus")</f>
        <v>0</v>
      </c>
      <c r="G583" s="1">
        <f>IF(B583="", "", "urine")</f>
        <v>0</v>
      </c>
      <c r="H583" s="1">
        <f>IF(B583="", "", "urine")</f>
        <v>0</v>
      </c>
      <c r="I583" s="1">
        <f>IF(B583="", "", "urine metagenome")</f>
        <v>0</v>
      </c>
      <c r="J583" s="1">
        <f>IF(B583="", "", "1346744")</f>
        <v>0</v>
      </c>
    </row>
    <row r="584" spans="1:10">
      <c r="A584">
        <f>IF(COUNTBLANK(B584:J584)&lt;&gt;COLUMNS(B584:J584),583,"")</f>
        <v>0</v>
      </c>
      <c r="C584" s="1">
        <f>IF(B584="", "", "UBERON:genitourinary")</f>
        <v>0</v>
      </c>
      <c r="D584" s="1">
        <f>IF(B584="", "", "UBERON:urine")</f>
        <v>0</v>
      </c>
      <c r="E584" s="1">
        <f>IF(B584="", "", "UBERON:kidney")</f>
        <v>0</v>
      </c>
      <c r="F584" s="1">
        <f>IF(B584="", "", "animal corpus")</f>
        <v>0</v>
      </c>
      <c r="G584" s="1">
        <f>IF(B584="", "", "urine")</f>
        <v>0</v>
      </c>
      <c r="H584" s="1">
        <f>IF(B584="", "", "urine")</f>
        <v>0</v>
      </c>
      <c r="I584" s="1">
        <f>IF(B584="", "", "urine metagenome")</f>
        <v>0</v>
      </c>
      <c r="J584" s="1">
        <f>IF(B584="", "", "1346744")</f>
        <v>0</v>
      </c>
    </row>
    <row r="585" spans="1:10">
      <c r="A585">
        <f>IF(COUNTBLANK(B585:J585)&lt;&gt;COLUMNS(B585:J585),584,"")</f>
        <v>0</v>
      </c>
      <c r="C585" s="1">
        <f>IF(B585="", "", "UBERON:genitourinary")</f>
        <v>0</v>
      </c>
      <c r="D585" s="1">
        <f>IF(B585="", "", "UBERON:urine")</f>
        <v>0</v>
      </c>
      <c r="E585" s="1">
        <f>IF(B585="", "", "UBERON:kidney")</f>
        <v>0</v>
      </c>
      <c r="F585" s="1">
        <f>IF(B585="", "", "animal corpus")</f>
        <v>0</v>
      </c>
      <c r="G585" s="1">
        <f>IF(B585="", "", "urine")</f>
        <v>0</v>
      </c>
      <c r="H585" s="1">
        <f>IF(B585="", "", "urine")</f>
        <v>0</v>
      </c>
      <c r="I585" s="1">
        <f>IF(B585="", "", "urine metagenome")</f>
        <v>0</v>
      </c>
      <c r="J585" s="1">
        <f>IF(B585="", "", "1346744")</f>
        <v>0</v>
      </c>
    </row>
    <row r="586" spans="1:10">
      <c r="A586">
        <f>IF(COUNTBLANK(B586:J586)&lt;&gt;COLUMNS(B586:J586),585,"")</f>
        <v>0</v>
      </c>
      <c r="C586" s="1">
        <f>IF(B586="", "", "UBERON:genitourinary")</f>
        <v>0</v>
      </c>
      <c r="D586" s="1">
        <f>IF(B586="", "", "UBERON:urine")</f>
        <v>0</v>
      </c>
      <c r="E586" s="1">
        <f>IF(B586="", "", "UBERON:kidney")</f>
        <v>0</v>
      </c>
      <c r="F586" s="1">
        <f>IF(B586="", "", "animal corpus")</f>
        <v>0</v>
      </c>
      <c r="G586" s="1">
        <f>IF(B586="", "", "urine")</f>
        <v>0</v>
      </c>
      <c r="H586" s="1">
        <f>IF(B586="", "", "urine")</f>
        <v>0</v>
      </c>
      <c r="I586" s="1">
        <f>IF(B586="", "", "urine metagenome")</f>
        <v>0</v>
      </c>
      <c r="J586" s="1">
        <f>IF(B586="", "", "1346744")</f>
        <v>0</v>
      </c>
    </row>
    <row r="587" spans="1:10">
      <c r="A587">
        <f>IF(COUNTBLANK(B587:J587)&lt;&gt;COLUMNS(B587:J587),586,"")</f>
        <v>0</v>
      </c>
      <c r="C587" s="1">
        <f>IF(B587="", "", "UBERON:genitourinary")</f>
        <v>0</v>
      </c>
      <c r="D587" s="1">
        <f>IF(B587="", "", "UBERON:urine")</f>
        <v>0</v>
      </c>
      <c r="E587" s="1">
        <f>IF(B587="", "", "UBERON:kidney")</f>
        <v>0</v>
      </c>
      <c r="F587" s="1">
        <f>IF(B587="", "", "animal corpus")</f>
        <v>0</v>
      </c>
      <c r="G587" s="1">
        <f>IF(B587="", "", "urine")</f>
        <v>0</v>
      </c>
      <c r="H587" s="1">
        <f>IF(B587="", "", "urine")</f>
        <v>0</v>
      </c>
      <c r="I587" s="1">
        <f>IF(B587="", "", "urine metagenome")</f>
        <v>0</v>
      </c>
      <c r="J587" s="1">
        <f>IF(B587="", "", "1346744")</f>
        <v>0</v>
      </c>
    </row>
    <row r="588" spans="1:10">
      <c r="A588">
        <f>IF(COUNTBLANK(B588:J588)&lt;&gt;COLUMNS(B588:J588),587,"")</f>
        <v>0</v>
      </c>
      <c r="C588" s="1">
        <f>IF(B588="", "", "UBERON:genitourinary")</f>
        <v>0</v>
      </c>
      <c r="D588" s="1">
        <f>IF(B588="", "", "UBERON:urine")</f>
        <v>0</v>
      </c>
      <c r="E588" s="1">
        <f>IF(B588="", "", "UBERON:kidney")</f>
        <v>0</v>
      </c>
      <c r="F588" s="1">
        <f>IF(B588="", "", "animal corpus")</f>
        <v>0</v>
      </c>
      <c r="G588" s="1">
        <f>IF(B588="", "", "urine")</f>
        <v>0</v>
      </c>
      <c r="H588" s="1">
        <f>IF(B588="", "", "urine")</f>
        <v>0</v>
      </c>
      <c r="I588" s="1">
        <f>IF(B588="", "", "urine metagenome")</f>
        <v>0</v>
      </c>
      <c r="J588" s="1">
        <f>IF(B588="", "", "1346744")</f>
        <v>0</v>
      </c>
    </row>
    <row r="589" spans="1:10">
      <c r="A589">
        <f>IF(COUNTBLANK(B589:J589)&lt;&gt;COLUMNS(B589:J589),588,"")</f>
        <v>0</v>
      </c>
      <c r="C589" s="1">
        <f>IF(B589="", "", "UBERON:genitourinary")</f>
        <v>0</v>
      </c>
      <c r="D589" s="1">
        <f>IF(B589="", "", "UBERON:urine")</f>
        <v>0</v>
      </c>
      <c r="E589" s="1">
        <f>IF(B589="", "", "UBERON:kidney")</f>
        <v>0</v>
      </c>
      <c r="F589" s="1">
        <f>IF(B589="", "", "animal corpus")</f>
        <v>0</v>
      </c>
      <c r="G589" s="1">
        <f>IF(B589="", "", "urine")</f>
        <v>0</v>
      </c>
      <c r="H589" s="1">
        <f>IF(B589="", "", "urine")</f>
        <v>0</v>
      </c>
      <c r="I589" s="1">
        <f>IF(B589="", "", "urine metagenome")</f>
        <v>0</v>
      </c>
      <c r="J589" s="1">
        <f>IF(B589="", "", "1346744")</f>
        <v>0</v>
      </c>
    </row>
    <row r="590" spans="1:10">
      <c r="A590">
        <f>IF(COUNTBLANK(B590:J590)&lt;&gt;COLUMNS(B590:J590),589,"")</f>
        <v>0</v>
      </c>
      <c r="C590" s="1">
        <f>IF(B590="", "", "UBERON:genitourinary")</f>
        <v>0</v>
      </c>
      <c r="D590" s="1">
        <f>IF(B590="", "", "UBERON:urine")</f>
        <v>0</v>
      </c>
      <c r="E590" s="1">
        <f>IF(B590="", "", "UBERON:kidney")</f>
        <v>0</v>
      </c>
      <c r="F590" s="1">
        <f>IF(B590="", "", "animal corpus")</f>
        <v>0</v>
      </c>
      <c r="G590" s="1">
        <f>IF(B590="", "", "urine")</f>
        <v>0</v>
      </c>
      <c r="H590" s="1">
        <f>IF(B590="", "", "urine")</f>
        <v>0</v>
      </c>
      <c r="I590" s="1">
        <f>IF(B590="", "", "urine metagenome")</f>
        <v>0</v>
      </c>
      <c r="J590" s="1">
        <f>IF(B590="", "", "1346744")</f>
        <v>0</v>
      </c>
    </row>
    <row r="591" spans="1:10">
      <c r="A591">
        <f>IF(COUNTBLANK(B591:J591)&lt;&gt;COLUMNS(B591:J591),590,"")</f>
        <v>0</v>
      </c>
      <c r="C591" s="1">
        <f>IF(B591="", "", "UBERON:genitourinary")</f>
        <v>0</v>
      </c>
      <c r="D591" s="1">
        <f>IF(B591="", "", "UBERON:urine")</f>
        <v>0</v>
      </c>
      <c r="E591" s="1">
        <f>IF(B591="", "", "UBERON:kidney")</f>
        <v>0</v>
      </c>
      <c r="F591" s="1">
        <f>IF(B591="", "", "animal corpus")</f>
        <v>0</v>
      </c>
      <c r="G591" s="1">
        <f>IF(B591="", "", "urine")</f>
        <v>0</v>
      </c>
      <c r="H591" s="1">
        <f>IF(B591="", "", "urine")</f>
        <v>0</v>
      </c>
      <c r="I591" s="1">
        <f>IF(B591="", "", "urine metagenome")</f>
        <v>0</v>
      </c>
      <c r="J591" s="1">
        <f>IF(B591="", "", "1346744")</f>
        <v>0</v>
      </c>
    </row>
    <row r="592" spans="1:10">
      <c r="A592">
        <f>IF(COUNTBLANK(B592:J592)&lt;&gt;COLUMNS(B592:J592),591,"")</f>
        <v>0</v>
      </c>
      <c r="C592" s="1">
        <f>IF(B592="", "", "UBERON:genitourinary")</f>
        <v>0</v>
      </c>
      <c r="D592" s="1">
        <f>IF(B592="", "", "UBERON:urine")</f>
        <v>0</v>
      </c>
      <c r="E592" s="1">
        <f>IF(B592="", "", "UBERON:kidney")</f>
        <v>0</v>
      </c>
      <c r="F592" s="1">
        <f>IF(B592="", "", "animal corpus")</f>
        <v>0</v>
      </c>
      <c r="G592" s="1">
        <f>IF(B592="", "", "urine")</f>
        <v>0</v>
      </c>
      <c r="H592" s="1">
        <f>IF(B592="", "", "urine")</f>
        <v>0</v>
      </c>
      <c r="I592" s="1">
        <f>IF(B592="", "", "urine metagenome")</f>
        <v>0</v>
      </c>
      <c r="J592" s="1">
        <f>IF(B592="", "", "1346744")</f>
        <v>0</v>
      </c>
    </row>
    <row r="593" spans="1:10">
      <c r="A593">
        <f>IF(COUNTBLANK(B593:J593)&lt;&gt;COLUMNS(B593:J593),592,"")</f>
        <v>0</v>
      </c>
      <c r="C593" s="1">
        <f>IF(B593="", "", "UBERON:genitourinary")</f>
        <v>0</v>
      </c>
      <c r="D593" s="1">
        <f>IF(B593="", "", "UBERON:urine")</f>
        <v>0</v>
      </c>
      <c r="E593" s="1">
        <f>IF(B593="", "", "UBERON:kidney")</f>
        <v>0</v>
      </c>
      <c r="F593" s="1">
        <f>IF(B593="", "", "animal corpus")</f>
        <v>0</v>
      </c>
      <c r="G593" s="1">
        <f>IF(B593="", "", "urine")</f>
        <v>0</v>
      </c>
      <c r="H593" s="1">
        <f>IF(B593="", "", "urine")</f>
        <v>0</v>
      </c>
      <c r="I593" s="1">
        <f>IF(B593="", "", "urine metagenome")</f>
        <v>0</v>
      </c>
      <c r="J593" s="1">
        <f>IF(B593="", "", "1346744")</f>
        <v>0</v>
      </c>
    </row>
    <row r="594" spans="1:10">
      <c r="A594">
        <f>IF(COUNTBLANK(B594:J594)&lt;&gt;COLUMNS(B594:J594),593,"")</f>
        <v>0</v>
      </c>
      <c r="C594" s="1">
        <f>IF(B594="", "", "UBERON:genitourinary")</f>
        <v>0</v>
      </c>
      <c r="D594" s="1">
        <f>IF(B594="", "", "UBERON:urine")</f>
        <v>0</v>
      </c>
      <c r="E594" s="1">
        <f>IF(B594="", "", "UBERON:kidney")</f>
        <v>0</v>
      </c>
      <c r="F594" s="1">
        <f>IF(B594="", "", "animal corpus")</f>
        <v>0</v>
      </c>
      <c r="G594" s="1">
        <f>IF(B594="", "", "urine")</f>
        <v>0</v>
      </c>
      <c r="H594" s="1">
        <f>IF(B594="", "", "urine")</f>
        <v>0</v>
      </c>
      <c r="I594" s="1">
        <f>IF(B594="", "", "urine metagenome")</f>
        <v>0</v>
      </c>
      <c r="J594" s="1">
        <f>IF(B594="", "", "1346744")</f>
        <v>0</v>
      </c>
    </row>
    <row r="595" spans="1:10">
      <c r="A595">
        <f>IF(COUNTBLANK(B595:J595)&lt;&gt;COLUMNS(B595:J595),594,"")</f>
        <v>0</v>
      </c>
      <c r="C595" s="1">
        <f>IF(B595="", "", "UBERON:genitourinary")</f>
        <v>0</v>
      </c>
      <c r="D595" s="1">
        <f>IF(B595="", "", "UBERON:urine")</f>
        <v>0</v>
      </c>
      <c r="E595" s="1">
        <f>IF(B595="", "", "UBERON:kidney")</f>
        <v>0</v>
      </c>
      <c r="F595" s="1">
        <f>IF(B595="", "", "animal corpus")</f>
        <v>0</v>
      </c>
      <c r="G595" s="1">
        <f>IF(B595="", "", "urine")</f>
        <v>0</v>
      </c>
      <c r="H595" s="1">
        <f>IF(B595="", "", "urine")</f>
        <v>0</v>
      </c>
      <c r="I595" s="1">
        <f>IF(B595="", "", "urine metagenome")</f>
        <v>0</v>
      </c>
      <c r="J595" s="1">
        <f>IF(B595="", "", "1346744")</f>
        <v>0</v>
      </c>
    </row>
    <row r="596" spans="1:10">
      <c r="A596">
        <f>IF(COUNTBLANK(B596:J596)&lt;&gt;COLUMNS(B596:J596),595,"")</f>
        <v>0</v>
      </c>
      <c r="C596" s="1">
        <f>IF(B596="", "", "UBERON:genitourinary")</f>
        <v>0</v>
      </c>
      <c r="D596" s="1">
        <f>IF(B596="", "", "UBERON:urine")</f>
        <v>0</v>
      </c>
      <c r="E596" s="1">
        <f>IF(B596="", "", "UBERON:kidney")</f>
        <v>0</v>
      </c>
      <c r="F596" s="1">
        <f>IF(B596="", "", "animal corpus")</f>
        <v>0</v>
      </c>
      <c r="G596" s="1">
        <f>IF(B596="", "", "urine")</f>
        <v>0</v>
      </c>
      <c r="H596" s="1">
        <f>IF(B596="", "", "urine")</f>
        <v>0</v>
      </c>
      <c r="I596" s="1">
        <f>IF(B596="", "", "urine metagenome")</f>
        <v>0</v>
      </c>
      <c r="J596" s="1">
        <f>IF(B596="", "", "1346744")</f>
        <v>0</v>
      </c>
    </row>
    <row r="597" spans="1:10">
      <c r="A597">
        <f>IF(COUNTBLANK(B597:J597)&lt;&gt;COLUMNS(B597:J597),596,"")</f>
        <v>0</v>
      </c>
      <c r="C597" s="1">
        <f>IF(B597="", "", "UBERON:genitourinary")</f>
        <v>0</v>
      </c>
      <c r="D597" s="1">
        <f>IF(B597="", "", "UBERON:urine")</f>
        <v>0</v>
      </c>
      <c r="E597" s="1">
        <f>IF(B597="", "", "UBERON:kidney")</f>
        <v>0</v>
      </c>
      <c r="F597" s="1">
        <f>IF(B597="", "", "animal corpus")</f>
        <v>0</v>
      </c>
      <c r="G597" s="1">
        <f>IF(B597="", "", "urine")</f>
        <v>0</v>
      </c>
      <c r="H597" s="1">
        <f>IF(B597="", "", "urine")</f>
        <v>0</v>
      </c>
      <c r="I597" s="1">
        <f>IF(B597="", "", "urine metagenome")</f>
        <v>0</v>
      </c>
      <c r="J597" s="1">
        <f>IF(B597="", "", "1346744")</f>
        <v>0</v>
      </c>
    </row>
    <row r="598" spans="1:10">
      <c r="A598">
        <f>IF(COUNTBLANK(B598:J598)&lt;&gt;COLUMNS(B598:J598),597,"")</f>
        <v>0</v>
      </c>
      <c r="C598" s="1">
        <f>IF(B598="", "", "UBERON:genitourinary")</f>
        <v>0</v>
      </c>
      <c r="D598" s="1">
        <f>IF(B598="", "", "UBERON:urine")</f>
        <v>0</v>
      </c>
      <c r="E598" s="1">
        <f>IF(B598="", "", "UBERON:kidney")</f>
        <v>0</v>
      </c>
      <c r="F598" s="1">
        <f>IF(B598="", "", "animal corpus")</f>
        <v>0</v>
      </c>
      <c r="G598" s="1">
        <f>IF(B598="", "", "urine")</f>
        <v>0</v>
      </c>
      <c r="H598" s="1">
        <f>IF(B598="", "", "urine")</f>
        <v>0</v>
      </c>
      <c r="I598" s="1">
        <f>IF(B598="", "", "urine metagenome")</f>
        <v>0</v>
      </c>
      <c r="J598" s="1">
        <f>IF(B598="", "", "1346744")</f>
        <v>0</v>
      </c>
    </row>
    <row r="599" spans="1:10">
      <c r="A599">
        <f>IF(COUNTBLANK(B599:J599)&lt;&gt;COLUMNS(B599:J599),598,"")</f>
        <v>0</v>
      </c>
      <c r="C599" s="1">
        <f>IF(B599="", "", "UBERON:genitourinary")</f>
        <v>0</v>
      </c>
      <c r="D599" s="1">
        <f>IF(B599="", "", "UBERON:urine")</f>
        <v>0</v>
      </c>
      <c r="E599" s="1">
        <f>IF(B599="", "", "UBERON:kidney")</f>
        <v>0</v>
      </c>
      <c r="F599" s="1">
        <f>IF(B599="", "", "animal corpus")</f>
        <v>0</v>
      </c>
      <c r="G599" s="1">
        <f>IF(B599="", "", "urine")</f>
        <v>0</v>
      </c>
      <c r="H599" s="1">
        <f>IF(B599="", "", "urine")</f>
        <v>0</v>
      </c>
      <c r="I599" s="1">
        <f>IF(B599="", "", "urine metagenome")</f>
        <v>0</v>
      </c>
      <c r="J599" s="1">
        <f>IF(B599="", "", "1346744")</f>
        <v>0</v>
      </c>
    </row>
    <row r="600" spans="1:10">
      <c r="A600">
        <f>IF(COUNTBLANK(B600:J600)&lt;&gt;COLUMNS(B600:J600),599,"")</f>
        <v>0</v>
      </c>
      <c r="C600" s="1">
        <f>IF(B600="", "", "UBERON:genitourinary")</f>
        <v>0</v>
      </c>
      <c r="D600" s="1">
        <f>IF(B600="", "", "UBERON:urine")</f>
        <v>0</v>
      </c>
      <c r="E600" s="1">
        <f>IF(B600="", "", "UBERON:kidney")</f>
        <v>0</v>
      </c>
      <c r="F600" s="1">
        <f>IF(B600="", "", "animal corpus")</f>
        <v>0</v>
      </c>
      <c r="G600" s="1">
        <f>IF(B600="", "", "urine")</f>
        <v>0</v>
      </c>
      <c r="H600" s="1">
        <f>IF(B600="", "", "urine")</f>
        <v>0</v>
      </c>
      <c r="I600" s="1">
        <f>IF(B600="", "", "urine metagenome")</f>
        <v>0</v>
      </c>
      <c r="J600" s="1">
        <f>IF(B600="", "", "1346744")</f>
        <v>0</v>
      </c>
    </row>
    <row r="601" spans="1:10">
      <c r="A601">
        <f>IF(COUNTBLANK(B601:J601)&lt;&gt;COLUMNS(B601:J601),600,"")</f>
        <v>0</v>
      </c>
      <c r="C601" s="1">
        <f>IF(B601="", "", "UBERON:genitourinary")</f>
        <v>0</v>
      </c>
      <c r="D601" s="1">
        <f>IF(B601="", "", "UBERON:urine")</f>
        <v>0</v>
      </c>
      <c r="E601" s="1">
        <f>IF(B601="", "", "UBERON:kidney")</f>
        <v>0</v>
      </c>
      <c r="F601" s="1">
        <f>IF(B601="", "", "animal corpus")</f>
        <v>0</v>
      </c>
      <c r="G601" s="1">
        <f>IF(B601="", "", "urine")</f>
        <v>0</v>
      </c>
      <c r="H601" s="1">
        <f>IF(B601="", "", "urine")</f>
        <v>0</v>
      </c>
      <c r="I601" s="1">
        <f>IF(B601="", "", "urine metagenome")</f>
        <v>0</v>
      </c>
      <c r="J601" s="1">
        <f>IF(B601="", "", "1346744")</f>
        <v>0</v>
      </c>
    </row>
    <row r="602" spans="1:10">
      <c r="A602">
        <f>IF(COUNTBLANK(B602:J602)&lt;&gt;COLUMNS(B602:J602),601,"")</f>
        <v>0</v>
      </c>
      <c r="C602" s="1">
        <f>IF(B602="", "", "UBERON:genitourinary")</f>
        <v>0</v>
      </c>
      <c r="D602" s="1">
        <f>IF(B602="", "", "UBERON:urine")</f>
        <v>0</v>
      </c>
      <c r="E602" s="1">
        <f>IF(B602="", "", "UBERON:kidney")</f>
        <v>0</v>
      </c>
      <c r="F602" s="1">
        <f>IF(B602="", "", "animal corpus")</f>
        <v>0</v>
      </c>
      <c r="G602" s="1">
        <f>IF(B602="", "", "urine")</f>
        <v>0</v>
      </c>
      <c r="H602" s="1">
        <f>IF(B602="", "", "urine")</f>
        <v>0</v>
      </c>
      <c r="I602" s="1">
        <f>IF(B602="", "", "urine metagenome")</f>
        <v>0</v>
      </c>
      <c r="J602" s="1">
        <f>IF(B602="", "", "1346744")</f>
        <v>0</v>
      </c>
    </row>
    <row r="603" spans="1:10">
      <c r="A603">
        <f>IF(COUNTBLANK(B603:J603)&lt;&gt;COLUMNS(B603:J603),602,"")</f>
        <v>0</v>
      </c>
      <c r="C603" s="1">
        <f>IF(B603="", "", "UBERON:genitourinary")</f>
        <v>0</v>
      </c>
      <c r="D603" s="1">
        <f>IF(B603="", "", "UBERON:urine")</f>
        <v>0</v>
      </c>
      <c r="E603" s="1">
        <f>IF(B603="", "", "UBERON:kidney")</f>
        <v>0</v>
      </c>
      <c r="F603" s="1">
        <f>IF(B603="", "", "animal corpus")</f>
        <v>0</v>
      </c>
      <c r="G603" s="1">
        <f>IF(B603="", "", "urine")</f>
        <v>0</v>
      </c>
      <c r="H603" s="1">
        <f>IF(B603="", "", "urine")</f>
        <v>0</v>
      </c>
      <c r="I603" s="1">
        <f>IF(B603="", "", "urine metagenome")</f>
        <v>0</v>
      </c>
      <c r="J603" s="1">
        <f>IF(B603="", "", "1346744")</f>
        <v>0</v>
      </c>
    </row>
    <row r="604" spans="1:10">
      <c r="A604">
        <f>IF(COUNTBLANK(B604:J604)&lt;&gt;COLUMNS(B604:J604),603,"")</f>
        <v>0</v>
      </c>
      <c r="C604" s="1">
        <f>IF(B604="", "", "UBERON:genitourinary")</f>
        <v>0</v>
      </c>
      <c r="D604" s="1">
        <f>IF(B604="", "", "UBERON:urine")</f>
        <v>0</v>
      </c>
      <c r="E604" s="1">
        <f>IF(B604="", "", "UBERON:kidney")</f>
        <v>0</v>
      </c>
      <c r="F604" s="1">
        <f>IF(B604="", "", "animal corpus")</f>
        <v>0</v>
      </c>
      <c r="G604" s="1">
        <f>IF(B604="", "", "urine")</f>
        <v>0</v>
      </c>
      <c r="H604" s="1">
        <f>IF(B604="", "", "urine")</f>
        <v>0</v>
      </c>
      <c r="I604" s="1">
        <f>IF(B604="", "", "urine metagenome")</f>
        <v>0</v>
      </c>
      <c r="J604" s="1">
        <f>IF(B604="", "", "1346744")</f>
        <v>0</v>
      </c>
    </row>
    <row r="605" spans="1:10">
      <c r="A605">
        <f>IF(COUNTBLANK(B605:J605)&lt;&gt;COLUMNS(B605:J605),604,"")</f>
        <v>0</v>
      </c>
      <c r="C605" s="1">
        <f>IF(B605="", "", "UBERON:genitourinary")</f>
        <v>0</v>
      </c>
      <c r="D605" s="1">
        <f>IF(B605="", "", "UBERON:urine")</f>
        <v>0</v>
      </c>
      <c r="E605" s="1">
        <f>IF(B605="", "", "UBERON:kidney")</f>
        <v>0</v>
      </c>
      <c r="F605" s="1">
        <f>IF(B605="", "", "animal corpus")</f>
        <v>0</v>
      </c>
      <c r="G605" s="1">
        <f>IF(B605="", "", "urine")</f>
        <v>0</v>
      </c>
      <c r="H605" s="1">
        <f>IF(B605="", "", "urine")</f>
        <v>0</v>
      </c>
      <c r="I605" s="1">
        <f>IF(B605="", "", "urine metagenome")</f>
        <v>0</v>
      </c>
      <c r="J605" s="1">
        <f>IF(B605="", "", "1346744")</f>
        <v>0</v>
      </c>
    </row>
    <row r="606" spans="1:10">
      <c r="A606">
        <f>IF(COUNTBLANK(B606:J606)&lt;&gt;COLUMNS(B606:J606),605,"")</f>
        <v>0</v>
      </c>
      <c r="C606" s="1">
        <f>IF(B606="", "", "UBERON:genitourinary")</f>
        <v>0</v>
      </c>
      <c r="D606" s="1">
        <f>IF(B606="", "", "UBERON:urine")</f>
        <v>0</v>
      </c>
      <c r="E606" s="1">
        <f>IF(B606="", "", "UBERON:kidney")</f>
        <v>0</v>
      </c>
      <c r="F606" s="1">
        <f>IF(B606="", "", "animal corpus")</f>
        <v>0</v>
      </c>
      <c r="G606" s="1">
        <f>IF(B606="", "", "urine")</f>
        <v>0</v>
      </c>
      <c r="H606" s="1">
        <f>IF(B606="", "", "urine")</f>
        <v>0</v>
      </c>
      <c r="I606" s="1">
        <f>IF(B606="", "", "urine metagenome")</f>
        <v>0</v>
      </c>
      <c r="J606" s="1">
        <f>IF(B606="", "", "1346744")</f>
        <v>0</v>
      </c>
    </row>
    <row r="607" spans="1:10">
      <c r="A607">
        <f>IF(COUNTBLANK(B607:J607)&lt;&gt;COLUMNS(B607:J607),606,"")</f>
        <v>0</v>
      </c>
      <c r="C607" s="1">
        <f>IF(B607="", "", "UBERON:genitourinary")</f>
        <v>0</v>
      </c>
      <c r="D607" s="1">
        <f>IF(B607="", "", "UBERON:urine")</f>
        <v>0</v>
      </c>
      <c r="E607" s="1">
        <f>IF(B607="", "", "UBERON:kidney")</f>
        <v>0</v>
      </c>
      <c r="F607" s="1">
        <f>IF(B607="", "", "animal corpus")</f>
        <v>0</v>
      </c>
      <c r="G607" s="1">
        <f>IF(B607="", "", "urine")</f>
        <v>0</v>
      </c>
      <c r="H607" s="1">
        <f>IF(B607="", "", "urine")</f>
        <v>0</v>
      </c>
      <c r="I607" s="1">
        <f>IF(B607="", "", "urine metagenome")</f>
        <v>0</v>
      </c>
      <c r="J607" s="1">
        <f>IF(B607="", "", "1346744")</f>
        <v>0</v>
      </c>
    </row>
    <row r="608" spans="1:10">
      <c r="A608">
        <f>IF(COUNTBLANK(B608:J608)&lt;&gt;COLUMNS(B608:J608),607,"")</f>
        <v>0</v>
      </c>
      <c r="C608" s="1">
        <f>IF(B608="", "", "UBERON:genitourinary")</f>
        <v>0</v>
      </c>
      <c r="D608" s="1">
        <f>IF(B608="", "", "UBERON:urine")</f>
        <v>0</v>
      </c>
      <c r="E608" s="1">
        <f>IF(B608="", "", "UBERON:kidney")</f>
        <v>0</v>
      </c>
      <c r="F608" s="1">
        <f>IF(B608="", "", "animal corpus")</f>
        <v>0</v>
      </c>
      <c r="G608" s="1">
        <f>IF(B608="", "", "urine")</f>
        <v>0</v>
      </c>
      <c r="H608" s="1">
        <f>IF(B608="", "", "urine")</f>
        <v>0</v>
      </c>
      <c r="I608" s="1">
        <f>IF(B608="", "", "urine metagenome")</f>
        <v>0</v>
      </c>
      <c r="J608" s="1">
        <f>IF(B608="", "", "1346744")</f>
        <v>0</v>
      </c>
    </row>
    <row r="609" spans="1:10">
      <c r="A609">
        <f>IF(COUNTBLANK(B609:J609)&lt;&gt;COLUMNS(B609:J609),608,"")</f>
        <v>0</v>
      </c>
      <c r="C609" s="1">
        <f>IF(B609="", "", "UBERON:genitourinary")</f>
        <v>0</v>
      </c>
      <c r="D609" s="1">
        <f>IF(B609="", "", "UBERON:urine")</f>
        <v>0</v>
      </c>
      <c r="E609" s="1">
        <f>IF(B609="", "", "UBERON:kidney")</f>
        <v>0</v>
      </c>
      <c r="F609" s="1">
        <f>IF(B609="", "", "animal corpus")</f>
        <v>0</v>
      </c>
      <c r="G609" s="1">
        <f>IF(B609="", "", "urine")</f>
        <v>0</v>
      </c>
      <c r="H609" s="1">
        <f>IF(B609="", "", "urine")</f>
        <v>0</v>
      </c>
      <c r="I609" s="1">
        <f>IF(B609="", "", "urine metagenome")</f>
        <v>0</v>
      </c>
      <c r="J609" s="1">
        <f>IF(B609="", "", "1346744")</f>
        <v>0</v>
      </c>
    </row>
    <row r="610" spans="1:10">
      <c r="A610">
        <f>IF(COUNTBLANK(B610:J610)&lt;&gt;COLUMNS(B610:J610),609,"")</f>
        <v>0</v>
      </c>
      <c r="C610" s="1">
        <f>IF(B610="", "", "UBERON:genitourinary")</f>
        <v>0</v>
      </c>
      <c r="D610" s="1">
        <f>IF(B610="", "", "UBERON:urine")</f>
        <v>0</v>
      </c>
      <c r="E610" s="1">
        <f>IF(B610="", "", "UBERON:kidney")</f>
        <v>0</v>
      </c>
      <c r="F610" s="1">
        <f>IF(B610="", "", "animal corpus")</f>
        <v>0</v>
      </c>
      <c r="G610" s="1">
        <f>IF(B610="", "", "urine")</f>
        <v>0</v>
      </c>
      <c r="H610" s="1">
        <f>IF(B610="", "", "urine")</f>
        <v>0</v>
      </c>
      <c r="I610" s="1">
        <f>IF(B610="", "", "urine metagenome")</f>
        <v>0</v>
      </c>
      <c r="J610" s="1">
        <f>IF(B610="", "", "1346744")</f>
        <v>0</v>
      </c>
    </row>
    <row r="611" spans="1:10">
      <c r="A611">
        <f>IF(COUNTBLANK(B611:J611)&lt;&gt;COLUMNS(B611:J611),610,"")</f>
        <v>0</v>
      </c>
      <c r="C611" s="1">
        <f>IF(B611="", "", "UBERON:genitourinary")</f>
        <v>0</v>
      </c>
      <c r="D611" s="1">
        <f>IF(B611="", "", "UBERON:urine")</f>
        <v>0</v>
      </c>
      <c r="E611" s="1">
        <f>IF(B611="", "", "UBERON:kidney")</f>
        <v>0</v>
      </c>
      <c r="F611" s="1">
        <f>IF(B611="", "", "animal corpus")</f>
        <v>0</v>
      </c>
      <c r="G611" s="1">
        <f>IF(B611="", "", "urine")</f>
        <v>0</v>
      </c>
      <c r="H611" s="1">
        <f>IF(B611="", "", "urine")</f>
        <v>0</v>
      </c>
      <c r="I611" s="1">
        <f>IF(B611="", "", "urine metagenome")</f>
        <v>0</v>
      </c>
      <c r="J611" s="1">
        <f>IF(B611="", "", "1346744")</f>
        <v>0</v>
      </c>
    </row>
    <row r="612" spans="1:10">
      <c r="A612">
        <f>IF(COUNTBLANK(B612:J612)&lt;&gt;COLUMNS(B612:J612),611,"")</f>
        <v>0</v>
      </c>
      <c r="C612" s="1">
        <f>IF(B612="", "", "UBERON:genitourinary")</f>
        <v>0</v>
      </c>
      <c r="D612" s="1">
        <f>IF(B612="", "", "UBERON:urine")</f>
        <v>0</v>
      </c>
      <c r="E612" s="1">
        <f>IF(B612="", "", "UBERON:kidney")</f>
        <v>0</v>
      </c>
      <c r="F612" s="1">
        <f>IF(B612="", "", "animal corpus")</f>
        <v>0</v>
      </c>
      <c r="G612" s="1">
        <f>IF(B612="", "", "urine")</f>
        <v>0</v>
      </c>
      <c r="H612" s="1">
        <f>IF(B612="", "", "urine")</f>
        <v>0</v>
      </c>
      <c r="I612" s="1">
        <f>IF(B612="", "", "urine metagenome")</f>
        <v>0</v>
      </c>
      <c r="J612" s="1">
        <f>IF(B612="", "", "1346744")</f>
        <v>0</v>
      </c>
    </row>
    <row r="613" spans="1:10">
      <c r="A613">
        <f>IF(COUNTBLANK(B613:J613)&lt;&gt;COLUMNS(B613:J613),612,"")</f>
        <v>0</v>
      </c>
      <c r="C613" s="1">
        <f>IF(B613="", "", "UBERON:genitourinary")</f>
        <v>0</v>
      </c>
      <c r="D613" s="1">
        <f>IF(B613="", "", "UBERON:urine")</f>
        <v>0</v>
      </c>
      <c r="E613" s="1">
        <f>IF(B613="", "", "UBERON:kidney")</f>
        <v>0</v>
      </c>
      <c r="F613" s="1">
        <f>IF(B613="", "", "animal corpus")</f>
        <v>0</v>
      </c>
      <c r="G613" s="1">
        <f>IF(B613="", "", "urine")</f>
        <v>0</v>
      </c>
      <c r="H613" s="1">
        <f>IF(B613="", "", "urine")</f>
        <v>0</v>
      </c>
      <c r="I613" s="1">
        <f>IF(B613="", "", "urine metagenome")</f>
        <v>0</v>
      </c>
      <c r="J613" s="1">
        <f>IF(B613="", "", "1346744")</f>
        <v>0</v>
      </c>
    </row>
    <row r="614" spans="1:10">
      <c r="A614">
        <f>IF(COUNTBLANK(B614:J614)&lt;&gt;COLUMNS(B614:J614),613,"")</f>
        <v>0</v>
      </c>
      <c r="C614" s="1">
        <f>IF(B614="", "", "UBERON:genitourinary")</f>
        <v>0</v>
      </c>
      <c r="D614" s="1">
        <f>IF(B614="", "", "UBERON:urine")</f>
        <v>0</v>
      </c>
      <c r="E614" s="1">
        <f>IF(B614="", "", "UBERON:kidney")</f>
        <v>0</v>
      </c>
      <c r="F614" s="1">
        <f>IF(B614="", "", "animal corpus")</f>
        <v>0</v>
      </c>
      <c r="G614" s="1">
        <f>IF(B614="", "", "urine")</f>
        <v>0</v>
      </c>
      <c r="H614" s="1">
        <f>IF(B614="", "", "urine")</f>
        <v>0</v>
      </c>
      <c r="I614" s="1">
        <f>IF(B614="", "", "urine metagenome")</f>
        <v>0</v>
      </c>
      <c r="J614" s="1">
        <f>IF(B614="", "", "1346744")</f>
        <v>0</v>
      </c>
    </row>
    <row r="615" spans="1:10">
      <c r="A615">
        <f>IF(COUNTBLANK(B615:J615)&lt;&gt;COLUMNS(B615:J615),614,"")</f>
        <v>0</v>
      </c>
      <c r="C615" s="1">
        <f>IF(B615="", "", "UBERON:genitourinary")</f>
        <v>0</v>
      </c>
      <c r="D615" s="1">
        <f>IF(B615="", "", "UBERON:urine")</f>
        <v>0</v>
      </c>
      <c r="E615" s="1">
        <f>IF(B615="", "", "UBERON:kidney")</f>
        <v>0</v>
      </c>
      <c r="F615" s="1">
        <f>IF(B615="", "", "animal corpus")</f>
        <v>0</v>
      </c>
      <c r="G615" s="1">
        <f>IF(B615="", "", "urine")</f>
        <v>0</v>
      </c>
      <c r="H615" s="1">
        <f>IF(B615="", "", "urine")</f>
        <v>0</v>
      </c>
      <c r="I615" s="1">
        <f>IF(B615="", "", "urine metagenome")</f>
        <v>0</v>
      </c>
      <c r="J615" s="1">
        <f>IF(B615="", "", "1346744")</f>
        <v>0</v>
      </c>
    </row>
    <row r="616" spans="1:10">
      <c r="A616">
        <f>IF(COUNTBLANK(B616:J616)&lt;&gt;COLUMNS(B616:J616),615,"")</f>
        <v>0</v>
      </c>
      <c r="C616" s="1">
        <f>IF(B616="", "", "UBERON:genitourinary")</f>
        <v>0</v>
      </c>
      <c r="D616" s="1">
        <f>IF(B616="", "", "UBERON:urine")</f>
        <v>0</v>
      </c>
      <c r="E616" s="1">
        <f>IF(B616="", "", "UBERON:kidney")</f>
        <v>0</v>
      </c>
      <c r="F616" s="1">
        <f>IF(B616="", "", "animal corpus")</f>
        <v>0</v>
      </c>
      <c r="G616" s="1">
        <f>IF(B616="", "", "urine")</f>
        <v>0</v>
      </c>
      <c r="H616" s="1">
        <f>IF(B616="", "", "urine")</f>
        <v>0</v>
      </c>
      <c r="I616" s="1">
        <f>IF(B616="", "", "urine metagenome")</f>
        <v>0</v>
      </c>
      <c r="J616" s="1">
        <f>IF(B616="", "", "1346744")</f>
        <v>0</v>
      </c>
    </row>
    <row r="617" spans="1:10">
      <c r="A617">
        <f>IF(COUNTBLANK(B617:J617)&lt;&gt;COLUMNS(B617:J617),616,"")</f>
        <v>0</v>
      </c>
      <c r="C617" s="1">
        <f>IF(B617="", "", "UBERON:genitourinary")</f>
        <v>0</v>
      </c>
      <c r="D617" s="1">
        <f>IF(B617="", "", "UBERON:urine")</f>
        <v>0</v>
      </c>
      <c r="E617" s="1">
        <f>IF(B617="", "", "UBERON:kidney")</f>
        <v>0</v>
      </c>
      <c r="F617" s="1">
        <f>IF(B617="", "", "animal corpus")</f>
        <v>0</v>
      </c>
      <c r="G617" s="1">
        <f>IF(B617="", "", "urine")</f>
        <v>0</v>
      </c>
      <c r="H617" s="1">
        <f>IF(B617="", "", "urine")</f>
        <v>0</v>
      </c>
      <c r="I617" s="1">
        <f>IF(B617="", "", "urine metagenome")</f>
        <v>0</v>
      </c>
      <c r="J617" s="1">
        <f>IF(B617="", "", "1346744")</f>
        <v>0</v>
      </c>
    </row>
    <row r="618" spans="1:10">
      <c r="A618">
        <f>IF(COUNTBLANK(B618:J618)&lt;&gt;COLUMNS(B618:J618),617,"")</f>
        <v>0</v>
      </c>
      <c r="C618" s="1">
        <f>IF(B618="", "", "UBERON:genitourinary")</f>
        <v>0</v>
      </c>
      <c r="D618" s="1">
        <f>IF(B618="", "", "UBERON:urine")</f>
        <v>0</v>
      </c>
      <c r="E618" s="1">
        <f>IF(B618="", "", "UBERON:kidney")</f>
        <v>0</v>
      </c>
      <c r="F618" s="1">
        <f>IF(B618="", "", "animal corpus")</f>
        <v>0</v>
      </c>
      <c r="G618" s="1">
        <f>IF(B618="", "", "urine")</f>
        <v>0</v>
      </c>
      <c r="H618" s="1">
        <f>IF(B618="", "", "urine")</f>
        <v>0</v>
      </c>
      <c r="I618" s="1">
        <f>IF(B618="", "", "urine metagenome")</f>
        <v>0</v>
      </c>
      <c r="J618" s="1">
        <f>IF(B618="", "", "1346744")</f>
        <v>0</v>
      </c>
    </row>
    <row r="619" spans="1:10">
      <c r="A619">
        <f>IF(COUNTBLANK(B619:J619)&lt;&gt;COLUMNS(B619:J619),618,"")</f>
        <v>0</v>
      </c>
      <c r="C619" s="1">
        <f>IF(B619="", "", "UBERON:genitourinary")</f>
        <v>0</v>
      </c>
      <c r="D619" s="1">
        <f>IF(B619="", "", "UBERON:urine")</f>
        <v>0</v>
      </c>
      <c r="E619" s="1">
        <f>IF(B619="", "", "UBERON:kidney")</f>
        <v>0</v>
      </c>
      <c r="F619" s="1">
        <f>IF(B619="", "", "animal corpus")</f>
        <v>0</v>
      </c>
      <c r="G619" s="1">
        <f>IF(B619="", "", "urine")</f>
        <v>0</v>
      </c>
      <c r="H619" s="1">
        <f>IF(B619="", "", "urine")</f>
        <v>0</v>
      </c>
      <c r="I619" s="1">
        <f>IF(B619="", "", "urine metagenome")</f>
        <v>0</v>
      </c>
      <c r="J619" s="1">
        <f>IF(B619="", "", "1346744")</f>
        <v>0</v>
      </c>
    </row>
    <row r="620" spans="1:10">
      <c r="A620">
        <f>IF(COUNTBLANK(B620:J620)&lt;&gt;COLUMNS(B620:J620),619,"")</f>
        <v>0</v>
      </c>
      <c r="C620" s="1">
        <f>IF(B620="", "", "UBERON:genitourinary")</f>
        <v>0</v>
      </c>
      <c r="D620" s="1">
        <f>IF(B620="", "", "UBERON:urine")</f>
        <v>0</v>
      </c>
      <c r="E620" s="1">
        <f>IF(B620="", "", "UBERON:kidney")</f>
        <v>0</v>
      </c>
      <c r="F620" s="1">
        <f>IF(B620="", "", "animal corpus")</f>
        <v>0</v>
      </c>
      <c r="G620" s="1">
        <f>IF(B620="", "", "urine")</f>
        <v>0</v>
      </c>
      <c r="H620" s="1">
        <f>IF(B620="", "", "urine")</f>
        <v>0</v>
      </c>
      <c r="I620" s="1">
        <f>IF(B620="", "", "urine metagenome")</f>
        <v>0</v>
      </c>
      <c r="J620" s="1">
        <f>IF(B620="", "", "1346744")</f>
        <v>0</v>
      </c>
    </row>
    <row r="621" spans="1:10">
      <c r="A621">
        <f>IF(COUNTBLANK(B621:J621)&lt;&gt;COLUMNS(B621:J621),620,"")</f>
        <v>0</v>
      </c>
      <c r="C621" s="1">
        <f>IF(B621="", "", "UBERON:genitourinary")</f>
        <v>0</v>
      </c>
      <c r="D621" s="1">
        <f>IF(B621="", "", "UBERON:urine")</f>
        <v>0</v>
      </c>
      <c r="E621" s="1">
        <f>IF(B621="", "", "UBERON:kidney")</f>
        <v>0</v>
      </c>
      <c r="F621" s="1">
        <f>IF(B621="", "", "animal corpus")</f>
        <v>0</v>
      </c>
      <c r="G621" s="1">
        <f>IF(B621="", "", "urine")</f>
        <v>0</v>
      </c>
      <c r="H621" s="1">
        <f>IF(B621="", "", "urine")</f>
        <v>0</v>
      </c>
      <c r="I621" s="1">
        <f>IF(B621="", "", "urine metagenome")</f>
        <v>0</v>
      </c>
      <c r="J621" s="1">
        <f>IF(B621="", "", "1346744")</f>
        <v>0</v>
      </c>
    </row>
    <row r="622" spans="1:10">
      <c r="A622">
        <f>IF(COUNTBLANK(B622:J622)&lt;&gt;COLUMNS(B622:J622),621,"")</f>
        <v>0</v>
      </c>
      <c r="C622" s="1">
        <f>IF(B622="", "", "UBERON:genitourinary")</f>
        <v>0</v>
      </c>
      <c r="D622" s="1">
        <f>IF(B622="", "", "UBERON:urine")</f>
        <v>0</v>
      </c>
      <c r="E622" s="1">
        <f>IF(B622="", "", "UBERON:kidney")</f>
        <v>0</v>
      </c>
      <c r="F622" s="1">
        <f>IF(B622="", "", "animal corpus")</f>
        <v>0</v>
      </c>
      <c r="G622" s="1">
        <f>IF(B622="", "", "urine")</f>
        <v>0</v>
      </c>
      <c r="H622" s="1">
        <f>IF(B622="", "", "urine")</f>
        <v>0</v>
      </c>
      <c r="I622" s="1">
        <f>IF(B622="", "", "urine metagenome")</f>
        <v>0</v>
      </c>
      <c r="J622" s="1">
        <f>IF(B622="", "", "1346744")</f>
        <v>0</v>
      </c>
    </row>
    <row r="623" spans="1:10">
      <c r="A623">
        <f>IF(COUNTBLANK(B623:J623)&lt;&gt;COLUMNS(B623:J623),622,"")</f>
        <v>0</v>
      </c>
      <c r="C623" s="1">
        <f>IF(B623="", "", "UBERON:genitourinary")</f>
        <v>0</v>
      </c>
      <c r="D623" s="1">
        <f>IF(B623="", "", "UBERON:urine")</f>
        <v>0</v>
      </c>
      <c r="E623" s="1">
        <f>IF(B623="", "", "UBERON:kidney")</f>
        <v>0</v>
      </c>
      <c r="F623" s="1">
        <f>IF(B623="", "", "animal corpus")</f>
        <v>0</v>
      </c>
      <c r="G623" s="1">
        <f>IF(B623="", "", "urine")</f>
        <v>0</v>
      </c>
      <c r="H623" s="1">
        <f>IF(B623="", "", "urine")</f>
        <v>0</v>
      </c>
      <c r="I623" s="1">
        <f>IF(B623="", "", "urine metagenome")</f>
        <v>0</v>
      </c>
      <c r="J623" s="1">
        <f>IF(B623="", "", "1346744")</f>
        <v>0</v>
      </c>
    </row>
    <row r="624" spans="1:10">
      <c r="A624">
        <f>IF(COUNTBLANK(B624:J624)&lt;&gt;COLUMNS(B624:J624),623,"")</f>
        <v>0</v>
      </c>
      <c r="C624" s="1">
        <f>IF(B624="", "", "UBERON:genitourinary")</f>
        <v>0</v>
      </c>
      <c r="D624" s="1">
        <f>IF(B624="", "", "UBERON:urine")</f>
        <v>0</v>
      </c>
      <c r="E624" s="1">
        <f>IF(B624="", "", "UBERON:kidney")</f>
        <v>0</v>
      </c>
      <c r="F624" s="1">
        <f>IF(B624="", "", "animal corpus")</f>
        <v>0</v>
      </c>
      <c r="G624" s="1">
        <f>IF(B624="", "", "urine")</f>
        <v>0</v>
      </c>
      <c r="H624" s="1">
        <f>IF(B624="", "", "urine")</f>
        <v>0</v>
      </c>
      <c r="I624" s="1">
        <f>IF(B624="", "", "urine metagenome")</f>
        <v>0</v>
      </c>
      <c r="J624" s="1">
        <f>IF(B624="", "", "1346744")</f>
        <v>0</v>
      </c>
    </row>
    <row r="625" spans="1:10">
      <c r="A625">
        <f>IF(COUNTBLANK(B625:J625)&lt;&gt;COLUMNS(B625:J625),624,"")</f>
        <v>0</v>
      </c>
      <c r="C625" s="1">
        <f>IF(B625="", "", "UBERON:genitourinary")</f>
        <v>0</v>
      </c>
      <c r="D625" s="1">
        <f>IF(B625="", "", "UBERON:urine")</f>
        <v>0</v>
      </c>
      <c r="E625" s="1">
        <f>IF(B625="", "", "UBERON:kidney")</f>
        <v>0</v>
      </c>
      <c r="F625" s="1">
        <f>IF(B625="", "", "animal corpus")</f>
        <v>0</v>
      </c>
      <c r="G625" s="1">
        <f>IF(B625="", "", "urine")</f>
        <v>0</v>
      </c>
      <c r="H625" s="1">
        <f>IF(B625="", "", "urine")</f>
        <v>0</v>
      </c>
      <c r="I625" s="1">
        <f>IF(B625="", "", "urine metagenome")</f>
        <v>0</v>
      </c>
      <c r="J625" s="1">
        <f>IF(B625="", "", "1346744")</f>
        <v>0</v>
      </c>
    </row>
    <row r="626" spans="1:10">
      <c r="A626">
        <f>IF(COUNTBLANK(B626:J626)&lt;&gt;COLUMNS(B626:J626),625,"")</f>
        <v>0</v>
      </c>
      <c r="C626" s="1">
        <f>IF(B626="", "", "UBERON:genitourinary")</f>
        <v>0</v>
      </c>
      <c r="D626" s="1">
        <f>IF(B626="", "", "UBERON:urine")</f>
        <v>0</v>
      </c>
      <c r="E626" s="1">
        <f>IF(B626="", "", "UBERON:kidney")</f>
        <v>0</v>
      </c>
      <c r="F626" s="1">
        <f>IF(B626="", "", "animal corpus")</f>
        <v>0</v>
      </c>
      <c r="G626" s="1">
        <f>IF(B626="", "", "urine")</f>
        <v>0</v>
      </c>
      <c r="H626" s="1">
        <f>IF(B626="", "", "urine")</f>
        <v>0</v>
      </c>
      <c r="I626" s="1">
        <f>IF(B626="", "", "urine metagenome")</f>
        <v>0</v>
      </c>
      <c r="J626" s="1">
        <f>IF(B626="", "", "1346744")</f>
        <v>0</v>
      </c>
    </row>
    <row r="627" spans="1:10">
      <c r="A627">
        <f>IF(COUNTBLANK(B627:J627)&lt;&gt;COLUMNS(B627:J627),626,"")</f>
        <v>0</v>
      </c>
      <c r="C627" s="1">
        <f>IF(B627="", "", "UBERON:genitourinary")</f>
        <v>0</v>
      </c>
      <c r="D627" s="1">
        <f>IF(B627="", "", "UBERON:urine")</f>
        <v>0</v>
      </c>
      <c r="E627" s="1">
        <f>IF(B627="", "", "UBERON:kidney")</f>
        <v>0</v>
      </c>
      <c r="F627" s="1">
        <f>IF(B627="", "", "animal corpus")</f>
        <v>0</v>
      </c>
      <c r="G627" s="1">
        <f>IF(B627="", "", "urine")</f>
        <v>0</v>
      </c>
      <c r="H627" s="1">
        <f>IF(B627="", "", "urine")</f>
        <v>0</v>
      </c>
      <c r="I627" s="1">
        <f>IF(B627="", "", "urine metagenome")</f>
        <v>0</v>
      </c>
      <c r="J627" s="1">
        <f>IF(B627="", "", "1346744")</f>
        <v>0</v>
      </c>
    </row>
    <row r="628" spans="1:10">
      <c r="A628">
        <f>IF(COUNTBLANK(B628:J628)&lt;&gt;COLUMNS(B628:J628),627,"")</f>
        <v>0</v>
      </c>
      <c r="C628" s="1">
        <f>IF(B628="", "", "UBERON:genitourinary")</f>
        <v>0</v>
      </c>
      <c r="D628" s="1">
        <f>IF(B628="", "", "UBERON:urine")</f>
        <v>0</v>
      </c>
      <c r="E628" s="1">
        <f>IF(B628="", "", "UBERON:kidney")</f>
        <v>0</v>
      </c>
      <c r="F628" s="1">
        <f>IF(B628="", "", "animal corpus")</f>
        <v>0</v>
      </c>
      <c r="G628" s="1">
        <f>IF(B628="", "", "urine")</f>
        <v>0</v>
      </c>
      <c r="H628" s="1">
        <f>IF(B628="", "", "urine")</f>
        <v>0</v>
      </c>
      <c r="I628" s="1">
        <f>IF(B628="", "", "urine metagenome")</f>
        <v>0</v>
      </c>
      <c r="J628" s="1">
        <f>IF(B628="", "", "1346744")</f>
        <v>0</v>
      </c>
    </row>
    <row r="629" spans="1:10">
      <c r="A629">
        <f>IF(COUNTBLANK(B629:J629)&lt;&gt;COLUMNS(B629:J629),628,"")</f>
        <v>0</v>
      </c>
      <c r="C629" s="1">
        <f>IF(B629="", "", "UBERON:genitourinary")</f>
        <v>0</v>
      </c>
      <c r="D629" s="1">
        <f>IF(B629="", "", "UBERON:urine")</f>
        <v>0</v>
      </c>
      <c r="E629" s="1">
        <f>IF(B629="", "", "UBERON:kidney")</f>
        <v>0</v>
      </c>
      <c r="F629" s="1">
        <f>IF(B629="", "", "animal corpus")</f>
        <v>0</v>
      </c>
      <c r="G629" s="1">
        <f>IF(B629="", "", "urine")</f>
        <v>0</v>
      </c>
      <c r="H629" s="1">
        <f>IF(B629="", "", "urine")</f>
        <v>0</v>
      </c>
      <c r="I629" s="1">
        <f>IF(B629="", "", "urine metagenome")</f>
        <v>0</v>
      </c>
      <c r="J629" s="1">
        <f>IF(B629="", "", "1346744")</f>
        <v>0</v>
      </c>
    </row>
    <row r="630" spans="1:10">
      <c r="A630">
        <f>IF(COUNTBLANK(B630:J630)&lt;&gt;COLUMNS(B630:J630),629,"")</f>
        <v>0</v>
      </c>
      <c r="C630" s="1">
        <f>IF(B630="", "", "UBERON:genitourinary")</f>
        <v>0</v>
      </c>
      <c r="D630" s="1">
        <f>IF(B630="", "", "UBERON:urine")</f>
        <v>0</v>
      </c>
      <c r="E630" s="1">
        <f>IF(B630="", "", "UBERON:kidney")</f>
        <v>0</v>
      </c>
      <c r="F630" s="1">
        <f>IF(B630="", "", "animal corpus")</f>
        <v>0</v>
      </c>
      <c r="G630" s="1">
        <f>IF(B630="", "", "urine")</f>
        <v>0</v>
      </c>
      <c r="H630" s="1">
        <f>IF(B630="", "", "urine")</f>
        <v>0</v>
      </c>
      <c r="I630" s="1">
        <f>IF(B630="", "", "urine metagenome")</f>
        <v>0</v>
      </c>
      <c r="J630" s="1">
        <f>IF(B630="", "", "1346744")</f>
        <v>0</v>
      </c>
    </row>
    <row r="631" spans="1:10">
      <c r="A631">
        <f>IF(COUNTBLANK(B631:J631)&lt;&gt;COLUMNS(B631:J631),630,"")</f>
        <v>0</v>
      </c>
      <c r="C631" s="1">
        <f>IF(B631="", "", "UBERON:genitourinary")</f>
        <v>0</v>
      </c>
      <c r="D631" s="1">
        <f>IF(B631="", "", "UBERON:urine")</f>
        <v>0</v>
      </c>
      <c r="E631" s="1">
        <f>IF(B631="", "", "UBERON:kidney")</f>
        <v>0</v>
      </c>
      <c r="F631" s="1">
        <f>IF(B631="", "", "animal corpus")</f>
        <v>0</v>
      </c>
      <c r="G631" s="1">
        <f>IF(B631="", "", "urine")</f>
        <v>0</v>
      </c>
      <c r="H631" s="1">
        <f>IF(B631="", "", "urine")</f>
        <v>0</v>
      </c>
      <c r="I631" s="1">
        <f>IF(B631="", "", "urine metagenome")</f>
        <v>0</v>
      </c>
      <c r="J631" s="1">
        <f>IF(B631="", "", "1346744")</f>
        <v>0</v>
      </c>
    </row>
    <row r="632" spans="1:10">
      <c r="A632">
        <f>IF(COUNTBLANK(B632:J632)&lt;&gt;COLUMNS(B632:J632),631,"")</f>
        <v>0</v>
      </c>
      <c r="C632" s="1">
        <f>IF(B632="", "", "UBERON:genitourinary")</f>
        <v>0</v>
      </c>
      <c r="D632" s="1">
        <f>IF(B632="", "", "UBERON:urine")</f>
        <v>0</v>
      </c>
      <c r="E632" s="1">
        <f>IF(B632="", "", "UBERON:kidney")</f>
        <v>0</v>
      </c>
      <c r="F632" s="1">
        <f>IF(B632="", "", "animal corpus")</f>
        <v>0</v>
      </c>
      <c r="G632" s="1">
        <f>IF(B632="", "", "urine")</f>
        <v>0</v>
      </c>
      <c r="H632" s="1">
        <f>IF(B632="", "", "urine")</f>
        <v>0</v>
      </c>
      <c r="I632" s="1">
        <f>IF(B632="", "", "urine metagenome")</f>
        <v>0</v>
      </c>
      <c r="J632" s="1">
        <f>IF(B632="", "", "1346744")</f>
        <v>0</v>
      </c>
    </row>
    <row r="633" spans="1:10">
      <c r="A633">
        <f>IF(COUNTBLANK(B633:J633)&lt;&gt;COLUMNS(B633:J633),632,"")</f>
        <v>0</v>
      </c>
      <c r="C633" s="1">
        <f>IF(B633="", "", "UBERON:genitourinary")</f>
        <v>0</v>
      </c>
      <c r="D633" s="1">
        <f>IF(B633="", "", "UBERON:urine")</f>
        <v>0</v>
      </c>
      <c r="E633" s="1">
        <f>IF(B633="", "", "UBERON:kidney")</f>
        <v>0</v>
      </c>
      <c r="F633" s="1">
        <f>IF(B633="", "", "animal corpus")</f>
        <v>0</v>
      </c>
      <c r="G633" s="1">
        <f>IF(B633="", "", "urine")</f>
        <v>0</v>
      </c>
      <c r="H633" s="1">
        <f>IF(B633="", "", "urine")</f>
        <v>0</v>
      </c>
      <c r="I633" s="1">
        <f>IF(B633="", "", "urine metagenome")</f>
        <v>0</v>
      </c>
      <c r="J633" s="1">
        <f>IF(B633="", "", "1346744")</f>
        <v>0</v>
      </c>
    </row>
    <row r="634" spans="1:10">
      <c r="A634">
        <f>IF(COUNTBLANK(B634:J634)&lt;&gt;COLUMNS(B634:J634),633,"")</f>
        <v>0</v>
      </c>
      <c r="C634" s="1">
        <f>IF(B634="", "", "UBERON:genitourinary")</f>
        <v>0</v>
      </c>
      <c r="D634" s="1">
        <f>IF(B634="", "", "UBERON:urine")</f>
        <v>0</v>
      </c>
      <c r="E634" s="1">
        <f>IF(B634="", "", "UBERON:kidney")</f>
        <v>0</v>
      </c>
      <c r="F634" s="1">
        <f>IF(B634="", "", "animal corpus")</f>
        <v>0</v>
      </c>
      <c r="G634" s="1">
        <f>IF(B634="", "", "urine")</f>
        <v>0</v>
      </c>
      <c r="H634" s="1">
        <f>IF(B634="", "", "urine")</f>
        <v>0</v>
      </c>
      <c r="I634" s="1">
        <f>IF(B634="", "", "urine metagenome")</f>
        <v>0</v>
      </c>
      <c r="J634" s="1">
        <f>IF(B634="", "", "1346744")</f>
        <v>0</v>
      </c>
    </row>
    <row r="635" spans="1:10">
      <c r="A635">
        <f>IF(COUNTBLANK(B635:J635)&lt;&gt;COLUMNS(B635:J635),634,"")</f>
        <v>0</v>
      </c>
      <c r="C635" s="1">
        <f>IF(B635="", "", "UBERON:genitourinary")</f>
        <v>0</v>
      </c>
      <c r="D635" s="1">
        <f>IF(B635="", "", "UBERON:urine")</f>
        <v>0</v>
      </c>
      <c r="E635" s="1">
        <f>IF(B635="", "", "UBERON:kidney")</f>
        <v>0</v>
      </c>
      <c r="F635" s="1">
        <f>IF(B635="", "", "animal corpus")</f>
        <v>0</v>
      </c>
      <c r="G635" s="1">
        <f>IF(B635="", "", "urine")</f>
        <v>0</v>
      </c>
      <c r="H635" s="1">
        <f>IF(B635="", "", "urine")</f>
        <v>0</v>
      </c>
      <c r="I635" s="1">
        <f>IF(B635="", "", "urine metagenome")</f>
        <v>0</v>
      </c>
      <c r="J635" s="1">
        <f>IF(B635="", "", "1346744")</f>
        <v>0</v>
      </c>
    </row>
    <row r="636" spans="1:10">
      <c r="A636">
        <f>IF(COUNTBLANK(B636:J636)&lt;&gt;COLUMNS(B636:J636),635,"")</f>
        <v>0</v>
      </c>
      <c r="C636" s="1">
        <f>IF(B636="", "", "UBERON:genitourinary")</f>
        <v>0</v>
      </c>
      <c r="D636" s="1">
        <f>IF(B636="", "", "UBERON:urine")</f>
        <v>0</v>
      </c>
      <c r="E636" s="1">
        <f>IF(B636="", "", "UBERON:kidney")</f>
        <v>0</v>
      </c>
      <c r="F636" s="1">
        <f>IF(B636="", "", "animal corpus")</f>
        <v>0</v>
      </c>
      <c r="G636" s="1">
        <f>IF(B636="", "", "urine")</f>
        <v>0</v>
      </c>
      <c r="H636" s="1">
        <f>IF(B636="", "", "urine")</f>
        <v>0</v>
      </c>
      <c r="I636" s="1">
        <f>IF(B636="", "", "urine metagenome")</f>
        <v>0</v>
      </c>
      <c r="J636" s="1">
        <f>IF(B636="", "", "1346744")</f>
        <v>0</v>
      </c>
    </row>
    <row r="637" spans="1:10">
      <c r="A637">
        <f>IF(COUNTBLANK(B637:J637)&lt;&gt;COLUMNS(B637:J637),636,"")</f>
        <v>0</v>
      </c>
      <c r="C637" s="1">
        <f>IF(B637="", "", "UBERON:genitourinary")</f>
        <v>0</v>
      </c>
      <c r="D637" s="1">
        <f>IF(B637="", "", "UBERON:urine")</f>
        <v>0</v>
      </c>
      <c r="E637" s="1">
        <f>IF(B637="", "", "UBERON:kidney")</f>
        <v>0</v>
      </c>
      <c r="F637" s="1">
        <f>IF(B637="", "", "animal corpus")</f>
        <v>0</v>
      </c>
      <c r="G637" s="1">
        <f>IF(B637="", "", "urine")</f>
        <v>0</v>
      </c>
      <c r="H637" s="1">
        <f>IF(B637="", "", "urine")</f>
        <v>0</v>
      </c>
      <c r="I637" s="1">
        <f>IF(B637="", "", "urine metagenome")</f>
        <v>0</v>
      </c>
      <c r="J637" s="1">
        <f>IF(B637="", "", "1346744")</f>
        <v>0</v>
      </c>
    </row>
    <row r="638" spans="1:10">
      <c r="A638">
        <f>IF(COUNTBLANK(B638:J638)&lt;&gt;COLUMNS(B638:J638),637,"")</f>
        <v>0</v>
      </c>
      <c r="C638" s="1">
        <f>IF(B638="", "", "UBERON:genitourinary")</f>
        <v>0</v>
      </c>
      <c r="D638" s="1">
        <f>IF(B638="", "", "UBERON:urine")</f>
        <v>0</v>
      </c>
      <c r="E638" s="1">
        <f>IF(B638="", "", "UBERON:kidney")</f>
        <v>0</v>
      </c>
      <c r="F638" s="1">
        <f>IF(B638="", "", "animal corpus")</f>
        <v>0</v>
      </c>
      <c r="G638" s="1">
        <f>IF(B638="", "", "urine")</f>
        <v>0</v>
      </c>
      <c r="H638" s="1">
        <f>IF(B638="", "", "urine")</f>
        <v>0</v>
      </c>
      <c r="I638" s="1">
        <f>IF(B638="", "", "urine metagenome")</f>
        <v>0</v>
      </c>
      <c r="J638" s="1">
        <f>IF(B638="", "", "1346744")</f>
        <v>0</v>
      </c>
    </row>
    <row r="639" spans="1:10">
      <c r="A639">
        <f>IF(COUNTBLANK(B639:J639)&lt;&gt;COLUMNS(B639:J639),638,"")</f>
        <v>0</v>
      </c>
      <c r="C639" s="1">
        <f>IF(B639="", "", "UBERON:genitourinary")</f>
        <v>0</v>
      </c>
      <c r="D639" s="1">
        <f>IF(B639="", "", "UBERON:urine")</f>
        <v>0</v>
      </c>
      <c r="E639" s="1">
        <f>IF(B639="", "", "UBERON:kidney")</f>
        <v>0</v>
      </c>
      <c r="F639" s="1">
        <f>IF(B639="", "", "animal corpus")</f>
        <v>0</v>
      </c>
      <c r="G639" s="1">
        <f>IF(B639="", "", "urine")</f>
        <v>0</v>
      </c>
      <c r="H639" s="1">
        <f>IF(B639="", "", "urine")</f>
        <v>0</v>
      </c>
      <c r="I639" s="1">
        <f>IF(B639="", "", "urine metagenome")</f>
        <v>0</v>
      </c>
      <c r="J639" s="1">
        <f>IF(B639="", "", "1346744")</f>
        <v>0</v>
      </c>
    </row>
    <row r="640" spans="1:10">
      <c r="A640">
        <f>IF(COUNTBLANK(B640:J640)&lt;&gt;COLUMNS(B640:J640),639,"")</f>
        <v>0</v>
      </c>
      <c r="C640" s="1">
        <f>IF(B640="", "", "UBERON:genitourinary")</f>
        <v>0</v>
      </c>
      <c r="D640" s="1">
        <f>IF(B640="", "", "UBERON:urine")</f>
        <v>0</v>
      </c>
      <c r="E640" s="1">
        <f>IF(B640="", "", "UBERON:kidney")</f>
        <v>0</v>
      </c>
      <c r="F640" s="1">
        <f>IF(B640="", "", "animal corpus")</f>
        <v>0</v>
      </c>
      <c r="G640" s="1">
        <f>IF(B640="", "", "urine")</f>
        <v>0</v>
      </c>
      <c r="H640" s="1">
        <f>IF(B640="", "", "urine")</f>
        <v>0</v>
      </c>
      <c r="I640" s="1">
        <f>IF(B640="", "", "urine metagenome")</f>
        <v>0</v>
      </c>
      <c r="J640" s="1">
        <f>IF(B640="", "", "1346744")</f>
        <v>0</v>
      </c>
    </row>
    <row r="641" spans="1:10">
      <c r="A641">
        <f>IF(COUNTBLANK(B641:J641)&lt;&gt;COLUMNS(B641:J641),640,"")</f>
        <v>0</v>
      </c>
      <c r="C641" s="1">
        <f>IF(B641="", "", "UBERON:genitourinary")</f>
        <v>0</v>
      </c>
      <c r="D641" s="1">
        <f>IF(B641="", "", "UBERON:urine")</f>
        <v>0</v>
      </c>
      <c r="E641" s="1">
        <f>IF(B641="", "", "UBERON:kidney")</f>
        <v>0</v>
      </c>
      <c r="F641" s="1">
        <f>IF(B641="", "", "animal corpus")</f>
        <v>0</v>
      </c>
      <c r="G641" s="1">
        <f>IF(B641="", "", "urine")</f>
        <v>0</v>
      </c>
      <c r="H641" s="1">
        <f>IF(B641="", "", "urine")</f>
        <v>0</v>
      </c>
      <c r="I641" s="1">
        <f>IF(B641="", "", "urine metagenome")</f>
        <v>0</v>
      </c>
      <c r="J641" s="1">
        <f>IF(B641="", "", "1346744")</f>
        <v>0</v>
      </c>
    </row>
    <row r="642" spans="1:10">
      <c r="A642">
        <f>IF(COUNTBLANK(B642:J642)&lt;&gt;COLUMNS(B642:J642),641,"")</f>
        <v>0</v>
      </c>
      <c r="C642" s="1">
        <f>IF(B642="", "", "UBERON:genitourinary")</f>
        <v>0</v>
      </c>
      <c r="D642" s="1">
        <f>IF(B642="", "", "UBERON:urine")</f>
        <v>0</v>
      </c>
      <c r="E642" s="1">
        <f>IF(B642="", "", "UBERON:kidney")</f>
        <v>0</v>
      </c>
      <c r="F642" s="1">
        <f>IF(B642="", "", "animal corpus")</f>
        <v>0</v>
      </c>
      <c r="G642" s="1">
        <f>IF(B642="", "", "urine")</f>
        <v>0</v>
      </c>
      <c r="H642" s="1">
        <f>IF(B642="", "", "urine")</f>
        <v>0</v>
      </c>
      <c r="I642" s="1">
        <f>IF(B642="", "", "urine metagenome")</f>
        <v>0</v>
      </c>
      <c r="J642" s="1">
        <f>IF(B642="", "", "1346744")</f>
        <v>0</v>
      </c>
    </row>
    <row r="643" spans="1:10">
      <c r="A643">
        <f>IF(COUNTBLANK(B643:J643)&lt;&gt;COLUMNS(B643:J643),642,"")</f>
        <v>0</v>
      </c>
      <c r="C643" s="1">
        <f>IF(B643="", "", "UBERON:genitourinary")</f>
        <v>0</v>
      </c>
      <c r="D643" s="1">
        <f>IF(B643="", "", "UBERON:urine")</f>
        <v>0</v>
      </c>
      <c r="E643" s="1">
        <f>IF(B643="", "", "UBERON:kidney")</f>
        <v>0</v>
      </c>
      <c r="F643" s="1">
        <f>IF(B643="", "", "animal corpus")</f>
        <v>0</v>
      </c>
      <c r="G643" s="1">
        <f>IF(B643="", "", "urine")</f>
        <v>0</v>
      </c>
      <c r="H643" s="1">
        <f>IF(B643="", "", "urine")</f>
        <v>0</v>
      </c>
      <c r="I643" s="1">
        <f>IF(B643="", "", "urine metagenome")</f>
        <v>0</v>
      </c>
      <c r="J643" s="1">
        <f>IF(B643="", "", "1346744")</f>
        <v>0</v>
      </c>
    </row>
    <row r="644" spans="1:10">
      <c r="A644">
        <f>IF(COUNTBLANK(B644:J644)&lt;&gt;COLUMNS(B644:J644),643,"")</f>
        <v>0</v>
      </c>
      <c r="C644" s="1">
        <f>IF(B644="", "", "UBERON:genitourinary")</f>
        <v>0</v>
      </c>
      <c r="D644" s="1">
        <f>IF(B644="", "", "UBERON:urine")</f>
        <v>0</v>
      </c>
      <c r="E644" s="1">
        <f>IF(B644="", "", "UBERON:kidney")</f>
        <v>0</v>
      </c>
      <c r="F644" s="1">
        <f>IF(B644="", "", "animal corpus")</f>
        <v>0</v>
      </c>
      <c r="G644" s="1">
        <f>IF(B644="", "", "urine")</f>
        <v>0</v>
      </c>
      <c r="H644" s="1">
        <f>IF(B644="", "", "urine")</f>
        <v>0</v>
      </c>
      <c r="I644" s="1">
        <f>IF(B644="", "", "urine metagenome")</f>
        <v>0</v>
      </c>
      <c r="J644" s="1">
        <f>IF(B644="", "", "1346744")</f>
        <v>0</v>
      </c>
    </row>
    <row r="645" spans="1:10">
      <c r="A645">
        <f>IF(COUNTBLANK(B645:J645)&lt;&gt;COLUMNS(B645:J645),644,"")</f>
        <v>0</v>
      </c>
      <c r="C645" s="1">
        <f>IF(B645="", "", "UBERON:genitourinary")</f>
        <v>0</v>
      </c>
      <c r="D645" s="1">
        <f>IF(B645="", "", "UBERON:urine")</f>
        <v>0</v>
      </c>
      <c r="E645" s="1">
        <f>IF(B645="", "", "UBERON:kidney")</f>
        <v>0</v>
      </c>
      <c r="F645" s="1">
        <f>IF(B645="", "", "animal corpus")</f>
        <v>0</v>
      </c>
      <c r="G645" s="1">
        <f>IF(B645="", "", "urine")</f>
        <v>0</v>
      </c>
      <c r="H645" s="1">
        <f>IF(B645="", "", "urine")</f>
        <v>0</v>
      </c>
      <c r="I645" s="1">
        <f>IF(B645="", "", "urine metagenome")</f>
        <v>0</v>
      </c>
      <c r="J645" s="1">
        <f>IF(B645="", "", "1346744")</f>
        <v>0</v>
      </c>
    </row>
    <row r="646" spans="1:10">
      <c r="A646">
        <f>IF(COUNTBLANK(B646:J646)&lt;&gt;COLUMNS(B646:J646),645,"")</f>
        <v>0</v>
      </c>
      <c r="C646" s="1">
        <f>IF(B646="", "", "UBERON:genitourinary")</f>
        <v>0</v>
      </c>
      <c r="D646" s="1">
        <f>IF(B646="", "", "UBERON:urine")</f>
        <v>0</v>
      </c>
      <c r="E646" s="1">
        <f>IF(B646="", "", "UBERON:kidney")</f>
        <v>0</v>
      </c>
      <c r="F646" s="1">
        <f>IF(B646="", "", "animal corpus")</f>
        <v>0</v>
      </c>
      <c r="G646" s="1">
        <f>IF(B646="", "", "urine")</f>
        <v>0</v>
      </c>
      <c r="H646" s="1">
        <f>IF(B646="", "", "urine")</f>
        <v>0</v>
      </c>
      <c r="I646" s="1">
        <f>IF(B646="", "", "urine metagenome")</f>
        <v>0</v>
      </c>
      <c r="J646" s="1">
        <f>IF(B646="", "", "1346744")</f>
        <v>0</v>
      </c>
    </row>
    <row r="647" spans="1:10">
      <c r="A647">
        <f>IF(COUNTBLANK(B647:J647)&lt;&gt;COLUMNS(B647:J647),646,"")</f>
        <v>0</v>
      </c>
      <c r="C647" s="1">
        <f>IF(B647="", "", "UBERON:genitourinary")</f>
        <v>0</v>
      </c>
      <c r="D647" s="1">
        <f>IF(B647="", "", "UBERON:urine")</f>
        <v>0</v>
      </c>
      <c r="E647" s="1">
        <f>IF(B647="", "", "UBERON:kidney")</f>
        <v>0</v>
      </c>
      <c r="F647" s="1">
        <f>IF(B647="", "", "animal corpus")</f>
        <v>0</v>
      </c>
      <c r="G647" s="1">
        <f>IF(B647="", "", "urine")</f>
        <v>0</v>
      </c>
      <c r="H647" s="1">
        <f>IF(B647="", "", "urine")</f>
        <v>0</v>
      </c>
      <c r="I647" s="1">
        <f>IF(B647="", "", "urine metagenome")</f>
        <v>0</v>
      </c>
      <c r="J647" s="1">
        <f>IF(B647="", "", "1346744")</f>
        <v>0</v>
      </c>
    </row>
    <row r="648" spans="1:10">
      <c r="A648">
        <f>IF(COUNTBLANK(B648:J648)&lt;&gt;COLUMNS(B648:J648),647,"")</f>
        <v>0</v>
      </c>
      <c r="C648" s="1">
        <f>IF(B648="", "", "UBERON:genitourinary")</f>
        <v>0</v>
      </c>
      <c r="D648" s="1">
        <f>IF(B648="", "", "UBERON:urine")</f>
        <v>0</v>
      </c>
      <c r="E648" s="1">
        <f>IF(B648="", "", "UBERON:kidney")</f>
        <v>0</v>
      </c>
      <c r="F648" s="1">
        <f>IF(B648="", "", "animal corpus")</f>
        <v>0</v>
      </c>
      <c r="G648" s="1">
        <f>IF(B648="", "", "urine")</f>
        <v>0</v>
      </c>
      <c r="H648" s="1">
        <f>IF(B648="", "", "urine")</f>
        <v>0</v>
      </c>
      <c r="I648" s="1">
        <f>IF(B648="", "", "urine metagenome")</f>
        <v>0</v>
      </c>
      <c r="J648" s="1">
        <f>IF(B648="", "", "1346744")</f>
        <v>0</v>
      </c>
    </row>
    <row r="649" spans="1:10">
      <c r="A649">
        <f>IF(COUNTBLANK(B649:J649)&lt;&gt;COLUMNS(B649:J649),648,"")</f>
        <v>0</v>
      </c>
      <c r="C649" s="1">
        <f>IF(B649="", "", "UBERON:genitourinary")</f>
        <v>0</v>
      </c>
      <c r="D649" s="1">
        <f>IF(B649="", "", "UBERON:urine")</f>
        <v>0</v>
      </c>
      <c r="E649" s="1">
        <f>IF(B649="", "", "UBERON:kidney")</f>
        <v>0</v>
      </c>
      <c r="F649" s="1">
        <f>IF(B649="", "", "animal corpus")</f>
        <v>0</v>
      </c>
      <c r="G649" s="1">
        <f>IF(B649="", "", "urine")</f>
        <v>0</v>
      </c>
      <c r="H649" s="1">
        <f>IF(B649="", "", "urine")</f>
        <v>0</v>
      </c>
      <c r="I649" s="1">
        <f>IF(B649="", "", "urine metagenome")</f>
        <v>0</v>
      </c>
      <c r="J649" s="1">
        <f>IF(B649="", "", "1346744")</f>
        <v>0</v>
      </c>
    </row>
    <row r="650" spans="1:10">
      <c r="A650">
        <f>IF(COUNTBLANK(B650:J650)&lt;&gt;COLUMNS(B650:J650),649,"")</f>
        <v>0</v>
      </c>
      <c r="C650" s="1">
        <f>IF(B650="", "", "UBERON:genitourinary")</f>
        <v>0</v>
      </c>
      <c r="D650" s="1">
        <f>IF(B650="", "", "UBERON:urine")</f>
        <v>0</v>
      </c>
      <c r="E650" s="1">
        <f>IF(B650="", "", "UBERON:kidney")</f>
        <v>0</v>
      </c>
      <c r="F650" s="1">
        <f>IF(B650="", "", "animal corpus")</f>
        <v>0</v>
      </c>
      <c r="G650" s="1">
        <f>IF(B650="", "", "urine")</f>
        <v>0</v>
      </c>
      <c r="H650" s="1">
        <f>IF(B650="", "", "urine")</f>
        <v>0</v>
      </c>
      <c r="I650" s="1">
        <f>IF(B650="", "", "urine metagenome")</f>
        <v>0</v>
      </c>
      <c r="J650" s="1">
        <f>IF(B650="", "", "1346744")</f>
        <v>0</v>
      </c>
    </row>
    <row r="651" spans="1:10">
      <c r="A651">
        <f>IF(COUNTBLANK(B651:J651)&lt;&gt;COLUMNS(B651:J651),650,"")</f>
        <v>0</v>
      </c>
      <c r="C651" s="1">
        <f>IF(B651="", "", "UBERON:genitourinary")</f>
        <v>0</v>
      </c>
      <c r="D651" s="1">
        <f>IF(B651="", "", "UBERON:urine")</f>
        <v>0</v>
      </c>
      <c r="E651" s="1">
        <f>IF(B651="", "", "UBERON:kidney")</f>
        <v>0</v>
      </c>
      <c r="F651" s="1">
        <f>IF(B651="", "", "animal corpus")</f>
        <v>0</v>
      </c>
      <c r="G651" s="1">
        <f>IF(B651="", "", "urine")</f>
        <v>0</v>
      </c>
      <c r="H651" s="1">
        <f>IF(B651="", "", "urine")</f>
        <v>0</v>
      </c>
      <c r="I651" s="1">
        <f>IF(B651="", "", "urine metagenome")</f>
        <v>0</v>
      </c>
      <c r="J651" s="1">
        <f>IF(B651="", "", "1346744")</f>
        <v>0</v>
      </c>
    </row>
    <row r="652" spans="1:10">
      <c r="A652">
        <f>IF(COUNTBLANK(B652:J652)&lt;&gt;COLUMNS(B652:J652),651,"")</f>
        <v>0</v>
      </c>
      <c r="C652" s="1">
        <f>IF(B652="", "", "UBERON:genitourinary")</f>
        <v>0</v>
      </c>
      <c r="D652" s="1">
        <f>IF(B652="", "", "UBERON:urine")</f>
        <v>0</v>
      </c>
      <c r="E652" s="1">
        <f>IF(B652="", "", "UBERON:kidney")</f>
        <v>0</v>
      </c>
      <c r="F652" s="1">
        <f>IF(B652="", "", "animal corpus")</f>
        <v>0</v>
      </c>
      <c r="G652" s="1">
        <f>IF(B652="", "", "urine")</f>
        <v>0</v>
      </c>
      <c r="H652" s="1">
        <f>IF(B652="", "", "urine")</f>
        <v>0</v>
      </c>
      <c r="I652" s="1">
        <f>IF(B652="", "", "urine metagenome")</f>
        <v>0</v>
      </c>
      <c r="J652" s="1">
        <f>IF(B652="", "", "1346744")</f>
        <v>0</v>
      </c>
    </row>
    <row r="653" spans="1:10">
      <c r="A653">
        <f>IF(COUNTBLANK(B653:J653)&lt;&gt;COLUMNS(B653:J653),652,"")</f>
        <v>0</v>
      </c>
      <c r="C653" s="1">
        <f>IF(B653="", "", "UBERON:genitourinary")</f>
        <v>0</v>
      </c>
      <c r="D653" s="1">
        <f>IF(B653="", "", "UBERON:urine")</f>
        <v>0</v>
      </c>
      <c r="E653" s="1">
        <f>IF(B653="", "", "UBERON:kidney")</f>
        <v>0</v>
      </c>
      <c r="F653" s="1">
        <f>IF(B653="", "", "animal corpus")</f>
        <v>0</v>
      </c>
      <c r="G653" s="1">
        <f>IF(B653="", "", "urine")</f>
        <v>0</v>
      </c>
      <c r="H653" s="1">
        <f>IF(B653="", "", "urine")</f>
        <v>0</v>
      </c>
      <c r="I653" s="1">
        <f>IF(B653="", "", "urine metagenome")</f>
        <v>0</v>
      </c>
      <c r="J653" s="1">
        <f>IF(B653="", "", "1346744")</f>
        <v>0</v>
      </c>
    </row>
    <row r="654" spans="1:10">
      <c r="A654">
        <f>IF(COUNTBLANK(B654:J654)&lt;&gt;COLUMNS(B654:J654),653,"")</f>
        <v>0</v>
      </c>
      <c r="C654" s="1">
        <f>IF(B654="", "", "UBERON:genitourinary")</f>
        <v>0</v>
      </c>
      <c r="D654" s="1">
        <f>IF(B654="", "", "UBERON:urine")</f>
        <v>0</v>
      </c>
      <c r="E654" s="1">
        <f>IF(B654="", "", "UBERON:kidney")</f>
        <v>0</v>
      </c>
      <c r="F654" s="1">
        <f>IF(B654="", "", "animal corpus")</f>
        <v>0</v>
      </c>
      <c r="G654" s="1">
        <f>IF(B654="", "", "urine")</f>
        <v>0</v>
      </c>
      <c r="H654" s="1">
        <f>IF(B654="", "", "urine")</f>
        <v>0</v>
      </c>
      <c r="I654" s="1">
        <f>IF(B654="", "", "urine metagenome")</f>
        <v>0</v>
      </c>
      <c r="J654" s="1">
        <f>IF(B654="", "", "1346744")</f>
        <v>0</v>
      </c>
    </row>
    <row r="655" spans="1:10">
      <c r="A655">
        <f>IF(COUNTBLANK(B655:J655)&lt;&gt;COLUMNS(B655:J655),654,"")</f>
        <v>0</v>
      </c>
      <c r="C655" s="1">
        <f>IF(B655="", "", "UBERON:genitourinary")</f>
        <v>0</v>
      </c>
      <c r="D655" s="1">
        <f>IF(B655="", "", "UBERON:urine")</f>
        <v>0</v>
      </c>
      <c r="E655" s="1">
        <f>IF(B655="", "", "UBERON:kidney")</f>
        <v>0</v>
      </c>
      <c r="F655" s="1">
        <f>IF(B655="", "", "animal corpus")</f>
        <v>0</v>
      </c>
      <c r="G655" s="1">
        <f>IF(B655="", "", "urine")</f>
        <v>0</v>
      </c>
      <c r="H655" s="1">
        <f>IF(B655="", "", "urine")</f>
        <v>0</v>
      </c>
      <c r="I655" s="1">
        <f>IF(B655="", "", "urine metagenome")</f>
        <v>0</v>
      </c>
      <c r="J655" s="1">
        <f>IF(B655="", "", "1346744")</f>
        <v>0</v>
      </c>
    </row>
    <row r="656" spans="1:10">
      <c r="A656">
        <f>IF(COUNTBLANK(B656:J656)&lt;&gt;COLUMNS(B656:J656),655,"")</f>
        <v>0</v>
      </c>
      <c r="C656" s="1">
        <f>IF(B656="", "", "UBERON:genitourinary")</f>
        <v>0</v>
      </c>
      <c r="D656" s="1">
        <f>IF(B656="", "", "UBERON:urine")</f>
        <v>0</v>
      </c>
      <c r="E656" s="1">
        <f>IF(B656="", "", "UBERON:kidney")</f>
        <v>0</v>
      </c>
      <c r="F656" s="1">
        <f>IF(B656="", "", "animal corpus")</f>
        <v>0</v>
      </c>
      <c r="G656" s="1">
        <f>IF(B656="", "", "urine")</f>
        <v>0</v>
      </c>
      <c r="H656" s="1">
        <f>IF(B656="", "", "urine")</f>
        <v>0</v>
      </c>
      <c r="I656" s="1">
        <f>IF(B656="", "", "urine metagenome")</f>
        <v>0</v>
      </c>
      <c r="J656" s="1">
        <f>IF(B656="", "", "1346744")</f>
        <v>0</v>
      </c>
    </row>
    <row r="657" spans="1:10">
      <c r="A657">
        <f>IF(COUNTBLANK(B657:J657)&lt;&gt;COLUMNS(B657:J657),656,"")</f>
        <v>0</v>
      </c>
      <c r="C657" s="1">
        <f>IF(B657="", "", "UBERON:genitourinary")</f>
        <v>0</v>
      </c>
      <c r="D657" s="1">
        <f>IF(B657="", "", "UBERON:urine")</f>
        <v>0</v>
      </c>
      <c r="E657" s="1">
        <f>IF(B657="", "", "UBERON:kidney")</f>
        <v>0</v>
      </c>
      <c r="F657" s="1">
        <f>IF(B657="", "", "animal corpus")</f>
        <v>0</v>
      </c>
      <c r="G657" s="1">
        <f>IF(B657="", "", "urine")</f>
        <v>0</v>
      </c>
      <c r="H657" s="1">
        <f>IF(B657="", "", "urine")</f>
        <v>0</v>
      </c>
      <c r="I657" s="1">
        <f>IF(B657="", "", "urine metagenome")</f>
        <v>0</v>
      </c>
      <c r="J657" s="1">
        <f>IF(B657="", "", "1346744")</f>
        <v>0</v>
      </c>
    </row>
    <row r="658" spans="1:10">
      <c r="A658">
        <f>IF(COUNTBLANK(B658:J658)&lt;&gt;COLUMNS(B658:J658),657,"")</f>
        <v>0</v>
      </c>
      <c r="C658" s="1">
        <f>IF(B658="", "", "UBERON:genitourinary")</f>
        <v>0</v>
      </c>
      <c r="D658" s="1">
        <f>IF(B658="", "", "UBERON:urine")</f>
        <v>0</v>
      </c>
      <c r="E658" s="1">
        <f>IF(B658="", "", "UBERON:kidney")</f>
        <v>0</v>
      </c>
      <c r="F658" s="1">
        <f>IF(B658="", "", "animal corpus")</f>
        <v>0</v>
      </c>
      <c r="G658" s="1">
        <f>IF(B658="", "", "urine")</f>
        <v>0</v>
      </c>
      <c r="H658" s="1">
        <f>IF(B658="", "", "urine")</f>
        <v>0</v>
      </c>
      <c r="I658" s="1">
        <f>IF(B658="", "", "urine metagenome")</f>
        <v>0</v>
      </c>
      <c r="J658" s="1">
        <f>IF(B658="", "", "1346744")</f>
        <v>0</v>
      </c>
    </row>
    <row r="659" spans="1:10">
      <c r="A659">
        <f>IF(COUNTBLANK(B659:J659)&lt;&gt;COLUMNS(B659:J659),658,"")</f>
        <v>0</v>
      </c>
      <c r="C659" s="1">
        <f>IF(B659="", "", "UBERON:genitourinary")</f>
        <v>0</v>
      </c>
      <c r="D659" s="1">
        <f>IF(B659="", "", "UBERON:urine")</f>
        <v>0</v>
      </c>
      <c r="E659" s="1">
        <f>IF(B659="", "", "UBERON:kidney")</f>
        <v>0</v>
      </c>
      <c r="F659" s="1">
        <f>IF(B659="", "", "animal corpus")</f>
        <v>0</v>
      </c>
      <c r="G659" s="1">
        <f>IF(B659="", "", "urine")</f>
        <v>0</v>
      </c>
      <c r="H659" s="1">
        <f>IF(B659="", "", "urine")</f>
        <v>0</v>
      </c>
      <c r="I659" s="1">
        <f>IF(B659="", "", "urine metagenome")</f>
        <v>0</v>
      </c>
      <c r="J659" s="1">
        <f>IF(B659="", "", "1346744")</f>
        <v>0</v>
      </c>
    </row>
    <row r="660" spans="1:10">
      <c r="A660">
        <f>IF(COUNTBLANK(B660:J660)&lt;&gt;COLUMNS(B660:J660),659,"")</f>
        <v>0</v>
      </c>
      <c r="C660" s="1">
        <f>IF(B660="", "", "UBERON:genitourinary")</f>
        <v>0</v>
      </c>
      <c r="D660" s="1">
        <f>IF(B660="", "", "UBERON:urine")</f>
        <v>0</v>
      </c>
      <c r="E660" s="1">
        <f>IF(B660="", "", "UBERON:kidney")</f>
        <v>0</v>
      </c>
      <c r="F660" s="1">
        <f>IF(B660="", "", "animal corpus")</f>
        <v>0</v>
      </c>
      <c r="G660" s="1">
        <f>IF(B660="", "", "urine")</f>
        <v>0</v>
      </c>
      <c r="H660" s="1">
        <f>IF(B660="", "", "urine")</f>
        <v>0</v>
      </c>
      <c r="I660" s="1">
        <f>IF(B660="", "", "urine metagenome")</f>
        <v>0</v>
      </c>
      <c r="J660" s="1">
        <f>IF(B660="", "", "1346744")</f>
        <v>0</v>
      </c>
    </row>
    <row r="661" spans="1:10">
      <c r="A661">
        <f>IF(COUNTBLANK(B661:J661)&lt;&gt;COLUMNS(B661:J661),660,"")</f>
        <v>0</v>
      </c>
      <c r="C661" s="1">
        <f>IF(B661="", "", "UBERON:genitourinary")</f>
        <v>0</v>
      </c>
      <c r="D661" s="1">
        <f>IF(B661="", "", "UBERON:urine")</f>
        <v>0</v>
      </c>
      <c r="E661" s="1">
        <f>IF(B661="", "", "UBERON:kidney")</f>
        <v>0</v>
      </c>
      <c r="F661" s="1">
        <f>IF(B661="", "", "animal corpus")</f>
        <v>0</v>
      </c>
      <c r="G661" s="1">
        <f>IF(B661="", "", "urine")</f>
        <v>0</v>
      </c>
      <c r="H661" s="1">
        <f>IF(B661="", "", "urine")</f>
        <v>0</v>
      </c>
      <c r="I661" s="1">
        <f>IF(B661="", "", "urine metagenome")</f>
        <v>0</v>
      </c>
      <c r="J661" s="1">
        <f>IF(B661="", "", "1346744")</f>
        <v>0</v>
      </c>
    </row>
    <row r="662" spans="1:10">
      <c r="A662">
        <f>IF(COUNTBLANK(B662:J662)&lt;&gt;COLUMNS(B662:J662),661,"")</f>
        <v>0</v>
      </c>
      <c r="C662" s="1">
        <f>IF(B662="", "", "UBERON:genitourinary")</f>
        <v>0</v>
      </c>
      <c r="D662" s="1">
        <f>IF(B662="", "", "UBERON:urine")</f>
        <v>0</v>
      </c>
      <c r="E662" s="1">
        <f>IF(B662="", "", "UBERON:kidney")</f>
        <v>0</v>
      </c>
      <c r="F662" s="1">
        <f>IF(B662="", "", "animal corpus")</f>
        <v>0</v>
      </c>
      <c r="G662" s="1">
        <f>IF(B662="", "", "urine")</f>
        <v>0</v>
      </c>
      <c r="H662" s="1">
        <f>IF(B662="", "", "urine")</f>
        <v>0</v>
      </c>
      <c r="I662" s="1">
        <f>IF(B662="", "", "urine metagenome")</f>
        <v>0</v>
      </c>
      <c r="J662" s="1">
        <f>IF(B662="", "", "1346744")</f>
        <v>0</v>
      </c>
    </row>
    <row r="663" spans="1:10">
      <c r="A663">
        <f>IF(COUNTBLANK(B663:J663)&lt;&gt;COLUMNS(B663:J663),662,"")</f>
        <v>0</v>
      </c>
      <c r="C663" s="1">
        <f>IF(B663="", "", "UBERON:genitourinary")</f>
        <v>0</v>
      </c>
      <c r="D663" s="1">
        <f>IF(B663="", "", "UBERON:urine")</f>
        <v>0</v>
      </c>
      <c r="E663" s="1">
        <f>IF(B663="", "", "UBERON:kidney")</f>
        <v>0</v>
      </c>
      <c r="F663" s="1">
        <f>IF(B663="", "", "animal corpus")</f>
        <v>0</v>
      </c>
      <c r="G663" s="1">
        <f>IF(B663="", "", "urine")</f>
        <v>0</v>
      </c>
      <c r="H663" s="1">
        <f>IF(B663="", "", "urine")</f>
        <v>0</v>
      </c>
      <c r="I663" s="1">
        <f>IF(B663="", "", "urine metagenome")</f>
        <v>0</v>
      </c>
      <c r="J663" s="1">
        <f>IF(B663="", "", "1346744")</f>
        <v>0</v>
      </c>
    </row>
    <row r="664" spans="1:10">
      <c r="A664">
        <f>IF(COUNTBLANK(B664:J664)&lt;&gt;COLUMNS(B664:J664),663,"")</f>
        <v>0</v>
      </c>
      <c r="C664" s="1">
        <f>IF(B664="", "", "UBERON:genitourinary")</f>
        <v>0</v>
      </c>
      <c r="D664" s="1">
        <f>IF(B664="", "", "UBERON:urine")</f>
        <v>0</v>
      </c>
      <c r="E664" s="1">
        <f>IF(B664="", "", "UBERON:kidney")</f>
        <v>0</v>
      </c>
      <c r="F664" s="1">
        <f>IF(B664="", "", "animal corpus")</f>
        <v>0</v>
      </c>
      <c r="G664" s="1">
        <f>IF(B664="", "", "urine")</f>
        <v>0</v>
      </c>
      <c r="H664" s="1">
        <f>IF(B664="", "", "urine")</f>
        <v>0</v>
      </c>
      <c r="I664" s="1">
        <f>IF(B664="", "", "urine metagenome")</f>
        <v>0</v>
      </c>
      <c r="J664" s="1">
        <f>IF(B664="", "", "1346744")</f>
        <v>0</v>
      </c>
    </row>
    <row r="665" spans="1:10">
      <c r="A665">
        <f>IF(COUNTBLANK(B665:J665)&lt;&gt;COLUMNS(B665:J665),664,"")</f>
        <v>0</v>
      </c>
      <c r="C665" s="1">
        <f>IF(B665="", "", "UBERON:genitourinary")</f>
        <v>0</v>
      </c>
      <c r="D665" s="1">
        <f>IF(B665="", "", "UBERON:urine")</f>
        <v>0</v>
      </c>
      <c r="E665" s="1">
        <f>IF(B665="", "", "UBERON:kidney")</f>
        <v>0</v>
      </c>
      <c r="F665" s="1">
        <f>IF(B665="", "", "animal corpus")</f>
        <v>0</v>
      </c>
      <c r="G665" s="1">
        <f>IF(B665="", "", "urine")</f>
        <v>0</v>
      </c>
      <c r="H665" s="1">
        <f>IF(B665="", "", "urine")</f>
        <v>0</v>
      </c>
      <c r="I665" s="1">
        <f>IF(B665="", "", "urine metagenome")</f>
        <v>0</v>
      </c>
      <c r="J665" s="1">
        <f>IF(B665="", "", "1346744")</f>
        <v>0</v>
      </c>
    </row>
    <row r="666" spans="1:10">
      <c r="A666">
        <f>IF(COUNTBLANK(B666:J666)&lt;&gt;COLUMNS(B666:J666),665,"")</f>
        <v>0</v>
      </c>
      <c r="C666" s="1">
        <f>IF(B666="", "", "UBERON:genitourinary")</f>
        <v>0</v>
      </c>
      <c r="D666" s="1">
        <f>IF(B666="", "", "UBERON:urine")</f>
        <v>0</v>
      </c>
      <c r="E666" s="1">
        <f>IF(B666="", "", "UBERON:kidney")</f>
        <v>0</v>
      </c>
      <c r="F666" s="1">
        <f>IF(B666="", "", "animal corpus")</f>
        <v>0</v>
      </c>
      <c r="G666" s="1">
        <f>IF(B666="", "", "urine")</f>
        <v>0</v>
      </c>
      <c r="H666" s="1">
        <f>IF(B666="", "", "urine")</f>
        <v>0</v>
      </c>
      <c r="I666" s="1">
        <f>IF(B666="", "", "urine metagenome")</f>
        <v>0</v>
      </c>
      <c r="J666" s="1">
        <f>IF(B666="", "", "1346744")</f>
        <v>0</v>
      </c>
    </row>
    <row r="667" spans="1:10">
      <c r="A667">
        <f>IF(COUNTBLANK(B667:J667)&lt;&gt;COLUMNS(B667:J667),666,"")</f>
        <v>0</v>
      </c>
      <c r="C667" s="1">
        <f>IF(B667="", "", "UBERON:genitourinary")</f>
        <v>0</v>
      </c>
      <c r="D667" s="1">
        <f>IF(B667="", "", "UBERON:urine")</f>
        <v>0</v>
      </c>
      <c r="E667" s="1">
        <f>IF(B667="", "", "UBERON:kidney")</f>
        <v>0</v>
      </c>
      <c r="F667" s="1">
        <f>IF(B667="", "", "animal corpus")</f>
        <v>0</v>
      </c>
      <c r="G667" s="1">
        <f>IF(B667="", "", "urine")</f>
        <v>0</v>
      </c>
      <c r="H667" s="1">
        <f>IF(B667="", "", "urine")</f>
        <v>0</v>
      </c>
      <c r="I667" s="1">
        <f>IF(B667="", "", "urine metagenome")</f>
        <v>0</v>
      </c>
      <c r="J667" s="1">
        <f>IF(B667="", "", "1346744")</f>
        <v>0</v>
      </c>
    </row>
    <row r="668" spans="1:10">
      <c r="A668">
        <f>IF(COUNTBLANK(B668:J668)&lt;&gt;COLUMNS(B668:J668),667,"")</f>
        <v>0</v>
      </c>
      <c r="C668" s="1">
        <f>IF(B668="", "", "UBERON:genitourinary")</f>
        <v>0</v>
      </c>
      <c r="D668" s="1">
        <f>IF(B668="", "", "UBERON:urine")</f>
        <v>0</v>
      </c>
      <c r="E668" s="1">
        <f>IF(B668="", "", "UBERON:kidney")</f>
        <v>0</v>
      </c>
      <c r="F668" s="1">
        <f>IF(B668="", "", "animal corpus")</f>
        <v>0</v>
      </c>
      <c r="G668" s="1">
        <f>IF(B668="", "", "urine")</f>
        <v>0</v>
      </c>
      <c r="H668" s="1">
        <f>IF(B668="", "", "urine")</f>
        <v>0</v>
      </c>
      <c r="I668" s="1">
        <f>IF(B668="", "", "urine metagenome")</f>
        <v>0</v>
      </c>
      <c r="J668" s="1">
        <f>IF(B668="", "", "1346744")</f>
        <v>0</v>
      </c>
    </row>
    <row r="669" spans="1:10">
      <c r="A669">
        <f>IF(COUNTBLANK(B669:J669)&lt;&gt;COLUMNS(B669:J669),668,"")</f>
        <v>0</v>
      </c>
      <c r="C669" s="1">
        <f>IF(B669="", "", "UBERON:genitourinary")</f>
        <v>0</v>
      </c>
      <c r="D669" s="1">
        <f>IF(B669="", "", "UBERON:urine")</f>
        <v>0</v>
      </c>
      <c r="E669" s="1">
        <f>IF(B669="", "", "UBERON:kidney")</f>
        <v>0</v>
      </c>
      <c r="F669" s="1">
        <f>IF(B669="", "", "animal corpus")</f>
        <v>0</v>
      </c>
      <c r="G669" s="1">
        <f>IF(B669="", "", "urine")</f>
        <v>0</v>
      </c>
      <c r="H669" s="1">
        <f>IF(B669="", "", "urine")</f>
        <v>0</v>
      </c>
      <c r="I669" s="1">
        <f>IF(B669="", "", "urine metagenome")</f>
        <v>0</v>
      </c>
      <c r="J669" s="1">
        <f>IF(B669="", "", "1346744")</f>
        <v>0</v>
      </c>
    </row>
    <row r="670" spans="1:10">
      <c r="A670">
        <f>IF(COUNTBLANK(B670:J670)&lt;&gt;COLUMNS(B670:J670),669,"")</f>
        <v>0</v>
      </c>
      <c r="C670" s="1">
        <f>IF(B670="", "", "UBERON:genitourinary")</f>
        <v>0</v>
      </c>
      <c r="D670" s="1">
        <f>IF(B670="", "", "UBERON:urine")</f>
        <v>0</v>
      </c>
      <c r="E670" s="1">
        <f>IF(B670="", "", "UBERON:kidney")</f>
        <v>0</v>
      </c>
      <c r="F670" s="1">
        <f>IF(B670="", "", "animal corpus")</f>
        <v>0</v>
      </c>
      <c r="G670" s="1">
        <f>IF(B670="", "", "urine")</f>
        <v>0</v>
      </c>
      <c r="H670" s="1">
        <f>IF(B670="", "", "urine")</f>
        <v>0</v>
      </c>
      <c r="I670" s="1">
        <f>IF(B670="", "", "urine metagenome")</f>
        <v>0</v>
      </c>
      <c r="J670" s="1">
        <f>IF(B670="", "", "1346744")</f>
        <v>0</v>
      </c>
    </row>
    <row r="671" spans="1:10">
      <c r="A671">
        <f>IF(COUNTBLANK(B671:J671)&lt;&gt;COLUMNS(B671:J671),670,"")</f>
        <v>0</v>
      </c>
      <c r="C671" s="1">
        <f>IF(B671="", "", "UBERON:genitourinary")</f>
        <v>0</v>
      </c>
      <c r="D671" s="1">
        <f>IF(B671="", "", "UBERON:urine")</f>
        <v>0</v>
      </c>
      <c r="E671" s="1">
        <f>IF(B671="", "", "UBERON:kidney")</f>
        <v>0</v>
      </c>
      <c r="F671" s="1">
        <f>IF(B671="", "", "animal corpus")</f>
        <v>0</v>
      </c>
      <c r="G671" s="1">
        <f>IF(B671="", "", "urine")</f>
        <v>0</v>
      </c>
      <c r="H671" s="1">
        <f>IF(B671="", "", "urine")</f>
        <v>0</v>
      </c>
      <c r="I671" s="1">
        <f>IF(B671="", "", "urine metagenome")</f>
        <v>0</v>
      </c>
      <c r="J671" s="1">
        <f>IF(B671="", "", "1346744")</f>
        <v>0</v>
      </c>
    </row>
    <row r="672" spans="1:10">
      <c r="A672">
        <f>IF(COUNTBLANK(B672:J672)&lt;&gt;COLUMNS(B672:J672),671,"")</f>
        <v>0</v>
      </c>
      <c r="C672" s="1">
        <f>IF(B672="", "", "UBERON:genitourinary")</f>
        <v>0</v>
      </c>
      <c r="D672" s="1">
        <f>IF(B672="", "", "UBERON:urine")</f>
        <v>0</v>
      </c>
      <c r="E672" s="1">
        <f>IF(B672="", "", "UBERON:kidney")</f>
        <v>0</v>
      </c>
      <c r="F672" s="1">
        <f>IF(B672="", "", "animal corpus")</f>
        <v>0</v>
      </c>
      <c r="G672" s="1">
        <f>IF(B672="", "", "urine")</f>
        <v>0</v>
      </c>
      <c r="H672" s="1">
        <f>IF(B672="", "", "urine")</f>
        <v>0</v>
      </c>
      <c r="I672" s="1">
        <f>IF(B672="", "", "urine metagenome")</f>
        <v>0</v>
      </c>
      <c r="J672" s="1">
        <f>IF(B672="", "", "1346744")</f>
        <v>0</v>
      </c>
    </row>
    <row r="673" spans="1:10">
      <c r="A673">
        <f>IF(COUNTBLANK(B673:J673)&lt;&gt;COLUMNS(B673:J673),672,"")</f>
        <v>0</v>
      </c>
      <c r="C673" s="1">
        <f>IF(B673="", "", "UBERON:genitourinary")</f>
        <v>0</v>
      </c>
      <c r="D673" s="1">
        <f>IF(B673="", "", "UBERON:urine")</f>
        <v>0</v>
      </c>
      <c r="E673" s="1">
        <f>IF(B673="", "", "UBERON:kidney")</f>
        <v>0</v>
      </c>
      <c r="F673" s="1">
        <f>IF(B673="", "", "animal corpus")</f>
        <v>0</v>
      </c>
      <c r="G673" s="1">
        <f>IF(B673="", "", "urine")</f>
        <v>0</v>
      </c>
      <c r="H673" s="1">
        <f>IF(B673="", "", "urine")</f>
        <v>0</v>
      </c>
      <c r="I673" s="1">
        <f>IF(B673="", "", "urine metagenome")</f>
        <v>0</v>
      </c>
      <c r="J673" s="1">
        <f>IF(B673="", "", "1346744")</f>
        <v>0</v>
      </c>
    </row>
    <row r="674" spans="1:10">
      <c r="A674">
        <f>IF(COUNTBLANK(B674:J674)&lt;&gt;COLUMNS(B674:J674),673,"")</f>
        <v>0</v>
      </c>
      <c r="C674" s="1">
        <f>IF(B674="", "", "UBERON:genitourinary")</f>
        <v>0</v>
      </c>
      <c r="D674" s="1">
        <f>IF(B674="", "", "UBERON:urine")</f>
        <v>0</v>
      </c>
      <c r="E674" s="1">
        <f>IF(B674="", "", "UBERON:kidney")</f>
        <v>0</v>
      </c>
      <c r="F674" s="1">
        <f>IF(B674="", "", "animal corpus")</f>
        <v>0</v>
      </c>
      <c r="G674" s="1">
        <f>IF(B674="", "", "urine")</f>
        <v>0</v>
      </c>
      <c r="H674" s="1">
        <f>IF(B674="", "", "urine")</f>
        <v>0</v>
      </c>
      <c r="I674" s="1">
        <f>IF(B674="", "", "urine metagenome")</f>
        <v>0</v>
      </c>
      <c r="J674" s="1">
        <f>IF(B674="", "", "1346744")</f>
        <v>0</v>
      </c>
    </row>
    <row r="675" spans="1:10">
      <c r="A675">
        <f>IF(COUNTBLANK(B675:J675)&lt;&gt;COLUMNS(B675:J675),674,"")</f>
        <v>0</v>
      </c>
      <c r="C675" s="1">
        <f>IF(B675="", "", "UBERON:genitourinary")</f>
        <v>0</v>
      </c>
      <c r="D675" s="1">
        <f>IF(B675="", "", "UBERON:urine")</f>
        <v>0</v>
      </c>
      <c r="E675" s="1">
        <f>IF(B675="", "", "UBERON:kidney")</f>
        <v>0</v>
      </c>
      <c r="F675" s="1">
        <f>IF(B675="", "", "animal corpus")</f>
        <v>0</v>
      </c>
      <c r="G675" s="1">
        <f>IF(B675="", "", "urine")</f>
        <v>0</v>
      </c>
      <c r="H675" s="1">
        <f>IF(B675="", "", "urine")</f>
        <v>0</v>
      </c>
      <c r="I675" s="1">
        <f>IF(B675="", "", "urine metagenome")</f>
        <v>0</v>
      </c>
      <c r="J675" s="1">
        <f>IF(B675="", "", "1346744")</f>
        <v>0</v>
      </c>
    </row>
    <row r="676" spans="1:10">
      <c r="A676">
        <f>IF(COUNTBLANK(B676:J676)&lt;&gt;COLUMNS(B676:J676),675,"")</f>
        <v>0</v>
      </c>
      <c r="C676" s="1">
        <f>IF(B676="", "", "UBERON:genitourinary")</f>
        <v>0</v>
      </c>
      <c r="D676" s="1">
        <f>IF(B676="", "", "UBERON:urine")</f>
        <v>0</v>
      </c>
      <c r="E676" s="1">
        <f>IF(B676="", "", "UBERON:kidney")</f>
        <v>0</v>
      </c>
      <c r="F676" s="1">
        <f>IF(B676="", "", "animal corpus")</f>
        <v>0</v>
      </c>
      <c r="G676" s="1">
        <f>IF(B676="", "", "urine")</f>
        <v>0</v>
      </c>
      <c r="H676" s="1">
        <f>IF(B676="", "", "urine")</f>
        <v>0</v>
      </c>
      <c r="I676" s="1">
        <f>IF(B676="", "", "urine metagenome")</f>
        <v>0</v>
      </c>
      <c r="J676" s="1">
        <f>IF(B676="", "", "1346744")</f>
        <v>0</v>
      </c>
    </row>
    <row r="677" spans="1:10">
      <c r="A677">
        <f>IF(COUNTBLANK(B677:J677)&lt;&gt;COLUMNS(B677:J677),676,"")</f>
        <v>0</v>
      </c>
      <c r="C677" s="1">
        <f>IF(B677="", "", "UBERON:genitourinary")</f>
        <v>0</v>
      </c>
      <c r="D677" s="1">
        <f>IF(B677="", "", "UBERON:urine")</f>
        <v>0</v>
      </c>
      <c r="E677" s="1">
        <f>IF(B677="", "", "UBERON:kidney")</f>
        <v>0</v>
      </c>
      <c r="F677" s="1">
        <f>IF(B677="", "", "animal corpus")</f>
        <v>0</v>
      </c>
      <c r="G677" s="1">
        <f>IF(B677="", "", "urine")</f>
        <v>0</v>
      </c>
      <c r="H677" s="1">
        <f>IF(B677="", "", "urine")</f>
        <v>0</v>
      </c>
      <c r="I677" s="1">
        <f>IF(B677="", "", "urine metagenome")</f>
        <v>0</v>
      </c>
      <c r="J677" s="1">
        <f>IF(B677="", "", "1346744")</f>
        <v>0</v>
      </c>
    </row>
    <row r="678" spans="1:10">
      <c r="A678">
        <f>IF(COUNTBLANK(B678:J678)&lt;&gt;COLUMNS(B678:J678),677,"")</f>
        <v>0</v>
      </c>
      <c r="C678" s="1">
        <f>IF(B678="", "", "UBERON:genitourinary")</f>
        <v>0</v>
      </c>
      <c r="D678" s="1">
        <f>IF(B678="", "", "UBERON:urine")</f>
        <v>0</v>
      </c>
      <c r="E678" s="1">
        <f>IF(B678="", "", "UBERON:kidney")</f>
        <v>0</v>
      </c>
      <c r="F678" s="1">
        <f>IF(B678="", "", "animal corpus")</f>
        <v>0</v>
      </c>
      <c r="G678" s="1">
        <f>IF(B678="", "", "urine")</f>
        <v>0</v>
      </c>
      <c r="H678" s="1">
        <f>IF(B678="", "", "urine")</f>
        <v>0</v>
      </c>
      <c r="I678" s="1">
        <f>IF(B678="", "", "urine metagenome")</f>
        <v>0</v>
      </c>
      <c r="J678" s="1">
        <f>IF(B678="", "", "1346744")</f>
        <v>0</v>
      </c>
    </row>
    <row r="679" spans="1:10">
      <c r="A679">
        <f>IF(COUNTBLANK(B679:J679)&lt;&gt;COLUMNS(B679:J679),678,"")</f>
        <v>0</v>
      </c>
      <c r="C679" s="1">
        <f>IF(B679="", "", "UBERON:genitourinary")</f>
        <v>0</v>
      </c>
      <c r="D679" s="1">
        <f>IF(B679="", "", "UBERON:urine")</f>
        <v>0</v>
      </c>
      <c r="E679" s="1">
        <f>IF(B679="", "", "UBERON:kidney")</f>
        <v>0</v>
      </c>
      <c r="F679" s="1">
        <f>IF(B679="", "", "animal corpus")</f>
        <v>0</v>
      </c>
      <c r="G679" s="1">
        <f>IF(B679="", "", "urine")</f>
        <v>0</v>
      </c>
      <c r="H679" s="1">
        <f>IF(B679="", "", "urine")</f>
        <v>0</v>
      </c>
      <c r="I679" s="1">
        <f>IF(B679="", "", "urine metagenome")</f>
        <v>0</v>
      </c>
      <c r="J679" s="1">
        <f>IF(B679="", "", "1346744")</f>
        <v>0</v>
      </c>
    </row>
    <row r="680" spans="1:10">
      <c r="A680">
        <f>IF(COUNTBLANK(B680:J680)&lt;&gt;COLUMNS(B680:J680),679,"")</f>
        <v>0</v>
      </c>
      <c r="C680" s="1">
        <f>IF(B680="", "", "UBERON:genitourinary")</f>
        <v>0</v>
      </c>
      <c r="D680" s="1">
        <f>IF(B680="", "", "UBERON:urine")</f>
        <v>0</v>
      </c>
      <c r="E680" s="1">
        <f>IF(B680="", "", "UBERON:kidney")</f>
        <v>0</v>
      </c>
      <c r="F680" s="1">
        <f>IF(B680="", "", "animal corpus")</f>
        <v>0</v>
      </c>
      <c r="G680" s="1">
        <f>IF(B680="", "", "urine")</f>
        <v>0</v>
      </c>
      <c r="H680" s="1">
        <f>IF(B680="", "", "urine")</f>
        <v>0</v>
      </c>
      <c r="I680" s="1">
        <f>IF(B680="", "", "urine metagenome")</f>
        <v>0</v>
      </c>
      <c r="J680" s="1">
        <f>IF(B680="", "", "1346744")</f>
        <v>0</v>
      </c>
    </row>
    <row r="681" spans="1:10">
      <c r="A681">
        <f>IF(COUNTBLANK(B681:J681)&lt;&gt;COLUMNS(B681:J681),680,"")</f>
        <v>0</v>
      </c>
      <c r="C681" s="1">
        <f>IF(B681="", "", "UBERON:genitourinary")</f>
        <v>0</v>
      </c>
      <c r="D681" s="1">
        <f>IF(B681="", "", "UBERON:urine")</f>
        <v>0</v>
      </c>
      <c r="E681" s="1">
        <f>IF(B681="", "", "UBERON:kidney")</f>
        <v>0</v>
      </c>
      <c r="F681" s="1">
        <f>IF(B681="", "", "animal corpus")</f>
        <v>0</v>
      </c>
      <c r="G681" s="1">
        <f>IF(B681="", "", "urine")</f>
        <v>0</v>
      </c>
      <c r="H681" s="1">
        <f>IF(B681="", "", "urine")</f>
        <v>0</v>
      </c>
      <c r="I681" s="1">
        <f>IF(B681="", "", "urine metagenome")</f>
        <v>0</v>
      </c>
      <c r="J681" s="1">
        <f>IF(B681="", "", "1346744")</f>
        <v>0</v>
      </c>
    </row>
    <row r="682" spans="1:10">
      <c r="A682">
        <f>IF(COUNTBLANK(B682:J682)&lt;&gt;COLUMNS(B682:J682),681,"")</f>
        <v>0</v>
      </c>
      <c r="C682" s="1">
        <f>IF(B682="", "", "UBERON:genitourinary")</f>
        <v>0</v>
      </c>
      <c r="D682" s="1">
        <f>IF(B682="", "", "UBERON:urine")</f>
        <v>0</v>
      </c>
      <c r="E682" s="1">
        <f>IF(B682="", "", "UBERON:kidney")</f>
        <v>0</v>
      </c>
      <c r="F682" s="1">
        <f>IF(B682="", "", "animal corpus")</f>
        <v>0</v>
      </c>
      <c r="G682" s="1">
        <f>IF(B682="", "", "urine")</f>
        <v>0</v>
      </c>
      <c r="H682" s="1">
        <f>IF(B682="", "", "urine")</f>
        <v>0</v>
      </c>
      <c r="I682" s="1">
        <f>IF(B682="", "", "urine metagenome")</f>
        <v>0</v>
      </c>
      <c r="J682" s="1">
        <f>IF(B682="", "", "1346744")</f>
        <v>0</v>
      </c>
    </row>
    <row r="683" spans="1:10">
      <c r="A683">
        <f>IF(COUNTBLANK(B683:J683)&lt;&gt;COLUMNS(B683:J683),682,"")</f>
        <v>0</v>
      </c>
      <c r="C683" s="1">
        <f>IF(B683="", "", "UBERON:genitourinary")</f>
        <v>0</v>
      </c>
      <c r="D683" s="1">
        <f>IF(B683="", "", "UBERON:urine")</f>
        <v>0</v>
      </c>
      <c r="E683" s="1">
        <f>IF(B683="", "", "UBERON:kidney")</f>
        <v>0</v>
      </c>
      <c r="F683" s="1">
        <f>IF(B683="", "", "animal corpus")</f>
        <v>0</v>
      </c>
      <c r="G683" s="1">
        <f>IF(B683="", "", "urine")</f>
        <v>0</v>
      </c>
      <c r="H683" s="1">
        <f>IF(B683="", "", "urine")</f>
        <v>0</v>
      </c>
      <c r="I683" s="1">
        <f>IF(B683="", "", "urine metagenome")</f>
        <v>0</v>
      </c>
      <c r="J683" s="1">
        <f>IF(B683="", "", "1346744")</f>
        <v>0</v>
      </c>
    </row>
    <row r="684" spans="1:10">
      <c r="A684">
        <f>IF(COUNTBLANK(B684:J684)&lt;&gt;COLUMNS(B684:J684),683,"")</f>
        <v>0</v>
      </c>
      <c r="C684" s="1">
        <f>IF(B684="", "", "UBERON:genitourinary")</f>
        <v>0</v>
      </c>
      <c r="D684" s="1">
        <f>IF(B684="", "", "UBERON:urine")</f>
        <v>0</v>
      </c>
      <c r="E684" s="1">
        <f>IF(B684="", "", "UBERON:kidney")</f>
        <v>0</v>
      </c>
      <c r="F684" s="1">
        <f>IF(B684="", "", "animal corpus")</f>
        <v>0</v>
      </c>
      <c r="G684" s="1">
        <f>IF(B684="", "", "urine")</f>
        <v>0</v>
      </c>
      <c r="H684" s="1">
        <f>IF(B684="", "", "urine")</f>
        <v>0</v>
      </c>
      <c r="I684" s="1">
        <f>IF(B684="", "", "urine metagenome")</f>
        <v>0</v>
      </c>
      <c r="J684" s="1">
        <f>IF(B684="", "", "1346744")</f>
        <v>0</v>
      </c>
    </row>
    <row r="685" spans="1:10">
      <c r="A685">
        <f>IF(COUNTBLANK(B685:J685)&lt;&gt;COLUMNS(B685:J685),684,"")</f>
        <v>0</v>
      </c>
      <c r="C685" s="1">
        <f>IF(B685="", "", "UBERON:genitourinary")</f>
        <v>0</v>
      </c>
      <c r="D685" s="1">
        <f>IF(B685="", "", "UBERON:urine")</f>
        <v>0</v>
      </c>
      <c r="E685" s="1">
        <f>IF(B685="", "", "UBERON:kidney")</f>
        <v>0</v>
      </c>
      <c r="F685" s="1">
        <f>IF(B685="", "", "animal corpus")</f>
        <v>0</v>
      </c>
      <c r="G685" s="1">
        <f>IF(B685="", "", "urine")</f>
        <v>0</v>
      </c>
      <c r="H685" s="1">
        <f>IF(B685="", "", "urine")</f>
        <v>0</v>
      </c>
      <c r="I685" s="1">
        <f>IF(B685="", "", "urine metagenome")</f>
        <v>0</v>
      </c>
      <c r="J685" s="1">
        <f>IF(B685="", "", "1346744")</f>
        <v>0</v>
      </c>
    </row>
    <row r="686" spans="1:10">
      <c r="A686">
        <f>IF(COUNTBLANK(B686:J686)&lt;&gt;COLUMNS(B686:J686),685,"")</f>
        <v>0</v>
      </c>
      <c r="C686" s="1">
        <f>IF(B686="", "", "UBERON:genitourinary")</f>
        <v>0</v>
      </c>
      <c r="D686" s="1">
        <f>IF(B686="", "", "UBERON:urine")</f>
        <v>0</v>
      </c>
      <c r="E686" s="1">
        <f>IF(B686="", "", "UBERON:kidney")</f>
        <v>0</v>
      </c>
      <c r="F686" s="1">
        <f>IF(B686="", "", "animal corpus")</f>
        <v>0</v>
      </c>
      <c r="G686" s="1">
        <f>IF(B686="", "", "urine")</f>
        <v>0</v>
      </c>
      <c r="H686" s="1">
        <f>IF(B686="", "", "urine")</f>
        <v>0</v>
      </c>
      <c r="I686" s="1">
        <f>IF(B686="", "", "urine metagenome")</f>
        <v>0</v>
      </c>
      <c r="J686" s="1">
        <f>IF(B686="", "", "1346744")</f>
        <v>0</v>
      </c>
    </row>
    <row r="687" spans="1:10">
      <c r="A687">
        <f>IF(COUNTBLANK(B687:J687)&lt;&gt;COLUMNS(B687:J687),686,"")</f>
        <v>0</v>
      </c>
      <c r="C687" s="1">
        <f>IF(B687="", "", "UBERON:genitourinary")</f>
        <v>0</v>
      </c>
      <c r="D687" s="1">
        <f>IF(B687="", "", "UBERON:urine")</f>
        <v>0</v>
      </c>
      <c r="E687" s="1">
        <f>IF(B687="", "", "UBERON:kidney")</f>
        <v>0</v>
      </c>
      <c r="F687" s="1">
        <f>IF(B687="", "", "animal corpus")</f>
        <v>0</v>
      </c>
      <c r="G687" s="1">
        <f>IF(B687="", "", "urine")</f>
        <v>0</v>
      </c>
      <c r="H687" s="1">
        <f>IF(B687="", "", "urine")</f>
        <v>0</v>
      </c>
      <c r="I687" s="1">
        <f>IF(B687="", "", "urine metagenome")</f>
        <v>0</v>
      </c>
      <c r="J687" s="1">
        <f>IF(B687="", "", "1346744")</f>
        <v>0</v>
      </c>
    </row>
    <row r="688" spans="1:10">
      <c r="A688">
        <f>IF(COUNTBLANK(B688:J688)&lt;&gt;COLUMNS(B688:J688),687,"")</f>
        <v>0</v>
      </c>
      <c r="C688" s="1">
        <f>IF(B688="", "", "UBERON:genitourinary")</f>
        <v>0</v>
      </c>
      <c r="D688" s="1">
        <f>IF(B688="", "", "UBERON:urine")</f>
        <v>0</v>
      </c>
      <c r="E688" s="1">
        <f>IF(B688="", "", "UBERON:kidney")</f>
        <v>0</v>
      </c>
      <c r="F688" s="1">
        <f>IF(B688="", "", "animal corpus")</f>
        <v>0</v>
      </c>
      <c r="G688" s="1">
        <f>IF(B688="", "", "urine")</f>
        <v>0</v>
      </c>
      <c r="H688" s="1">
        <f>IF(B688="", "", "urine")</f>
        <v>0</v>
      </c>
      <c r="I688" s="1">
        <f>IF(B688="", "", "urine metagenome")</f>
        <v>0</v>
      </c>
      <c r="J688" s="1">
        <f>IF(B688="", "", "1346744")</f>
        <v>0</v>
      </c>
    </row>
    <row r="689" spans="1:10">
      <c r="A689">
        <f>IF(COUNTBLANK(B689:J689)&lt;&gt;COLUMNS(B689:J689),688,"")</f>
        <v>0</v>
      </c>
      <c r="C689" s="1">
        <f>IF(B689="", "", "UBERON:genitourinary")</f>
        <v>0</v>
      </c>
      <c r="D689" s="1">
        <f>IF(B689="", "", "UBERON:urine")</f>
        <v>0</v>
      </c>
      <c r="E689" s="1">
        <f>IF(B689="", "", "UBERON:kidney")</f>
        <v>0</v>
      </c>
      <c r="F689" s="1">
        <f>IF(B689="", "", "animal corpus")</f>
        <v>0</v>
      </c>
      <c r="G689" s="1">
        <f>IF(B689="", "", "urine")</f>
        <v>0</v>
      </c>
      <c r="H689" s="1">
        <f>IF(B689="", "", "urine")</f>
        <v>0</v>
      </c>
      <c r="I689" s="1">
        <f>IF(B689="", "", "urine metagenome")</f>
        <v>0</v>
      </c>
      <c r="J689" s="1">
        <f>IF(B689="", "", "1346744")</f>
        <v>0</v>
      </c>
    </row>
    <row r="690" spans="1:10">
      <c r="A690">
        <f>IF(COUNTBLANK(B690:J690)&lt;&gt;COLUMNS(B690:J690),689,"")</f>
        <v>0</v>
      </c>
      <c r="C690" s="1">
        <f>IF(B690="", "", "UBERON:genitourinary")</f>
        <v>0</v>
      </c>
      <c r="D690" s="1">
        <f>IF(B690="", "", "UBERON:urine")</f>
        <v>0</v>
      </c>
      <c r="E690" s="1">
        <f>IF(B690="", "", "UBERON:kidney")</f>
        <v>0</v>
      </c>
      <c r="F690" s="1">
        <f>IF(B690="", "", "animal corpus")</f>
        <v>0</v>
      </c>
      <c r="G690" s="1">
        <f>IF(B690="", "", "urine")</f>
        <v>0</v>
      </c>
      <c r="H690" s="1">
        <f>IF(B690="", "", "urine")</f>
        <v>0</v>
      </c>
      <c r="I690" s="1">
        <f>IF(B690="", "", "urine metagenome")</f>
        <v>0</v>
      </c>
      <c r="J690" s="1">
        <f>IF(B690="", "", "1346744")</f>
        <v>0</v>
      </c>
    </row>
    <row r="691" spans="1:10">
      <c r="A691">
        <f>IF(COUNTBLANK(B691:J691)&lt;&gt;COLUMNS(B691:J691),690,"")</f>
        <v>0</v>
      </c>
      <c r="C691" s="1">
        <f>IF(B691="", "", "UBERON:genitourinary")</f>
        <v>0</v>
      </c>
      <c r="D691" s="1">
        <f>IF(B691="", "", "UBERON:urine")</f>
        <v>0</v>
      </c>
      <c r="E691" s="1">
        <f>IF(B691="", "", "UBERON:kidney")</f>
        <v>0</v>
      </c>
      <c r="F691" s="1">
        <f>IF(B691="", "", "animal corpus")</f>
        <v>0</v>
      </c>
      <c r="G691" s="1">
        <f>IF(B691="", "", "urine")</f>
        <v>0</v>
      </c>
      <c r="H691" s="1">
        <f>IF(B691="", "", "urine")</f>
        <v>0</v>
      </c>
      <c r="I691" s="1">
        <f>IF(B691="", "", "urine metagenome")</f>
        <v>0</v>
      </c>
      <c r="J691" s="1">
        <f>IF(B691="", "", "1346744")</f>
        <v>0</v>
      </c>
    </row>
    <row r="692" spans="1:10">
      <c r="A692">
        <f>IF(COUNTBLANK(B692:J692)&lt;&gt;COLUMNS(B692:J692),691,"")</f>
        <v>0</v>
      </c>
      <c r="C692" s="1">
        <f>IF(B692="", "", "UBERON:genitourinary")</f>
        <v>0</v>
      </c>
      <c r="D692" s="1">
        <f>IF(B692="", "", "UBERON:urine")</f>
        <v>0</v>
      </c>
      <c r="E692" s="1">
        <f>IF(B692="", "", "UBERON:kidney")</f>
        <v>0</v>
      </c>
      <c r="F692" s="1">
        <f>IF(B692="", "", "animal corpus")</f>
        <v>0</v>
      </c>
      <c r="G692" s="1">
        <f>IF(B692="", "", "urine")</f>
        <v>0</v>
      </c>
      <c r="H692" s="1">
        <f>IF(B692="", "", "urine")</f>
        <v>0</v>
      </c>
      <c r="I692" s="1">
        <f>IF(B692="", "", "urine metagenome")</f>
        <v>0</v>
      </c>
      <c r="J692" s="1">
        <f>IF(B692="", "", "1346744")</f>
        <v>0</v>
      </c>
    </row>
    <row r="693" spans="1:10">
      <c r="A693">
        <f>IF(COUNTBLANK(B693:J693)&lt;&gt;COLUMNS(B693:J693),692,"")</f>
        <v>0</v>
      </c>
      <c r="C693" s="1">
        <f>IF(B693="", "", "UBERON:genitourinary")</f>
        <v>0</v>
      </c>
      <c r="D693" s="1">
        <f>IF(B693="", "", "UBERON:urine")</f>
        <v>0</v>
      </c>
      <c r="E693" s="1">
        <f>IF(B693="", "", "UBERON:kidney")</f>
        <v>0</v>
      </c>
      <c r="F693" s="1">
        <f>IF(B693="", "", "animal corpus")</f>
        <v>0</v>
      </c>
      <c r="G693" s="1">
        <f>IF(B693="", "", "urine")</f>
        <v>0</v>
      </c>
      <c r="H693" s="1">
        <f>IF(B693="", "", "urine")</f>
        <v>0</v>
      </c>
      <c r="I693" s="1">
        <f>IF(B693="", "", "urine metagenome")</f>
        <v>0</v>
      </c>
      <c r="J693" s="1">
        <f>IF(B693="", "", "1346744")</f>
        <v>0</v>
      </c>
    </row>
    <row r="694" spans="1:10">
      <c r="A694">
        <f>IF(COUNTBLANK(B694:J694)&lt;&gt;COLUMNS(B694:J694),693,"")</f>
        <v>0</v>
      </c>
      <c r="C694" s="1">
        <f>IF(B694="", "", "UBERON:genitourinary")</f>
        <v>0</v>
      </c>
      <c r="D694" s="1">
        <f>IF(B694="", "", "UBERON:urine")</f>
        <v>0</v>
      </c>
      <c r="E694" s="1">
        <f>IF(B694="", "", "UBERON:kidney")</f>
        <v>0</v>
      </c>
      <c r="F694" s="1">
        <f>IF(B694="", "", "animal corpus")</f>
        <v>0</v>
      </c>
      <c r="G694" s="1">
        <f>IF(B694="", "", "urine")</f>
        <v>0</v>
      </c>
      <c r="H694" s="1">
        <f>IF(B694="", "", "urine")</f>
        <v>0</v>
      </c>
      <c r="I694" s="1">
        <f>IF(B694="", "", "urine metagenome")</f>
        <v>0</v>
      </c>
      <c r="J694" s="1">
        <f>IF(B694="", "", "1346744")</f>
        <v>0</v>
      </c>
    </row>
    <row r="695" spans="1:10">
      <c r="A695">
        <f>IF(COUNTBLANK(B695:J695)&lt;&gt;COLUMNS(B695:J695),694,"")</f>
        <v>0</v>
      </c>
      <c r="C695" s="1">
        <f>IF(B695="", "", "UBERON:genitourinary")</f>
        <v>0</v>
      </c>
      <c r="D695" s="1">
        <f>IF(B695="", "", "UBERON:urine")</f>
        <v>0</v>
      </c>
      <c r="E695" s="1">
        <f>IF(B695="", "", "UBERON:kidney")</f>
        <v>0</v>
      </c>
      <c r="F695" s="1">
        <f>IF(B695="", "", "animal corpus")</f>
        <v>0</v>
      </c>
      <c r="G695" s="1">
        <f>IF(B695="", "", "urine")</f>
        <v>0</v>
      </c>
      <c r="H695" s="1">
        <f>IF(B695="", "", "urine")</f>
        <v>0</v>
      </c>
      <c r="I695" s="1">
        <f>IF(B695="", "", "urine metagenome")</f>
        <v>0</v>
      </c>
      <c r="J695" s="1">
        <f>IF(B695="", "", "1346744")</f>
        <v>0</v>
      </c>
    </row>
    <row r="696" spans="1:10">
      <c r="A696">
        <f>IF(COUNTBLANK(B696:J696)&lt;&gt;COLUMNS(B696:J696),695,"")</f>
        <v>0</v>
      </c>
      <c r="C696" s="1">
        <f>IF(B696="", "", "UBERON:genitourinary")</f>
        <v>0</v>
      </c>
      <c r="D696" s="1">
        <f>IF(B696="", "", "UBERON:urine")</f>
        <v>0</v>
      </c>
      <c r="E696" s="1">
        <f>IF(B696="", "", "UBERON:kidney")</f>
        <v>0</v>
      </c>
      <c r="F696" s="1">
        <f>IF(B696="", "", "animal corpus")</f>
        <v>0</v>
      </c>
      <c r="G696" s="1">
        <f>IF(B696="", "", "urine")</f>
        <v>0</v>
      </c>
      <c r="H696" s="1">
        <f>IF(B696="", "", "urine")</f>
        <v>0</v>
      </c>
      <c r="I696" s="1">
        <f>IF(B696="", "", "urine metagenome")</f>
        <v>0</v>
      </c>
      <c r="J696" s="1">
        <f>IF(B696="", "", "1346744")</f>
        <v>0</v>
      </c>
    </row>
    <row r="697" spans="1:10">
      <c r="A697">
        <f>IF(COUNTBLANK(B697:J697)&lt;&gt;COLUMNS(B697:J697),696,"")</f>
        <v>0</v>
      </c>
      <c r="C697" s="1">
        <f>IF(B697="", "", "UBERON:genitourinary")</f>
        <v>0</v>
      </c>
      <c r="D697" s="1">
        <f>IF(B697="", "", "UBERON:urine")</f>
        <v>0</v>
      </c>
      <c r="E697" s="1">
        <f>IF(B697="", "", "UBERON:kidney")</f>
        <v>0</v>
      </c>
      <c r="F697" s="1">
        <f>IF(B697="", "", "animal corpus")</f>
        <v>0</v>
      </c>
      <c r="G697" s="1">
        <f>IF(B697="", "", "urine")</f>
        <v>0</v>
      </c>
      <c r="H697" s="1">
        <f>IF(B697="", "", "urine")</f>
        <v>0</v>
      </c>
      <c r="I697" s="1">
        <f>IF(B697="", "", "urine metagenome")</f>
        <v>0</v>
      </c>
      <c r="J697" s="1">
        <f>IF(B697="", "", "1346744")</f>
        <v>0</v>
      </c>
    </row>
    <row r="698" spans="1:10">
      <c r="A698">
        <f>IF(COUNTBLANK(B698:J698)&lt;&gt;COLUMNS(B698:J698),697,"")</f>
        <v>0</v>
      </c>
      <c r="C698" s="1">
        <f>IF(B698="", "", "UBERON:genitourinary")</f>
        <v>0</v>
      </c>
      <c r="D698" s="1">
        <f>IF(B698="", "", "UBERON:urine")</f>
        <v>0</v>
      </c>
      <c r="E698" s="1">
        <f>IF(B698="", "", "UBERON:kidney")</f>
        <v>0</v>
      </c>
      <c r="F698" s="1">
        <f>IF(B698="", "", "animal corpus")</f>
        <v>0</v>
      </c>
      <c r="G698" s="1">
        <f>IF(B698="", "", "urine")</f>
        <v>0</v>
      </c>
      <c r="H698" s="1">
        <f>IF(B698="", "", "urine")</f>
        <v>0</v>
      </c>
      <c r="I698" s="1">
        <f>IF(B698="", "", "urine metagenome")</f>
        <v>0</v>
      </c>
      <c r="J698" s="1">
        <f>IF(B698="", "", "1346744")</f>
        <v>0</v>
      </c>
    </row>
    <row r="699" spans="1:10">
      <c r="A699">
        <f>IF(COUNTBLANK(B699:J699)&lt;&gt;COLUMNS(B699:J699),698,"")</f>
        <v>0</v>
      </c>
      <c r="C699" s="1">
        <f>IF(B699="", "", "UBERON:genitourinary")</f>
        <v>0</v>
      </c>
      <c r="D699" s="1">
        <f>IF(B699="", "", "UBERON:urine")</f>
        <v>0</v>
      </c>
      <c r="E699" s="1">
        <f>IF(B699="", "", "UBERON:kidney")</f>
        <v>0</v>
      </c>
      <c r="F699" s="1">
        <f>IF(B699="", "", "animal corpus")</f>
        <v>0</v>
      </c>
      <c r="G699" s="1">
        <f>IF(B699="", "", "urine")</f>
        <v>0</v>
      </c>
      <c r="H699" s="1">
        <f>IF(B699="", "", "urine")</f>
        <v>0</v>
      </c>
      <c r="I699" s="1">
        <f>IF(B699="", "", "urine metagenome")</f>
        <v>0</v>
      </c>
      <c r="J699" s="1">
        <f>IF(B699="", "", "1346744")</f>
        <v>0</v>
      </c>
    </row>
    <row r="700" spans="1:10">
      <c r="A700">
        <f>IF(COUNTBLANK(B700:J700)&lt;&gt;COLUMNS(B700:J700),699,"")</f>
        <v>0</v>
      </c>
      <c r="C700" s="1">
        <f>IF(B700="", "", "UBERON:genitourinary")</f>
        <v>0</v>
      </c>
      <c r="D700" s="1">
        <f>IF(B700="", "", "UBERON:urine")</f>
        <v>0</v>
      </c>
      <c r="E700" s="1">
        <f>IF(B700="", "", "UBERON:kidney")</f>
        <v>0</v>
      </c>
      <c r="F700" s="1">
        <f>IF(B700="", "", "animal corpus")</f>
        <v>0</v>
      </c>
      <c r="G700" s="1">
        <f>IF(B700="", "", "urine")</f>
        <v>0</v>
      </c>
      <c r="H700" s="1">
        <f>IF(B700="", "", "urine")</f>
        <v>0</v>
      </c>
      <c r="I700" s="1">
        <f>IF(B700="", "", "urine metagenome")</f>
        <v>0</v>
      </c>
      <c r="J700" s="1">
        <f>IF(B700="", "", "1346744")</f>
        <v>0</v>
      </c>
    </row>
    <row r="701" spans="1:10">
      <c r="A701">
        <f>IF(COUNTBLANK(B701:J701)&lt;&gt;COLUMNS(B701:J701),700,"")</f>
        <v>0</v>
      </c>
      <c r="C701" s="1">
        <f>IF(B701="", "", "UBERON:genitourinary")</f>
        <v>0</v>
      </c>
      <c r="D701" s="1">
        <f>IF(B701="", "", "UBERON:urine")</f>
        <v>0</v>
      </c>
      <c r="E701" s="1">
        <f>IF(B701="", "", "UBERON:kidney")</f>
        <v>0</v>
      </c>
      <c r="F701" s="1">
        <f>IF(B701="", "", "animal corpus")</f>
        <v>0</v>
      </c>
      <c r="G701" s="1">
        <f>IF(B701="", "", "urine")</f>
        <v>0</v>
      </c>
      <c r="H701" s="1">
        <f>IF(B701="", "", "urine")</f>
        <v>0</v>
      </c>
      <c r="I701" s="1">
        <f>IF(B701="", "", "urine metagenome")</f>
        <v>0</v>
      </c>
      <c r="J701" s="1">
        <f>IF(B701="", "", "1346744")</f>
        <v>0</v>
      </c>
    </row>
    <row r="702" spans="1:10">
      <c r="A702">
        <f>IF(COUNTBLANK(B702:J702)&lt;&gt;COLUMNS(B702:J702),701,"")</f>
        <v>0</v>
      </c>
      <c r="C702" s="1">
        <f>IF(B702="", "", "UBERON:genitourinary")</f>
        <v>0</v>
      </c>
      <c r="D702" s="1">
        <f>IF(B702="", "", "UBERON:urine")</f>
        <v>0</v>
      </c>
      <c r="E702" s="1">
        <f>IF(B702="", "", "UBERON:kidney")</f>
        <v>0</v>
      </c>
      <c r="F702" s="1">
        <f>IF(B702="", "", "animal corpus")</f>
        <v>0</v>
      </c>
      <c r="G702" s="1">
        <f>IF(B702="", "", "urine")</f>
        <v>0</v>
      </c>
      <c r="H702" s="1">
        <f>IF(B702="", "", "urine")</f>
        <v>0</v>
      </c>
      <c r="I702" s="1">
        <f>IF(B702="", "", "urine metagenome")</f>
        <v>0</v>
      </c>
      <c r="J702" s="1">
        <f>IF(B702="", "", "1346744")</f>
        <v>0</v>
      </c>
    </row>
    <row r="703" spans="1:10">
      <c r="A703">
        <f>IF(COUNTBLANK(B703:J703)&lt;&gt;COLUMNS(B703:J703),702,"")</f>
        <v>0</v>
      </c>
      <c r="C703" s="1">
        <f>IF(B703="", "", "UBERON:genitourinary")</f>
        <v>0</v>
      </c>
      <c r="D703" s="1">
        <f>IF(B703="", "", "UBERON:urine")</f>
        <v>0</v>
      </c>
      <c r="E703" s="1">
        <f>IF(B703="", "", "UBERON:kidney")</f>
        <v>0</v>
      </c>
      <c r="F703" s="1">
        <f>IF(B703="", "", "animal corpus")</f>
        <v>0</v>
      </c>
      <c r="G703" s="1">
        <f>IF(B703="", "", "urine")</f>
        <v>0</v>
      </c>
      <c r="H703" s="1">
        <f>IF(B703="", "", "urine")</f>
        <v>0</v>
      </c>
      <c r="I703" s="1">
        <f>IF(B703="", "", "urine metagenome")</f>
        <v>0</v>
      </c>
      <c r="J703" s="1">
        <f>IF(B703="", "", "1346744")</f>
        <v>0</v>
      </c>
    </row>
    <row r="704" spans="1:10">
      <c r="A704">
        <f>IF(COUNTBLANK(B704:J704)&lt;&gt;COLUMNS(B704:J704),703,"")</f>
        <v>0</v>
      </c>
      <c r="C704" s="1">
        <f>IF(B704="", "", "UBERON:genitourinary")</f>
        <v>0</v>
      </c>
      <c r="D704" s="1">
        <f>IF(B704="", "", "UBERON:urine")</f>
        <v>0</v>
      </c>
      <c r="E704" s="1">
        <f>IF(B704="", "", "UBERON:kidney")</f>
        <v>0</v>
      </c>
      <c r="F704" s="1">
        <f>IF(B704="", "", "animal corpus")</f>
        <v>0</v>
      </c>
      <c r="G704" s="1">
        <f>IF(B704="", "", "urine")</f>
        <v>0</v>
      </c>
      <c r="H704" s="1">
        <f>IF(B704="", "", "urine")</f>
        <v>0</v>
      </c>
      <c r="I704" s="1">
        <f>IF(B704="", "", "urine metagenome")</f>
        <v>0</v>
      </c>
      <c r="J704" s="1">
        <f>IF(B704="", "", "1346744")</f>
        <v>0</v>
      </c>
    </row>
    <row r="705" spans="1:10">
      <c r="A705">
        <f>IF(COUNTBLANK(B705:J705)&lt;&gt;COLUMNS(B705:J705),704,"")</f>
        <v>0</v>
      </c>
      <c r="C705" s="1">
        <f>IF(B705="", "", "UBERON:genitourinary")</f>
        <v>0</v>
      </c>
      <c r="D705" s="1">
        <f>IF(B705="", "", "UBERON:urine")</f>
        <v>0</v>
      </c>
      <c r="E705" s="1">
        <f>IF(B705="", "", "UBERON:kidney")</f>
        <v>0</v>
      </c>
      <c r="F705" s="1">
        <f>IF(B705="", "", "animal corpus")</f>
        <v>0</v>
      </c>
      <c r="G705" s="1">
        <f>IF(B705="", "", "urine")</f>
        <v>0</v>
      </c>
      <c r="H705" s="1">
        <f>IF(B705="", "", "urine")</f>
        <v>0</v>
      </c>
      <c r="I705" s="1">
        <f>IF(B705="", "", "urine metagenome")</f>
        <v>0</v>
      </c>
      <c r="J705" s="1">
        <f>IF(B705="", "", "1346744")</f>
        <v>0</v>
      </c>
    </row>
    <row r="706" spans="1:10">
      <c r="A706">
        <f>IF(COUNTBLANK(B706:J706)&lt;&gt;COLUMNS(B706:J706),705,"")</f>
        <v>0</v>
      </c>
      <c r="C706" s="1">
        <f>IF(B706="", "", "UBERON:genitourinary")</f>
        <v>0</v>
      </c>
      <c r="D706" s="1">
        <f>IF(B706="", "", "UBERON:urine")</f>
        <v>0</v>
      </c>
      <c r="E706" s="1">
        <f>IF(B706="", "", "UBERON:kidney")</f>
        <v>0</v>
      </c>
      <c r="F706" s="1">
        <f>IF(B706="", "", "animal corpus")</f>
        <v>0</v>
      </c>
      <c r="G706" s="1">
        <f>IF(B706="", "", "urine")</f>
        <v>0</v>
      </c>
      <c r="H706" s="1">
        <f>IF(B706="", "", "urine")</f>
        <v>0</v>
      </c>
      <c r="I706" s="1">
        <f>IF(B706="", "", "urine metagenome")</f>
        <v>0</v>
      </c>
      <c r="J706" s="1">
        <f>IF(B706="", "", "1346744")</f>
        <v>0</v>
      </c>
    </row>
    <row r="707" spans="1:10">
      <c r="A707">
        <f>IF(COUNTBLANK(B707:J707)&lt;&gt;COLUMNS(B707:J707),706,"")</f>
        <v>0</v>
      </c>
      <c r="C707" s="1">
        <f>IF(B707="", "", "UBERON:genitourinary")</f>
        <v>0</v>
      </c>
      <c r="D707" s="1">
        <f>IF(B707="", "", "UBERON:urine")</f>
        <v>0</v>
      </c>
      <c r="E707" s="1">
        <f>IF(B707="", "", "UBERON:kidney")</f>
        <v>0</v>
      </c>
      <c r="F707" s="1">
        <f>IF(B707="", "", "animal corpus")</f>
        <v>0</v>
      </c>
      <c r="G707" s="1">
        <f>IF(B707="", "", "urine")</f>
        <v>0</v>
      </c>
      <c r="H707" s="1">
        <f>IF(B707="", "", "urine")</f>
        <v>0</v>
      </c>
      <c r="I707" s="1">
        <f>IF(B707="", "", "urine metagenome")</f>
        <v>0</v>
      </c>
      <c r="J707" s="1">
        <f>IF(B707="", "", "1346744")</f>
        <v>0</v>
      </c>
    </row>
    <row r="708" spans="1:10">
      <c r="A708">
        <f>IF(COUNTBLANK(B708:J708)&lt;&gt;COLUMNS(B708:J708),707,"")</f>
        <v>0</v>
      </c>
      <c r="C708" s="1">
        <f>IF(B708="", "", "UBERON:genitourinary")</f>
        <v>0</v>
      </c>
      <c r="D708" s="1">
        <f>IF(B708="", "", "UBERON:urine")</f>
        <v>0</v>
      </c>
      <c r="E708" s="1">
        <f>IF(B708="", "", "UBERON:kidney")</f>
        <v>0</v>
      </c>
      <c r="F708" s="1">
        <f>IF(B708="", "", "animal corpus")</f>
        <v>0</v>
      </c>
      <c r="G708" s="1">
        <f>IF(B708="", "", "urine")</f>
        <v>0</v>
      </c>
      <c r="H708" s="1">
        <f>IF(B708="", "", "urine")</f>
        <v>0</v>
      </c>
      <c r="I708" s="1">
        <f>IF(B708="", "", "urine metagenome")</f>
        <v>0</v>
      </c>
      <c r="J708" s="1">
        <f>IF(B708="", "", "1346744")</f>
        <v>0</v>
      </c>
    </row>
    <row r="709" spans="1:10">
      <c r="A709">
        <f>IF(COUNTBLANK(B709:J709)&lt;&gt;COLUMNS(B709:J709),708,"")</f>
        <v>0</v>
      </c>
      <c r="C709" s="1">
        <f>IF(B709="", "", "UBERON:genitourinary")</f>
        <v>0</v>
      </c>
      <c r="D709" s="1">
        <f>IF(B709="", "", "UBERON:urine")</f>
        <v>0</v>
      </c>
      <c r="E709" s="1">
        <f>IF(B709="", "", "UBERON:kidney")</f>
        <v>0</v>
      </c>
      <c r="F709" s="1">
        <f>IF(B709="", "", "animal corpus")</f>
        <v>0</v>
      </c>
      <c r="G709" s="1">
        <f>IF(B709="", "", "urine")</f>
        <v>0</v>
      </c>
      <c r="H709" s="1">
        <f>IF(B709="", "", "urine")</f>
        <v>0</v>
      </c>
      <c r="I709" s="1">
        <f>IF(B709="", "", "urine metagenome")</f>
        <v>0</v>
      </c>
      <c r="J709" s="1">
        <f>IF(B709="", "", "1346744")</f>
        <v>0</v>
      </c>
    </row>
    <row r="710" spans="1:10">
      <c r="A710">
        <f>IF(COUNTBLANK(B710:J710)&lt;&gt;COLUMNS(B710:J710),709,"")</f>
        <v>0</v>
      </c>
      <c r="C710" s="1">
        <f>IF(B710="", "", "UBERON:genitourinary")</f>
        <v>0</v>
      </c>
      <c r="D710" s="1">
        <f>IF(B710="", "", "UBERON:urine")</f>
        <v>0</v>
      </c>
      <c r="E710" s="1">
        <f>IF(B710="", "", "UBERON:kidney")</f>
        <v>0</v>
      </c>
      <c r="F710" s="1">
        <f>IF(B710="", "", "animal corpus")</f>
        <v>0</v>
      </c>
      <c r="G710" s="1">
        <f>IF(B710="", "", "urine")</f>
        <v>0</v>
      </c>
      <c r="H710" s="1">
        <f>IF(B710="", "", "urine")</f>
        <v>0</v>
      </c>
      <c r="I710" s="1">
        <f>IF(B710="", "", "urine metagenome")</f>
        <v>0</v>
      </c>
      <c r="J710" s="1">
        <f>IF(B710="", "", "1346744")</f>
        <v>0</v>
      </c>
    </row>
    <row r="711" spans="1:10">
      <c r="A711">
        <f>IF(COUNTBLANK(B711:J711)&lt;&gt;COLUMNS(B711:J711),710,"")</f>
        <v>0</v>
      </c>
      <c r="C711" s="1">
        <f>IF(B711="", "", "UBERON:genitourinary")</f>
        <v>0</v>
      </c>
      <c r="D711" s="1">
        <f>IF(B711="", "", "UBERON:urine")</f>
        <v>0</v>
      </c>
      <c r="E711" s="1">
        <f>IF(B711="", "", "UBERON:kidney")</f>
        <v>0</v>
      </c>
      <c r="F711" s="1">
        <f>IF(B711="", "", "animal corpus")</f>
        <v>0</v>
      </c>
      <c r="G711" s="1">
        <f>IF(B711="", "", "urine")</f>
        <v>0</v>
      </c>
      <c r="H711" s="1">
        <f>IF(B711="", "", "urine")</f>
        <v>0</v>
      </c>
      <c r="I711" s="1">
        <f>IF(B711="", "", "urine metagenome")</f>
        <v>0</v>
      </c>
      <c r="J711" s="1">
        <f>IF(B711="", "", "1346744")</f>
        <v>0</v>
      </c>
    </row>
    <row r="712" spans="1:10">
      <c r="A712">
        <f>IF(COUNTBLANK(B712:J712)&lt;&gt;COLUMNS(B712:J712),711,"")</f>
        <v>0</v>
      </c>
      <c r="C712" s="1">
        <f>IF(B712="", "", "UBERON:genitourinary")</f>
        <v>0</v>
      </c>
      <c r="D712" s="1">
        <f>IF(B712="", "", "UBERON:urine")</f>
        <v>0</v>
      </c>
      <c r="E712" s="1">
        <f>IF(B712="", "", "UBERON:kidney")</f>
        <v>0</v>
      </c>
      <c r="F712" s="1">
        <f>IF(B712="", "", "animal corpus")</f>
        <v>0</v>
      </c>
      <c r="G712" s="1">
        <f>IF(B712="", "", "urine")</f>
        <v>0</v>
      </c>
      <c r="H712" s="1">
        <f>IF(B712="", "", "urine")</f>
        <v>0</v>
      </c>
      <c r="I712" s="1">
        <f>IF(B712="", "", "urine metagenome")</f>
        <v>0</v>
      </c>
      <c r="J712" s="1">
        <f>IF(B712="", "", "1346744")</f>
        <v>0</v>
      </c>
    </row>
    <row r="713" spans="1:10">
      <c r="A713">
        <f>IF(COUNTBLANK(B713:J713)&lt;&gt;COLUMNS(B713:J713),712,"")</f>
        <v>0</v>
      </c>
      <c r="C713" s="1">
        <f>IF(B713="", "", "UBERON:genitourinary")</f>
        <v>0</v>
      </c>
      <c r="D713" s="1">
        <f>IF(B713="", "", "UBERON:urine")</f>
        <v>0</v>
      </c>
      <c r="E713" s="1">
        <f>IF(B713="", "", "UBERON:kidney")</f>
        <v>0</v>
      </c>
      <c r="F713" s="1">
        <f>IF(B713="", "", "animal corpus")</f>
        <v>0</v>
      </c>
      <c r="G713" s="1">
        <f>IF(B713="", "", "urine")</f>
        <v>0</v>
      </c>
      <c r="H713" s="1">
        <f>IF(B713="", "", "urine")</f>
        <v>0</v>
      </c>
      <c r="I713" s="1">
        <f>IF(B713="", "", "urine metagenome")</f>
        <v>0</v>
      </c>
      <c r="J713" s="1">
        <f>IF(B713="", "", "1346744")</f>
        <v>0</v>
      </c>
    </row>
    <row r="714" spans="1:10">
      <c r="A714">
        <f>IF(COUNTBLANK(B714:J714)&lt;&gt;COLUMNS(B714:J714),713,"")</f>
        <v>0</v>
      </c>
      <c r="C714" s="1">
        <f>IF(B714="", "", "UBERON:genitourinary")</f>
        <v>0</v>
      </c>
      <c r="D714" s="1">
        <f>IF(B714="", "", "UBERON:urine")</f>
        <v>0</v>
      </c>
      <c r="E714" s="1">
        <f>IF(B714="", "", "UBERON:kidney")</f>
        <v>0</v>
      </c>
      <c r="F714" s="1">
        <f>IF(B714="", "", "animal corpus")</f>
        <v>0</v>
      </c>
      <c r="G714" s="1">
        <f>IF(B714="", "", "urine")</f>
        <v>0</v>
      </c>
      <c r="H714" s="1">
        <f>IF(B714="", "", "urine")</f>
        <v>0</v>
      </c>
      <c r="I714" s="1">
        <f>IF(B714="", "", "urine metagenome")</f>
        <v>0</v>
      </c>
      <c r="J714" s="1">
        <f>IF(B714="", "", "1346744")</f>
        <v>0</v>
      </c>
    </row>
    <row r="715" spans="1:10">
      <c r="A715">
        <f>IF(COUNTBLANK(B715:J715)&lt;&gt;COLUMNS(B715:J715),714,"")</f>
        <v>0</v>
      </c>
      <c r="C715" s="1">
        <f>IF(B715="", "", "UBERON:genitourinary")</f>
        <v>0</v>
      </c>
      <c r="D715" s="1">
        <f>IF(B715="", "", "UBERON:urine")</f>
        <v>0</v>
      </c>
      <c r="E715" s="1">
        <f>IF(B715="", "", "UBERON:kidney")</f>
        <v>0</v>
      </c>
      <c r="F715" s="1">
        <f>IF(B715="", "", "animal corpus")</f>
        <v>0</v>
      </c>
      <c r="G715" s="1">
        <f>IF(B715="", "", "urine")</f>
        <v>0</v>
      </c>
      <c r="H715" s="1">
        <f>IF(B715="", "", "urine")</f>
        <v>0</v>
      </c>
      <c r="I715" s="1">
        <f>IF(B715="", "", "urine metagenome")</f>
        <v>0</v>
      </c>
      <c r="J715" s="1">
        <f>IF(B715="", "", "1346744")</f>
        <v>0</v>
      </c>
    </row>
    <row r="716" spans="1:10">
      <c r="A716">
        <f>IF(COUNTBLANK(B716:J716)&lt;&gt;COLUMNS(B716:J716),715,"")</f>
        <v>0</v>
      </c>
      <c r="C716" s="1">
        <f>IF(B716="", "", "UBERON:genitourinary")</f>
        <v>0</v>
      </c>
      <c r="D716" s="1">
        <f>IF(B716="", "", "UBERON:urine")</f>
        <v>0</v>
      </c>
      <c r="E716" s="1">
        <f>IF(B716="", "", "UBERON:kidney")</f>
        <v>0</v>
      </c>
      <c r="F716" s="1">
        <f>IF(B716="", "", "animal corpus")</f>
        <v>0</v>
      </c>
      <c r="G716" s="1">
        <f>IF(B716="", "", "urine")</f>
        <v>0</v>
      </c>
      <c r="H716" s="1">
        <f>IF(B716="", "", "urine")</f>
        <v>0</v>
      </c>
      <c r="I716" s="1">
        <f>IF(B716="", "", "urine metagenome")</f>
        <v>0</v>
      </c>
      <c r="J716" s="1">
        <f>IF(B716="", "", "1346744")</f>
        <v>0</v>
      </c>
    </row>
    <row r="717" spans="1:10">
      <c r="A717">
        <f>IF(COUNTBLANK(B717:J717)&lt;&gt;COLUMNS(B717:J717),716,"")</f>
        <v>0</v>
      </c>
      <c r="C717" s="1">
        <f>IF(B717="", "", "UBERON:genitourinary")</f>
        <v>0</v>
      </c>
      <c r="D717" s="1">
        <f>IF(B717="", "", "UBERON:urine")</f>
        <v>0</v>
      </c>
      <c r="E717" s="1">
        <f>IF(B717="", "", "UBERON:kidney")</f>
        <v>0</v>
      </c>
      <c r="F717" s="1">
        <f>IF(B717="", "", "animal corpus")</f>
        <v>0</v>
      </c>
      <c r="G717" s="1">
        <f>IF(B717="", "", "urine")</f>
        <v>0</v>
      </c>
      <c r="H717" s="1">
        <f>IF(B717="", "", "urine")</f>
        <v>0</v>
      </c>
      <c r="I717" s="1">
        <f>IF(B717="", "", "urine metagenome")</f>
        <v>0</v>
      </c>
      <c r="J717" s="1">
        <f>IF(B717="", "", "1346744")</f>
        <v>0</v>
      </c>
    </row>
    <row r="718" spans="1:10">
      <c r="A718">
        <f>IF(COUNTBLANK(B718:J718)&lt;&gt;COLUMNS(B718:J718),717,"")</f>
        <v>0</v>
      </c>
      <c r="C718" s="1">
        <f>IF(B718="", "", "UBERON:genitourinary")</f>
        <v>0</v>
      </c>
      <c r="D718" s="1">
        <f>IF(B718="", "", "UBERON:urine")</f>
        <v>0</v>
      </c>
      <c r="E718" s="1">
        <f>IF(B718="", "", "UBERON:kidney")</f>
        <v>0</v>
      </c>
      <c r="F718" s="1">
        <f>IF(B718="", "", "animal corpus")</f>
        <v>0</v>
      </c>
      <c r="G718" s="1">
        <f>IF(B718="", "", "urine")</f>
        <v>0</v>
      </c>
      <c r="H718" s="1">
        <f>IF(B718="", "", "urine")</f>
        <v>0</v>
      </c>
      <c r="I718" s="1">
        <f>IF(B718="", "", "urine metagenome")</f>
        <v>0</v>
      </c>
      <c r="J718" s="1">
        <f>IF(B718="", "", "1346744")</f>
        <v>0</v>
      </c>
    </row>
    <row r="719" spans="1:10">
      <c r="A719">
        <f>IF(COUNTBLANK(B719:J719)&lt;&gt;COLUMNS(B719:J719),718,"")</f>
        <v>0</v>
      </c>
      <c r="C719" s="1">
        <f>IF(B719="", "", "UBERON:genitourinary")</f>
        <v>0</v>
      </c>
      <c r="D719" s="1">
        <f>IF(B719="", "", "UBERON:urine")</f>
        <v>0</v>
      </c>
      <c r="E719" s="1">
        <f>IF(B719="", "", "UBERON:kidney")</f>
        <v>0</v>
      </c>
      <c r="F719" s="1">
        <f>IF(B719="", "", "animal corpus")</f>
        <v>0</v>
      </c>
      <c r="G719" s="1">
        <f>IF(B719="", "", "urine")</f>
        <v>0</v>
      </c>
      <c r="H719" s="1">
        <f>IF(B719="", "", "urine")</f>
        <v>0</v>
      </c>
      <c r="I719" s="1">
        <f>IF(B719="", "", "urine metagenome")</f>
        <v>0</v>
      </c>
      <c r="J719" s="1">
        <f>IF(B719="", "", "1346744")</f>
        <v>0</v>
      </c>
    </row>
    <row r="720" spans="1:10">
      <c r="A720">
        <f>IF(COUNTBLANK(B720:J720)&lt;&gt;COLUMNS(B720:J720),719,"")</f>
        <v>0</v>
      </c>
      <c r="C720" s="1">
        <f>IF(B720="", "", "UBERON:genitourinary")</f>
        <v>0</v>
      </c>
      <c r="D720" s="1">
        <f>IF(B720="", "", "UBERON:urine")</f>
        <v>0</v>
      </c>
      <c r="E720" s="1">
        <f>IF(B720="", "", "UBERON:kidney")</f>
        <v>0</v>
      </c>
      <c r="F720" s="1">
        <f>IF(B720="", "", "animal corpus")</f>
        <v>0</v>
      </c>
      <c r="G720" s="1">
        <f>IF(B720="", "", "urine")</f>
        <v>0</v>
      </c>
      <c r="H720" s="1">
        <f>IF(B720="", "", "urine")</f>
        <v>0</v>
      </c>
      <c r="I720" s="1">
        <f>IF(B720="", "", "urine metagenome")</f>
        <v>0</v>
      </c>
      <c r="J720" s="1">
        <f>IF(B720="", "", "1346744")</f>
        <v>0</v>
      </c>
    </row>
    <row r="721" spans="1:10">
      <c r="A721">
        <f>IF(COUNTBLANK(B721:J721)&lt;&gt;COLUMNS(B721:J721),720,"")</f>
        <v>0</v>
      </c>
      <c r="C721" s="1">
        <f>IF(B721="", "", "UBERON:genitourinary")</f>
        <v>0</v>
      </c>
      <c r="D721" s="1">
        <f>IF(B721="", "", "UBERON:urine")</f>
        <v>0</v>
      </c>
      <c r="E721" s="1">
        <f>IF(B721="", "", "UBERON:kidney")</f>
        <v>0</v>
      </c>
      <c r="F721" s="1">
        <f>IF(B721="", "", "animal corpus")</f>
        <v>0</v>
      </c>
      <c r="G721" s="1">
        <f>IF(B721="", "", "urine")</f>
        <v>0</v>
      </c>
      <c r="H721" s="1">
        <f>IF(B721="", "", "urine")</f>
        <v>0</v>
      </c>
      <c r="I721" s="1">
        <f>IF(B721="", "", "urine metagenome")</f>
        <v>0</v>
      </c>
      <c r="J721" s="1">
        <f>IF(B721="", "", "1346744")</f>
        <v>0</v>
      </c>
    </row>
    <row r="722" spans="1:10">
      <c r="A722">
        <f>IF(COUNTBLANK(B722:J722)&lt;&gt;COLUMNS(B722:J722),721,"")</f>
        <v>0</v>
      </c>
      <c r="C722" s="1">
        <f>IF(B722="", "", "UBERON:genitourinary")</f>
        <v>0</v>
      </c>
      <c r="D722" s="1">
        <f>IF(B722="", "", "UBERON:urine")</f>
        <v>0</v>
      </c>
      <c r="E722" s="1">
        <f>IF(B722="", "", "UBERON:kidney")</f>
        <v>0</v>
      </c>
      <c r="F722" s="1">
        <f>IF(B722="", "", "animal corpus")</f>
        <v>0</v>
      </c>
      <c r="G722" s="1">
        <f>IF(B722="", "", "urine")</f>
        <v>0</v>
      </c>
      <c r="H722" s="1">
        <f>IF(B722="", "", "urine")</f>
        <v>0</v>
      </c>
      <c r="I722" s="1">
        <f>IF(B722="", "", "urine metagenome")</f>
        <v>0</v>
      </c>
      <c r="J722" s="1">
        <f>IF(B722="", "", "1346744")</f>
        <v>0</v>
      </c>
    </row>
    <row r="723" spans="1:10">
      <c r="A723">
        <f>IF(COUNTBLANK(B723:J723)&lt;&gt;COLUMNS(B723:J723),722,"")</f>
        <v>0</v>
      </c>
      <c r="C723" s="1">
        <f>IF(B723="", "", "UBERON:genitourinary")</f>
        <v>0</v>
      </c>
      <c r="D723" s="1">
        <f>IF(B723="", "", "UBERON:urine")</f>
        <v>0</v>
      </c>
      <c r="E723" s="1">
        <f>IF(B723="", "", "UBERON:kidney")</f>
        <v>0</v>
      </c>
      <c r="F723" s="1">
        <f>IF(B723="", "", "animal corpus")</f>
        <v>0</v>
      </c>
      <c r="G723" s="1">
        <f>IF(B723="", "", "urine")</f>
        <v>0</v>
      </c>
      <c r="H723" s="1">
        <f>IF(B723="", "", "urine")</f>
        <v>0</v>
      </c>
      <c r="I723" s="1">
        <f>IF(B723="", "", "urine metagenome")</f>
        <v>0</v>
      </c>
      <c r="J723" s="1">
        <f>IF(B723="", "", "1346744")</f>
        <v>0</v>
      </c>
    </row>
    <row r="724" spans="1:10">
      <c r="A724">
        <f>IF(COUNTBLANK(B724:J724)&lt;&gt;COLUMNS(B724:J724),723,"")</f>
        <v>0</v>
      </c>
      <c r="C724" s="1">
        <f>IF(B724="", "", "UBERON:genitourinary")</f>
        <v>0</v>
      </c>
      <c r="D724" s="1">
        <f>IF(B724="", "", "UBERON:urine")</f>
        <v>0</v>
      </c>
      <c r="E724" s="1">
        <f>IF(B724="", "", "UBERON:kidney")</f>
        <v>0</v>
      </c>
      <c r="F724" s="1">
        <f>IF(B724="", "", "animal corpus")</f>
        <v>0</v>
      </c>
      <c r="G724" s="1">
        <f>IF(B724="", "", "urine")</f>
        <v>0</v>
      </c>
      <c r="H724" s="1">
        <f>IF(B724="", "", "urine")</f>
        <v>0</v>
      </c>
      <c r="I724" s="1">
        <f>IF(B724="", "", "urine metagenome")</f>
        <v>0</v>
      </c>
      <c r="J724" s="1">
        <f>IF(B724="", "", "1346744")</f>
        <v>0</v>
      </c>
    </row>
    <row r="725" spans="1:10">
      <c r="A725">
        <f>IF(COUNTBLANK(B725:J725)&lt;&gt;COLUMNS(B725:J725),724,"")</f>
        <v>0</v>
      </c>
      <c r="C725" s="1">
        <f>IF(B725="", "", "UBERON:genitourinary")</f>
        <v>0</v>
      </c>
      <c r="D725" s="1">
        <f>IF(B725="", "", "UBERON:urine")</f>
        <v>0</v>
      </c>
      <c r="E725" s="1">
        <f>IF(B725="", "", "UBERON:kidney")</f>
        <v>0</v>
      </c>
      <c r="F725" s="1">
        <f>IF(B725="", "", "animal corpus")</f>
        <v>0</v>
      </c>
      <c r="G725" s="1">
        <f>IF(B725="", "", "urine")</f>
        <v>0</v>
      </c>
      <c r="H725" s="1">
        <f>IF(B725="", "", "urine")</f>
        <v>0</v>
      </c>
      <c r="I725" s="1">
        <f>IF(B725="", "", "urine metagenome")</f>
        <v>0</v>
      </c>
      <c r="J725" s="1">
        <f>IF(B725="", "", "1346744")</f>
        <v>0</v>
      </c>
    </row>
    <row r="726" spans="1:10">
      <c r="A726">
        <f>IF(COUNTBLANK(B726:J726)&lt;&gt;COLUMNS(B726:J726),725,"")</f>
        <v>0</v>
      </c>
      <c r="C726" s="1">
        <f>IF(B726="", "", "UBERON:genitourinary")</f>
        <v>0</v>
      </c>
      <c r="D726" s="1">
        <f>IF(B726="", "", "UBERON:urine")</f>
        <v>0</v>
      </c>
      <c r="E726" s="1">
        <f>IF(B726="", "", "UBERON:kidney")</f>
        <v>0</v>
      </c>
      <c r="F726" s="1">
        <f>IF(B726="", "", "animal corpus")</f>
        <v>0</v>
      </c>
      <c r="G726" s="1">
        <f>IF(B726="", "", "urine")</f>
        <v>0</v>
      </c>
      <c r="H726" s="1">
        <f>IF(B726="", "", "urine")</f>
        <v>0</v>
      </c>
      <c r="I726" s="1">
        <f>IF(B726="", "", "urine metagenome")</f>
        <v>0</v>
      </c>
      <c r="J726" s="1">
        <f>IF(B726="", "", "1346744")</f>
        <v>0</v>
      </c>
    </row>
    <row r="727" spans="1:10">
      <c r="A727">
        <f>IF(COUNTBLANK(B727:J727)&lt;&gt;COLUMNS(B727:J727),726,"")</f>
        <v>0</v>
      </c>
      <c r="C727" s="1">
        <f>IF(B727="", "", "UBERON:genitourinary")</f>
        <v>0</v>
      </c>
      <c r="D727" s="1">
        <f>IF(B727="", "", "UBERON:urine")</f>
        <v>0</v>
      </c>
      <c r="E727" s="1">
        <f>IF(B727="", "", "UBERON:kidney")</f>
        <v>0</v>
      </c>
      <c r="F727" s="1">
        <f>IF(B727="", "", "animal corpus")</f>
        <v>0</v>
      </c>
      <c r="G727" s="1">
        <f>IF(B727="", "", "urine")</f>
        <v>0</v>
      </c>
      <c r="H727" s="1">
        <f>IF(B727="", "", "urine")</f>
        <v>0</v>
      </c>
      <c r="I727" s="1">
        <f>IF(B727="", "", "urine metagenome")</f>
        <v>0</v>
      </c>
      <c r="J727" s="1">
        <f>IF(B727="", "", "1346744")</f>
        <v>0</v>
      </c>
    </row>
    <row r="728" spans="1:10">
      <c r="A728">
        <f>IF(COUNTBLANK(B728:J728)&lt;&gt;COLUMNS(B728:J728),727,"")</f>
        <v>0</v>
      </c>
      <c r="C728" s="1">
        <f>IF(B728="", "", "UBERON:genitourinary")</f>
        <v>0</v>
      </c>
      <c r="D728" s="1">
        <f>IF(B728="", "", "UBERON:urine")</f>
        <v>0</v>
      </c>
      <c r="E728" s="1">
        <f>IF(B728="", "", "UBERON:kidney")</f>
        <v>0</v>
      </c>
      <c r="F728" s="1">
        <f>IF(B728="", "", "animal corpus")</f>
        <v>0</v>
      </c>
      <c r="G728" s="1">
        <f>IF(B728="", "", "urine")</f>
        <v>0</v>
      </c>
      <c r="H728" s="1">
        <f>IF(B728="", "", "urine")</f>
        <v>0</v>
      </c>
      <c r="I728" s="1">
        <f>IF(B728="", "", "urine metagenome")</f>
        <v>0</v>
      </c>
      <c r="J728" s="1">
        <f>IF(B728="", "", "1346744")</f>
        <v>0</v>
      </c>
    </row>
    <row r="729" spans="1:10">
      <c r="A729">
        <f>IF(COUNTBLANK(B729:J729)&lt;&gt;COLUMNS(B729:J729),728,"")</f>
        <v>0</v>
      </c>
      <c r="C729" s="1">
        <f>IF(B729="", "", "UBERON:genitourinary")</f>
        <v>0</v>
      </c>
      <c r="D729" s="1">
        <f>IF(B729="", "", "UBERON:urine")</f>
        <v>0</v>
      </c>
      <c r="E729" s="1">
        <f>IF(B729="", "", "UBERON:kidney")</f>
        <v>0</v>
      </c>
      <c r="F729" s="1">
        <f>IF(B729="", "", "animal corpus")</f>
        <v>0</v>
      </c>
      <c r="G729" s="1">
        <f>IF(B729="", "", "urine")</f>
        <v>0</v>
      </c>
      <c r="H729" s="1">
        <f>IF(B729="", "", "urine")</f>
        <v>0</v>
      </c>
      <c r="I729" s="1">
        <f>IF(B729="", "", "urine metagenome")</f>
        <v>0</v>
      </c>
      <c r="J729" s="1">
        <f>IF(B729="", "", "1346744")</f>
        <v>0</v>
      </c>
    </row>
    <row r="730" spans="1:10">
      <c r="A730">
        <f>IF(COUNTBLANK(B730:J730)&lt;&gt;COLUMNS(B730:J730),729,"")</f>
        <v>0</v>
      </c>
      <c r="C730" s="1">
        <f>IF(B730="", "", "UBERON:genitourinary")</f>
        <v>0</v>
      </c>
      <c r="D730" s="1">
        <f>IF(B730="", "", "UBERON:urine")</f>
        <v>0</v>
      </c>
      <c r="E730" s="1">
        <f>IF(B730="", "", "UBERON:kidney")</f>
        <v>0</v>
      </c>
      <c r="F730" s="1">
        <f>IF(B730="", "", "animal corpus")</f>
        <v>0</v>
      </c>
      <c r="G730" s="1">
        <f>IF(B730="", "", "urine")</f>
        <v>0</v>
      </c>
      <c r="H730" s="1">
        <f>IF(B730="", "", "urine")</f>
        <v>0</v>
      </c>
      <c r="I730" s="1">
        <f>IF(B730="", "", "urine metagenome")</f>
        <v>0</v>
      </c>
      <c r="J730" s="1">
        <f>IF(B730="", "", "1346744")</f>
        <v>0</v>
      </c>
    </row>
    <row r="731" spans="1:10">
      <c r="A731">
        <f>IF(COUNTBLANK(B731:J731)&lt;&gt;COLUMNS(B731:J731),730,"")</f>
        <v>0</v>
      </c>
      <c r="C731" s="1">
        <f>IF(B731="", "", "UBERON:genitourinary")</f>
        <v>0</v>
      </c>
      <c r="D731" s="1">
        <f>IF(B731="", "", "UBERON:urine")</f>
        <v>0</v>
      </c>
      <c r="E731" s="1">
        <f>IF(B731="", "", "UBERON:kidney")</f>
        <v>0</v>
      </c>
      <c r="F731" s="1">
        <f>IF(B731="", "", "animal corpus")</f>
        <v>0</v>
      </c>
      <c r="G731" s="1">
        <f>IF(B731="", "", "urine")</f>
        <v>0</v>
      </c>
      <c r="H731" s="1">
        <f>IF(B731="", "", "urine")</f>
        <v>0</v>
      </c>
      <c r="I731" s="1">
        <f>IF(B731="", "", "urine metagenome")</f>
        <v>0</v>
      </c>
      <c r="J731" s="1">
        <f>IF(B731="", "", "1346744")</f>
        <v>0</v>
      </c>
    </row>
    <row r="732" spans="1:10">
      <c r="A732">
        <f>IF(COUNTBLANK(B732:J732)&lt;&gt;COLUMNS(B732:J732),731,"")</f>
        <v>0</v>
      </c>
      <c r="C732" s="1">
        <f>IF(B732="", "", "UBERON:genitourinary")</f>
        <v>0</v>
      </c>
      <c r="D732" s="1">
        <f>IF(B732="", "", "UBERON:urine")</f>
        <v>0</v>
      </c>
      <c r="E732" s="1">
        <f>IF(B732="", "", "UBERON:kidney")</f>
        <v>0</v>
      </c>
      <c r="F732" s="1">
        <f>IF(B732="", "", "animal corpus")</f>
        <v>0</v>
      </c>
      <c r="G732" s="1">
        <f>IF(B732="", "", "urine")</f>
        <v>0</v>
      </c>
      <c r="H732" s="1">
        <f>IF(B732="", "", "urine")</f>
        <v>0</v>
      </c>
      <c r="I732" s="1">
        <f>IF(B732="", "", "urine metagenome")</f>
        <v>0</v>
      </c>
      <c r="J732" s="1">
        <f>IF(B732="", "", "1346744")</f>
        <v>0</v>
      </c>
    </row>
    <row r="733" spans="1:10">
      <c r="A733">
        <f>IF(COUNTBLANK(B733:J733)&lt;&gt;COLUMNS(B733:J733),732,"")</f>
        <v>0</v>
      </c>
      <c r="C733" s="1">
        <f>IF(B733="", "", "UBERON:genitourinary")</f>
        <v>0</v>
      </c>
      <c r="D733" s="1">
        <f>IF(B733="", "", "UBERON:urine")</f>
        <v>0</v>
      </c>
      <c r="E733" s="1">
        <f>IF(B733="", "", "UBERON:kidney")</f>
        <v>0</v>
      </c>
      <c r="F733" s="1">
        <f>IF(B733="", "", "animal corpus")</f>
        <v>0</v>
      </c>
      <c r="G733" s="1">
        <f>IF(B733="", "", "urine")</f>
        <v>0</v>
      </c>
      <c r="H733" s="1">
        <f>IF(B733="", "", "urine")</f>
        <v>0</v>
      </c>
      <c r="I733" s="1">
        <f>IF(B733="", "", "urine metagenome")</f>
        <v>0</v>
      </c>
      <c r="J733" s="1">
        <f>IF(B733="", "", "1346744")</f>
        <v>0</v>
      </c>
    </row>
    <row r="734" spans="1:10">
      <c r="A734">
        <f>IF(COUNTBLANK(B734:J734)&lt;&gt;COLUMNS(B734:J734),733,"")</f>
        <v>0</v>
      </c>
      <c r="C734" s="1">
        <f>IF(B734="", "", "UBERON:genitourinary")</f>
        <v>0</v>
      </c>
      <c r="D734" s="1">
        <f>IF(B734="", "", "UBERON:urine")</f>
        <v>0</v>
      </c>
      <c r="E734" s="1">
        <f>IF(B734="", "", "UBERON:kidney")</f>
        <v>0</v>
      </c>
      <c r="F734" s="1">
        <f>IF(B734="", "", "animal corpus")</f>
        <v>0</v>
      </c>
      <c r="G734" s="1">
        <f>IF(B734="", "", "urine")</f>
        <v>0</v>
      </c>
      <c r="H734" s="1">
        <f>IF(B734="", "", "urine")</f>
        <v>0</v>
      </c>
      <c r="I734" s="1">
        <f>IF(B734="", "", "urine metagenome")</f>
        <v>0</v>
      </c>
      <c r="J734" s="1">
        <f>IF(B734="", "", "1346744")</f>
        <v>0</v>
      </c>
    </row>
    <row r="735" spans="1:10">
      <c r="A735">
        <f>IF(COUNTBLANK(B735:J735)&lt;&gt;COLUMNS(B735:J735),734,"")</f>
        <v>0</v>
      </c>
      <c r="C735" s="1">
        <f>IF(B735="", "", "UBERON:genitourinary")</f>
        <v>0</v>
      </c>
      <c r="D735" s="1">
        <f>IF(B735="", "", "UBERON:urine")</f>
        <v>0</v>
      </c>
      <c r="E735" s="1">
        <f>IF(B735="", "", "UBERON:kidney")</f>
        <v>0</v>
      </c>
      <c r="F735" s="1">
        <f>IF(B735="", "", "animal corpus")</f>
        <v>0</v>
      </c>
      <c r="G735" s="1">
        <f>IF(B735="", "", "urine")</f>
        <v>0</v>
      </c>
      <c r="H735" s="1">
        <f>IF(B735="", "", "urine")</f>
        <v>0</v>
      </c>
      <c r="I735" s="1">
        <f>IF(B735="", "", "urine metagenome")</f>
        <v>0</v>
      </c>
      <c r="J735" s="1">
        <f>IF(B735="", "", "1346744")</f>
        <v>0</v>
      </c>
    </row>
    <row r="736" spans="1:10">
      <c r="A736">
        <f>IF(COUNTBLANK(B736:J736)&lt;&gt;COLUMNS(B736:J736),735,"")</f>
        <v>0</v>
      </c>
      <c r="C736" s="1">
        <f>IF(B736="", "", "UBERON:genitourinary")</f>
        <v>0</v>
      </c>
      <c r="D736" s="1">
        <f>IF(B736="", "", "UBERON:urine")</f>
        <v>0</v>
      </c>
      <c r="E736" s="1">
        <f>IF(B736="", "", "UBERON:kidney")</f>
        <v>0</v>
      </c>
      <c r="F736" s="1">
        <f>IF(B736="", "", "animal corpus")</f>
        <v>0</v>
      </c>
      <c r="G736" s="1">
        <f>IF(B736="", "", "urine")</f>
        <v>0</v>
      </c>
      <c r="H736" s="1">
        <f>IF(B736="", "", "urine")</f>
        <v>0</v>
      </c>
      <c r="I736" s="1">
        <f>IF(B736="", "", "urine metagenome")</f>
        <v>0</v>
      </c>
      <c r="J736" s="1">
        <f>IF(B736="", "", "1346744")</f>
        <v>0</v>
      </c>
    </row>
    <row r="737" spans="1:10">
      <c r="A737">
        <f>IF(COUNTBLANK(B737:J737)&lt;&gt;COLUMNS(B737:J737),736,"")</f>
        <v>0</v>
      </c>
      <c r="C737" s="1">
        <f>IF(B737="", "", "UBERON:genitourinary")</f>
        <v>0</v>
      </c>
      <c r="D737" s="1">
        <f>IF(B737="", "", "UBERON:urine")</f>
        <v>0</v>
      </c>
      <c r="E737" s="1">
        <f>IF(B737="", "", "UBERON:kidney")</f>
        <v>0</v>
      </c>
      <c r="F737" s="1">
        <f>IF(B737="", "", "animal corpus")</f>
        <v>0</v>
      </c>
      <c r="G737" s="1">
        <f>IF(B737="", "", "urine")</f>
        <v>0</v>
      </c>
      <c r="H737" s="1">
        <f>IF(B737="", "", "urine")</f>
        <v>0</v>
      </c>
      <c r="I737" s="1">
        <f>IF(B737="", "", "urine metagenome")</f>
        <v>0</v>
      </c>
      <c r="J737" s="1">
        <f>IF(B737="", "", "1346744")</f>
        <v>0</v>
      </c>
    </row>
    <row r="738" spans="1:10">
      <c r="A738">
        <f>IF(COUNTBLANK(B738:J738)&lt;&gt;COLUMNS(B738:J738),737,"")</f>
        <v>0</v>
      </c>
      <c r="C738" s="1">
        <f>IF(B738="", "", "UBERON:genitourinary")</f>
        <v>0</v>
      </c>
      <c r="D738" s="1">
        <f>IF(B738="", "", "UBERON:urine")</f>
        <v>0</v>
      </c>
      <c r="E738" s="1">
        <f>IF(B738="", "", "UBERON:kidney")</f>
        <v>0</v>
      </c>
      <c r="F738" s="1">
        <f>IF(B738="", "", "animal corpus")</f>
        <v>0</v>
      </c>
      <c r="G738" s="1">
        <f>IF(B738="", "", "urine")</f>
        <v>0</v>
      </c>
      <c r="H738" s="1">
        <f>IF(B738="", "", "urine")</f>
        <v>0</v>
      </c>
      <c r="I738" s="1">
        <f>IF(B738="", "", "urine metagenome")</f>
        <v>0</v>
      </c>
      <c r="J738" s="1">
        <f>IF(B738="", "", "1346744")</f>
        <v>0</v>
      </c>
    </row>
    <row r="739" spans="1:10">
      <c r="A739">
        <f>IF(COUNTBLANK(B739:J739)&lt;&gt;COLUMNS(B739:J739),738,"")</f>
        <v>0</v>
      </c>
      <c r="C739" s="1">
        <f>IF(B739="", "", "UBERON:genitourinary")</f>
        <v>0</v>
      </c>
      <c r="D739" s="1">
        <f>IF(B739="", "", "UBERON:urine")</f>
        <v>0</v>
      </c>
      <c r="E739" s="1">
        <f>IF(B739="", "", "UBERON:kidney")</f>
        <v>0</v>
      </c>
      <c r="F739" s="1">
        <f>IF(B739="", "", "animal corpus")</f>
        <v>0</v>
      </c>
      <c r="G739" s="1">
        <f>IF(B739="", "", "urine")</f>
        <v>0</v>
      </c>
      <c r="H739" s="1">
        <f>IF(B739="", "", "urine")</f>
        <v>0</v>
      </c>
      <c r="I739" s="1">
        <f>IF(B739="", "", "urine metagenome")</f>
        <v>0</v>
      </c>
      <c r="J739" s="1">
        <f>IF(B739="", "", "1346744")</f>
        <v>0</v>
      </c>
    </row>
    <row r="740" spans="1:10">
      <c r="A740">
        <f>IF(COUNTBLANK(B740:J740)&lt;&gt;COLUMNS(B740:J740),739,"")</f>
        <v>0</v>
      </c>
      <c r="C740" s="1">
        <f>IF(B740="", "", "UBERON:genitourinary")</f>
        <v>0</v>
      </c>
      <c r="D740" s="1">
        <f>IF(B740="", "", "UBERON:urine")</f>
        <v>0</v>
      </c>
      <c r="E740" s="1">
        <f>IF(B740="", "", "UBERON:kidney")</f>
        <v>0</v>
      </c>
      <c r="F740" s="1">
        <f>IF(B740="", "", "animal corpus")</f>
        <v>0</v>
      </c>
      <c r="G740" s="1">
        <f>IF(B740="", "", "urine")</f>
        <v>0</v>
      </c>
      <c r="H740" s="1">
        <f>IF(B740="", "", "urine")</f>
        <v>0</v>
      </c>
      <c r="I740" s="1">
        <f>IF(B740="", "", "urine metagenome")</f>
        <v>0</v>
      </c>
      <c r="J740" s="1">
        <f>IF(B740="", "", "1346744")</f>
        <v>0</v>
      </c>
    </row>
    <row r="741" spans="1:10">
      <c r="A741">
        <f>IF(COUNTBLANK(B741:J741)&lt;&gt;COLUMNS(B741:J741),740,"")</f>
        <v>0</v>
      </c>
      <c r="C741" s="1">
        <f>IF(B741="", "", "UBERON:genitourinary")</f>
        <v>0</v>
      </c>
      <c r="D741" s="1">
        <f>IF(B741="", "", "UBERON:urine")</f>
        <v>0</v>
      </c>
      <c r="E741" s="1">
        <f>IF(B741="", "", "UBERON:kidney")</f>
        <v>0</v>
      </c>
      <c r="F741" s="1">
        <f>IF(B741="", "", "animal corpus")</f>
        <v>0</v>
      </c>
      <c r="G741" s="1">
        <f>IF(B741="", "", "urine")</f>
        <v>0</v>
      </c>
      <c r="H741" s="1">
        <f>IF(B741="", "", "urine")</f>
        <v>0</v>
      </c>
      <c r="I741" s="1">
        <f>IF(B741="", "", "urine metagenome")</f>
        <v>0</v>
      </c>
      <c r="J741" s="1">
        <f>IF(B741="", "", "1346744")</f>
        <v>0</v>
      </c>
    </row>
    <row r="742" spans="1:10">
      <c r="A742">
        <f>IF(COUNTBLANK(B742:J742)&lt;&gt;COLUMNS(B742:J742),741,"")</f>
        <v>0</v>
      </c>
      <c r="C742" s="1">
        <f>IF(B742="", "", "UBERON:genitourinary")</f>
        <v>0</v>
      </c>
      <c r="D742" s="1">
        <f>IF(B742="", "", "UBERON:urine")</f>
        <v>0</v>
      </c>
      <c r="E742" s="1">
        <f>IF(B742="", "", "UBERON:kidney")</f>
        <v>0</v>
      </c>
      <c r="F742" s="1">
        <f>IF(B742="", "", "animal corpus")</f>
        <v>0</v>
      </c>
      <c r="G742" s="1">
        <f>IF(B742="", "", "urine")</f>
        <v>0</v>
      </c>
      <c r="H742" s="1">
        <f>IF(B742="", "", "urine")</f>
        <v>0</v>
      </c>
      <c r="I742" s="1">
        <f>IF(B742="", "", "urine metagenome")</f>
        <v>0</v>
      </c>
      <c r="J742" s="1">
        <f>IF(B742="", "", "1346744")</f>
        <v>0</v>
      </c>
    </row>
    <row r="743" spans="1:10">
      <c r="A743">
        <f>IF(COUNTBLANK(B743:J743)&lt;&gt;COLUMNS(B743:J743),742,"")</f>
        <v>0</v>
      </c>
      <c r="C743" s="1">
        <f>IF(B743="", "", "UBERON:genitourinary")</f>
        <v>0</v>
      </c>
      <c r="D743" s="1">
        <f>IF(B743="", "", "UBERON:urine")</f>
        <v>0</v>
      </c>
      <c r="E743" s="1">
        <f>IF(B743="", "", "UBERON:kidney")</f>
        <v>0</v>
      </c>
      <c r="F743" s="1">
        <f>IF(B743="", "", "animal corpus")</f>
        <v>0</v>
      </c>
      <c r="G743" s="1">
        <f>IF(B743="", "", "urine")</f>
        <v>0</v>
      </c>
      <c r="H743" s="1">
        <f>IF(B743="", "", "urine")</f>
        <v>0</v>
      </c>
      <c r="I743" s="1">
        <f>IF(B743="", "", "urine metagenome")</f>
        <v>0</v>
      </c>
      <c r="J743" s="1">
        <f>IF(B743="", "", "1346744")</f>
        <v>0</v>
      </c>
    </row>
    <row r="744" spans="1:10">
      <c r="A744">
        <f>IF(COUNTBLANK(B744:J744)&lt;&gt;COLUMNS(B744:J744),743,"")</f>
        <v>0</v>
      </c>
      <c r="C744" s="1">
        <f>IF(B744="", "", "UBERON:genitourinary")</f>
        <v>0</v>
      </c>
      <c r="D744" s="1">
        <f>IF(B744="", "", "UBERON:urine")</f>
        <v>0</v>
      </c>
      <c r="E744" s="1">
        <f>IF(B744="", "", "UBERON:kidney")</f>
        <v>0</v>
      </c>
      <c r="F744" s="1">
        <f>IF(B744="", "", "animal corpus")</f>
        <v>0</v>
      </c>
      <c r="G744" s="1">
        <f>IF(B744="", "", "urine")</f>
        <v>0</v>
      </c>
      <c r="H744" s="1">
        <f>IF(B744="", "", "urine")</f>
        <v>0</v>
      </c>
      <c r="I744" s="1">
        <f>IF(B744="", "", "urine metagenome")</f>
        <v>0</v>
      </c>
      <c r="J744" s="1">
        <f>IF(B744="", "", "1346744")</f>
        <v>0</v>
      </c>
    </row>
    <row r="745" spans="1:10">
      <c r="A745">
        <f>IF(COUNTBLANK(B745:J745)&lt;&gt;COLUMNS(B745:J745),744,"")</f>
        <v>0</v>
      </c>
      <c r="C745" s="1">
        <f>IF(B745="", "", "UBERON:genitourinary")</f>
        <v>0</v>
      </c>
      <c r="D745" s="1">
        <f>IF(B745="", "", "UBERON:urine")</f>
        <v>0</v>
      </c>
      <c r="E745" s="1">
        <f>IF(B745="", "", "UBERON:kidney")</f>
        <v>0</v>
      </c>
      <c r="F745" s="1">
        <f>IF(B745="", "", "animal corpus")</f>
        <v>0</v>
      </c>
      <c r="G745" s="1">
        <f>IF(B745="", "", "urine")</f>
        <v>0</v>
      </c>
      <c r="H745" s="1">
        <f>IF(B745="", "", "urine")</f>
        <v>0</v>
      </c>
      <c r="I745" s="1">
        <f>IF(B745="", "", "urine metagenome")</f>
        <v>0</v>
      </c>
      <c r="J745" s="1">
        <f>IF(B745="", "", "1346744")</f>
        <v>0</v>
      </c>
    </row>
    <row r="746" spans="1:10">
      <c r="A746">
        <f>IF(COUNTBLANK(B746:J746)&lt;&gt;COLUMNS(B746:J746),745,"")</f>
        <v>0</v>
      </c>
      <c r="C746" s="1">
        <f>IF(B746="", "", "UBERON:genitourinary")</f>
        <v>0</v>
      </c>
      <c r="D746" s="1">
        <f>IF(B746="", "", "UBERON:urine")</f>
        <v>0</v>
      </c>
      <c r="E746" s="1">
        <f>IF(B746="", "", "UBERON:kidney")</f>
        <v>0</v>
      </c>
      <c r="F746" s="1">
        <f>IF(B746="", "", "animal corpus")</f>
        <v>0</v>
      </c>
      <c r="G746" s="1">
        <f>IF(B746="", "", "urine")</f>
        <v>0</v>
      </c>
      <c r="H746" s="1">
        <f>IF(B746="", "", "urine")</f>
        <v>0</v>
      </c>
      <c r="I746" s="1">
        <f>IF(B746="", "", "urine metagenome")</f>
        <v>0</v>
      </c>
      <c r="J746" s="1">
        <f>IF(B746="", "", "1346744")</f>
        <v>0</v>
      </c>
    </row>
    <row r="747" spans="1:10">
      <c r="A747">
        <f>IF(COUNTBLANK(B747:J747)&lt;&gt;COLUMNS(B747:J747),746,"")</f>
        <v>0</v>
      </c>
      <c r="C747" s="1">
        <f>IF(B747="", "", "UBERON:genitourinary")</f>
        <v>0</v>
      </c>
      <c r="D747" s="1">
        <f>IF(B747="", "", "UBERON:urine")</f>
        <v>0</v>
      </c>
      <c r="E747" s="1">
        <f>IF(B747="", "", "UBERON:kidney")</f>
        <v>0</v>
      </c>
      <c r="F747" s="1">
        <f>IF(B747="", "", "animal corpus")</f>
        <v>0</v>
      </c>
      <c r="G747" s="1">
        <f>IF(B747="", "", "urine")</f>
        <v>0</v>
      </c>
      <c r="H747" s="1">
        <f>IF(B747="", "", "urine")</f>
        <v>0</v>
      </c>
      <c r="I747" s="1">
        <f>IF(B747="", "", "urine metagenome")</f>
        <v>0</v>
      </c>
      <c r="J747" s="1">
        <f>IF(B747="", "", "1346744")</f>
        <v>0</v>
      </c>
    </row>
    <row r="748" spans="1:10">
      <c r="A748">
        <f>IF(COUNTBLANK(B748:J748)&lt;&gt;COLUMNS(B748:J748),747,"")</f>
        <v>0</v>
      </c>
      <c r="C748" s="1">
        <f>IF(B748="", "", "UBERON:genitourinary")</f>
        <v>0</v>
      </c>
      <c r="D748" s="1">
        <f>IF(B748="", "", "UBERON:urine")</f>
        <v>0</v>
      </c>
      <c r="E748" s="1">
        <f>IF(B748="", "", "UBERON:kidney")</f>
        <v>0</v>
      </c>
      <c r="F748" s="1">
        <f>IF(B748="", "", "animal corpus")</f>
        <v>0</v>
      </c>
      <c r="G748" s="1">
        <f>IF(B748="", "", "urine")</f>
        <v>0</v>
      </c>
      <c r="H748" s="1">
        <f>IF(B748="", "", "urine")</f>
        <v>0</v>
      </c>
      <c r="I748" s="1">
        <f>IF(B748="", "", "urine metagenome")</f>
        <v>0</v>
      </c>
      <c r="J748" s="1">
        <f>IF(B748="", "", "1346744")</f>
        <v>0</v>
      </c>
    </row>
    <row r="749" spans="1:10">
      <c r="A749">
        <f>IF(COUNTBLANK(B749:J749)&lt;&gt;COLUMNS(B749:J749),748,"")</f>
        <v>0</v>
      </c>
      <c r="C749" s="1">
        <f>IF(B749="", "", "UBERON:genitourinary")</f>
        <v>0</v>
      </c>
      <c r="D749" s="1">
        <f>IF(B749="", "", "UBERON:urine")</f>
        <v>0</v>
      </c>
      <c r="E749" s="1">
        <f>IF(B749="", "", "UBERON:kidney")</f>
        <v>0</v>
      </c>
      <c r="F749" s="1">
        <f>IF(B749="", "", "animal corpus")</f>
        <v>0</v>
      </c>
      <c r="G749" s="1">
        <f>IF(B749="", "", "urine")</f>
        <v>0</v>
      </c>
      <c r="H749" s="1">
        <f>IF(B749="", "", "urine")</f>
        <v>0</v>
      </c>
      <c r="I749" s="1">
        <f>IF(B749="", "", "urine metagenome")</f>
        <v>0</v>
      </c>
      <c r="J749" s="1">
        <f>IF(B749="", "", "1346744")</f>
        <v>0</v>
      </c>
    </row>
    <row r="750" spans="1:10">
      <c r="A750">
        <f>IF(COUNTBLANK(B750:J750)&lt;&gt;COLUMNS(B750:J750),749,"")</f>
        <v>0</v>
      </c>
      <c r="C750" s="1">
        <f>IF(B750="", "", "UBERON:genitourinary")</f>
        <v>0</v>
      </c>
      <c r="D750" s="1">
        <f>IF(B750="", "", "UBERON:urine")</f>
        <v>0</v>
      </c>
      <c r="E750" s="1">
        <f>IF(B750="", "", "UBERON:kidney")</f>
        <v>0</v>
      </c>
      <c r="F750" s="1">
        <f>IF(B750="", "", "animal corpus")</f>
        <v>0</v>
      </c>
      <c r="G750" s="1">
        <f>IF(B750="", "", "urine")</f>
        <v>0</v>
      </c>
      <c r="H750" s="1">
        <f>IF(B750="", "", "urine")</f>
        <v>0</v>
      </c>
      <c r="I750" s="1">
        <f>IF(B750="", "", "urine metagenome")</f>
        <v>0</v>
      </c>
      <c r="J750" s="1">
        <f>IF(B750="", "", "1346744")</f>
        <v>0</v>
      </c>
    </row>
    <row r="751" spans="1:10">
      <c r="A751">
        <f>IF(COUNTBLANK(B751:J751)&lt;&gt;COLUMNS(B751:J751),750,"")</f>
        <v>0</v>
      </c>
      <c r="C751" s="1">
        <f>IF(B751="", "", "UBERON:genitourinary")</f>
        <v>0</v>
      </c>
      <c r="D751" s="1">
        <f>IF(B751="", "", "UBERON:urine")</f>
        <v>0</v>
      </c>
      <c r="E751" s="1">
        <f>IF(B751="", "", "UBERON:kidney")</f>
        <v>0</v>
      </c>
      <c r="F751" s="1">
        <f>IF(B751="", "", "animal corpus")</f>
        <v>0</v>
      </c>
      <c r="G751" s="1">
        <f>IF(B751="", "", "urine")</f>
        <v>0</v>
      </c>
      <c r="H751" s="1">
        <f>IF(B751="", "", "urine")</f>
        <v>0</v>
      </c>
      <c r="I751" s="1">
        <f>IF(B751="", "", "urine metagenome")</f>
        <v>0</v>
      </c>
      <c r="J751" s="1">
        <f>IF(B751="", "", "1346744")</f>
        <v>0</v>
      </c>
    </row>
    <row r="752" spans="1:10">
      <c r="A752">
        <f>IF(COUNTBLANK(B752:J752)&lt;&gt;COLUMNS(B752:J752),751,"")</f>
        <v>0</v>
      </c>
      <c r="C752" s="1">
        <f>IF(B752="", "", "UBERON:genitourinary")</f>
        <v>0</v>
      </c>
      <c r="D752" s="1">
        <f>IF(B752="", "", "UBERON:urine")</f>
        <v>0</v>
      </c>
      <c r="E752" s="1">
        <f>IF(B752="", "", "UBERON:kidney")</f>
        <v>0</v>
      </c>
      <c r="F752" s="1">
        <f>IF(B752="", "", "animal corpus")</f>
        <v>0</v>
      </c>
      <c r="G752" s="1">
        <f>IF(B752="", "", "urine")</f>
        <v>0</v>
      </c>
      <c r="H752" s="1">
        <f>IF(B752="", "", "urine")</f>
        <v>0</v>
      </c>
      <c r="I752" s="1">
        <f>IF(B752="", "", "urine metagenome")</f>
        <v>0</v>
      </c>
      <c r="J752" s="1">
        <f>IF(B752="", "", "1346744")</f>
        <v>0</v>
      </c>
    </row>
    <row r="753" spans="1:10">
      <c r="A753">
        <f>IF(COUNTBLANK(B753:J753)&lt;&gt;COLUMNS(B753:J753),752,"")</f>
        <v>0</v>
      </c>
      <c r="C753" s="1">
        <f>IF(B753="", "", "UBERON:genitourinary")</f>
        <v>0</v>
      </c>
      <c r="D753" s="1">
        <f>IF(B753="", "", "UBERON:urine")</f>
        <v>0</v>
      </c>
      <c r="E753" s="1">
        <f>IF(B753="", "", "UBERON:kidney")</f>
        <v>0</v>
      </c>
      <c r="F753" s="1">
        <f>IF(B753="", "", "animal corpus")</f>
        <v>0</v>
      </c>
      <c r="G753" s="1">
        <f>IF(B753="", "", "urine")</f>
        <v>0</v>
      </c>
      <c r="H753" s="1">
        <f>IF(B753="", "", "urine")</f>
        <v>0</v>
      </c>
      <c r="I753" s="1">
        <f>IF(B753="", "", "urine metagenome")</f>
        <v>0</v>
      </c>
      <c r="J753" s="1">
        <f>IF(B753="", "", "1346744")</f>
        <v>0</v>
      </c>
    </row>
    <row r="754" spans="1:10">
      <c r="A754">
        <f>IF(COUNTBLANK(B754:J754)&lt;&gt;COLUMNS(B754:J754),753,"")</f>
        <v>0</v>
      </c>
      <c r="C754" s="1">
        <f>IF(B754="", "", "UBERON:genitourinary")</f>
        <v>0</v>
      </c>
      <c r="D754" s="1">
        <f>IF(B754="", "", "UBERON:urine")</f>
        <v>0</v>
      </c>
      <c r="E754" s="1">
        <f>IF(B754="", "", "UBERON:kidney")</f>
        <v>0</v>
      </c>
      <c r="F754" s="1">
        <f>IF(B754="", "", "animal corpus")</f>
        <v>0</v>
      </c>
      <c r="G754" s="1">
        <f>IF(B754="", "", "urine")</f>
        <v>0</v>
      </c>
      <c r="H754" s="1">
        <f>IF(B754="", "", "urine")</f>
        <v>0</v>
      </c>
      <c r="I754" s="1">
        <f>IF(B754="", "", "urine metagenome")</f>
        <v>0</v>
      </c>
      <c r="J754" s="1">
        <f>IF(B754="", "", "1346744")</f>
        <v>0</v>
      </c>
    </row>
    <row r="755" spans="1:10">
      <c r="A755">
        <f>IF(COUNTBLANK(B755:J755)&lt;&gt;COLUMNS(B755:J755),754,"")</f>
        <v>0</v>
      </c>
      <c r="C755" s="1">
        <f>IF(B755="", "", "UBERON:genitourinary")</f>
        <v>0</v>
      </c>
      <c r="D755" s="1">
        <f>IF(B755="", "", "UBERON:urine")</f>
        <v>0</v>
      </c>
      <c r="E755" s="1">
        <f>IF(B755="", "", "UBERON:kidney")</f>
        <v>0</v>
      </c>
      <c r="F755" s="1">
        <f>IF(B755="", "", "animal corpus")</f>
        <v>0</v>
      </c>
      <c r="G755" s="1">
        <f>IF(B755="", "", "urine")</f>
        <v>0</v>
      </c>
      <c r="H755" s="1">
        <f>IF(B755="", "", "urine")</f>
        <v>0</v>
      </c>
      <c r="I755" s="1">
        <f>IF(B755="", "", "urine metagenome")</f>
        <v>0</v>
      </c>
      <c r="J755" s="1">
        <f>IF(B755="", "", "1346744")</f>
        <v>0</v>
      </c>
    </row>
    <row r="756" spans="1:10">
      <c r="A756">
        <f>IF(COUNTBLANK(B756:J756)&lt;&gt;COLUMNS(B756:J756),755,"")</f>
        <v>0</v>
      </c>
      <c r="C756" s="1">
        <f>IF(B756="", "", "UBERON:genitourinary")</f>
        <v>0</v>
      </c>
      <c r="D756" s="1">
        <f>IF(B756="", "", "UBERON:urine")</f>
        <v>0</v>
      </c>
      <c r="E756" s="1">
        <f>IF(B756="", "", "UBERON:kidney")</f>
        <v>0</v>
      </c>
      <c r="F756" s="1">
        <f>IF(B756="", "", "animal corpus")</f>
        <v>0</v>
      </c>
      <c r="G756" s="1">
        <f>IF(B756="", "", "urine")</f>
        <v>0</v>
      </c>
      <c r="H756" s="1">
        <f>IF(B756="", "", "urine")</f>
        <v>0</v>
      </c>
      <c r="I756" s="1">
        <f>IF(B756="", "", "urine metagenome")</f>
        <v>0</v>
      </c>
      <c r="J756" s="1">
        <f>IF(B756="", "", "1346744")</f>
        <v>0</v>
      </c>
    </row>
    <row r="757" spans="1:10">
      <c r="A757">
        <f>IF(COUNTBLANK(B757:J757)&lt;&gt;COLUMNS(B757:J757),756,"")</f>
        <v>0</v>
      </c>
      <c r="C757" s="1">
        <f>IF(B757="", "", "UBERON:genitourinary")</f>
        <v>0</v>
      </c>
      <c r="D757" s="1">
        <f>IF(B757="", "", "UBERON:urine")</f>
        <v>0</v>
      </c>
      <c r="E757" s="1">
        <f>IF(B757="", "", "UBERON:kidney")</f>
        <v>0</v>
      </c>
      <c r="F757" s="1">
        <f>IF(B757="", "", "animal corpus")</f>
        <v>0</v>
      </c>
      <c r="G757" s="1">
        <f>IF(B757="", "", "urine")</f>
        <v>0</v>
      </c>
      <c r="H757" s="1">
        <f>IF(B757="", "", "urine")</f>
        <v>0</v>
      </c>
      <c r="I757" s="1">
        <f>IF(B757="", "", "urine metagenome")</f>
        <v>0</v>
      </c>
      <c r="J757" s="1">
        <f>IF(B757="", "", "1346744")</f>
        <v>0</v>
      </c>
    </row>
    <row r="758" spans="1:10">
      <c r="A758">
        <f>IF(COUNTBLANK(B758:J758)&lt;&gt;COLUMNS(B758:J758),757,"")</f>
        <v>0</v>
      </c>
      <c r="C758" s="1">
        <f>IF(B758="", "", "UBERON:genitourinary")</f>
        <v>0</v>
      </c>
      <c r="D758" s="1">
        <f>IF(B758="", "", "UBERON:urine")</f>
        <v>0</v>
      </c>
      <c r="E758" s="1">
        <f>IF(B758="", "", "UBERON:kidney")</f>
        <v>0</v>
      </c>
      <c r="F758" s="1">
        <f>IF(B758="", "", "animal corpus")</f>
        <v>0</v>
      </c>
      <c r="G758" s="1">
        <f>IF(B758="", "", "urine")</f>
        <v>0</v>
      </c>
      <c r="H758" s="1">
        <f>IF(B758="", "", "urine")</f>
        <v>0</v>
      </c>
      <c r="I758" s="1">
        <f>IF(B758="", "", "urine metagenome")</f>
        <v>0</v>
      </c>
      <c r="J758" s="1">
        <f>IF(B758="", "", "1346744")</f>
        <v>0</v>
      </c>
    </row>
    <row r="759" spans="1:10">
      <c r="A759">
        <f>IF(COUNTBLANK(B759:J759)&lt;&gt;COLUMNS(B759:J759),758,"")</f>
        <v>0</v>
      </c>
      <c r="C759" s="1">
        <f>IF(B759="", "", "UBERON:genitourinary")</f>
        <v>0</v>
      </c>
      <c r="D759" s="1">
        <f>IF(B759="", "", "UBERON:urine")</f>
        <v>0</v>
      </c>
      <c r="E759" s="1">
        <f>IF(B759="", "", "UBERON:kidney")</f>
        <v>0</v>
      </c>
      <c r="F759" s="1">
        <f>IF(B759="", "", "animal corpus")</f>
        <v>0</v>
      </c>
      <c r="G759" s="1">
        <f>IF(B759="", "", "urine")</f>
        <v>0</v>
      </c>
      <c r="H759" s="1">
        <f>IF(B759="", "", "urine")</f>
        <v>0</v>
      </c>
      <c r="I759" s="1">
        <f>IF(B759="", "", "urine metagenome")</f>
        <v>0</v>
      </c>
      <c r="J759" s="1">
        <f>IF(B759="", "", "1346744")</f>
        <v>0</v>
      </c>
    </row>
    <row r="760" spans="1:10">
      <c r="A760">
        <f>IF(COUNTBLANK(B760:J760)&lt;&gt;COLUMNS(B760:J760),759,"")</f>
        <v>0</v>
      </c>
      <c r="C760" s="1">
        <f>IF(B760="", "", "UBERON:genitourinary")</f>
        <v>0</v>
      </c>
      <c r="D760" s="1">
        <f>IF(B760="", "", "UBERON:urine")</f>
        <v>0</v>
      </c>
      <c r="E760" s="1">
        <f>IF(B760="", "", "UBERON:kidney")</f>
        <v>0</v>
      </c>
      <c r="F760" s="1">
        <f>IF(B760="", "", "animal corpus")</f>
        <v>0</v>
      </c>
      <c r="G760" s="1">
        <f>IF(B760="", "", "urine")</f>
        <v>0</v>
      </c>
      <c r="H760" s="1">
        <f>IF(B760="", "", "urine")</f>
        <v>0</v>
      </c>
      <c r="I760" s="1">
        <f>IF(B760="", "", "urine metagenome")</f>
        <v>0</v>
      </c>
      <c r="J760" s="1">
        <f>IF(B760="", "", "1346744")</f>
        <v>0</v>
      </c>
    </row>
    <row r="761" spans="1:10">
      <c r="A761">
        <f>IF(COUNTBLANK(B761:J761)&lt;&gt;COLUMNS(B761:J761),760,"")</f>
        <v>0</v>
      </c>
      <c r="C761" s="1">
        <f>IF(B761="", "", "UBERON:genitourinary")</f>
        <v>0</v>
      </c>
      <c r="D761" s="1">
        <f>IF(B761="", "", "UBERON:urine")</f>
        <v>0</v>
      </c>
      <c r="E761" s="1">
        <f>IF(B761="", "", "UBERON:kidney")</f>
        <v>0</v>
      </c>
      <c r="F761" s="1">
        <f>IF(B761="", "", "animal corpus")</f>
        <v>0</v>
      </c>
      <c r="G761" s="1">
        <f>IF(B761="", "", "urine")</f>
        <v>0</v>
      </c>
      <c r="H761" s="1">
        <f>IF(B761="", "", "urine")</f>
        <v>0</v>
      </c>
      <c r="I761" s="1">
        <f>IF(B761="", "", "urine metagenome")</f>
        <v>0</v>
      </c>
      <c r="J761" s="1">
        <f>IF(B761="", "", "1346744")</f>
        <v>0</v>
      </c>
    </row>
    <row r="762" spans="1:10">
      <c r="A762">
        <f>IF(COUNTBLANK(B762:J762)&lt;&gt;COLUMNS(B762:J762),761,"")</f>
        <v>0</v>
      </c>
      <c r="C762" s="1">
        <f>IF(B762="", "", "UBERON:genitourinary")</f>
        <v>0</v>
      </c>
      <c r="D762" s="1">
        <f>IF(B762="", "", "UBERON:urine")</f>
        <v>0</v>
      </c>
      <c r="E762" s="1">
        <f>IF(B762="", "", "UBERON:kidney")</f>
        <v>0</v>
      </c>
      <c r="F762" s="1">
        <f>IF(B762="", "", "animal corpus")</f>
        <v>0</v>
      </c>
      <c r="G762" s="1">
        <f>IF(B762="", "", "urine")</f>
        <v>0</v>
      </c>
      <c r="H762" s="1">
        <f>IF(B762="", "", "urine")</f>
        <v>0</v>
      </c>
      <c r="I762" s="1">
        <f>IF(B762="", "", "urine metagenome")</f>
        <v>0</v>
      </c>
      <c r="J762" s="1">
        <f>IF(B762="", "", "1346744")</f>
        <v>0</v>
      </c>
    </row>
    <row r="763" spans="1:10">
      <c r="A763">
        <f>IF(COUNTBLANK(B763:J763)&lt;&gt;COLUMNS(B763:J763),762,"")</f>
        <v>0</v>
      </c>
      <c r="C763" s="1">
        <f>IF(B763="", "", "UBERON:genitourinary")</f>
        <v>0</v>
      </c>
      <c r="D763" s="1">
        <f>IF(B763="", "", "UBERON:urine")</f>
        <v>0</v>
      </c>
      <c r="E763" s="1">
        <f>IF(B763="", "", "UBERON:kidney")</f>
        <v>0</v>
      </c>
      <c r="F763" s="1">
        <f>IF(B763="", "", "animal corpus")</f>
        <v>0</v>
      </c>
      <c r="G763" s="1">
        <f>IF(B763="", "", "urine")</f>
        <v>0</v>
      </c>
      <c r="H763" s="1">
        <f>IF(B763="", "", "urine")</f>
        <v>0</v>
      </c>
      <c r="I763" s="1">
        <f>IF(B763="", "", "urine metagenome")</f>
        <v>0</v>
      </c>
      <c r="J763" s="1">
        <f>IF(B763="", "", "1346744")</f>
        <v>0</v>
      </c>
    </row>
    <row r="764" spans="1:10">
      <c r="A764">
        <f>IF(COUNTBLANK(B764:J764)&lt;&gt;COLUMNS(B764:J764),763,"")</f>
        <v>0</v>
      </c>
      <c r="C764" s="1">
        <f>IF(B764="", "", "UBERON:genitourinary")</f>
        <v>0</v>
      </c>
      <c r="D764" s="1">
        <f>IF(B764="", "", "UBERON:urine")</f>
        <v>0</v>
      </c>
      <c r="E764" s="1">
        <f>IF(B764="", "", "UBERON:kidney")</f>
        <v>0</v>
      </c>
      <c r="F764" s="1">
        <f>IF(B764="", "", "animal corpus")</f>
        <v>0</v>
      </c>
      <c r="G764" s="1">
        <f>IF(B764="", "", "urine")</f>
        <v>0</v>
      </c>
      <c r="H764" s="1">
        <f>IF(B764="", "", "urine")</f>
        <v>0</v>
      </c>
      <c r="I764" s="1">
        <f>IF(B764="", "", "urine metagenome")</f>
        <v>0</v>
      </c>
      <c r="J764" s="1">
        <f>IF(B764="", "", "1346744")</f>
        <v>0</v>
      </c>
    </row>
    <row r="765" spans="1:10">
      <c r="A765">
        <f>IF(COUNTBLANK(B765:J765)&lt;&gt;COLUMNS(B765:J765),764,"")</f>
        <v>0</v>
      </c>
      <c r="C765" s="1">
        <f>IF(B765="", "", "UBERON:genitourinary")</f>
        <v>0</v>
      </c>
      <c r="D765" s="1">
        <f>IF(B765="", "", "UBERON:urine")</f>
        <v>0</v>
      </c>
      <c r="E765" s="1">
        <f>IF(B765="", "", "UBERON:kidney")</f>
        <v>0</v>
      </c>
      <c r="F765" s="1">
        <f>IF(B765="", "", "animal corpus")</f>
        <v>0</v>
      </c>
      <c r="G765" s="1">
        <f>IF(B765="", "", "urine")</f>
        <v>0</v>
      </c>
      <c r="H765" s="1">
        <f>IF(B765="", "", "urine")</f>
        <v>0</v>
      </c>
      <c r="I765" s="1">
        <f>IF(B765="", "", "urine metagenome")</f>
        <v>0</v>
      </c>
      <c r="J765" s="1">
        <f>IF(B765="", "", "1346744")</f>
        <v>0</v>
      </c>
    </row>
    <row r="766" spans="1:10">
      <c r="A766">
        <f>IF(COUNTBLANK(B766:J766)&lt;&gt;COLUMNS(B766:J766),765,"")</f>
        <v>0</v>
      </c>
      <c r="C766" s="1">
        <f>IF(B766="", "", "UBERON:genitourinary")</f>
        <v>0</v>
      </c>
      <c r="D766" s="1">
        <f>IF(B766="", "", "UBERON:urine")</f>
        <v>0</v>
      </c>
      <c r="E766" s="1">
        <f>IF(B766="", "", "UBERON:kidney")</f>
        <v>0</v>
      </c>
      <c r="F766" s="1">
        <f>IF(B766="", "", "animal corpus")</f>
        <v>0</v>
      </c>
      <c r="G766" s="1">
        <f>IF(B766="", "", "urine")</f>
        <v>0</v>
      </c>
      <c r="H766" s="1">
        <f>IF(B766="", "", "urine")</f>
        <v>0</v>
      </c>
      <c r="I766" s="1">
        <f>IF(B766="", "", "urine metagenome")</f>
        <v>0</v>
      </c>
      <c r="J766" s="1">
        <f>IF(B766="", "", "1346744")</f>
        <v>0</v>
      </c>
    </row>
    <row r="767" spans="1:10">
      <c r="A767">
        <f>IF(COUNTBLANK(B767:J767)&lt;&gt;COLUMNS(B767:J767),766,"")</f>
        <v>0</v>
      </c>
      <c r="C767" s="1">
        <f>IF(B767="", "", "UBERON:genitourinary")</f>
        <v>0</v>
      </c>
      <c r="D767" s="1">
        <f>IF(B767="", "", "UBERON:urine")</f>
        <v>0</v>
      </c>
      <c r="E767" s="1">
        <f>IF(B767="", "", "UBERON:kidney")</f>
        <v>0</v>
      </c>
      <c r="F767" s="1">
        <f>IF(B767="", "", "animal corpus")</f>
        <v>0</v>
      </c>
      <c r="G767" s="1">
        <f>IF(B767="", "", "urine")</f>
        <v>0</v>
      </c>
      <c r="H767" s="1">
        <f>IF(B767="", "", "urine")</f>
        <v>0</v>
      </c>
      <c r="I767" s="1">
        <f>IF(B767="", "", "urine metagenome")</f>
        <v>0</v>
      </c>
      <c r="J767" s="1">
        <f>IF(B767="", "", "1346744")</f>
        <v>0</v>
      </c>
    </row>
    <row r="768" spans="1:10">
      <c r="A768">
        <f>IF(COUNTBLANK(B768:J768)&lt;&gt;COLUMNS(B768:J768),767,"")</f>
        <v>0</v>
      </c>
      <c r="C768" s="1">
        <f>IF(B768="", "", "UBERON:genitourinary")</f>
        <v>0</v>
      </c>
      <c r="D768" s="1">
        <f>IF(B768="", "", "UBERON:urine")</f>
        <v>0</v>
      </c>
      <c r="E768" s="1">
        <f>IF(B768="", "", "UBERON:kidney")</f>
        <v>0</v>
      </c>
      <c r="F768" s="1">
        <f>IF(B768="", "", "animal corpus")</f>
        <v>0</v>
      </c>
      <c r="G768" s="1">
        <f>IF(B768="", "", "urine")</f>
        <v>0</v>
      </c>
      <c r="H768" s="1">
        <f>IF(B768="", "", "urine")</f>
        <v>0</v>
      </c>
      <c r="I768" s="1">
        <f>IF(B768="", "", "urine metagenome")</f>
        <v>0</v>
      </c>
      <c r="J768" s="1">
        <f>IF(B768="", "", "1346744")</f>
        <v>0</v>
      </c>
    </row>
    <row r="769" spans="1:10">
      <c r="A769">
        <f>IF(COUNTBLANK(B769:J769)&lt;&gt;COLUMNS(B769:J769),768,"")</f>
        <v>0</v>
      </c>
      <c r="C769" s="1">
        <f>IF(B769="", "", "UBERON:genitourinary")</f>
        <v>0</v>
      </c>
      <c r="D769" s="1">
        <f>IF(B769="", "", "UBERON:urine")</f>
        <v>0</v>
      </c>
      <c r="E769" s="1">
        <f>IF(B769="", "", "UBERON:kidney")</f>
        <v>0</v>
      </c>
      <c r="F769" s="1">
        <f>IF(B769="", "", "animal corpus")</f>
        <v>0</v>
      </c>
      <c r="G769" s="1">
        <f>IF(B769="", "", "urine")</f>
        <v>0</v>
      </c>
      <c r="H769" s="1">
        <f>IF(B769="", "", "urine")</f>
        <v>0</v>
      </c>
      <c r="I769" s="1">
        <f>IF(B769="", "", "urine metagenome")</f>
        <v>0</v>
      </c>
      <c r="J769" s="1">
        <f>IF(B769="", "", "1346744")</f>
        <v>0</v>
      </c>
    </row>
    <row r="770" spans="1:10">
      <c r="A770">
        <f>IF(COUNTBLANK(B770:J770)&lt;&gt;COLUMNS(B770:J770),769,"")</f>
        <v>0</v>
      </c>
      <c r="C770" s="1">
        <f>IF(B770="", "", "UBERON:genitourinary")</f>
        <v>0</v>
      </c>
      <c r="D770" s="1">
        <f>IF(B770="", "", "UBERON:urine")</f>
        <v>0</v>
      </c>
      <c r="E770" s="1">
        <f>IF(B770="", "", "UBERON:kidney")</f>
        <v>0</v>
      </c>
      <c r="F770" s="1">
        <f>IF(B770="", "", "animal corpus")</f>
        <v>0</v>
      </c>
      <c r="G770" s="1">
        <f>IF(B770="", "", "urine")</f>
        <v>0</v>
      </c>
      <c r="H770" s="1">
        <f>IF(B770="", "", "urine")</f>
        <v>0</v>
      </c>
      <c r="I770" s="1">
        <f>IF(B770="", "", "urine metagenome")</f>
        <v>0</v>
      </c>
      <c r="J770" s="1">
        <f>IF(B770="", "", "1346744")</f>
        <v>0</v>
      </c>
    </row>
    <row r="771" spans="1:10">
      <c r="A771">
        <f>IF(COUNTBLANK(B771:J771)&lt;&gt;COLUMNS(B771:J771),770,"")</f>
        <v>0</v>
      </c>
      <c r="C771" s="1">
        <f>IF(B771="", "", "UBERON:genitourinary")</f>
        <v>0</v>
      </c>
      <c r="D771" s="1">
        <f>IF(B771="", "", "UBERON:urine")</f>
        <v>0</v>
      </c>
      <c r="E771" s="1">
        <f>IF(B771="", "", "UBERON:kidney")</f>
        <v>0</v>
      </c>
      <c r="F771" s="1">
        <f>IF(B771="", "", "animal corpus")</f>
        <v>0</v>
      </c>
      <c r="G771" s="1">
        <f>IF(B771="", "", "urine")</f>
        <v>0</v>
      </c>
      <c r="H771" s="1">
        <f>IF(B771="", "", "urine")</f>
        <v>0</v>
      </c>
      <c r="I771" s="1">
        <f>IF(B771="", "", "urine metagenome")</f>
        <v>0</v>
      </c>
      <c r="J771" s="1">
        <f>IF(B771="", "", "1346744")</f>
        <v>0</v>
      </c>
    </row>
    <row r="772" spans="1:10">
      <c r="A772">
        <f>IF(COUNTBLANK(B772:J772)&lt;&gt;COLUMNS(B772:J772),771,"")</f>
        <v>0</v>
      </c>
      <c r="C772" s="1">
        <f>IF(B772="", "", "UBERON:genitourinary")</f>
        <v>0</v>
      </c>
      <c r="D772" s="1">
        <f>IF(B772="", "", "UBERON:urine")</f>
        <v>0</v>
      </c>
      <c r="E772" s="1">
        <f>IF(B772="", "", "UBERON:kidney")</f>
        <v>0</v>
      </c>
      <c r="F772" s="1">
        <f>IF(B772="", "", "animal corpus")</f>
        <v>0</v>
      </c>
      <c r="G772" s="1">
        <f>IF(B772="", "", "urine")</f>
        <v>0</v>
      </c>
      <c r="H772" s="1">
        <f>IF(B772="", "", "urine")</f>
        <v>0</v>
      </c>
      <c r="I772" s="1">
        <f>IF(B772="", "", "urine metagenome")</f>
        <v>0</v>
      </c>
      <c r="J772" s="1">
        <f>IF(B772="", "", "1346744")</f>
        <v>0</v>
      </c>
    </row>
    <row r="773" spans="1:10">
      <c r="A773">
        <f>IF(COUNTBLANK(B773:J773)&lt;&gt;COLUMNS(B773:J773),772,"")</f>
        <v>0</v>
      </c>
      <c r="C773" s="1">
        <f>IF(B773="", "", "UBERON:genitourinary")</f>
        <v>0</v>
      </c>
      <c r="D773" s="1">
        <f>IF(B773="", "", "UBERON:urine")</f>
        <v>0</v>
      </c>
      <c r="E773" s="1">
        <f>IF(B773="", "", "UBERON:kidney")</f>
        <v>0</v>
      </c>
      <c r="F773" s="1">
        <f>IF(B773="", "", "animal corpus")</f>
        <v>0</v>
      </c>
      <c r="G773" s="1">
        <f>IF(B773="", "", "urine")</f>
        <v>0</v>
      </c>
      <c r="H773" s="1">
        <f>IF(B773="", "", "urine")</f>
        <v>0</v>
      </c>
      <c r="I773" s="1">
        <f>IF(B773="", "", "urine metagenome")</f>
        <v>0</v>
      </c>
      <c r="J773" s="1">
        <f>IF(B773="", "", "1346744")</f>
        <v>0</v>
      </c>
    </row>
    <row r="774" spans="1:10">
      <c r="A774">
        <f>IF(COUNTBLANK(B774:J774)&lt;&gt;COLUMNS(B774:J774),773,"")</f>
        <v>0</v>
      </c>
      <c r="C774" s="1">
        <f>IF(B774="", "", "UBERON:genitourinary")</f>
        <v>0</v>
      </c>
      <c r="D774" s="1">
        <f>IF(B774="", "", "UBERON:urine")</f>
        <v>0</v>
      </c>
      <c r="E774" s="1">
        <f>IF(B774="", "", "UBERON:kidney")</f>
        <v>0</v>
      </c>
      <c r="F774" s="1">
        <f>IF(B774="", "", "animal corpus")</f>
        <v>0</v>
      </c>
      <c r="G774" s="1">
        <f>IF(B774="", "", "urine")</f>
        <v>0</v>
      </c>
      <c r="H774" s="1">
        <f>IF(B774="", "", "urine")</f>
        <v>0</v>
      </c>
      <c r="I774" s="1">
        <f>IF(B774="", "", "urine metagenome")</f>
        <v>0</v>
      </c>
      <c r="J774" s="1">
        <f>IF(B774="", "", "1346744")</f>
        <v>0</v>
      </c>
    </row>
    <row r="775" spans="1:10">
      <c r="A775">
        <f>IF(COUNTBLANK(B775:J775)&lt;&gt;COLUMNS(B775:J775),774,"")</f>
        <v>0</v>
      </c>
      <c r="C775" s="1">
        <f>IF(B775="", "", "UBERON:genitourinary")</f>
        <v>0</v>
      </c>
      <c r="D775" s="1">
        <f>IF(B775="", "", "UBERON:urine")</f>
        <v>0</v>
      </c>
      <c r="E775" s="1">
        <f>IF(B775="", "", "UBERON:kidney")</f>
        <v>0</v>
      </c>
      <c r="F775" s="1">
        <f>IF(B775="", "", "animal corpus")</f>
        <v>0</v>
      </c>
      <c r="G775" s="1">
        <f>IF(B775="", "", "urine")</f>
        <v>0</v>
      </c>
      <c r="H775" s="1">
        <f>IF(B775="", "", "urine")</f>
        <v>0</v>
      </c>
      <c r="I775" s="1">
        <f>IF(B775="", "", "urine metagenome")</f>
        <v>0</v>
      </c>
      <c r="J775" s="1">
        <f>IF(B775="", "", "1346744")</f>
        <v>0</v>
      </c>
    </row>
    <row r="776" spans="1:10">
      <c r="A776">
        <f>IF(COUNTBLANK(B776:J776)&lt;&gt;COLUMNS(B776:J776),775,"")</f>
        <v>0</v>
      </c>
      <c r="C776" s="1">
        <f>IF(B776="", "", "UBERON:genitourinary")</f>
        <v>0</v>
      </c>
      <c r="D776" s="1">
        <f>IF(B776="", "", "UBERON:urine")</f>
        <v>0</v>
      </c>
      <c r="E776" s="1">
        <f>IF(B776="", "", "UBERON:kidney")</f>
        <v>0</v>
      </c>
      <c r="F776" s="1">
        <f>IF(B776="", "", "animal corpus")</f>
        <v>0</v>
      </c>
      <c r="G776" s="1">
        <f>IF(B776="", "", "urine")</f>
        <v>0</v>
      </c>
      <c r="H776" s="1">
        <f>IF(B776="", "", "urine")</f>
        <v>0</v>
      </c>
      <c r="I776" s="1">
        <f>IF(B776="", "", "urine metagenome")</f>
        <v>0</v>
      </c>
      <c r="J776" s="1">
        <f>IF(B776="", "", "1346744")</f>
        <v>0</v>
      </c>
    </row>
    <row r="777" spans="1:10">
      <c r="A777">
        <f>IF(COUNTBLANK(B777:J777)&lt;&gt;COLUMNS(B777:J777),776,"")</f>
        <v>0</v>
      </c>
      <c r="C777" s="1">
        <f>IF(B777="", "", "UBERON:genitourinary")</f>
        <v>0</v>
      </c>
      <c r="D777" s="1">
        <f>IF(B777="", "", "UBERON:urine")</f>
        <v>0</v>
      </c>
      <c r="E777" s="1">
        <f>IF(B777="", "", "UBERON:kidney")</f>
        <v>0</v>
      </c>
      <c r="F777" s="1">
        <f>IF(B777="", "", "animal corpus")</f>
        <v>0</v>
      </c>
      <c r="G777" s="1">
        <f>IF(B777="", "", "urine")</f>
        <v>0</v>
      </c>
      <c r="H777" s="1">
        <f>IF(B777="", "", "urine")</f>
        <v>0</v>
      </c>
      <c r="I777" s="1">
        <f>IF(B777="", "", "urine metagenome")</f>
        <v>0</v>
      </c>
      <c r="J777" s="1">
        <f>IF(B777="", "", "1346744")</f>
        <v>0</v>
      </c>
    </row>
    <row r="778" spans="1:10">
      <c r="A778">
        <f>IF(COUNTBLANK(B778:J778)&lt;&gt;COLUMNS(B778:J778),777,"")</f>
        <v>0</v>
      </c>
      <c r="C778" s="1">
        <f>IF(B778="", "", "UBERON:genitourinary")</f>
        <v>0</v>
      </c>
      <c r="D778" s="1">
        <f>IF(B778="", "", "UBERON:urine")</f>
        <v>0</v>
      </c>
      <c r="E778" s="1">
        <f>IF(B778="", "", "UBERON:kidney")</f>
        <v>0</v>
      </c>
      <c r="F778" s="1">
        <f>IF(B778="", "", "animal corpus")</f>
        <v>0</v>
      </c>
      <c r="G778" s="1">
        <f>IF(B778="", "", "urine")</f>
        <v>0</v>
      </c>
      <c r="H778" s="1">
        <f>IF(B778="", "", "urine")</f>
        <v>0</v>
      </c>
      <c r="I778" s="1">
        <f>IF(B778="", "", "urine metagenome")</f>
        <v>0</v>
      </c>
      <c r="J778" s="1">
        <f>IF(B778="", "", "1346744")</f>
        <v>0</v>
      </c>
    </row>
    <row r="779" spans="1:10">
      <c r="A779">
        <f>IF(COUNTBLANK(B779:J779)&lt;&gt;COLUMNS(B779:J779),778,"")</f>
        <v>0</v>
      </c>
      <c r="C779" s="1">
        <f>IF(B779="", "", "UBERON:genitourinary")</f>
        <v>0</v>
      </c>
      <c r="D779" s="1">
        <f>IF(B779="", "", "UBERON:urine")</f>
        <v>0</v>
      </c>
      <c r="E779" s="1">
        <f>IF(B779="", "", "UBERON:kidney")</f>
        <v>0</v>
      </c>
      <c r="F779" s="1">
        <f>IF(B779="", "", "animal corpus")</f>
        <v>0</v>
      </c>
      <c r="G779" s="1">
        <f>IF(B779="", "", "urine")</f>
        <v>0</v>
      </c>
      <c r="H779" s="1">
        <f>IF(B779="", "", "urine")</f>
        <v>0</v>
      </c>
      <c r="I779" s="1">
        <f>IF(B779="", "", "urine metagenome")</f>
        <v>0</v>
      </c>
      <c r="J779" s="1">
        <f>IF(B779="", "", "1346744")</f>
        <v>0</v>
      </c>
    </row>
    <row r="780" spans="1:10">
      <c r="A780">
        <f>IF(COUNTBLANK(B780:J780)&lt;&gt;COLUMNS(B780:J780),779,"")</f>
        <v>0</v>
      </c>
      <c r="C780" s="1">
        <f>IF(B780="", "", "UBERON:genitourinary")</f>
        <v>0</v>
      </c>
      <c r="D780" s="1">
        <f>IF(B780="", "", "UBERON:urine")</f>
        <v>0</v>
      </c>
      <c r="E780" s="1">
        <f>IF(B780="", "", "UBERON:kidney")</f>
        <v>0</v>
      </c>
      <c r="F780" s="1">
        <f>IF(B780="", "", "animal corpus")</f>
        <v>0</v>
      </c>
      <c r="G780" s="1">
        <f>IF(B780="", "", "urine")</f>
        <v>0</v>
      </c>
      <c r="H780" s="1">
        <f>IF(B780="", "", "urine")</f>
        <v>0</v>
      </c>
      <c r="I780" s="1">
        <f>IF(B780="", "", "urine metagenome")</f>
        <v>0</v>
      </c>
      <c r="J780" s="1">
        <f>IF(B780="", "", "1346744")</f>
        <v>0</v>
      </c>
    </row>
    <row r="781" spans="1:10">
      <c r="A781">
        <f>IF(COUNTBLANK(B781:J781)&lt;&gt;COLUMNS(B781:J781),780,"")</f>
        <v>0</v>
      </c>
      <c r="C781" s="1">
        <f>IF(B781="", "", "UBERON:genitourinary")</f>
        <v>0</v>
      </c>
      <c r="D781" s="1">
        <f>IF(B781="", "", "UBERON:urine")</f>
        <v>0</v>
      </c>
      <c r="E781" s="1">
        <f>IF(B781="", "", "UBERON:kidney")</f>
        <v>0</v>
      </c>
      <c r="F781" s="1">
        <f>IF(B781="", "", "animal corpus")</f>
        <v>0</v>
      </c>
      <c r="G781" s="1">
        <f>IF(B781="", "", "urine")</f>
        <v>0</v>
      </c>
      <c r="H781" s="1">
        <f>IF(B781="", "", "urine")</f>
        <v>0</v>
      </c>
      <c r="I781" s="1">
        <f>IF(B781="", "", "urine metagenome")</f>
        <v>0</v>
      </c>
      <c r="J781" s="1">
        <f>IF(B781="", "", "1346744")</f>
        <v>0</v>
      </c>
    </row>
    <row r="782" spans="1:10">
      <c r="A782">
        <f>IF(COUNTBLANK(B782:J782)&lt;&gt;COLUMNS(B782:J782),781,"")</f>
        <v>0</v>
      </c>
      <c r="C782" s="1">
        <f>IF(B782="", "", "UBERON:genitourinary")</f>
        <v>0</v>
      </c>
      <c r="D782" s="1">
        <f>IF(B782="", "", "UBERON:urine")</f>
        <v>0</v>
      </c>
      <c r="E782" s="1">
        <f>IF(B782="", "", "UBERON:kidney")</f>
        <v>0</v>
      </c>
      <c r="F782" s="1">
        <f>IF(B782="", "", "animal corpus")</f>
        <v>0</v>
      </c>
      <c r="G782" s="1">
        <f>IF(B782="", "", "urine")</f>
        <v>0</v>
      </c>
      <c r="H782" s="1">
        <f>IF(B782="", "", "urine")</f>
        <v>0</v>
      </c>
      <c r="I782" s="1">
        <f>IF(B782="", "", "urine metagenome")</f>
        <v>0</v>
      </c>
      <c r="J782" s="1">
        <f>IF(B782="", "", "1346744")</f>
        <v>0</v>
      </c>
    </row>
    <row r="783" spans="1:10">
      <c r="A783">
        <f>IF(COUNTBLANK(B783:J783)&lt;&gt;COLUMNS(B783:J783),782,"")</f>
        <v>0</v>
      </c>
      <c r="C783" s="1">
        <f>IF(B783="", "", "UBERON:genitourinary")</f>
        <v>0</v>
      </c>
      <c r="D783" s="1">
        <f>IF(B783="", "", "UBERON:urine")</f>
        <v>0</v>
      </c>
      <c r="E783" s="1">
        <f>IF(B783="", "", "UBERON:kidney")</f>
        <v>0</v>
      </c>
      <c r="F783" s="1">
        <f>IF(B783="", "", "animal corpus")</f>
        <v>0</v>
      </c>
      <c r="G783" s="1">
        <f>IF(B783="", "", "urine")</f>
        <v>0</v>
      </c>
      <c r="H783" s="1">
        <f>IF(B783="", "", "urine")</f>
        <v>0</v>
      </c>
      <c r="I783" s="1">
        <f>IF(B783="", "", "urine metagenome")</f>
        <v>0</v>
      </c>
      <c r="J783" s="1">
        <f>IF(B783="", "", "1346744")</f>
        <v>0</v>
      </c>
    </row>
    <row r="784" spans="1:10">
      <c r="A784">
        <f>IF(COUNTBLANK(B784:J784)&lt;&gt;COLUMNS(B784:J784),783,"")</f>
        <v>0</v>
      </c>
      <c r="C784" s="1">
        <f>IF(B784="", "", "UBERON:genitourinary")</f>
        <v>0</v>
      </c>
      <c r="D784" s="1">
        <f>IF(B784="", "", "UBERON:urine")</f>
        <v>0</v>
      </c>
      <c r="E784" s="1">
        <f>IF(B784="", "", "UBERON:kidney")</f>
        <v>0</v>
      </c>
      <c r="F784" s="1">
        <f>IF(B784="", "", "animal corpus")</f>
        <v>0</v>
      </c>
      <c r="G784" s="1">
        <f>IF(B784="", "", "urine")</f>
        <v>0</v>
      </c>
      <c r="H784" s="1">
        <f>IF(B784="", "", "urine")</f>
        <v>0</v>
      </c>
      <c r="I784" s="1">
        <f>IF(B784="", "", "urine metagenome")</f>
        <v>0</v>
      </c>
      <c r="J784" s="1">
        <f>IF(B784="", "", "1346744")</f>
        <v>0</v>
      </c>
    </row>
    <row r="785" spans="1:10">
      <c r="A785">
        <f>IF(COUNTBLANK(B785:J785)&lt;&gt;COLUMNS(B785:J785),784,"")</f>
        <v>0</v>
      </c>
      <c r="C785" s="1">
        <f>IF(B785="", "", "UBERON:genitourinary")</f>
        <v>0</v>
      </c>
      <c r="D785" s="1">
        <f>IF(B785="", "", "UBERON:urine")</f>
        <v>0</v>
      </c>
      <c r="E785" s="1">
        <f>IF(B785="", "", "UBERON:kidney")</f>
        <v>0</v>
      </c>
      <c r="F785" s="1">
        <f>IF(B785="", "", "animal corpus")</f>
        <v>0</v>
      </c>
      <c r="G785" s="1">
        <f>IF(B785="", "", "urine")</f>
        <v>0</v>
      </c>
      <c r="H785" s="1">
        <f>IF(B785="", "", "urine")</f>
        <v>0</v>
      </c>
      <c r="I785" s="1">
        <f>IF(B785="", "", "urine metagenome")</f>
        <v>0</v>
      </c>
      <c r="J785" s="1">
        <f>IF(B785="", "", "1346744")</f>
        <v>0</v>
      </c>
    </row>
    <row r="786" spans="1:10">
      <c r="A786">
        <f>IF(COUNTBLANK(B786:J786)&lt;&gt;COLUMNS(B786:J786),785,"")</f>
        <v>0</v>
      </c>
      <c r="C786" s="1">
        <f>IF(B786="", "", "UBERON:genitourinary")</f>
        <v>0</v>
      </c>
      <c r="D786" s="1">
        <f>IF(B786="", "", "UBERON:urine")</f>
        <v>0</v>
      </c>
      <c r="E786" s="1">
        <f>IF(B786="", "", "UBERON:kidney")</f>
        <v>0</v>
      </c>
      <c r="F786" s="1">
        <f>IF(B786="", "", "animal corpus")</f>
        <v>0</v>
      </c>
      <c r="G786" s="1">
        <f>IF(B786="", "", "urine")</f>
        <v>0</v>
      </c>
      <c r="H786" s="1">
        <f>IF(B786="", "", "urine")</f>
        <v>0</v>
      </c>
      <c r="I786" s="1">
        <f>IF(B786="", "", "urine metagenome")</f>
        <v>0</v>
      </c>
      <c r="J786" s="1">
        <f>IF(B786="", "", "1346744")</f>
        <v>0</v>
      </c>
    </row>
    <row r="787" spans="1:10">
      <c r="A787">
        <f>IF(COUNTBLANK(B787:J787)&lt;&gt;COLUMNS(B787:J787),786,"")</f>
        <v>0</v>
      </c>
      <c r="C787" s="1">
        <f>IF(B787="", "", "UBERON:genitourinary")</f>
        <v>0</v>
      </c>
      <c r="D787" s="1">
        <f>IF(B787="", "", "UBERON:urine")</f>
        <v>0</v>
      </c>
      <c r="E787" s="1">
        <f>IF(B787="", "", "UBERON:kidney")</f>
        <v>0</v>
      </c>
      <c r="F787" s="1">
        <f>IF(B787="", "", "animal corpus")</f>
        <v>0</v>
      </c>
      <c r="G787" s="1">
        <f>IF(B787="", "", "urine")</f>
        <v>0</v>
      </c>
      <c r="H787" s="1">
        <f>IF(B787="", "", "urine")</f>
        <v>0</v>
      </c>
      <c r="I787" s="1">
        <f>IF(B787="", "", "urine metagenome")</f>
        <v>0</v>
      </c>
      <c r="J787" s="1">
        <f>IF(B787="", "", "1346744")</f>
        <v>0</v>
      </c>
    </row>
    <row r="788" spans="1:10">
      <c r="A788">
        <f>IF(COUNTBLANK(B788:J788)&lt;&gt;COLUMNS(B788:J788),787,"")</f>
        <v>0</v>
      </c>
      <c r="C788" s="1">
        <f>IF(B788="", "", "UBERON:genitourinary")</f>
        <v>0</v>
      </c>
      <c r="D788" s="1">
        <f>IF(B788="", "", "UBERON:urine")</f>
        <v>0</v>
      </c>
      <c r="E788" s="1">
        <f>IF(B788="", "", "UBERON:kidney")</f>
        <v>0</v>
      </c>
      <c r="F788" s="1">
        <f>IF(B788="", "", "animal corpus")</f>
        <v>0</v>
      </c>
      <c r="G788" s="1">
        <f>IF(B788="", "", "urine")</f>
        <v>0</v>
      </c>
      <c r="H788" s="1">
        <f>IF(B788="", "", "urine")</f>
        <v>0</v>
      </c>
      <c r="I788" s="1">
        <f>IF(B788="", "", "urine metagenome")</f>
        <v>0</v>
      </c>
      <c r="J788" s="1">
        <f>IF(B788="", "", "1346744")</f>
        <v>0</v>
      </c>
    </row>
    <row r="789" spans="1:10">
      <c r="A789">
        <f>IF(COUNTBLANK(B789:J789)&lt;&gt;COLUMNS(B789:J789),788,"")</f>
        <v>0</v>
      </c>
      <c r="C789" s="1">
        <f>IF(B789="", "", "UBERON:genitourinary")</f>
        <v>0</v>
      </c>
      <c r="D789" s="1">
        <f>IF(B789="", "", "UBERON:urine")</f>
        <v>0</v>
      </c>
      <c r="E789" s="1">
        <f>IF(B789="", "", "UBERON:kidney")</f>
        <v>0</v>
      </c>
      <c r="F789" s="1">
        <f>IF(B789="", "", "animal corpus")</f>
        <v>0</v>
      </c>
      <c r="G789" s="1">
        <f>IF(B789="", "", "urine")</f>
        <v>0</v>
      </c>
      <c r="H789" s="1">
        <f>IF(B789="", "", "urine")</f>
        <v>0</v>
      </c>
      <c r="I789" s="1">
        <f>IF(B789="", "", "urine metagenome")</f>
        <v>0</v>
      </c>
      <c r="J789" s="1">
        <f>IF(B789="", "", "1346744")</f>
        <v>0</v>
      </c>
    </row>
    <row r="790" spans="1:10">
      <c r="A790">
        <f>IF(COUNTBLANK(B790:J790)&lt;&gt;COLUMNS(B790:J790),789,"")</f>
        <v>0</v>
      </c>
      <c r="C790" s="1">
        <f>IF(B790="", "", "UBERON:genitourinary")</f>
        <v>0</v>
      </c>
      <c r="D790" s="1">
        <f>IF(B790="", "", "UBERON:urine")</f>
        <v>0</v>
      </c>
      <c r="E790" s="1">
        <f>IF(B790="", "", "UBERON:kidney")</f>
        <v>0</v>
      </c>
      <c r="F790" s="1">
        <f>IF(B790="", "", "animal corpus")</f>
        <v>0</v>
      </c>
      <c r="G790" s="1">
        <f>IF(B790="", "", "urine")</f>
        <v>0</v>
      </c>
      <c r="H790" s="1">
        <f>IF(B790="", "", "urine")</f>
        <v>0</v>
      </c>
      <c r="I790" s="1">
        <f>IF(B790="", "", "urine metagenome")</f>
        <v>0</v>
      </c>
      <c r="J790" s="1">
        <f>IF(B790="", "", "1346744")</f>
        <v>0</v>
      </c>
    </row>
    <row r="791" spans="1:10">
      <c r="A791">
        <f>IF(COUNTBLANK(B791:J791)&lt;&gt;COLUMNS(B791:J791),790,"")</f>
        <v>0</v>
      </c>
      <c r="C791" s="1">
        <f>IF(B791="", "", "UBERON:genitourinary")</f>
        <v>0</v>
      </c>
      <c r="D791" s="1">
        <f>IF(B791="", "", "UBERON:urine")</f>
        <v>0</v>
      </c>
      <c r="E791" s="1">
        <f>IF(B791="", "", "UBERON:kidney")</f>
        <v>0</v>
      </c>
      <c r="F791" s="1">
        <f>IF(B791="", "", "animal corpus")</f>
        <v>0</v>
      </c>
      <c r="G791" s="1">
        <f>IF(B791="", "", "urine")</f>
        <v>0</v>
      </c>
      <c r="H791" s="1">
        <f>IF(B791="", "", "urine")</f>
        <v>0</v>
      </c>
      <c r="I791" s="1">
        <f>IF(B791="", "", "urine metagenome")</f>
        <v>0</v>
      </c>
      <c r="J791" s="1">
        <f>IF(B791="", "", "1346744")</f>
        <v>0</v>
      </c>
    </row>
    <row r="792" spans="1:10">
      <c r="A792">
        <f>IF(COUNTBLANK(B792:J792)&lt;&gt;COLUMNS(B792:J792),791,"")</f>
        <v>0</v>
      </c>
      <c r="C792" s="1">
        <f>IF(B792="", "", "UBERON:genitourinary")</f>
        <v>0</v>
      </c>
      <c r="D792" s="1">
        <f>IF(B792="", "", "UBERON:urine")</f>
        <v>0</v>
      </c>
      <c r="E792" s="1">
        <f>IF(B792="", "", "UBERON:kidney")</f>
        <v>0</v>
      </c>
      <c r="F792" s="1">
        <f>IF(B792="", "", "animal corpus")</f>
        <v>0</v>
      </c>
      <c r="G792" s="1">
        <f>IF(B792="", "", "urine")</f>
        <v>0</v>
      </c>
      <c r="H792" s="1">
        <f>IF(B792="", "", "urine")</f>
        <v>0</v>
      </c>
      <c r="I792" s="1">
        <f>IF(B792="", "", "urine metagenome")</f>
        <v>0</v>
      </c>
      <c r="J792" s="1">
        <f>IF(B792="", "", "1346744")</f>
        <v>0</v>
      </c>
    </row>
    <row r="793" spans="1:10">
      <c r="A793">
        <f>IF(COUNTBLANK(B793:J793)&lt;&gt;COLUMNS(B793:J793),792,"")</f>
        <v>0</v>
      </c>
      <c r="C793" s="1">
        <f>IF(B793="", "", "UBERON:genitourinary")</f>
        <v>0</v>
      </c>
      <c r="D793" s="1">
        <f>IF(B793="", "", "UBERON:urine")</f>
        <v>0</v>
      </c>
      <c r="E793" s="1">
        <f>IF(B793="", "", "UBERON:kidney")</f>
        <v>0</v>
      </c>
      <c r="F793" s="1">
        <f>IF(B793="", "", "animal corpus")</f>
        <v>0</v>
      </c>
      <c r="G793" s="1">
        <f>IF(B793="", "", "urine")</f>
        <v>0</v>
      </c>
      <c r="H793" s="1">
        <f>IF(B793="", "", "urine")</f>
        <v>0</v>
      </c>
      <c r="I793" s="1">
        <f>IF(B793="", "", "urine metagenome")</f>
        <v>0</v>
      </c>
      <c r="J793" s="1">
        <f>IF(B793="", "", "1346744")</f>
        <v>0</v>
      </c>
    </row>
    <row r="794" spans="1:10">
      <c r="A794">
        <f>IF(COUNTBLANK(B794:J794)&lt;&gt;COLUMNS(B794:J794),793,"")</f>
        <v>0</v>
      </c>
      <c r="C794" s="1">
        <f>IF(B794="", "", "UBERON:genitourinary")</f>
        <v>0</v>
      </c>
      <c r="D794" s="1">
        <f>IF(B794="", "", "UBERON:urine")</f>
        <v>0</v>
      </c>
      <c r="E794" s="1">
        <f>IF(B794="", "", "UBERON:kidney")</f>
        <v>0</v>
      </c>
      <c r="F794" s="1">
        <f>IF(B794="", "", "animal corpus")</f>
        <v>0</v>
      </c>
      <c r="G794" s="1">
        <f>IF(B794="", "", "urine")</f>
        <v>0</v>
      </c>
      <c r="H794" s="1">
        <f>IF(B794="", "", "urine")</f>
        <v>0</v>
      </c>
      <c r="I794" s="1">
        <f>IF(B794="", "", "urine metagenome")</f>
        <v>0</v>
      </c>
      <c r="J794" s="1">
        <f>IF(B794="", "", "1346744")</f>
        <v>0</v>
      </c>
    </row>
    <row r="795" spans="1:10">
      <c r="A795">
        <f>IF(COUNTBLANK(B795:J795)&lt;&gt;COLUMNS(B795:J795),794,"")</f>
        <v>0</v>
      </c>
      <c r="C795" s="1">
        <f>IF(B795="", "", "UBERON:genitourinary")</f>
        <v>0</v>
      </c>
      <c r="D795" s="1">
        <f>IF(B795="", "", "UBERON:urine")</f>
        <v>0</v>
      </c>
      <c r="E795" s="1">
        <f>IF(B795="", "", "UBERON:kidney")</f>
        <v>0</v>
      </c>
      <c r="F795" s="1">
        <f>IF(B795="", "", "animal corpus")</f>
        <v>0</v>
      </c>
      <c r="G795" s="1">
        <f>IF(B795="", "", "urine")</f>
        <v>0</v>
      </c>
      <c r="H795" s="1">
        <f>IF(B795="", "", "urine")</f>
        <v>0</v>
      </c>
      <c r="I795" s="1">
        <f>IF(B795="", "", "urine metagenome")</f>
        <v>0</v>
      </c>
      <c r="J795" s="1">
        <f>IF(B795="", "", "1346744")</f>
        <v>0</v>
      </c>
    </row>
    <row r="796" spans="1:10">
      <c r="A796">
        <f>IF(COUNTBLANK(B796:J796)&lt;&gt;COLUMNS(B796:J796),795,"")</f>
        <v>0</v>
      </c>
      <c r="C796" s="1">
        <f>IF(B796="", "", "UBERON:genitourinary")</f>
        <v>0</v>
      </c>
      <c r="D796" s="1">
        <f>IF(B796="", "", "UBERON:urine")</f>
        <v>0</v>
      </c>
      <c r="E796" s="1">
        <f>IF(B796="", "", "UBERON:kidney")</f>
        <v>0</v>
      </c>
      <c r="F796" s="1">
        <f>IF(B796="", "", "animal corpus")</f>
        <v>0</v>
      </c>
      <c r="G796" s="1">
        <f>IF(B796="", "", "urine")</f>
        <v>0</v>
      </c>
      <c r="H796" s="1">
        <f>IF(B796="", "", "urine")</f>
        <v>0</v>
      </c>
      <c r="I796" s="1">
        <f>IF(B796="", "", "urine metagenome")</f>
        <v>0</v>
      </c>
      <c r="J796" s="1">
        <f>IF(B796="", "", "1346744")</f>
        <v>0</v>
      </c>
    </row>
    <row r="797" spans="1:10">
      <c r="A797">
        <f>IF(COUNTBLANK(B797:J797)&lt;&gt;COLUMNS(B797:J797),796,"")</f>
        <v>0</v>
      </c>
      <c r="C797" s="1">
        <f>IF(B797="", "", "UBERON:genitourinary")</f>
        <v>0</v>
      </c>
      <c r="D797" s="1">
        <f>IF(B797="", "", "UBERON:urine")</f>
        <v>0</v>
      </c>
      <c r="E797" s="1">
        <f>IF(B797="", "", "UBERON:kidney")</f>
        <v>0</v>
      </c>
      <c r="F797" s="1">
        <f>IF(B797="", "", "animal corpus")</f>
        <v>0</v>
      </c>
      <c r="G797" s="1">
        <f>IF(B797="", "", "urine")</f>
        <v>0</v>
      </c>
      <c r="H797" s="1">
        <f>IF(B797="", "", "urine")</f>
        <v>0</v>
      </c>
      <c r="I797" s="1">
        <f>IF(B797="", "", "urine metagenome")</f>
        <v>0</v>
      </c>
      <c r="J797" s="1">
        <f>IF(B797="", "", "1346744")</f>
        <v>0</v>
      </c>
    </row>
    <row r="798" spans="1:10">
      <c r="A798">
        <f>IF(COUNTBLANK(B798:J798)&lt;&gt;COLUMNS(B798:J798),797,"")</f>
        <v>0</v>
      </c>
      <c r="C798" s="1">
        <f>IF(B798="", "", "UBERON:genitourinary")</f>
        <v>0</v>
      </c>
      <c r="D798" s="1">
        <f>IF(B798="", "", "UBERON:urine")</f>
        <v>0</v>
      </c>
      <c r="E798" s="1">
        <f>IF(B798="", "", "UBERON:kidney")</f>
        <v>0</v>
      </c>
      <c r="F798" s="1">
        <f>IF(B798="", "", "animal corpus")</f>
        <v>0</v>
      </c>
      <c r="G798" s="1">
        <f>IF(B798="", "", "urine")</f>
        <v>0</v>
      </c>
      <c r="H798" s="1">
        <f>IF(B798="", "", "urine")</f>
        <v>0</v>
      </c>
      <c r="I798" s="1">
        <f>IF(B798="", "", "urine metagenome")</f>
        <v>0</v>
      </c>
      <c r="J798" s="1">
        <f>IF(B798="", "", "1346744")</f>
        <v>0</v>
      </c>
    </row>
    <row r="799" spans="1:10">
      <c r="A799">
        <f>IF(COUNTBLANK(B799:J799)&lt;&gt;COLUMNS(B799:J799),798,"")</f>
        <v>0</v>
      </c>
      <c r="C799" s="1">
        <f>IF(B799="", "", "UBERON:genitourinary")</f>
        <v>0</v>
      </c>
      <c r="D799" s="1">
        <f>IF(B799="", "", "UBERON:urine")</f>
        <v>0</v>
      </c>
      <c r="E799" s="1">
        <f>IF(B799="", "", "UBERON:kidney")</f>
        <v>0</v>
      </c>
      <c r="F799" s="1">
        <f>IF(B799="", "", "animal corpus")</f>
        <v>0</v>
      </c>
      <c r="G799" s="1">
        <f>IF(B799="", "", "urine")</f>
        <v>0</v>
      </c>
      <c r="H799" s="1">
        <f>IF(B799="", "", "urine")</f>
        <v>0</v>
      </c>
      <c r="I799" s="1">
        <f>IF(B799="", "", "urine metagenome")</f>
        <v>0</v>
      </c>
      <c r="J799" s="1">
        <f>IF(B799="", "", "1346744")</f>
        <v>0</v>
      </c>
    </row>
    <row r="800" spans="1:10">
      <c r="A800">
        <f>IF(COUNTBLANK(B800:J800)&lt;&gt;COLUMNS(B800:J800),799,"")</f>
        <v>0</v>
      </c>
      <c r="C800" s="1">
        <f>IF(B800="", "", "UBERON:genitourinary")</f>
        <v>0</v>
      </c>
      <c r="D800" s="1">
        <f>IF(B800="", "", "UBERON:urine")</f>
        <v>0</v>
      </c>
      <c r="E800" s="1">
        <f>IF(B800="", "", "UBERON:kidney")</f>
        <v>0</v>
      </c>
      <c r="F800" s="1">
        <f>IF(B800="", "", "animal corpus")</f>
        <v>0</v>
      </c>
      <c r="G800" s="1">
        <f>IF(B800="", "", "urine")</f>
        <v>0</v>
      </c>
      <c r="H800" s="1">
        <f>IF(B800="", "", "urine")</f>
        <v>0</v>
      </c>
      <c r="I800" s="1">
        <f>IF(B800="", "", "urine metagenome")</f>
        <v>0</v>
      </c>
      <c r="J800" s="1">
        <f>IF(B800="", "", "1346744")</f>
        <v>0</v>
      </c>
    </row>
    <row r="801" spans="1:10">
      <c r="A801">
        <f>IF(COUNTBLANK(B801:J801)&lt;&gt;COLUMNS(B801:J801),800,"")</f>
        <v>0</v>
      </c>
      <c r="C801" s="1">
        <f>IF(B801="", "", "UBERON:genitourinary")</f>
        <v>0</v>
      </c>
      <c r="D801" s="1">
        <f>IF(B801="", "", "UBERON:urine")</f>
        <v>0</v>
      </c>
      <c r="E801" s="1">
        <f>IF(B801="", "", "UBERON:kidney")</f>
        <v>0</v>
      </c>
      <c r="F801" s="1">
        <f>IF(B801="", "", "animal corpus")</f>
        <v>0</v>
      </c>
      <c r="G801" s="1">
        <f>IF(B801="", "", "urine")</f>
        <v>0</v>
      </c>
      <c r="H801" s="1">
        <f>IF(B801="", "", "urine")</f>
        <v>0</v>
      </c>
      <c r="I801" s="1">
        <f>IF(B801="", "", "urine metagenome")</f>
        <v>0</v>
      </c>
      <c r="J801" s="1">
        <f>IF(B801="", "", "1346744")</f>
        <v>0</v>
      </c>
    </row>
    <row r="802" spans="1:10">
      <c r="A802">
        <f>IF(COUNTBLANK(B802:J802)&lt;&gt;COLUMNS(B802:J802),801,"")</f>
        <v>0</v>
      </c>
      <c r="C802" s="1">
        <f>IF(B802="", "", "UBERON:genitourinary")</f>
        <v>0</v>
      </c>
      <c r="D802" s="1">
        <f>IF(B802="", "", "UBERON:urine")</f>
        <v>0</v>
      </c>
      <c r="E802" s="1">
        <f>IF(B802="", "", "UBERON:kidney")</f>
        <v>0</v>
      </c>
      <c r="F802" s="1">
        <f>IF(B802="", "", "animal corpus")</f>
        <v>0</v>
      </c>
      <c r="G802" s="1">
        <f>IF(B802="", "", "urine")</f>
        <v>0</v>
      </c>
      <c r="H802" s="1">
        <f>IF(B802="", "", "urine")</f>
        <v>0</v>
      </c>
      <c r="I802" s="1">
        <f>IF(B802="", "", "urine metagenome")</f>
        <v>0</v>
      </c>
      <c r="J802" s="1">
        <f>IF(B802="", "", "1346744")</f>
        <v>0</v>
      </c>
    </row>
    <row r="803" spans="1:10">
      <c r="A803">
        <f>IF(COUNTBLANK(B803:J803)&lt;&gt;COLUMNS(B803:J803),802,"")</f>
        <v>0</v>
      </c>
      <c r="C803" s="1">
        <f>IF(B803="", "", "UBERON:genitourinary")</f>
        <v>0</v>
      </c>
      <c r="D803" s="1">
        <f>IF(B803="", "", "UBERON:urine")</f>
        <v>0</v>
      </c>
      <c r="E803" s="1">
        <f>IF(B803="", "", "UBERON:kidney")</f>
        <v>0</v>
      </c>
      <c r="F803" s="1">
        <f>IF(B803="", "", "animal corpus")</f>
        <v>0</v>
      </c>
      <c r="G803" s="1">
        <f>IF(B803="", "", "urine")</f>
        <v>0</v>
      </c>
      <c r="H803" s="1">
        <f>IF(B803="", "", "urine")</f>
        <v>0</v>
      </c>
      <c r="I803" s="1">
        <f>IF(B803="", "", "urine metagenome")</f>
        <v>0</v>
      </c>
      <c r="J803" s="1">
        <f>IF(B803="", "", "1346744")</f>
        <v>0</v>
      </c>
    </row>
    <row r="804" spans="1:10">
      <c r="A804">
        <f>IF(COUNTBLANK(B804:J804)&lt;&gt;COLUMNS(B804:J804),803,"")</f>
        <v>0</v>
      </c>
      <c r="C804" s="1">
        <f>IF(B804="", "", "UBERON:genitourinary")</f>
        <v>0</v>
      </c>
      <c r="D804" s="1">
        <f>IF(B804="", "", "UBERON:urine")</f>
        <v>0</v>
      </c>
      <c r="E804" s="1">
        <f>IF(B804="", "", "UBERON:kidney")</f>
        <v>0</v>
      </c>
      <c r="F804" s="1">
        <f>IF(B804="", "", "animal corpus")</f>
        <v>0</v>
      </c>
      <c r="G804" s="1">
        <f>IF(B804="", "", "urine")</f>
        <v>0</v>
      </c>
      <c r="H804" s="1">
        <f>IF(B804="", "", "urine")</f>
        <v>0</v>
      </c>
      <c r="I804" s="1">
        <f>IF(B804="", "", "urine metagenome")</f>
        <v>0</v>
      </c>
      <c r="J804" s="1">
        <f>IF(B804="", "", "1346744")</f>
        <v>0</v>
      </c>
    </row>
    <row r="805" spans="1:10">
      <c r="A805">
        <f>IF(COUNTBLANK(B805:J805)&lt;&gt;COLUMNS(B805:J805),804,"")</f>
        <v>0</v>
      </c>
      <c r="C805" s="1">
        <f>IF(B805="", "", "UBERON:genitourinary")</f>
        <v>0</v>
      </c>
      <c r="D805" s="1">
        <f>IF(B805="", "", "UBERON:urine")</f>
        <v>0</v>
      </c>
      <c r="E805" s="1">
        <f>IF(B805="", "", "UBERON:kidney")</f>
        <v>0</v>
      </c>
      <c r="F805" s="1">
        <f>IF(B805="", "", "animal corpus")</f>
        <v>0</v>
      </c>
      <c r="G805" s="1">
        <f>IF(B805="", "", "urine")</f>
        <v>0</v>
      </c>
      <c r="H805" s="1">
        <f>IF(B805="", "", "urine")</f>
        <v>0</v>
      </c>
      <c r="I805" s="1">
        <f>IF(B805="", "", "urine metagenome")</f>
        <v>0</v>
      </c>
      <c r="J805" s="1">
        <f>IF(B805="", "", "1346744")</f>
        <v>0</v>
      </c>
    </row>
    <row r="806" spans="1:10">
      <c r="A806">
        <f>IF(COUNTBLANK(B806:J806)&lt;&gt;COLUMNS(B806:J806),805,"")</f>
        <v>0</v>
      </c>
      <c r="C806" s="1">
        <f>IF(B806="", "", "UBERON:genitourinary")</f>
        <v>0</v>
      </c>
      <c r="D806" s="1">
        <f>IF(B806="", "", "UBERON:urine")</f>
        <v>0</v>
      </c>
      <c r="E806" s="1">
        <f>IF(B806="", "", "UBERON:kidney")</f>
        <v>0</v>
      </c>
      <c r="F806" s="1">
        <f>IF(B806="", "", "animal corpus")</f>
        <v>0</v>
      </c>
      <c r="G806" s="1">
        <f>IF(B806="", "", "urine")</f>
        <v>0</v>
      </c>
      <c r="H806" s="1">
        <f>IF(B806="", "", "urine")</f>
        <v>0</v>
      </c>
      <c r="I806" s="1">
        <f>IF(B806="", "", "urine metagenome")</f>
        <v>0</v>
      </c>
      <c r="J806" s="1">
        <f>IF(B806="", "", "1346744")</f>
        <v>0</v>
      </c>
    </row>
    <row r="807" spans="1:10">
      <c r="A807">
        <f>IF(COUNTBLANK(B807:J807)&lt;&gt;COLUMNS(B807:J807),806,"")</f>
        <v>0</v>
      </c>
      <c r="C807" s="1">
        <f>IF(B807="", "", "UBERON:genitourinary")</f>
        <v>0</v>
      </c>
      <c r="D807" s="1">
        <f>IF(B807="", "", "UBERON:urine")</f>
        <v>0</v>
      </c>
      <c r="E807" s="1">
        <f>IF(B807="", "", "UBERON:kidney")</f>
        <v>0</v>
      </c>
      <c r="F807" s="1">
        <f>IF(B807="", "", "animal corpus")</f>
        <v>0</v>
      </c>
      <c r="G807" s="1">
        <f>IF(B807="", "", "urine")</f>
        <v>0</v>
      </c>
      <c r="H807" s="1">
        <f>IF(B807="", "", "urine")</f>
        <v>0</v>
      </c>
      <c r="I807" s="1">
        <f>IF(B807="", "", "urine metagenome")</f>
        <v>0</v>
      </c>
      <c r="J807" s="1">
        <f>IF(B807="", "", "1346744")</f>
        <v>0</v>
      </c>
    </row>
    <row r="808" spans="1:10">
      <c r="A808">
        <f>IF(COUNTBLANK(B808:J808)&lt;&gt;COLUMNS(B808:J808),807,"")</f>
        <v>0</v>
      </c>
      <c r="C808" s="1">
        <f>IF(B808="", "", "UBERON:genitourinary")</f>
        <v>0</v>
      </c>
      <c r="D808" s="1">
        <f>IF(B808="", "", "UBERON:urine")</f>
        <v>0</v>
      </c>
      <c r="E808" s="1">
        <f>IF(B808="", "", "UBERON:kidney")</f>
        <v>0</v>
      </c>
      <c r="F808" s="1">
        <f>IF(B808="", "", "animal corpus")</f>
        <v>0</v>
      </c>
      <c r="G808" s="1">
        <f>IF(B808="", "", "urine")</f>
        <v>0</v>
      </c>
      <c r="H808" s="1">
        <f>IF(B808="", "", "urine")</f>
        <v>0</v>
      </c>
      <c r="I808" s="1">
        <f>IF(B808="", "", "urine metagenome")</f>
        <v>0</v>
      </c>
      <c r="J808" s="1">
        <f>IF(B808="", "", "1346744")</f>
        <v>0</v>
      </c>
    </row>
    <row r="809" spans="1:10">
      <c r="A809">
        <f>IF(COUNTBLANK(B809:J809)&lt;&gt;COLUMNS(B809:J809),808,"")</f>
        <v>0</v>
      </c>
      <c r="C809" s="1">
        <f>IF(B809="", "", "UBERON:genitourinary")</f>
        <v>0</v>
      </c>
      <c r="D809" s="1">
        <f>IF(B809="", "", "UBERON:urine")</f>
        <v>0</v>
      </c>
      <c r="E809" s="1">
        <f>IF(B809="", "", "UBERON:kidney")</f>
        <v>0</v>
      </c>
      <c r="F809" s="1">
        <f>IF(B809="", "", "animal corpus")</f>
        <v>0</v>
      </c>
      <c r="G809" s="1">
        <f>IF(B809="", "", "urine")</f>
        <v>0</v>
      </c>
      <c r="H809" s="1">
        <f>IF(B809="", "", "urine")</f>
        <v>0</v>
      </c>
      <c r="I809" s="1">
        <f>IF(B809="", "", "urine metagenome")</f>
        <v>0</v>
      </c>
      <c r="J809" s="1">
        <f>IF(B809="", "", "1346744")</f>
        <v>0</v>
      </c>
    </row>
    <row r="810" spans="1:10">
      <c r="A810">
        <f>IF(COUNTBLANK(B810:J810)&lt;&gt;COLUMNS(B810:J810),809,"")</f>
        <v>0</v>
      </c>
      <c r="C810" s="1">
        <f>IF(B810="", "", "UBERON:genitourinary")</f>
        <v>0</v>
      </c>
      <c r="D810" s="1">
        <f>IF(B810="", "", "UBERON:urine")</f>
        <v>0</v>
      </c>
      <c r="E810" s="1">
        <f>IF(B810="", "", "UBERON:kidney")</f>
        <v>0</v>
      </c>
      <c r="F810" s="1">
        <f>IF(B810="", "", "animal corpus")</f>
        <v>0</v>
      </c>
      <c r="G810" s="1">
        <f>IF(B810="", "", "urine")</f>
        <v>0</v>
      </c>
      <c r="H810" s="1">
        <f>IF(B810="", "", "urine")</f>
        <v>0</v>
      </c>
      <c r="I810" s="1">
        <f>IF(B810="", "", "urine metagenome")</f>
        <v>0</v>
      </c>
      <c r="J810" s="1">
        <f>IF(B810="", "", "1346744")</f>
        <v>0</v>
      </c>
    </row>
    <row r="811" spans="1:10">
      <c r="A811">
        <f>IF(COUNTBLANK(B811:J811)&lt;&gt;COLUMNS(B811:J811),810,"")</f>
        <v>0</v>
      </c>
      <c r="C811" s="1">
        <f>IF(B811="", "", "UBERON:genitourinary")</f>
        <v>0</v>
      </c>
      <c r="D811" s="1">
        <f>IF(B811="", "", "UBERON:urine")</f>
        <v>0</v>
      </c>
      <c r="E811" s="1">
        <f>IF(B811="", "", "UBERON:kidney")</f>
        <v>0</v>
      </c>
      <c r="F811" s="1">
        <f>IF(B811="", "", "animal corpus")</f>
        <v>0</v>
      </c>
      <c r="G811" s="1">
        <f>IF(B811="", "", "urine")</f>
        <v>0</v>
      </c>
      <c r="H811" s="1">
        <f>IF(B811="", "", "urine")</f>
        <v>0</v>
      </c>
      <c r="I811" s="1">
        <f>IF(B811="", "", "urine metagenome")</f>
        <v>0</v>
      </c>
      <c r="J811" s="1">
        <f>IF(B811="", "", "1346744")</f>
        <v>0</v>
      </c>
    </row>
    <row r="812" spans="1:10">
      <c r="A812">
        <f>IF(COUNTBLANK(B812:J812)&lt;&gt;COLUMNS(B812:J812),811,"")</f>
        <v>0</v>
      </c>
      <c r="C812" s="1">
        <f>IF(B812="", "", "UBERON:genitourinary")</f>
        <v>0</v>
      </c>
      <c r="D812" s="1">
        <f>IF(B812="", "", "UBERON:urine")</f>
        <v>0</v>
      </c>
      <c r="E812" s="1">
        <f>IF(B812="", "", "UBERON:kidney")</f>
        <v>0</v>
      </c>
      <c r="F812" s="1">
        <f>IF(B812="", "", "animal corpus")</f>
        <v>0</v>
      </c>
      <c r="G812" s="1">
        <f>IF(B812="", "", "urine")</f>
        <v>0</v>
      </c>
      <c r="H812" s="1">
        <f>IF(B812="", "", "urine")</f>
        <v>0</v>
      </c>
      <c r="I812" s="1">
        <f>IF(B812="", "", "urine metagenome")</f>
        <v>0</v>
      </c>
      <c r="J812" s="1">
        <f>IF(B812="", "", "1346744")</f>
        <v>0</v>
      </c>
    </row>
    <row r="813" spans="1:10">
      <c r="A813">
        <f>IF(COUNTBLANK(B813:J813)&lt;&gt;COLUMNS(B813:J813),812,"")</f>
        <v>0</v>
      </c>
      <c r="C813" s="1">
        <f>IF(B813="", "", "UBERON:genitourinary")</f>
        <v>0</v>
      </c>
      <c r="D813" s="1">
        <f>IF(B813="", "", "UBERON:urine")</f>
        <v>0</v>
      </c>
      <c r="E813" s="1">
        <f>IF(B813="", "", "UBERON:kidney")</f>
        <v>0</v>
      </c>
      <c r="F813" s="1">
        <f>IF(B813="", "", "animal corpus")</f>
        <v>0</v>
      </c>
      <c r="G813" s="1">
        <f>IF(B813="", "", "urine")</f>
        <v>0</v>
      </c>
      <c r="H813" s="1">
        <f>IF(B813="", "", "urine")</f>
        <v>0</v>
      </c>
      <c r="I813" s="1">
        <f>IF(B813="", "", "urine metagenome")</f>
        <v>0</v>
      </c>
      <c r="J813" s="1">
        <f>IF(B813="", "", "1346744")</f>
        <v>0</v>
      </c>
    </row>
    <row r="814" spans="1:10">
      <c r="A814">
        <f>IF(COUNTBLANK(B814:J814)&lt;&gt;COLUMNS(B814:J814),813,"")</f>
        <v>0</v>
      </c>
      <c r="C814" s="1">
        <f>IF(B814="", "", "UBERON:genitourinary")</f>
        <v>0</v>
      </c>
      <c r="D814" s="1">
        <f>IF(B814="", "", "UBERON:urine")</f>
        <v>0</v>
      </c>
      <c r="E814" s="1">
        <f>IF(B814="", "", "UBERON:kidney")</f>
        <v>0</v>
      </c>
      <c r="F814" s="1">
        <f>IF(B814="", "", "animal corpus")</f>
        <v>0</v>
      </c>
      <c r="G814" s="1">
        <f>IF(B814="", "", "urine")</f>
        <v>0</v>
      </c>
      <c r="H814" s="1">
        <f>IF(B814="", "", "urine")</f>
        <v>0</v>
      </c>
      <c r="I814" s="1">
        <f>IF(B814="", "", "urine metagenome")</f>
        <v>0</v>
      </c>
      <c r="J814" s="1">
        <f>IF(B814="", "", "1346744")</f>
        <v>0</v>
      </c>
    </row>
    <row r="815" spans="1:10">
      <c r="A815">
        <f>IF(COUNTBLANK(B815:J815)&lt;&gt;COLUMNS(B815:J815),814,"")</f>
        <v>0</v>
      </c>
      <c r="C815" s="1">
        <f>IF(B815="", "", "UBERON:genitourinary")</f>
        <v>0</v>
      </c>
      <c r="D815" s="1">
        <f>IF(B815="", "", "UBERON:urine")</f>
        <v>0</v>
      </c>
      <c r="E815" s="1">
        <f>IF(B815="", "", "UBERON:kidney")</f>
        <v>0</v>
      </c>
      <c r="F815" s="1">
        <f>IF(B815="", "", "animal corpus")</f>
        <v>0</v>
      </c>
      <c r="G815" s="1">
        <f>IF(B815="", "", "urine")</f>
        <v>0</v>
      </c>
      <c r="H815" s="1">
        <f>IF(B815="", "", "urine")</f>
        <v>0</v>
      </c>
      <c r="I815" s="1">
        <f>IF(B815="", "", "urine metagenome")</f>
        <v>0</v>
      </c>
      <c r="J815" s="1">
        <f>IF(B815="", "", "1346744")</f>
        <v>0</v>
      </c>
    </row>
    <row r="816" spans="1:10">
      <c r="A816">
        <f>IF(COUNTBLANK(B816:J816)&lt;&gt;COLUMNS(B816:J816),815,"")</f>
        <v>0</v>
      </c>
      <c r="C816" s="1">
        <f>IF(B816="", "", "UBERON:genitourinary")</f>
        <v>0</v>
      </c>
      <c r="D816" s="1">
        <f>IF(B816="", "", "UBERON:urine")</f>
        <v>0</v>
      </c>
      <c r="E816" s="1">
        <f>IF(B816="", "", "UBERON:kidney")</f>
        <v>0</v>
      </c>
      <c r="F816" s="1">
        <f>IF(B816="", "", "animal corpus")</f>
        <v>0</v>
      </c>
      <c r="G816" s="1">
        <f>IF(B816="", "", "urine")</f>
        <v>0</v>
      </c>
      <c r="H816" s="1">
        <f>IF(B816="", "", "urine")</f>
        <v>0</v>
      </c>
      <c r="I816" s="1">
        <f>IF(B816="", "", "urine metagenome")</f>
        <v>0</v>
      </c>
      <c r="J816" s="1">
        <f>IF(B816="", "", "1346744")</f>
        <v>0</v>
      </c>
    </row>
    <row r="817" spans="1:10">
      <c r="A817">
        <f>IF(COUNTBLANK(B817:J817)&lt;&gt;COLUMNS(B817:J817),816,"")</f>
        <v>0</v>
      </c>
      <c r="C817" s="1">
        <f>IF(B817="", "", "UBERON:genitourinary")</f>
        <v>0</v>
      </c>
      <c r="D817" s="1">
        <f>IF(B817="", "", "UBERON:urine")</f>
        <v>0</v>
      </c>
      <c r="E817" s="1">
        <f>IF(B817="", "", "UBERON:kidney")</f>
        <v>0</v>
      </c>
      <c r="F817" s="1">
        <f>IF(B817="", "", "animal corpus")</f>
        <v>0</v>
      </c>
      <c r="G817" s="1">
        <f>IF(B817="", "", "urine")</f>
        <v>0</v>
      </c>
      <c r="H817" s="1">
        <f>IF(B817="", "", "urine")</f>
        <v>0</v>
      </c>
      <c r="I817" s="1">
        <f>IF(B817="", "", "urine metagenome")</f>
        <v>0</v>
      </c>
      <c r="J817" s="1">
        <f>IF(B817="", "", "1346744")</f>
        <v>0</v>
      </c>
    </row>
    <row r="818" spans="1:10">
      <c r="A818">
        <f>IF(COUNTBLANK(B818:J818)&lt;&gt;COLUMNS(B818:J818),817,"")</f>
        <v>0</v>
      </c>
      <c r="C818" s="1">
        <f>IF(B818="", "", "UBERON:genitourinary")</f>
        <v>0</v>
      </c>
      <c r="D818" s="1">
        <f>IF(B818="", "", "UBERON:urine")</f>
        <v>0</v>
      </c>
      <c r="E818" s="1">
        <f>IF(B818="", "", "UBERON:kidney")</f>
        <v>0</v>
      </c>
      <c r="F818" s="1">
        <f>IF(B818="", "", "animal corpus")</f>
        <v>0</v>
      </c>
      <c r="G818" s="1">
        <f>IF(B818="", "", "urine")</f>
        <v>0</v>
      </c>
      <c r="H818" s="1">
        <f>IF(B818="", "", "urine")</f>
        <v>0</v>
      </c>
      <c r="I818" s="1">
        <f>IF(B818="", "", "urine metagenome")</f>
        <v>0</v>
      </c>
      <c r="J818" s="1">
        <f>IF(B818="", "", "1346744")</f>
        <v>0</v>
      </c>
    </row>
    <row r="819" spans="1:10">
      <c r="A819">
        <f>IF(COUNTBLANK(B819:J819)&lt;&gt;COLUMNS(B819:J819),818,"")</f>
        <v>0</v>
      </c>
      <c r="C819" s="1">
        <f>IF(B819="", "", "UBERON:genitourinary")</f>
        <v>0</v>
      </c>
      <c r="D819" s="1">
        <f>IF(B819="", "", "UBERON:urine")</f>
        <v>0</v>
      </c>
      <c r="E819" s="1">
        <f>IF(B819="", "", "UBERON:kidney")</f>
        <v>0</v>
      </c>
      <c r="F819" s="1">
        <f>IF(B819="", "", "animal corpus")</f>
        <v>0</v>
      </c>
      <c r="G819" s="1">
        <f>IF(B819="", "", "urine")</f>
        <v>0</v>
      </c>
      <c r="H819" s="1">
        <f>IF(B819="", "", "urine")</f>
        <v>0</v>
      </c>
      <c r="I819" s="1">
        <f>IF(B819="", "", "urine metagenome")</f>
        <v>0</v>
      </c>
      <c r="J819" s="1">
        <f>IF(B819="", "", "1346744")</f>
        <v>0</v>
      </c>
    </row>
    <row r="820" spans="1:10">
      <c r="A820">
        <f>IF(COUNTBLANK(B820:J820)&lt;&gt;COLUMNS(B820:J820),819,"")</f>
        <v>0</v>
      </c>
      <c r="C820" s="1">
        <f>IF(B820="", "", "UBERON:genitourinary")</f>
        <v>0</v>
      </c>
      <c r="D820" s="1">
        <f>IF(B820="", "", "UBERON:urine")</f>
        <v>0</v>
      </c>
      <c r="E820" s="1">
        <f>IF(B820="", "", "UBERON:kidney")</f>
        <v>0</v>
      </c>
      <c r="F820" s="1">
        <f>IF(B820="", "", "animal corpus")</f>
        <v>0</v>
      </c>
      <c r="G820" s="1">
        <f>IF(B820="", "", "urine")</f>
        <v>0</v>
      </c>
      <c r="H820" s="1">
        <f>IF(B820="", "", "urine")</f>
        <v>0</v>
      </c>
      <c r="I820" s="1">
        <f>IF(B820="", "", "urine metagenome")</f>
        <v>0</v>
      </c>
      <c r="J820" s="1">
        <f>IF(B820="", "", "1346744")</f>
        <v>0</v>
      </c>
    </row>
    <row r="821" spans="1:10">
      <c r="A821">
        <f>IF(COUNTBLANK(B821:J821)&lt;&gt;COLUMNS(B821:J821),820,"")</f>
        <v>0</v>
      </c>
      <c r="C821" s="1">
        <f>IF(B821="", "", "UBERON:genitourinary")</f>
        <v>0</v>
      </c>
      <c r="D821" s="1">
        <f>IF(B821="", "", "UBERON:urine")</f>
        <v>0</v>
      </c>
      <c r="E821" s="1">
        <f>IF(B821="", "", "UBERON:kidney")</f>
        <v>0</v>
      </c>
      <c r="F821" s="1">
        <f>IF(B821="", "", "animal corpus")</f>
        <v>0</v>
      </c>
      <c r="G821" s="1">
        <f>IF(B821="", "", "urine")</f>
        <v>0</v>
      </c>
      <c r="H821" s="1">
        <f>IF(B821="", "", "urine")</f>
        <v>0</v>
      </c>
      <c r="I821" s="1">
        <f>IF(B821="", "", "urine metagenome")</f>
        <v>0</v>
      </c>
      <c r="J821" s="1">
        <f>IF(B821="", "", "1346744")</f>
        <v>0</v>
      </c>
    </row>
    <row r="822" spans="1:10">
      <c r="A822">
        <f>IF(COUNTBLANK(B822:J822)&lt;&gt;COLUMNS(B822:J822),821,"")</f>
        <v>0</v>
      </c>
      <c r="C822" s="1">
        <f>IF(B822="", "", "UBERON:genitourinary")</f>
        <v>0</v>
      </c>
      <c r="D822" s="1">
        <f>IF(B822="", "", "UBERON:urine")</f>
        <v>0</v>
      </c>
      <c r="E822" s="1">
        <f>IF(B822="", "", "UBERON:kidney")</f>
        <v>0</v>
      </c>
      <c r="F822" s="1">
        <f>IF(B822="", "", "animal corpus")</f>
        <v>0</v>
      </c>
      <c r="G822" s="1">
        <f>IF(B822="", "", "urine")</f>
        <v>0</v>
      </c>
      <c r="H822" s="1">
        <f>IF(B822="", "", "urine")</f>
        <v>0</v>
      </c>
      <c r="I822" s="1">
        <f>IF(B822="", "", "urine metagenome")</f>
        <v>0</v>
      </c>
      <c r="J822" s="1">
        <f>IF(B822="", "", "1346744")</f>
        <v>0</v>
      </c>
    </row>
    <row r="823" spans="1:10">
      <c r="A823">
        <f>IF(COUNTBLANK(B823:J823)&lt;&gt;COLUMNS(B823:J823),822,"")</f>
        <v>0</v>
      </c>
      <c r="C823" s="1">
        <f>IF(B823="", "", "UBERON:genitourinary")</f>
        <v>0</v>
      </c>
      <c r="D823" s="1">
        <f>IF(B823="", "", "UBERON:urine")</f>
        <v>0</v>
      </c>
      <c r="E823" s="1">
        <f>IF(B823="", "", "UBERON:kidney")</f>
        <v>0</v>
      </c>
      <c r="F823" s="1">
        <f>IF(B823="", "", "animal corpus")</f>
        <v>0</v>
      </c>
      <c r="G823" s="1">
        <f>IF(B823="", "", "urine")</f>
        <v>0</v>
      </c>
      <c r="H823" s="1">
        <f>IF(B823="", "", "urine")</f>
        <v>0</v>
      </c>
      <c r="I823" s="1">
        <f>IF(B823="", "", "urine metagenome")</f>
        <v>0</v>
      </c>
      <c r="J823" s="1">
        <f>IF(B823="", "", "1346744")</f>
        <v>0</v>
      </c>
    </row>
    <row r="824" spans="1:10">
      <c r="A824">
        <f>IF(COUNTBLANK(B824:J824)&lt;&gt;COLUMNS(B824:J824),823,"")</f>
        <v>0</v>
      </c>
      <c r="C824" s="1">
        <f>IF(B824="", "", "UBERON:genitourinary")</f>
        <v>0</v>
      </c>
      <c r="D824" s="1">
        <f>IF(B824="", "", "UBERON:urine")</f>
        <v>0</v>
      </c>
      <c r="E824" s="1">
        <f>IF(B824="", "", "UBERON:kidney")</f>
        <v>0</v>
      </c>
      <c r="F824" s="1">
        <f>IF(B824="", "", "animal corpus")</f>
        <v>0</v>
      </c>
      <c r="G824" s="1">
        <f>IF(B824="", "", "urine")</f>
        <v>0</v>
      </c>
      <c r="H824" s="1">
        <f>IF(B824="", "", "urine")</f>
        <v>0</v>
      </c>
      <c r="I824" s="1">
        <f>IF(B824="", "", "urine metagenome")</f>
        <v>0</v>
      </c>
      <c r="J824" s="1">
        <f>IF(B824="", "", "1346744")</f>
        <v>0</v>
      </c>
    </row>
    <row r="825" spans="1:10">
      <c r="A825">
        <f>IF(COUNTBLANK(B825:J825)&lt;&gt;COLUMNS(B825:J825),824,"")</f>
        <v>0</v>
      </c>
      <c r="C825" s="1">
        <f>IF(B825="", "", "UBERON:genitourinary")</f>
        <v>0</v>
      </c>
      <c r="D825" s="1">
        <f>IF(B825="", "", "UBERON:urine")</f>
        <v>0</v>
      </c>
      <c r="E825" s="1">
        <f>IF(B825="", "", "UBERON:kidney")</f>
        <v>0</v>
      </c>
      <c r="F825" s="1">
        <f>IF(B825="", "", "animal corpus")</f>
        <v>0</v>
      </c>
      <c r="G825" s="1">
        <f>IF(B825="", "", "urine")</f>
        <v>0</v>
      </c>
      <c r="H825" s="1">
        <f>IF(B825="", "", "urine")</f>
        <v>0</v>
      </c>
      <c r="I825" s="1">
        <f>IF(B825="", "", "urine metagenome")</f>
        <v>0</v>
      </c>
      <c r="J825" s="1">
        <f>IF(B825="", "", "1346744")</f>
        <v>0</v>
      </c>
    </row>
    <row r="826" spans="1:10">
      <c r="A826">
        <f>IF(COUNTBLANK(B826:J826)&lt;&gt;COLUMNS(B826:J826),825,"")</f>
        <v>0</v>
      </c>
      <c r="C826" s="1">
        <f>IF(B826="", "", "UBERON:genitourinary")</f>
        <v>0</v>
      </c>
      <c r="D826" s="1">
        <f>IF(B826="", "", "UBERON:urine")</f>
        <v>0</v>
      </c>
      <c r="E826" s="1">
        <f>IF(B826="", "", "UBERON:kidney")</f>
        <v>0</v>
      </c>
      <c r="F826" s="1">
        <f>IF(B826="", "", "animal corpus")</f>
        <v>0</v>
      </c>
      <c r="G826" s="1">
        <f>IF(B826="", "", "urine")</f>
        <v>0</v>
      </c>
      <c r="H826" s="1">
        <f>IF(B826="", "", "urine")</f>
        <v>0</v>
      </c>
      <c r="I826" s="1">
        <f>IF(B826="", "", "urine metagenome")</f>
        <v>0</v>
      </c>
      <c r="J826" s="1">
        <f>IF(B826="", "", "1346744")</f>
        <v>0</v>
      </c>
    </row>
    <row r="827" spans="1:10">
      <c r="A827">
        <f>IF(COUNTBLANK(B827:J827)&lt;&gt;COLUMNS(B827:J827),826,"")</f>
        <v>0</v>
      </c>
      <c r="C827" s="1">
        <f>IF(B827="", "", "UBERON:genitourinary")</f>
        <v>0</v>
      </c>
      <c r="D827" s="1">
        <f>IF(B827="", "", "UBERON:urine")</f>
        <v>0</v>
      </c>
      <c r="E827" s="1">
        <f>IF(B827="", "", "UBERON:kidney")</f>
        <v>0</v>
      </c>
      <c r="F827" s="1">
        <f>IF(B827="", "", "animal corpus")</f>
        <v>0</v>
      </c>
      <c r="G827" s="1">
        <f>IF(B827="", "", "urine")</f>
        <v>0</v>
      </c>
      <c r="H827" s="1">
        <f>IF(B827="", "", "urine")</f>
        <v>0</v>
      </c>
      <c r="I827" s="1">
        <f>IF(B827="", "", "urine metagenome")</f>
        <v>0</v>
      </c>
      <c r="J827" s="1">
        <f>IF(B827="", "", "1346744")</f>
        <v>0</v>
      </c>
    </row>
    <row r="828" spans="1:10">
      <c r="A828">
        <f>IF(COUNTBLANK(B828:J828)&lt;&gt;COLUMNS(B828:J828),827,"")</f>
        <v>0</v>
      </c>
      <c r="C828" s="1">
        <f>IF(B828="", "", "UBERON:genitourinary")</f>
        <v>0</v>
      </c>
      <c r="D828" s="1">
        <f>IF(B828="", "", "UBERON:urine")</f>
        <v>0</v>
      </c>
      <c r="E828" s="1">
        <f>IF(B828="", "", "UBERON:kidney")</f>
        <v>0</v>
      </c>
      <c r="F828" s="1">
        <f>IF(B828="", "", "animal corpus")</f>
        <v>0</v>
      </c>
      <c r="G828" s="1">
        <f>IF(B828="", "", "urine")</f>
        <v>0</v>
      </c>
      <c r="H828" s="1">
        <f>IF(B828="", "", "urine")</f>
        <v>0</v>
      </c>
      <c r="I828" s="1">
        <f>IF(B828="", "", "urine metagenome")</f>
        <v>0</v>
      </c>
      <c r="J828" s="1">
        <f>IF(B828="", "", "1346744")</f>
        <v>0</v>
      </c>
    </row>
    <row r="829" spans="1:10">
      <c r="A829">
        <f>IF(COUNTBLANK(B829:J829)&lt;&gt;COLUMNS(B829:J829),828,"")</f>
        <v>0</v>
      </c>
      <c r="C829" s="1">
        <f>IF(B829="", "", "UBERON:genitourinary")</f>
        <v>0</v>
      </c>
      <c r="D829" s="1">
        <f>IF(B829="", "", "UBERON:urine")</f>
        <v>0</v>
      </c>
      <c r="E829" s="1">
        <f>IF(B829="", "", "UBERON:kidney")</f>
        <v>0</v>
      </c>
      <c r="F829" s="1">
        <f>IF(B829="", "", "animal corpus")</f>
        <v>0</v>
      </c>
      <c r="G829" s="1">
        <f>IF(B829="", "", "urine")</f>
        <v>0</v>
      </c>
      <c r="H829" s="1">
        <f>IF(B829="", "", "urine")</f>
        <v>0</v>
      </c>
      <c r="I829" s="1">
        <f>IF(B829="", "", "urine metagenome")</f>
        <v>0</v>
      </c>
      <c r="J829" s="1">
        <f>IF(B829="", "", "1346744")</f>
        <v>0</v>
      </c>
    </row>
    <row r="830" spans="1:10">
      <c r="A830">
        <f>IF(COUNTBLANK(B830:J830)&lt;&gt;COLUMNS(B830:J830),829,"")</f>
        <v>0</v>
      </c>
      <c r="C830" s="1">
        <f>IF(B830="", "", "UBERON:genitourinary")</f>
        <v>0</v>
      </c>
      <c r="D830" s="1">
        <f>IF(B830="", "", "UBERON:urine")</f>
        <v>0</v>
      </c>
      <c r="E830" s="1">
        <f>IF(B830="", "", "UBERON:kidney")</f>
        <v>0</v>
      </c>
      <c r="F830" s="1">
        <f>IF(B830="", "", "animal corpus")</f>
        <v>0</v>
      </c>
      <c r="G830" s="1">
        <f>IF(B830="", "", "urine")</f>
        <v>0</v>
      </c>
      <c r="H830" s="1">
        <f>IF(B830="", "", "urine")</f>
        <v>0</v>
      </c>
      <c r="I830" s="1">
        <f>IF(B830="", "", "urine metagenome")</f>
        <v>0</v>
      </c>
      <c r="J830" s="1">
        <f>IF(B830="", "", "1346744")</f>
        <v>0</v>
      </c>
    </row>
    <row r="831" spans="1:10">
      <c r="A831">
        <f>IF(COUNTBLANK(B831:J831)&lt;&gt;COLUMNS(B831:J831),830,"")</f>
        <v>0</v>
      </c>
      <c r="C831" s="1">
        <f>IF(B831="", "", "UBERON:genitourinary")</f>
        <v>0</v>
      </c>
      <c r="D831" s="1">
        <f>IF(B831="", "", "UBERON:urine")</f>
        <v>0</v>
      </c>
      <c r="E831" s="1">
        <f>IF(B831="", "", "UBERON:kidney")</f>
        <v>0</v>
      </c>
      <c r="F831" s="1">
        <f>IF(B831="", "", "animal corpus")</f>
        <v>0</v>
      </c>
      <c r="G831" s="1">
        <f>IF(B831="", "", "urine")</f>
        <v>0</v>
      </c>
      <c r="H831" s="1">
        <f>IF(B831="", "", "urine")</f>
        <v>0</v>
      </c>
      <c r="I831" s="1">
        <f>IF(B831="", "", "urine metagenome")</f>
        <v>0</v>
      </c>
      <c r="J831" s="1">
        <f>IF(B831="", "", "1346744")</f>
        <v>0</v>
      </c>
    </row>
    <row r="832" spans="1:10">
      <c r="A832">
        <f>IF(COUNTBLANK(B832:J832)&lt;&gt;COLUMNS(B832:J832),831,"")</f>
        <v>0</v>
      </c>
      <c r="C832" s="1">
        <f>IF(B832="", "", "UBERON:genitourinary")</f>
        <v>0</v>
      </c>
      <c r="D832" s="1">
        <f>IF(B832="", "", "UBERON:urine")</f>
        <v>0</v>
      </c>
      <c r="E832" s="1">
        <f>IF(B832="", "", "UBERON:kidney")</f>
        <v>0</v>
      </c>
      <c r="F832" s="1">
        <f>IF(B832="", "", "animal corpus")</f>
        <v>0</v>
      </c>
      <c r="G832" s="1">
        <f>IF(B832="", "", "urine")</f>
        <v>0</v>
      </c>
      <c r="H832" s="1">
        <f>IF(B832="", "", "urine")</f>
        <v>0</v>
      </c>
      <c r="I832" s="1">
        <f>IF(B832="", "", "urine metagenome")</f>
        <v>0</v>
      </c>
      <c r="J832" s="1">
        <f>IF(B832="", "", "1346744")</f>
        <v>0</v>
      </c>
    </row>
    <row r="833" spans="1:10">
      <c r="A833">
        <f>IF(COUNTBLANK(B833:J833)&lt;&gt;COLUMNS(B833:J833),832,"")</f>
        <v>0</v>
      </c>
      <c r="C833" s="1">
        <f>IF(B833="", "", "UBERON:genitourinary")</f>
        <v>0</v>
      </c>
      <c r="D833" s="1">
        <f>IF(B833="", "", "UBERON:urine")</f>
        <v>0</v>
      </c>
      <c r="E833" s="1">
        <f>IF(B833="", "", "UBERON:kidney")</f>
        <v>0</v>
      </c>
      <c r="F833" s="1">
        <f>IF(B833="", "", "animal corpus")</f>
        <v>0</v>
      </c>
      <c r="G833" s="1">
        <f>IF(B833="", "", "urine")</f>
        <v>0</v>
      </c>
      <c r="H833" s="1">
        <f>IF(B833="", "", "urine")</f>
        <v>0</v>
      </c>
      <c r="I833" s="1">
        <f>IF(B833="", "", "urine metagenome")</f>
        <v>0</v>
      </c>
      <c r="J833" s="1">
        <f>IF(B833="", "", "1346744")</f>
        <v>0</v>
      </c>
    </row>
    <row r="834" spans="1:10">
      <c r="A834">
        <f>IF(COUNTBLANK(B834:J834)&lt;&gt;COLUMNS(B834:J834),833,"")</f>
        <v>0</v>
      </c>
      <c r="C834" s="1">
        <f>IF(B834="", "", "UBERON:genitourinary")</f>
        <v>0</v>
      </c>
      <c r="D834" s="1">
        <f>IF(B834="", "", "UBERON:urine")</f>
        <v>0</v>
      </c>
      <c r="E834" s="1">
        <f>IF(B834="", "", "UBERON:kidney")</f>
        <v>0</v>
      </c>
      <c r="F834" s="1">
        <f>IF(B834="", "", "animal corpus")</f>
        <v>0</v>
      </c>
      <c r="G834" s="1">
        <f>IF(B834="", "", "urine")</f>
        <v>0</v>
      </c>
      <c r="H834" s="1">
        <f>IF(B834="", "", "urine")</f>
        <v>0</v>
      </c>
      <c r="I834" s="1">
        <f>IF(B834="", "", "urine metagenome")</f>
        <v>0</v>
      </c>
      <c r="J834" s="1">
        <f>IF(B834="", "", "1346744")</f>
        <v>0</v>
      </c>
    </row>
    <row r="835" spans="1:10">
      <c r="A835">
        <f>IF(COUNTBLANK(B835:J835)&lt;&gt;COLUMNS(B835:J835),834,"")</f>
        <v>0</v>
      </c>
      <c r="C835" s="1">
        <f>IF(B835="", "", "UBERON:genitourinary")</f>
        <v>0</v>
      </c>
      <c r="D835" s="1">
        <f>IF(B835="", "", "UBERON:urine")</f>
        <v>0</v>
      </c>
      <c r="E835" s="1">
        <f>IF(B835="", "", "UBERON:kidney")</f>
        <v>0</v>
      </c>
      <c r="F835" s="1">
        <f>IF(B835="", "", "animal corpus")</f>
        <v>0</v>
      </c>
      <c r="G835" s="1">
        <f>IF(B835="", "", "urine")</f>
        <v>0</v>
      </c>
      <c r="H835" s="1">
        <f>IF(B835="", "", "urine")</f>
        <v>0</v>
      </c>
      <c r="I835" s="1">
        <f>IF(B835="", "", "urine metagenome")</f>
        <v>0</v>
      </c>
      <c r="J835" s="1">
        <f>IF(B835="", "", "1346744")</f>
        <v>0</v>
      </c>
    </row>
    <row r="836" spans="1:10">
      <c r="A836">
        <f>IF(COUNTBLANK(B836:J836)&lt;&gt;COLUMNS(B836:J836),835,"")</f>
        <v>0</v>
      </c>
      <c r="C836" s="1">
        <f>IF(B836="", "", "UBERON:genitourinary")</f>
        <v>0</v>
      </c>
      <c r="D836" s="1">
        <f>IF(B836="", "", "UBERON:urine")</f>
        <v>0</v>
      </c>
      <c r="E836" s="1">
        <f>IF(B836="", "", "UBERON:kidney")</f>
        <v>0</v>
      </c>
      <c r="F836" s="1">
        <f>IF(B836="", "", "animal corpus")</f>
        <v>0</v>
      </c>
      <c r="G836" s="1">
        <f>IF(B836="", "", "urine")</f>
        <v>0</v>
      </c>
      <c r="H836" s="1">
        <f>IF(B836="", "", "urine")</f>
        <v>0</v>
      </c>
      <c r="I836" s="1">
        <f>IF(B836="", "", "urine metagenome")</f>
        <v>0</v>
      </c>
      <c r="J836" s="1">
        <f>IF(B836="", "", "1346744")</f>
        <v>0</v>
      </c>
    </row>
    <row r="837" spans="1:10">
      <c r="A837">
        <f>IF(COUNTBLANK(B837:J837)&lt;&gt;COLUMNS(B837:J837),836,"")</f>
        <v>0</v>
      </c>
      <c r="C837" s="1">
        <f>IF(B837="", "", "UBERON:genitourinary")</f>
        <v>0</v>
      </c>
      <c r="D837" s="1">
        <f>IF(B837="", "", "UBERON:urine")</f>
        <v>0</v>
      </c>
      <c r="E837" s="1">
        <f>IF(B837="", "", "UBERON:kidney")</f>
        <v>0</v>
      </c>
      <c r="F837" s="1">
        <f>IF(B837="", "", "animal corpus")</f>
        <v>0</v>
      </c>
      <c r="G837" s="1">
        <f>IF(B837="", "", "urine")</f>
        <v>0</v>
      </c>
      <c r="H837" s="1">
        <f>IF(B837="", "", "urine")</f>
        <v>0</v>
      </c>
      <c r="I837" s="1">
        <f>IF(B837="", "", "urine metagenome")</f>
        <v>0</v>
      </c>
      <c r="J837" s="1">
        <f>IF(B837="", "", "1346744")</f>
        <v>0</v>
      </c>
    </row>
    <row r="838" spans="1:10">
      <c r="A838">
        <f>IF(COUNTBLANK(B838:J838)&lt;&gt;COLUMNS(B838:J838),837,"")</f>
        <v>0</v>
      </c>
      <c r="C838" s="1">
        <f>IF(B838="", "", "UBERON:genitourinary")</f>
        <v>0</v>
      </c>
      <c r="D838" s="1">
        <f>IF(B838="", "", "UBERON:urine")</f>
        <v>0</v>
      </c>
      <c r="E838" s="1">
        <f>IF(B838="", "", "UBERON:kidney")</f>
        <v>0</v>
      </c>
      <c r="F838" s="1">
        <f>IF(B838="", "", "animal corpus")</f>
        <v>0</v>
      </c>
      <c r="G838" s="1">
        <f>IF(B838="", "", "urine")</f>
        <v>0</v>
      </c>
      <c r="H838" s="1">
        <f>IF(B838="", "", "urine")</f>
        <v>0</v>
      </c>
      <c r="I838" s="1">
        <f>IF(B838="", "", "urine metagenome")</f>
        <v>0</v>
      </c>
      <c r="J838" s="1">
        <f>IF(B838="", "", "1346744")</f>
        <v>0</v>
      </c>
    </row>
    <row r="839" spans="1:10">
      <c r="A839">
        <f>IF(COUNTBLANK(B839:J839)&lt;&gt;COLUMNS(B839:J839),838,"")</f>
        <v>0</v>
      </c>
      <c r="C839" s="1">
        <f>IF(B839="", "", "UBERON:genitourinary")</f>
        <v>0</v>
      </c>
      <c r="D839" s="1">
        <f>IF(B839="", "", "UBERON:urine")</f>
        <v>0</v>
      </c>
      <c r="E839" s="1">
        <f>IF(B839="", "", "UBERON:kidney")</f>
        <v>0</v>
      </c>
      <c r="F839" s="1">
        <f>IF(B839="", "", "animal corpus")</f>
        <v>0</v>
      </c>
      <c r="G839" s="1">
        <f>IF(B839="", "", "urine")</f>
        <v>0</v>
      </c>
      <c r="H839" s="1">
        <f>IF(B839="", "", "urine")</f>
        <v>0</v>
      </c>
      <c r="I839" s="1">
        <f>IF(B839="", "", "urine metagenome")</f>
        <v>0</v>
      </c>
      <c r="J839" s="1">
        <f>IF(B839="", "", "1346744")</f>
        <v>0</v>
      </c>
    </row>
    <row r="840" spans="1:10">
      <c r="A840">
        <f>IF(COUNTBLANK(B840:J840)&lt;&gt;COLUMNS(B840:J840),839,"")</f>
        <v>0</v>
      </c>
      <c r="C840" s="1">
        <f>IF(B840="", "", "UBERON:genitourinary")</f>
        <v>0</v>
      </c>
      <c r="D840" s="1">
        <f>IF(B840="", "", "UBERON:urine")</f>
        <v>0</v>
      </c>
      <c r="E840" s="1">
        <f>IF(B840="", "", "UBERON:kidney")</f>
        <v>0</v>
      </c>
      <c r="F840" s="1">
        <f>IF(B840="", "", "animal corpus")</f>
        <v>0</v>
      </c>
      <c r="G840" s="1">
        <f>IF(B840="", "", "urine")</f>
        <v>0</v>
      </c>
      <c r="H840" s="1">
        <f>IF(B840="", "", "urine")</f>
        <v>0</v>
      </c>
      <c r="I840" s="1">
        <f>IF(B840="", "", "urine metagenome")</f>
        <v>0</v>
      </c>
      <c r="J840" s="1">
        <f>IF(B840="", "", "1346744")</f>
        <v>0</v>
      </c>
    </row>
    <row r="841" spans="1:10">
      <c r="A841">
        <f>IF(COUNTBLANK(B841:J841)&lt;&gt;COLUMNS(B841:J841),840,"")</f>
        <v>0</v>
      </c>
      <c r="C841" s="1">
        <f>IF(B841="", "", "UBERON:genitourinary")</f>
        <v>0</v>
      </c>
      <c r="D841" s="1">
        <f>IF(B841="", "", "UBERON:urine")</f>
        <v>0</v>
      </c>
      <c r="E841" s="1">
        <f>IF(B841="", "", "UBERON:kidney")</f>
        <v>0</v>
      </c>
      <c r="F841" s="1">
        <f>IF(B841="", "", "animal corpus")</f>
        <v>0</v>
      </c>
      <c r="G841" s="1">
        <f>IF(B841="", "", "urine")</f>
        <v>0</v>
      </c>
      <c r="H841" s="1">
        <f>IF(B841="", "", "urine")</f>
        <v>0</v>
      </c>
      <c r="I841" s="1">
        <f>IF(B841="", "", "urine metagenome")</f>
        <v>0</v>
      </c>
      <c r="J841" s="1">
        <f>IF(B841="", "", "1346744")</f>
        <v>0</v>
      </c>
    </row>
    <row r="842" spans="1:10">
      <c r="A842">
        <f>IF(COUNTBLANK(B842:J842)&lt;&gt;COLUMNS(B842:J842),841,"")</f>
        <v>0</v>
      </c>
      <c r="C842" s="1">
        <f>IF(B842="", "", "UBERON:genitourinary")</f>
        <v>0</v>
      </c>
      <c r="D842" s="1">
        <f>IF(B842="", "", "UBERON:urine")</f>
        <v>0</v>
      </c>
      <c r="E842" s="1">
        <f>IF(B842="", "", "UBERON:kidney")</f>
        <v>0</v>
      </c>
      <c r="F842" s="1">
        <f>IF(B842="", "", "animal corpus")</f>
        <v>0</v>
      </c>
      <c r="G842" s="1">
        <f>IF(B842="", "", "urine")</f>
        <v>0</v>
      </c>
      <c r="H842" s="1">
        <f>IF(B842="", "", "urine")</f>
        <v>0</v>
      </c>
      <c r="I842" s="1">
        <f>IF(B842="", "", "urine metagenome")</f>
        <v>0</v>
      </c>
      <c r="J842" s="1">
        <f>IF(B842="", "", "1346744")</f>
        <v>0</v>
      </c>
    </row>
    <row r="843" spans="1:10">
      <c r="A843">
        <f>IF(COUNTBLANK(B843:J843)&lt;&gt;COLUMNS(B843:J843),842,"")</f>
        <v>0</v>
      </c>
      <c r="C843" s="1">
        <f>IF(B843="", "", "UBERON:genitourinary")</f>
        <v>0</v>
      </c>
      <c r="D843" s="1">
        <f>IF(B843="", "", "UBERON:urine")</f>
        <v>0</v>
      </c>
      <c r="E843" s="1">
        <f>IF(B843="", "", "UBERON:kidney")</f>
        <v>0</v>
      </c>
      <c r="F843" s="1">
        <f>IF(B843="", "", "animal corpus")</f>
        <v>0</v>
      </c>
      <c r="G843" s="1">
        <f>IF(B843="", "", "urine")</f>
        <v>0</v>
      </c>
      <c r="H843" s="1">
        <f>IF(B843="", "", "urine")</f>
        <v>0</v>
      </c>
      <c r="I843" s="1">
        <f>IF(B843="", "", "urine metagenome")</f>
        <v>0</v>
      </c>
      <c r="J843" s="1">
        <f>IF(B843="", "", "1346744")</f>
        <v>0</v>
      </c>
    </row>
    <row r="844" spans="1:10">
      <c r="A844">
        <f>IF(COUNTBLANK(B844:J844)&lt;&gt;COLUMNS(B844:J844),843,"")</f>
        <v>0</v>
      </c>
      <c r="C844" s="1">
        <f>IF(B844="", "", "UBERON:genitourinary")</f>
        <v>0</v>
      </c>
      <c r="D844" s="1">
        <f>IF(B844="", "", "UBERON:urine")</f>
        <v>0</v>
      </c>
      <c r="E844" s="1">
        <f>IF(B844="", "", "UBERON:kidney")</f>
        <v>0</v>
      </c>
      <c r="F844" s="1">
        <f>IF(B844="", "", "animal corpus")</f>
        <v>0</v>
      </c>
      <c r="G844" s="1">
        <f>IF(B844="", "", "urine")</f>
        <v>0</v>
      </c>
      <c r="H844" s="1">
        <f>IF(B844="", "", "urine")</f>
        <v>0</v>
      </c>
      <c r="I844" s="1">
        <f>IF(B844="", "", "urine metagenome")</f>
        <v>0</v>
      </c>
      <c r="J844" s="1">
        <f>IF(B844="", "", "1346744")</f>
        <v>0</v>
      </c>
    </row>
    <row r="845" spans="1:10">
      <c r="A845">
        <f>IF(COUNTBLANK(B845:J845)&lt;&gt;COLUMNS(B845:J845),844,"")</f>
        <v>0</v>
      </c>
      <c r="C845" s="1">
        <f>IF(B845="", "", "UBERON:genitourinary")</f>
        <v>0</v>
      </c>
      <c r="D845" s="1">
        <f>IF(B845="", "", "UBERON:urine")</f>
        <v>0</v>
      </c>
      <c r="E845" s="1">
        <f>IF(B845="", "", "UBERON:kidney")</f>
        <v>0</v>
      </c>
      <c r="F845" s="1">
        <f>IF(B845="", "", "animal corpus")</f>
        <v>0</v>
      </c>
      <c r="G845" s="1">
        <f>IF(B845="", "", "urine")</f>
        <v>0</v>
      </c>
      <c r="H845" s="1">
        <f>IF(B845="", "", "urine")</f>
        <v>0</v>
      </c>
      <c r="I845" s="1">
        <f>IF(B845="", "", "urine metagenome")</f>
        <v>0</v>
      </c>
      <c r="J845" s="1">
        <f>IF(B845="", "", "1346744")</f>
        <v>0</v>
      </c>
    </row>
    <row r="846" spans="1:10">
      <c r="A846">
        <f>IF(COUNTBLANK(B846:J846)&lt;&gt;COLUMNS(B846:J846),845,"")</f>
        <v>0</v>
      </c>
      <c r="C846" s="1">
        <f>IF(B846="", "", "UBERON:genitourinary")</f>
        <v>0</v>
      </c>
      <c r="D846" s="1">
        <f>IF(B846="", "", "UBERON:urine")</f>
        <v>0</v>
      </c>
      <c r="E846" s="1">
        <f>IF(B846="", "", "UBERON:kidney")</f>
        <v>0</v>
      </c>
      <c r="F846" s="1">
        <f>IF(B846="", "", "animal corpus")</f>
        <v>0</v>
      </c>
      <c r="G846" s="1">
        <f>IF(B846="", "", "urine")</f>
        <v>0</v>
      </c>
      <c r="H846" s="1">
        <f>IF(B846="", "", "urine")</f>
        <v>0</v>
      </c>
      <c r="I846" s="1">
        <f>IF(B846="", "", "urine metagenome")</f>
        <v>0</v>
      </c>
      <c r="J846" s="1">
        <f>IF(B846="", "", "1346744")</f>
        <v>0</v>
      </c>
    </row>
    <row r="847" spans="1:10">
      <c r="A847">
        <f>IF(COUNTBLANK(B847:J847)&lt;&gt;COLUMNS(B847:J847),846,"")</f>
        <v>0</v>
      </c>
      <c r="C847" s="1">
        <f>IF(B847="", "", "UBERON:genitourinary")</f>
        <v>0</v>
      </c>
      <c r="D847" s="1">
        <f>IF(B847="", "", "UBERON:urine")</f>
        <v>0</v>
      </c>
      <c r="E847" s="1">
        <f>IF(B847="", "", "UBERON:kidney")</f>
        <v>0</v>
      </c>
      <c r="F847" s="1">
        <f>IF(B847="", "", "animal corpus")</f>
        <v>0</v>
      </c>
      <c r="G847" s="1">
        <f>IF(B847="", "", "urine")</f>
        <v>0</v>
      </c>
      <c r="H847" s="1">
        <f>IF(B847="", "", "urine")</f>
        <v>0</v>
      </c>
      <c r="I847" s="1">
        <f>IF(B847="", "", "urine metagenome")</f>
        <v>0</v>
      </c>
      <c r="J847" s="1">
        <f>IF(B847="", "", "1346744")</f>
        <v>0</v>
      </c>
    </row>
    <row r="848" spans="1:10">
      <c r="A848">
        <f>IF(COUNTBLANK(B848:J848)&lt;&gt;COLUMNS(B848:J848),847,"")</f>
        <v>0</v>
      </c>
      <c r="C848" s="1">
        <f>IF(B848="", "", "UBERON:genitourinary")</f>
        <v>0</v>
      </c>
      <c r="D848" s="1">
        <f>IF(B848="", "", "UBERON:urine")</f>
        <v>0</v>
      </c>
      <c r="E848" s="1">
        <f>IF(B848="", "", "UBERON:kidney")</f>
        <v>0</v>
      </c>
      <c r="F848" s="1">
        <f>IF(B848="", "", "animal corpus")</f>
        <v>0</v>
      </c>
      <c r="G848" s="1">
        <f>IF(B848="", "", "urine")</f>
        <v>0</v>
      </c>
      <c r="H848" s="1">
        <f>IF(B848="", "", "urine")</f>
        <v>0</v>
      </c>
      <c r="I848" s="1">
        <f>IF(B848="", "", "urine metagenome")</f>
        <v>0</v>
      </c>
      <c r="J848" s="1">
        <f>IF(B848="", "", "1346744")</f>
        <v>0</v>
      </c>
    </row>
    <row r="849" spans="1:10">
      <c r="A849">
        <f>IF(COUNTBLANK(B849:J849)&lt;&gt;COLUMNS(B849:J849),848,"")</f>
        <v>0</v>
      </c>
      <c r="C849" s="1">
        <f>IF(B849="", "", "UBERON:genitourinary")</f>
        <v>0</v>
      </c>
      <c r="D849" s="1">
        <f>IF(B849="", "", "UBERON:urine")</f>
        <v>0</v>
      </c>
      <c r="E849" s="1">
        <f>IF(B849="", "", "UBERON:kidney")</f>
        <v>0</v>
      </c>
      <c r="F849" s="1">
        <f>IF(B849="", "", "animal corpus")</f>
        <v>0</v>
      </c>
      <c r="G849" s="1">
        <f>IF(B849="", "", "urine")</f>
        <v>0</v>
      </c>
      <c r="H849" s="1">
        <f>IF(B849="", "", "urine")</f>
        <v>0</v>
      </c>
      <c r="I849" s="1">
        <f>IF(B849="", "", "urine metagenome")</f>
        <v>0</v>
      </c>
      <c r="J849" s="1">
        <f>IF(B849="", "", "1346744")</f>
        <v>0</v>
      </c>
    </row>
    <row r="850" spans="1:10">
      <c r="A850">
        <f>IF(COUNTBLANK(B850:J850)&lt;&gt;COLUMNS(B850:J850),849,"")</f>
        <v>0</v>
      </c>
      <c r="C850" s="1">
        <f>IF(B850="", "", "UBERON:genitourinary")</f>
        <v>0</v>
      </c>
      <c r="D850" s="1">
        <f>IF(B850="", "", "UBERON:urine")</f>
        <v>0</v>
      </c>
      <c r="E850" s="1">
        <f>IF(B850="", "", "UBERON:kidney")</f>
        <v>0</v>
      </c>
      <c r="F850" s="1">
        <f>IF(B850="", "", "animal corpus")</f>
        <v>0</v>
      </c>
      <c r="G850" s="1">
        <f>IF(B850="", "", "urine")</f>
        <v>0</v>
      </c>
      <c r="H850" s="1">
        <f>IF(B850="", "", "urine")</f>
        <v>0</v>
      </c>
      <c r="I850" s="1">
        <f>IF(B850="", "", "urine metagenome")</f>
        <v>0</v>
      </c>
      <c r="J850" s="1">
        <f>IF(B850="", "", "1346744")</f>
        <v>0</v>
      </c>
    </row>
    <row r="851" spans="1:10">
      <c r="A851">
        <f>IF(COUNTBLANK(B851:J851)&lt;&gt;COLUMNS(B851:J851),850,"")</f>
        <v>0</v>
      </c>
      <c r="C851" s="1">
        <f>IF(B851="", "", "UBERON:genitourinary")</f>
        <v>0</v>
      </c>
      <c r="D851" s="1">
        <f>IF(B851="", "", "UBERON:urine")</f>
        <v>0</v>
      </c>
      <c r="E851" s="1">
        <f>IF(B851="", "", "UBERON:kidney")</f>
        <v>0</v>
      </c>
      <c r="F851" s="1">
        <f>IF(B851="", "", "animal corpus")</f>
        <v>0</v>
      </c>
      <c r="G851" s="1">
        <f>IF(B851="", "", "urine")</f>
        <v>0</v>
      </c>
      <c r="H851" s="1">
        <f>IF(B851="", "", "urine")</f>
        <v>0</v>
      </c>
      <c r="I851" s="1">
        <f>IF(B851="", "", "urine metagenome")</f>
        <v>0</v>
      </c>
      <c r="J851" s="1">
        <f>IF(B851="", "", "1346744")</f>
        <v>0</v>
      </c>
    </row>
    <row r="852" spans="1:10">
      <c r="A852">
        <f>IF(COUNTBLANK(B852:J852)&lt;&gt;COLUMNS(B852:J852),851,"")</f>
        <v>0</v>
      </c>
      <c r="C852" s="1">
        <f>IF(B852="", "", "UBERON:genitourinary")</f>
        <v>0</v>
      </c>
      <c r="D852" s="1">
        <f>IF(B852="", "", "UBERON:urine")</f>
        <v>0</v>
      </c>
      <c r="E852" s="1">
        <f>IF(B852="", "", "UBERON:kidney")</f>
        <v>0</v>
      </c>
      <c r="F852" s="1">
        <f>IF(B852="", "", "animal corpus")</f>
        <v>0</v>
      </c>
      <c r="G852" s="1">
        <f>IF(B852="", "", "urine")</f>
        <v>0</v>
      </c>
      <c r="H852" s="1">
        <f>IF(B852="", "", "urine")</f>
        <v>0</v>
      </c>
      <c r="I852" s="1">
        <f>IF(B852="", "", "urine metagenome")</f>
        <v>0</v>
      </c>
      <c r="J852" s="1">
        <f>IF(B852="", "", "1346744")</f>
        <v>0</v>
      </c>
    </row>
    <row r="853" spans="1:10">
      <c r="A853">
        <f>IF(COUNTBLANK(B853:J853)&lt;&gt;COLUMNS(B853:J853),852,"")</f>
        <v>0</v>
      </c>
      <c r="C853" s="1">
        <f>IF(B853="", "", "UBERON:genitourinary")</f>
        <v>0</v>
      </c>
      <c r="D853" s="1">
        <f>IF(B853="", "", "UBERON:urine")</f>
        <v>0</v>
      </c>
      <c r="E853" s="1">
        <f>IF(B853="", "", "UBERON:kidney")</f>
        <v>0</v>
      </c>
      <c r="F853" s="1">
        <f>IF(B853="", "", "animal corpus")</f>
        <v>0</v>
      </c>
      <c r="G853" s="1">
        <f>IF(B853="", "", "urine")</f>
        <v>0</v>
      </c>
      <c r="H853" s="1">
        <f>IF(B853="", "", "urine")</f>
        <v>0</v>
      </c>
      <c r="I853" s="1">
        <f>IF(B853="", "", "urine metagenome")</f>
        <v>0</v>
      </c>
      <c r="J853" s="1">
        <f>IF(B853="", "", "1346744")</f>
        <v>0</v>
      </c>
    </row>
    <row r="854" spans="1:10">
      <c r="A854">
        <f>IF(COUNTBLANK(B854:J854)&lt;&gt;COLUMNS(B854:J854),853,"")</f>
        <v>0</v>
      </c>
      <c r="C854" s="1">
        <f>IF(B854="", "", "UBERON:genitourinary")</f>
        <v>0</v>
      </c>
      <c r="D854" s="1">
        <f>IF(B854="", "", "UBERON:urine")</f>
        <v>0</v>
      </c>
      <c r="E854" s="1">
        <f>IF(B854="", "", "UBERON:kidney")</f>
        <v>0</v>
      </c>
      <c r="F854" s="1">
        <f>IF(B854="", "", "animal corpus")</f>
        <v>0</v>
      </c>
      <c r="G854" s="1">
        <f>IF(B854="", "", "urine")</f>
        <v>0</v>
      </c>
      <c r="H854" s="1">
        <f>IF(B854="", "", "urine")</f>
        <v>0</v>
      </c>
      <c r="I854" s="1">
        <f>IF(B854="", "", "urine metagenome")</f>
        <v>0</v>
      </c>
      <c r="J854" s="1">
        <f>IF(B854="", "", "1346744")</f>
        <v>0</v>
      </c>
    </row>
    <row r="855" spans="1:10">
      <c r="A855">
        <f>IF(COUNTBLANK(B855:J855)&lt;&gt;COLUMNS(B855:J855),854,"")</f>
        <v>0</v>
      </c>
      <c r="C855" s="1">
        <f>IF(B855="", "", "UBERON:genitourinary")</f>
        <v>0</v>
      </c>
      <c r="D855" s="1">
        <f>IF(B855="", "", "UBERON:urine")</f>
        <v>0</v>
      </c>
      <c r="E855" s="1">
        <f>IF(B855="", "", "UBERON:kidney")</f>
        <v>0</v>
      </c>
      <c r="F855" s="1">
        <f>IF(B855="", "", "animal corpus")</f>
        <v>0</v>
      </c>
      <c r="G855" s="1">
        <f>IF(B855="", "", "urine")</f>
        <v>0</v>
      </c>
      <c r="H855" s="1">
        <f>IF(B855="", "", "urine")</f>
        <v>0</v>
      </c>
      <c r="I855" s="1">
        <f>IF(B855="", "", "urine metagenome")</f>
        <v>0</v>
      </c>
      <c r="J855" s="1">
        <f>IF(B855="", "", "1346744")</f>
        <v>0</v>
      </c>
    </row>
    <row r="856" spans="1:10">
      <c r="A856">
        <f>IF(COUNTBLANK(B856:J856)&lt;&gt;COLUMNS(B856:J856),855,"")</f>
        <v>0</v>
      </c>
      <c r="C856" s="1">
        <f>IF(B856="", "", "UBERON:genitourinary")</f>
        <v>0</v>
      </c>
      <c r="D856" s="1">
        <f>IF(B856="", "", "UBERON:urine")</f>
        <v>0</v>
      </c>
      <c r="E856" s="1">
        <f>IF(B856="", "", "UBERON:kidney")</f>
        <v>0</v>
      </c>
      <c r="F856" s="1">
        <f>IF(B856="", "", "animal corpus")</f>
        <v>0</v>
      </c>
      <c r="G856" s="1">
        <f>IF(B856="", "", "urine")</f>
        <v>0</v>
      </c>
      <c r="H856" s="1">
        <f>IF(B856="", "", "urine")</f>
        <v>0</v>
      </c>
      <c r="I856" s="1">
        <f>IF(B856="", "", "urine metagenome")</f>
        <v>0</v>
      </c>
      <c r="J856" s="1">
        <f>IF(B856="", "", "1346744")</f>
        <v>0</v>
      </c>
    </row>
    <row r="857" spans="1:10">
      <c r="A857">
        <f>IF(COUNTBLANK(B857:J857)&lt;&gt;COLUMNS(B857:J857),856,"")</f>
        <v>0</v>
      </c>
      <c r="C857" s="1">
        <f>IF(B857="", "", "UBERON:genitourinary")</f>
        <v>0</v>
      </c>
      <c r="D857" s="1">
        <f>IF(B857="", "", "UBERON:urine")</f>
        <v>0</v>
      </c>
      <c r="E857" s="1">
        <f>IF(B857="", "", "UBERON:kidney")</f>
        <v>0</v>
      </c>
      <c r="F857" s="1">
        <f>IF(B857="", "", "animal corpus")</f>
        <v>0</v>
      </c>
      <c r="G857" s="1">
        <f>IF(B857="", "", "urine")</f>
        <v>0</v>
      </c>
      <c r="H857" s="1">
        <f>IF(B857="", "", "urine")</f>
        <v>0</v>
      </c>
      <c r="I857" s="1">
        <f>IF(B857="", "", "urine metagenome")</f>
        <v>0</v>
      </c>
      <c r="J857" s="1">
        <f>IF(B857="", "", "1346744")</f>
        <v>0</v>
      </c>
    </row>
    <row r="858" spans="1:10">
      <c r="A858">
        <f>IF(COUNTBLANK(B858:J858)&lt;&gt;COLUMNS(B858:J858),857,"")</f>
        <v>0</v>
      </c>
      <c r="C858" s="1">
        <f>IF(B858="", "", "UBERON:genitourinary")</f>
        <v>0</v>
      </c>
      <c r="D858" s="1">
        <f>IF(B858="", "", "UBERON:urine")</f>
        <v>0</v>
      </c>
      <c r="E858" s="1">
        <f>IF(B858="", "", "UBERON:kidney")</f>
        <v>0</v>
      </c>
      <c r="F858" s="1">
        <f>IF(B858="", "", "animal corpus")</f>
        <v>0</v>
      </c>
      <c r="G858" s="1">
        <f>IF(B858="", "", "urine")</f>
        <v>0</v>
      </c>
      <c r="H858" s="1">
        <f>IF(B858="", "", "urine")</f>
        <v>0</v>
      </c>
      <c r="I858" s="1">
        <f>IF(B858="", "", "urine metagenome")</f>
        <v>0</v>
      </c>
      <c r="J858" s="1">
        <f>IF(B858="", "", "1346744")</f>
        <v>0</v>
      </c>
    </row>
    <row r="859" spans="1:10">
      <c r="A859">
        <f>IF(COUNTBLANK(B859:J859)&lt;&gt;COLUMNS(B859:J859),858,"")</f>
        <v>0</v>
      </c>
      <c r="C859" s="1">
        <f>IF(B859="", "", "UBERON:genitourinary")</f>
        <v>0</v>
      </c>
      <c r="D859" s="1">
        <f>IF(B859="", "", "UBERON:urine")</f>
        <v>0</v>
      </c>
      <c r="E859" s="1">
        <f>IF(B859="", "", "UBERON:kidney")</f>
        <v>0</v>
      </c>
      <c r="F859" s="1">
        <f>IF(B859="", "", "animal corpus")</f>
        <v>0</v>
      </c>
      <c r="G859" s="1">
        <f>IF(B859="", "", "urine")</f>
        <v>0</v>
      </c>
      <c r="H859" s="1">
        <f>IF(B859="", "", "urine")</f>
        <v>0</v>
      </c>
      <c r="I859" s="1">
        <f>IF(B859="", "", "urine metagenome")</f>
        <v>0</v>
      </c>
      <c r="J859" s="1">
        <f>IF(B859="", "", "1346744")</f>
        <v>0</v>
      </c>
    </row>
    <row r="860" spans="1:10">
      <c r="A860">
        <f>IF(COUNTBLANK(B860:J860)&lt;&gt;COLUMNS(B860:J860),859,"")</f>
        <v>0</v>
      </c>
      <c r="C860" s="1">
        <f>IF(B860="", "", "UBERON:genitourinary")</f>
        <v>0</v>
      </c>
      <c r="D860" s="1">
        <f>IF(B860="", "", "UBERON:urine")</f>
        <v>0</v>
      </c>
      <c r="E860" s="1">
        <f>IF(B860="", "", "UBERON:kidney")</f>
        <v>0</v>
      </c>
      <c r="F860" s="1">
        <f>IF(B860="", "", "animal corpus")</f>
        <v>0</v>
      </c>
      <c r="G860" s="1">
        <f>IF(B860="", "", "urine")</f>
        <v>0</v>
      </c>
      <c r="H860" s="1">
        <f>IF(B860="", "", "urine")</f>
        <v>0</v>
      </c>
      <c r="I860" s="1">
        <f>IF(B860="", "", "urine metagenome")</f>
        <v>0</v>
      </c>
      <c r="J860" s="1">
        <f>IF(B860="", "", "1346744")</f>
        <v>0</v>
      </c>
    </row>
    <row r="861" spans="1:10">
      <c r="A861">
        <f>IF(COUNTBLANK(B861:J861)&lt;&gt;COLUMNS(B861:J861),860,"")</f>
        <v>0</v>
      </c>
      <c r="C861" s="1">
        <f>IF(B861="", "", "UBERON:genitourinary")</f>
        <v>0</v>
      </c>
      <c r="D861" s="1">
        <f>IF(B861="", "", "UBERON:urine")</f>
        <v>0</v>
      </c>
      <c r="E861" s="1">
        <f>IF(B861="", "", "UBERON:kidney")</f>
        <v>0</v>
      </c>
      <c r="F861" s="1">
        <f>IF(B861="", "", "animal corpus")</f>
        <v>0</v>
      </c>
      <c r="G861" s="1">
        <f>IF(B861="", "", "urine")</f>
        <v>0</v>
      </c>
      <c r="H861" s="1">
        <f>IF(B861="", "", "urine")</f>
        <v>0</v>
      </c>
      <c r="I861" s="1">
        <f>IF(B861="", "", "urine metagenome")</f>
        <v>0</v>
      </c>
      <c r="J861" s="1">
        <f>IF(B861="", "", "1346744")</f>
        <v>0</v>
      </c>
    </row>
    <row r="862" spans="1:10">
      <c r="A862">
        <f>IF(COUNTBLANK(B862:J862)&lt;&gt;COLUMNS(B862:J862),861,"")</f>
        <v>0</v>
      </c>
      <c r="C862" s="1">
        <f>IF(B862="", "", "UBERON:genitourinary")</f>
        <v>0</v>
      </c>
      <c r="D862" s="1">
        <f>IF(B862="", "", "UBERON:urine")</f>
        <v>0</v>
      </c>
      <c r="E862" s="1">
        <f>IF(B862="", "", "UBERON:kidney")</f>
        <v>0</v>
      </c>
      <c r="F862" s="1">
        <f>IF(B862="", "", "animal corpus")</f>
        <v>0</v>
      </c>
      <c r="G862" s="1">
        <f>IF(B862="", "", "urine")</f>
        <v>0</v>
      </c>
      <c r="H862" s="1">
        <f>IF(B862="", "", "urine")</f>
        <v>0</v>
      </c>
      <c r="I862" s="1">
        <f>IF(B862="", "", "urine metagenome")</f>
        <v>0</v>
      </c>
      <c r="J862" s="1">
        <f>IF(B862="", "", "1346744")</f>
        <v>0</v>
      </c>
    </row>
    <row r="863" spans="1:10">
      <c r="A863">
        <f>IF(COUNTBLANK(B863:J863)&lt;&gt;COLUMNS(B863:J863),862,"")</f>
        <v>0</v>
      </c>
      <c r="C863" s="1">
        <f>IF(B863="", "", "UBERON:genitourinary")</f>
        <v>0</v>
      </c>
      <c r="D863" s="1">
        <f>IF(B863="", "", "UBERON:urine")</f>
        <v>0</v>
      </c>
      <c r="E863" s="1">
        <f>IF(B863="", "", "UBERON:kidney")</f>
        <v>0</v>
      </c>
      <c r="F863" s="1">
        <f>IF(B863="", "", "animal corpus")</f>
        <v>0</v>
      </c>
      <c r="G863" s="1">
        <f>IF(B863="", "", "urine")</f>
        <v>0</v>
      </c>
      <c r="H863" s="1">
        <f>IF(B863="", "", "urine")</f>
        <v>0</v>
      </c>
      <c r="I863" s="1">
        <f>IF(B863="", "", "urine metagenome")</f>
        <v>0</v>
      </c>
      <c r="J863" s="1">
        <f>IF(B863="", "", "1346744")</f>
        <v>0</v>
      </c>
    </row>
    <row r="864" spans="1:10">
      <c r="A864">
        <f>IF(COUNTBLANK(B864:J864)&lt;&gt;COLUMNS(B864:J864),863,"")</f>
        <v>0</v>
      </c>
      <c r="C864" s="1">
        <f>IF(B864="", "", "UBERON:genitourinary")</f>
        <v>0</v>
      </c>
      <c r="D864" s="1">
        <f>IF(B864="", "", "UBERON:urine")</f>
        <v>0</v>
      </c>
      <c r="E864" s="1">
        <f>IF(B864="", "", "UBERON:kidney")</f>
        <v>0</v>
      </c>
      <c r="F864" s="1">
        <f>IF(B864="", "", "animal corpus")</f>
        <v>0</v>
      </c>
      <c r="G864" s="1">
        <f>IF(B864="", "", "urine")</f>
        <v>0</v>
      </c>
      <c r="H864" s="1">
        <f>IF(B864="", "", "urine")</f>
        <v>0</v>
      </c>
      <c r="I864" s="1">
        <f>IF(B864="", "", "urine metagenome")</f>
        <v>0</v>
      </c>
      <c r="J864" s="1">
        <f>IF(B864="", "", "1346744")</f>
        <v>0</v>
      </c>
    </row>
    <row r="865" spans="1:10">
      <c r="A865">
        <f>IF(COUNTBLANK(B865:J865)&lt;&gt;COLUMNS(B865:J865),864,"")</f>
        <v>0</v>
      </c>
      <c r="C865" s="1">
        <f>IF(B865="", "", "UBERON:genitourinary")</f>
        <v>0</v>
      </c>
      <c r="D865" s="1">
        <f>IF(B865="", "", "UBERON:urine")</f>
        <v>0</v>
      </c>
      <c r="E865" s="1">
        <f>IF(B865="", "", "UBERON:kidney")</f>
        <v>0</v>
      </c>
      <c r="F865" s="1">
        <f>IF(B865="", "", "animal corpus")</f>
        <v>0</v>
      </c>
      <c r="G865" s="1">
        <f>IF(B865="", "", "urine")</f>
        <v>0</v>
      </c>
      <c r="H865" s="1">
        <f>IF(B865="", "", "urine")</f>
        <v>0</v>
      </c>
      <c r="I865" s="1">
        <f>IF(B865="", "", "urine metagenome")</f>
        <v>0</v>
      </c>
      <c r="J865" s="1">
        <f>IF(B865="", "", "1346744")</f>
        <v>0</v>
      </c>
    </row>
    <row r="866" spans="1:10">
      <c r="A866">
        <f>IF(COUNTBLANK(B866:J866)&lt;&gt;COLUMNS(B866:J866),865,"")</f>
        <v>0</v>
      </c>
      <c r="C866" s="1">
        <f>IF(B866="", "", "UBERON:genitourinary")</f>
        <v>0</v>
      </c>
      <c r="D866" s="1">
        <f>IF(B866="", "", "UBERON:urine")</f>
        <v>0</v>
      </c>
      <c r="E866" s="1">
        <f>IF(B866="", "", "UBERON:kidney")</f>
        <v>0</v>
      </c>
      <c r="F866" s="1">
        <f>IF(B866="", "", "animal corpus")</f>
        <v>0</v>
      </c>
      <c r="G866" s="1">
        <f>IF(B866="", "", "urine")</f>
        <v>0</v>
      </c>
      <c r="H866" s="1">
        <f>IF(B866="", "", "urine")</f>
        <v>0</v>
      </c>
      <c r="I866" s="1">
        <f>IF(B866="", "", "urine metagenome")</f>
        <v>0</v>
      </c>
      <c r="J866" s="1">
        <f>IF(B866="", "", "1346744")</f>
        <v>0</v>
      </c>
    </row>
    <row r="867" spans="1:10">
      <c r="A867">
        <f>IF(COUNTBLANK(B867:J867)&lt;&gt;COLUMNS(B867:J867),866,"")</f>
        <v>0</v>
      </c>
      <c r="C867" s="1">
        <f>IF(B867="", "", "UBERON:genitourinary")</f>
        <v>0</v>
      </c>
      <c r="D867" s="1">
        <f>IF(B867="", "", "UBERON:urine")</f>
        <v>0</v>
      </c>
      <c r="E867" s="1">
        <f>IF(B867="", "", "UBERON:kidney")</f>
        <v>0</v>
      </c>
      <c r="F867" s="1">
        <f>IF(B867="", "", "animal corpus")</f>
        <v>0</v>
      </c>
      <c r="G867" s="1">
        <f>IF(B867="", "", "urine")</f>
        <v>0</v>
      </c>
      <c r="H867" s="1">
        <f>IF(B867="", "", "urine")</f>
        <v>0</v>
      </c>
      <c r="I867" s="1">
        <f>IF(B867="", "", "urine metagenome")</f>
        <v>0</v>
      </c>
      <c r="J867" s="1">
        <f>IF(B867="", "", "1346744")</f>
        <v>0</v>
      </c>
    </row>
    <row r="868" spans="1:10">
      <c r="A868">
        <f>IF(COUNTBLANK(B868:J868)&lt;&gt;COLUMNS(B868:J868),867,"")</f>
        <v>0</v>
      </c>
      <c r="C868" s="1">
        <f>IF(B868="", "", "UBERON:genitourinary")</f>
        <v>0</v>
      </c>
      <c r="D868" s="1">
        <f>IF(B868="", "", "UBERON:urine")</f>
        <v>0</v>
      </c>
      <c r="E868" s="1">
        <f>IF(B868="", "", "UBERON:kidney")</f>
        <v>0</v>
      </c>
      <c r="F868" s="1">
        <f>IF(B868="", "", "animal corpus")</f>
        <v>0</v>
      </c>
      <c r="G868" s="1">
        <f>IF(B868="", "", "urine")</f>
        <v>0</v>
      </c>
      <c r="H868" s="1">
        <f>IF(B868="", "", "urine")</f>
        <v>0</v>
      </c>
      <c r="I868" s="1">
        <f>IF(B868="", "", "urine metagenome")</f>
        <v>0</v>
      </c>
      <c r="J868" s="1">
        <f>IF(B868="", "", "1346744")</f>
        <v>0</v>
      </c>
    </row>
    <row r="869" spans="1:10">
      <c r="A869">
        <f>IF(COUNTBLANK(B869:J869)&lt;&gt;COLUMNS(B869:J869),868,"")</f>
        <v>0</v>
      </c>
      <c r="C869" s="1">
        <f>IF(B869="", "", "UBERON:genitourinary")</f>
        <v>0</v>
      </c>
      <c r="D869" s="1">
        <f>IF(B869="", "", "UBERON:urine")</f>
        <v>0</v>
      </c>
      <c r="E869" s="1">
        <f>IF(B869="", "", "UBERON:kidney")</f>
        <v>0</v>
      </c>
      <c r="F869" s="1">
        <f>IF(B869="", "", "animal corpus")</f>
        <v>0</v>
      </c>
      <c r="G869" s="1">
        <f>IF(B869="", "", "urine")</f>
        <v>0</v>
      </c>
      <c r="H869" s="1">
        <f>IF(B869="", "", "urine")</f>
        <v>0</v>
      </c>
      <c r="I869" s="1">
        <f>IF(B869="", "", "urine metagenome")</f>
        <v>0</v>
      </c>
      <c r="J869" s="1">
        <f>IF(B869="", "", "1346744")</f>
        <v>0</v>
      </c>
    </row>
    <row r="870" spans="1:10">
      <c r="A870">
        <f>IF(COUNTBLANK(B870:J870)&lt;&gt;COLUMNS(B870:J870),869,"")</f>
        <v>0</v>
      </c>
      <c r="C870" s="1">
        <f>IF(B870="", "", "UBERON:genitourinary")</f>
        <v>0</v>
      </c>
      <c r="D870" s="1">
        <f>IF(B870="", "", "UBERON:urine")</f>
        <v>0</v>
      </c>
      <c r="E870" s="1">
        <f>IF(B870="", "", "UBERON:kidney")</f>
        <v>0</v>
      </c>
      <c r="F870" s="1">
        <f>IF(B870="", "", "animal corpus")</f>
        <v>0</v>
      </c>
      <c r="G870" s="1">
        <f>IF(B870="", "", "urine")</f>
        <v>0</v>
      </c>
      <c r="H870" s="1">
        <f>IF(B870="", "", "urine")</f>
        <v>0</v>
      </c>
      <c r="I870" s="1">
        <f>IF(B870="", "", "urine metagenome")</f>
        <v>0</v>
      </c>
      <c r="J870" s="1">
        <f>IF(B870="", "", "1346744")</f>
        <v>0</v>
      </c>
    </row>
    <row r="871" spans="1:10">
      <c r="A871">
        <f>IF(COUNTBLANK(B871:J871)&lt;&gt;COLUMNS(B871:J871),870,"")</f>
        <v>0</v>
      </c>
      <c r="C871" s="1">
        <f>IF(B871="", "", "UBERON:genitourinary")</f>
        <v>0</v>
      </c>
      <c r="D871" s="1">
        <f>IF(B871="", "", "UBERON:urine")</f>
        <v>0</v>
      </c>
      <c r="E871" s="1">
        <f>IF(B871="", "", "UBERON:kidney")</f>
        <v>0</v>
      </c>
      <c r="F871" s="1">
        <f>IF(B871="", "", "animal corpus")</f>
        <v>0</v>
      </c>
      <c r="G871" s="1">
        <f>IF(B871="", "", "urine")</f>
        <v>0</v>
      </c>
      <c r="H871" s="1">
        <f>IF(B871="", "", "urine")</f>
        <v>0</v>
      </c>
      <c r="I871" s="1">
        <f>IF(B871="", "", "urine metagenome")</f>
        <v>0</v>
      </c>
      <c r="J871" s="1">
        <f>IF(B871="", "", "1346744")</f>
        <v>0</v>
      </c>
    </row>
    <row r="872" spans="1:10">
      <c r="A872">
        <f>IF(COUNTBLANK(B872:J872)&lt;&gt;COLUMNS(B872:J872),871,"")</f>
        <v>0</v>
      </c>
      <c r="C872" s="1">
        <f>IF(B872="", "", "UBERON:genitourinary")</f>
        <v>0</v>
      </c>
      <c r="D872" s="1">
        <f>IF(B872="", "", "UBERON:urine")</f>
        <v>0</v>
      </c>
      <c r="E872" s="1">
        <f>IF(B872="", "", "UBERON:kidney")</f>
        <v>0</v>
      </c>
      <c r="F872" s="1">
        <f>IF(B872="", "", "animal corpus")</f>
        <v>0</v>
      </c>
      <c r="G872" s="1">
        <f>IF(B872="", "", "urine")</f>
        <v>0</v>
      </c>
      <c r="H872" s="1">
        <f>IF(B872="", "", "urine")</f>
        <v>0</v>
      </c>
      <c r="I872" s="1">
        <f>IF(B872="", "", "urine metagenome")</f>
        <v>0</v>
      </c>
      <c r="J872" s="1">
        <f>IF(B872="", "", "1346744")</f>
        <v>0</v>
      </c>
    </row>
    <row r="873" spans="1:10">
      <c r="A873">
        <f>IF(COUNTBLANK(B873:J873)&lt;&gt;COLUMNS(B873:J873),872,"")</f>
        <v>0</v>
      </c>
      <c r="C873" s="1">
        <f>IF(B873="", "", "UBERON:genitourinary")</f>
        <v>0</v>
      </c>
      <c r="D873" s="1">
        <f>IF(B873="", "", "UBERON:urine")</f>
        <v>0</v>
      </c>
      <c r="E873" s="1">
        <f>IF(B873="", "", "UBERON:kidney")</f>
        <v>0</v>
      </c>
      <c r="F873" s="1">
        <f>IF(B873="", "", "animal corpus")</f>
        <v>0</v>
      </c>
      <c r="G873" s="1">
        <f>IF(B873="", "", "urine")</f>
        <v>0</v>
      </c>
      <c r="H873" s="1">
        <f>IF(B873="", "", "urine")</f>
        <v>0</v>
      </c>
      <c r="I873" s="1">
        <f>IF(B873="", "", "urine metagenome")</f>
        <v>0</v>
      </c>
      <c r="J873" s="1">
        <f>IF(B873="", "", "1346744")</f>
        <v>0</v>
      </c>
    </row>
    <row r="874" spans="1:10">
      <c r="A874">
        <f>IF(COUNTBLANK(B874:J874)&lt;&gt;COLUMNS(B874:J874),873,"")</f>
        <v>0</v>
      </c>
      <c r="C874" s="1">
        <f>IF(B874="", "", "UBERON:genitourinary")</f>
        <v>0</v>
      </c>
      <c r="D874" s="1">
        <f>IF(B874="", "", "UBERON:urine")</f>
        <v>0</v>
      </c>
      <c r="E874" s="1">
        <f>IF(B874="", "", "UBERON:kidney")</f>
        <v>0</v>
      </c>
      <c r="F874" s="1">
        <f>IF(B874="", "", "animal corpus")</f>
        <v>0</v>
      </c>
      <c r="G874" s="1">
        <f>IF(B874="", "", "urine")</f>
        <v>0</v>
      </c>
      <c r="H874" s="1">
        <f>IF(B874="", "", "urine")</f>
        <v>0</v>
      </c>
      <c r="I874" s="1">
        <f>IF(B874="", "", "urine metagenome")</f>
        <v>0</v>
      </c>
      <c r="J874" s="1">
        <f>IF(B874="", "", "1346744")</f>
        <v>0</v>
      </c>
    </row>
    <row r="875" spans="1:10">
      <c r="A875">
        <f>IF(COUNTBLANK(B875:J875)&lt;&gt;COLUMNS(B875:J875),874,"")</f>
        <v>0</v>
      </c>
      <c r="C875" s="1">
        <f>IF(B875="", "", "UBERON:genitourinary")</f>
        <v>0</v>
      </c>
      <c r="D875" s="1">
        <f>IF(B875="", "", "UBERON:urine")</f>
        <v>0</v>
      </c>
      <c r="E875" s="1">
        <f>IF(B875="", "", "UBERON:kidney")</f>
        <v>0</v>
      </c>
      <c r="F875" s="1">
        <f>IF(B875="", "", "animal corpus")</f>
        <v>0</v>
      </c>
      <c r="G875" s="1">
        <f>IF(B875="", "", "urine")</f>
        <v>0</v>
      </c>
      <c r="H875" s="1">
        <f>IF(B875="", "", "urine")</f>
        <v>0</v>
      </c>
      <c r="I875" s="1">
        <f>IF(B875="", "", "urine metagenome")</f>
        <v>0</v>
      </c>
      <c r="J875" s="1">
        <f>IF(B875="", "", "1346744")</f>
        <v>0</v>
      </c>
    </row>
    <row r="876" spans="1:10">
      <c r="A876">
        <f>IF(COUNTBLANK(B876:J876)&lt;&gt;COLUMNS(B876:J876),875,"")</f>
        <v>0</v>
      </c>
      <c r="C876" s="1">
        <f>IF(B876="", "", "UBERON:genitourinary")</f>
        <v>0</v>
      </c>
      <c r="D876" s="1">
        <f>IF(B876="", "", "UBERON:urine")</f>
        <v>0</v>
      </c>
      <c r="E876" s="1">
        <f>IF(B876="", "", "UBERON:kidney")</f>
        <v>0</v>
      </c>
      <c r="F876" s="1">
        <f>IF(B876="", "", "animal corpus")</f>
        <v>0</v>
      </c>
      <c r="G876" s="1">
        <f>IF(B876="", "", "urine")</f>
        <v>0</v>
      </c>
      <c r="H876" s="1">
        <f>IF(B876="", "", "urine")</f>
        <v>0</v>
      </c>
      <c r="I876" s="1">
        <f>IF(B876="", "", "urine metagenome")</f>
        <v>0</v>
      </c>
      <c r="J876" s="1">
        <f>IF(B876="", "", "1346744")</f>
        <v>0</v>
      </c>
    </row>
    <row r="877" spans="1:10">
      <c r="A877">
        <f>IF(COUNTBLANK(B877:J877)&lt;&gt;COLUMNS(B877:J877),876,"")</f>
        <v>0</v>
      </c>
      <c r="C877" s="1">
        <f>IF(B877="", "", "UBERON:genitourinary")</f>
        <v>0</v>
      </c>
      <c r="D877" s="1">
        <f>IF(B877="", "", "UBERON:urine")</f>
        <v>0</v>
      </c>
      <c r="E877" s="1">
        <f>IF(B877="", "", "UBERON:kidney")</f>
        <v>0</v>
      </c>
      <c r="F877" s="1">
        <f>IF(B877="", "", "animal corpus")</f>
        <v>0</v>
      </c>
      <c r="G877" s="1">
        <f>IF(B877="", "", "urine")</f>
        <v>0</v>
      </c>
      <c r="H877" s="1">
        <f>IF(B877="", "", "urine")</f>
        <v>0</v>
      </c>
      <c r="I877" s="1">
        <f>IF(B877="", "", "urine metagenome")</f>
        <v>0</v>
      </c>
      <c r="J877" s="1">
        <f>IF(B877="", "", "1346744")</f>
        <v>0</v>
      </c>
    </row>
    <row r="878" spans="1:10">
      <c r="A878">
        <f>IF(COUNTBLANK(B878:J878)&lt;&gt;COLUMNS(B878:J878),877,"")</f>
        <v>0</v>
      </c>
      <c r="C878" s="1">
        <f>IF(B878="", "", "UBERON:genitourinary")</f>
        <v>0</v>
      </c>
      <c r="D878" s="1">
        <f>IF(B878="", "", "UBERON:urine")</f>
        <v>0</v>
      </c>
      <c r="E878" s="1">
        <f>IF(B878="", "", "UBERON:kidney")</f>
        <v>0</v>
      </c>
      <c r="F878" s="1">
        <f>IF(B878="", "", "animal corpus")</f>
        <v>0</v>
      </c>
      <c r="G878" s="1">
        <f>IF(B878="", "", "urine")</f>
        <v>0</v>
      </c>
      <c r="H878" s="1">
        <f>IF(B878="", "", "urine")</f>
        <v>0</v>
      </c>
      <c r="I878" s="1">
        <f>IF(B878="", "", "urine metagenome")</f>
        <v>0</v>
      </c>
      <c r="J878" s="1">
        <f>IF(B878="", "", "1346744")</f>
        <v>0</v>
      </c>
    </row>
    <row r="879" spans="1:10">
      <c r="A879">
        <f>IF(COUNTBLANK(B879:J879)&lt;&gt;COLUMNS(B879:J879),878,"")</f>
        <v>0</v>
      </c>
      <c r="C879" s="1">
        <f>IF(B879="", "", "UBERON:genitourinary")</f>
        <v>0</v>
      </c>
      <c r="D879" s="1">
        <f>IF(B879="", "", "UBERON:urine")</f>
        <v>0</v>
      </c>
      <c r="E879" s="1">
        <f>IF(B879="", "", "UBERON:kidney")</f>
        <v>0</v>
      </c>
      <c r="F879" s="1">
        <f>IF(B879="", "", "animal corpus")</f>
        <v>0</v>
      </c>
      <c r="G879" s="1">
        <f>IF(B879="", "", "urine")</f>
        <v>0</v>
      </c>
      <c r="H879" s="1">
        <f>IF(B879="", "", "urine")</f>
        <v>0</v>
      </c>
      <c r="I879" s="1">
        <f>IF(B879="", "", "urine metagenome")</f>
        <v>0</v>
      </c>
      <c r="J879" s="1">
        <f>IF(B879="", "", "1346744")</f>
        <v>0</v>
      </c>
    </row>
    <row r="880" spans="1:10">
      <c r="A880">
        <f>IF(COUNTBLANK(B880:J880)&lt;&gt;COLUMNS(B880:J880),879,"")</f>
        <v>0</v>
      </c>
      <c r="C880" s="1">
        <f>IF(B880="", "", "UBERON:genitourinary")</f>
        <v>0</v>
      </c>
      <c r="D880" s="1">
        <f>IF(B880="", "", "UBERON:urine")</f>
        <v>0</v>
      </c>
      <c r="E880" s="1">
        <f>IF(B880="", "", "UBERON:kidney")</f>
        <v>0</v>
      </c>
      <c r="F880" s="1">
        <f>IF(B880="", "", "animal corpus")</f>
        <v>0</v>
      </c>
      <c r="G880" s="1">
        <f>IF(B880="", "", "urine")</f>
        <v>0</v>
      </c>
      <c r="H880" s="1">
        <f>IF(B880="", "", "urine")</f>
        <v>0</v>
      </c>
      <c r="I880" s="1">
        <f>IF(B880="", "", "urine metagenome")</f>
        <v>0</v>
      </c>
      <c r="J880" s="1">
        <f>IF(B880="", "", "1346744")</f>
        <v>0</v>
      </c>
    </row>
    <row r="881" spans="1:10">
      <c r="A881">
        <f>IF(COUNTBLANK(B881:J881)&lt;&gt;COLUMNS(B881:J881),880,"")</f>
        <v>0</v>
      </c>
      <c r="C881" s="1">
        <f>IF(B881="", "", "UBERON:genitourinary")</f>
        <v>0</v>
      </c>
      <c r="D881" s="1">
        <f>IF(B881="", "", "UBERON:urine")</f>
        <v>0</v>
      </c>
      <c r="E881" s="1">
        <f>IF(B881="", "", "UBERON:kidney")</f>
        <v>0</v>
      </c>
      <c r="F881" s="1">
        <f>IF(B881="", "", "animal corpus")</f>
        <v>0</v>
      </c>
      <c r="G881" s="1">
        <f>IF(B881="", "", "urine")</f>
        <v>0</v>
      </c>
      <c r="H881" s="1">
        <f>IF(B881="", "", "urine")</f>
        <v>0</v>
      </c>
      <c r="I881" s="1">
        <f>IF(B881="", "", "urine metagenome")</f>
        <v>0</v>
      </c>
      <c r="J881" s="1">
        <f>IF(B881="", "", "1346744")</f>
        <v>0</v>
      </c>
    </row>
    <row r="882" spans="1:10">
      <c r="A882">
        <f>IF(COUNTBLANK(B882:J882)&lt;&gt;COLUMNS(B882:J882),881,"")</f>
        <v>0</v>
      </c>
      <c r="C882" s="1">
        <f>IF(B882="", "", "UBERON:genitourinary")</f>
        <v>0</v>
      </c>
      <c r="D882" s="1">
        <f>IF(B882="", "", "UBERON:urine")</f>
        <v>0</v>
      </c>
      <c r="E882" s="1">
        <f>IF(B882="", "", "UBERON:kidney")</f>
        <v>0</v>
      </c>
      <c r="F882" s="1">
        <f>IF(B882="", "", "animal corpus")</f>
        <v>0</v>
      </c>
      <c r="G882" s="1">
        <f>IF(B882="", "", "urine")</f>
        <v>0</v>
      </c>
      <c r="H882" s="1">
        <f>IF(B882="", "", "urine")</f>
        <v>0</v>
      </c>
      <c r="I882" s="1">
        <f>IF(B882="", "", "urine metagenome")</f>
        <v>0</v>
      </c>
      <c r="J882" s="1">
        <f>IF(B882="", "", "1346744")</f>
        <v>0</v>
      </c>
    </row>
    <row r="883" spans="1:10">
      <c r="A883">
        <f>IF(COUNTBLANK(B883:J883)&lt;&gt;COLUMNS(B883:J883),882,"")</f>
        <v>0</v>
      </c>
      <c r="C883" s="1">
        <f>IF(B883="", "", "UBERON:genitourinary")</f>
        <v>0</v>
      </c>
      <c r="D883" s="1">
        <f>IF(B883="", "", "UBERON:urine")</f>
        <v>0</v>
      </c>
      <c r="E883" s="1">
        <f>IF(B883="", "", "UBERON:kidney")</f>
        <v>0</v>
      </c>
      <c r="F883" s="1">
        <f>IF(B883="", "", "animal corpus")</f>
        <v>0</v>
      </c>
      <c r="G883" s="1">
        <f>IF(B883="", "", "urine")</f>
        <v>0</v>
      </c>
      <c r="H883" s="1">
        <f>IF(B883="", "", "urine")</f>
        <v>0</v>
      </c>
      <c r="I883" s="1">
        <f>IF(B883="", "", "urine metagenome")</f>
        <v>0</v>
      </c>
      <c r="J883" s="1">
        <f>IF(B883="", "", "1346744")</f>
        <v>0</v>
      </c>
    </row>
    <row r="884" spans="1:10">
      <c r="A884">
        <f>IF(COUNTBLANK(B884:J884)&lt;&gt;COLUMNS(B884:J884),883,"")</f>
        <v>0</v>
      </c>
      <c r="C884" s="1">
        <f>IF(B884="", "", "UBERON:genitourinary")</f>
        <v>0</v>
      </c>
      <c r="D884" s="1">
        <f>IF(B884="", "", "UBERON:urine")</f>
        <v>0</v>
      </c>
      <c r="E884" s="1">
        <f>IF(B884="", "", "UBERON:kidney")</f>
        <v>0</v>
      </c>
      <c r="F884" s="1">
        <f>IF(B884="", "", "animal corpus")</f>
        <v>0</v>
      </c>
      <c r="G884" s="1">
        <f>IF(B884="", "", "urine")</f>
        <v>0</v>
      </c>
      <c r="H884" s="1">
        <f>IF(B884="", "", "urine")</f>
        <v>0</v>
      </c>
      <c r="I884" s="1">
        <f>IF(B884="", "", "urine metagenome")</f>
        <v>0</v>
      </c>
      <c r="J884" s="1">
        <f>IF(B884="", "", "1346744")</f>
        <v>0</v>
      </c>
    </row>
    <row r="885" spans="1:10">
      <c r="A885">
        <f>IF(COUNTBLANK(B885:J885)&lt;&gt;COLUMNS(B885:J885),884,"")</f>
        <v>0</v>
      </c>
      <c r="C885" s="1">
        <f>IF(B885="", "", "UBERON:genitourinary")</f>
        <v>0</v>
      </c>
      <c r="D885" s="1">
        <f>IF(B885="", "", "UBERON:urine")</f>
        <v>0</v>
      </c>
      <c r="E885" s="1">
        <f>IF(B885="", "", "UBERON:kidney")</f>
        <v>0</v>
      </c>
      <c r="F885" s="1">
        <f>IF(B885="", "", "animal corpus")</f>
        <v>0</v>
      </c>
      <c r="G885" s="1">
        <f>IF(B885="", "", "urine")</f>
        <v>0</v>
      </c>
      <c r="H885" s="1">
        <f>IF(B885="", "", "urine")</f>
        <v>0</v>
      </c>
      <c r="I885" s="1">
        <f>IF(B885="", "", "urine metagenome")</f>
        <v>0</v>
      </c>
      <c r="J885" s="1">
        <f>IF(B885="", "", "1346744")</f>
        <v>0</v>
      </c>
    </row>
    <row r="886" spans="1:10">
      <c r="A886">
        <f>IF(COUNTBLANK(B886:J886)&lt;&gt;COLUMNS(B886:J886),885,"")</f>
        <v>0</v>
      </c>
      <c r="C886" s="1">
        <f>IF(B886="", "", "UBERON:genitourinary")</f>
        <v>0</v>
      </c>
      <c r="D886" s="1">
        <f>IF(B886="", "", "UBERON:urine")</f>
        <v>0</v>
      </c>
      <c r="E886" s="1">
        <f>IF(B886="", "", "UBERON:kidney")</f>
        <v>0</v>
      </c>
      <c r="F886" s="1">
        <f>IF(B886="", "", "animal corpus")</f>
        <v>0</v>
      </c>
      <c r="G886" s="1">
        <f>IF(B886="", "", "urine")</f>
        <v>0</v>
      </c>
      <c r="H886" s="1">
        <f>IF(B886="", "", "urine")</f>
        <v>0</v>
      </c>
      <c r="I886" s="1">
        <f>IF(B886="", "", "urine metagenome")</f>
        <v>0</v>
      </c>
      <c r="J886" s="1">
        <f>IF(B886="", "", "1346744")</f>
        <v>0</v>
      </c>
    </row>
    <row r="887" spans="1:10">
      <c r="A887">
        <f>IF(COUNTBLANK(B887:J887)&lt;&gt;COLUMNS(B887:J887),886,"")</f>
        <v>0</v>
      </c>
      <c r="C887" s="1">
        <f>IF(B887="", "", "UBERON:genitourinary")</f>
        <v>0</v>
      </c>
      <c r="D887" s="1">
        <f>IF(B887="", "", "UBERON:urine")</f>
        <v>0</v>
      </c>
      <c r="E887" s="1">
        <f>IF(B887="", "", "UBERON:kidney")</f>
        <v>0</v>
      </c>
      <c r="F887" s="1">
        <f>IF(B887="", "", "animal corpus")</f>
        <v>0</v>
      </c>
      <c r="G887" s="1">
        <f>IF(B887="", "", "urine")</f>
        <v>0</v>
      </c>
      <c r="H887" s="1">
        <f>IF(B887="", "", "urine")</f>
        <v>0</v>
      </c>
      <c r="I887" s="1">
        <f>IF(B887="", "", "urine metagenome")</f>
        <v>0</v>
      </c>
      <c r="J887" s="1">
        <f>IF(B887="", "", "1346744")</f>
        <v>0</v>
      </c>
    </row>
    <row r="888" spans="1:10">
      <c r="A888">
        <f>IF(COUNTBLANK(B888:J888)&lt;&gt;COLUMNS(B888:J888),887,"")</f>
        <v>0</v>
      </c>
      <c r="C888" s="1">
        <f>IF(B888="", "", "UBERON:genitourinary")</f>
        <v>0</v>
      </c>
      <c r="D888" s="1">
        <f>IF(B888="", "", "UBERON:urine")</f>
        <v>0</v>
      </c>
      <c r="E888" s="1">
        <f>IF(B888="", "", "UBERON:kidney")</f>
        <v>0</v>
      </c>
      <c r="F888" s="1">
        <f>IF(B888="", "", "animal corpus")</f>
        <v>0</v>
      </c>
      <c r="G888" s="1">
        <f>IF(B888="", "", "urine")</f>
        <v>0</v>
      </c>
      <c r="H888" s="1">
        <f>IF(B888="", "", "urine")</f>
        <v>0</v>
      </c>
      <c r="I888" s="1">
        <f>IF(B888="", "", "urine metagenome")</f>
        <v>0</v>
      </c>
      <c r="J888" s="1">
        <f>IF(B888="", "", "1346744")</f>
        <v>0</v>
      </c>
    </row>
    <row r="889" spans="1:10">
      <c r="A889">
        <f>IF(COUNTBLANK(B889:J889)&lt;&gt;COLUMNS(B889:J889),888,"")</f>
        <v>0</v>
      </c>
      <c r="C889" s="1">
        <f>IF(B889="", "", "UBERON:genitourinary")</f>
        <v>0</v>
      </c>
      <c r="D889" s="1">
        <f>IF(B889="", "", "UBERON:urine")</f>
        <v>0</v>
      </c>
      <c r="E889" s="1">
        <f>IF(B889="", "", "UBERON:kidney")</f>
        <v>0</v>
      </c>
      <c r="F889" s="1">
        <f>IF(B889="", "", "animal corpus")</f>
        <v>0</v>
      </c>
      <c r="G889" s="1">
        <f>IF(B889="", "", "urine")</f>
        <v>0</v>
      </c>
      <c r="H889" s="1">
        <f>IF(B889="", "", "urine")</f>
        <v>0</v>
      </c>
      <c r="I889" s="1">
        <f>IF(B889="", "", "urine metagenome")</f>
        <v>0</v>
      </c>
      <c r="J889" s="1">
        <f>IF(B889="", "", "1346744")</f>
        <v>0</v>
      </c>
    </row>
    <row r="890" spans="1:10">
      <c r="A890">
        <f>IF(COUNTBLANK(B890:J890)&lt;&gt;COLUMNS(B890:J890),889,"")</f>
        <v>0</v>
      </c>
      <c r="C890" s="1">
        <f>IF(B890="", "", "UBERON:genitourinary")</f>
        <v>0</v>
      </c>
      <c r="D890" s="1">
        <f>IF(B890="", "", "UBERON:urine")</f>
        <v>0</v>
      </c>
      <c r="E890" s="1">
        <f>IF(B890="", "", "UBERON:kidney")</f>
        <v>0</v>
      </c>
      <c r="F890" s="1">
        <f>IF(B890="", "", "animal corpus")</f>
        <v>0</v>
      </c>
      <c r="G890" s="1">
        <f>IF(B890="", "", "urine")</f>
        <v>0</v>
      </c>
      <c r="H890" s="1">
        <f>IF(B890="", "", "urine")</f>
        <v>0</v>
      </c>
      <c r="I890" s="1">
        <f>IF(B890="", "", "urine metagenome")</f>
        <v>0</v>
      </c>
      <c r="J890" s="1">
        <f>IF(B890="", "", "1346744")</f>
        <v>0</v>
      </c>
    </row>
    <row r="891" spans="1:10">
      <c r="A891">
        <f>IF(COUNTBLANK(B891:J891)&lt;&gt;COLUMNS(B891:J891),890,"")</f>
        <v>0</v>
      </c>
      <c r="C891" s="1">
        <f>IF(B891="", "", "UBERON:genitourinary")</f>
        <v>0</v>
      </c>
      <c r="D891" s="1">
        <f>IF(B891="", "", "UBERON:urine")</f>
        <v>0</v>
      </c>
      <c r="E891" s="1">
        <f>IF(B891="", "", "UBERON:kidney")</f>
        <v>0</v>
      </c>
      <c r="F891" s="1">
        <f>IF(B891="", "", "animal corpus")</f>
        <v>0</v>
      </c>
      <c r="G891" s="1">
        <f>IF(B891="", "", "urine")</f>
        <v>0</v>
      </c>
      <c r="H891" s="1">
        <f>IF(B891="", "", "urine")</f>
        <v>0</v>
      </c>
      <c r="I891" s="1">
        <f>IF(B891="", "", "urine metagenome")</f>
        <v>0</v>
      </c>
      <c r="J891" s="1">
        <f>IF(B891="", "", "1346744")</f>
        <v>0</v>
      </c>
    </row>
    <row r="892" spans="1:10">
      <c r="A892">
        <f>IF(COUNTBLANK(B892:J892)&lt;&gt;COLUMNS(B892:J892),891,"")</f>
        <v>0</v>
      </c>
      <c r="C892" s="1">
        <f>IF(B892="", "", "UBERON:genitourinary")</f>
        <v>0</v>
      </c>
      <c r="D892" s="1">
        <f>IF(B892="", "", "UBERON:urine")</f>
        <v>0</v>
      </c>
      <c r="E892" s="1">
        <f>IF(B892="", "", "UBERON:kidney")</f>
        <v>0</v>
      </c>
      <c r="F892" s="1">
        <f>IF(B892="", "", "animal corpus")</f>
        <v>0</v>
      </c>
      <c r="G892" s="1">
        <f>IF(B892="", "", "urine")</f>
        <v>0</v>
      </c>
      <c r="H892" s="1">
        <f>IF(B892="", "", "urine")</f>
        <v>0</v>
      </c>
      <c r="I892" s="1">
        <f>IF(B892="", "", "urine metagenome")</f>
        <v>0</v>
      </c>
      <c r="J892" s="1">
        <f>IF(B892="", "", "1346744")</f>
        <v>0</v>
      </c>
    </row>
    <row r="893" spans="1:10">
      <c r="A893">
        <f>IF(COUNTBLANK(B893:J893)&lt;&gt;COLUMNS(B893:J893),892,"")</f>
        <v>0</v>
      </c>
      <c r="C893" s="1">
        <f>IF(B893="", "", "UBERON:genitourinary")</f>
        <v>0</v>
      </c>
      <c r="D893" s="1">
        <f>IF(B893="", "", "UBERON:urine")</f>
        <v>0</v>
      </c>
      <c r="E893" s="1">
        <f>IF(B893="", "", "UBERON:kidney")</f>
        <v>0</v>
      </c>
      <c r="F893" s="1">
        <f>IF(B893="", "", "animal corpus")</f>
        <v>0</v>
      </c>
      <c r="G893" s="1">
        <f>IF(B893="", "", "urine")</f>
        <v>0</v>
      </c>
      <c r="H893" s="1">
        <f>IF(B893="", "", "urine")</f>
        <v>0</v>
      </c>
      <c r="I893" s="1">
        <f>IF(B893="", "", "urine metagenome")</f>
        <v>0</v>
      </c>
      <c r="J893" s="1">
        <f>IF(B893="", "", "1346744")</f>
        <v>0</v>
      </c>
    </row>
    <row r="894" spans="1:10">
      <c r="A894">
        <f>IF(COUNTBLANK(B894:J894)&lt;&gt;COLUMNS(B894:J894),893,"")</f>
        <v>0</v>
      </c>
      <c r="C894" s="1">
        <f>IF(B894="", "", "UBERON:genitourinary")</f>
        <v>0</v>
      </c>
      <c r="D894" s="1">
        <f>IF(B894="", "", "UBERON:urine")</f>
        <v>0</v>
      </c>
      <c r="E894" s="1">
        <f>IF(B894="", "", "UBERON:kidney")</f>
        <v>0</v>
      </c>
      <c r="F894" s="1">
        <f>IF(B894="", "", "animal corpus")</f>
        <v>0</v>
      </c>
      <c r="G894" s="1">
        <f>IF(B894="", "", "urine")</f>
        <v>0</v>
      </c>
      <c r="H894" s="1">
        <f>IF(B894="", "", "urine")</f>
        <v>0</v>
      </c>
      <c r="I894" s="1">
        <f>IF(B894="", "", "urine metagenome")</f>
        <v>0</v>
      </c>
      <c r="J894" s="1">
        <f>IF(B894="", "", "1346744")</f>
        <v>0</v>
      </c>
    </row>
    <row r="895" spans="1:10">
      <c r="A895">
        <f>IF(COUNTBLANK(B895:J895)&lt;&gt;COLUMNS(B895:J895),894,"")</f>
        <v>0</v>
      </c>
      <c r="C895" s="1">
        <f>IF(B895="", "", "UBERON:genitourinary")</f>
        <v>0</v>
      </c>
      <c r="D895" s="1">
        <f>IF(B895="", "", "UBERON:urine")</f>
        <v>0</v>
      </c>
      <c r="E895" s="1">
        <f>IF(B895="", "", "UBERON:kidney")</f>
        <v>0</v>
      </c>
      <c r="F895" s="1">
        <f>IF(B895="", "", "animal corpus")</f>
        <v>0</v>
      </c>
      <c r="G895" s="1">
        <f>IF(B895="", "", "urine")</f>
        <v>0</v>
      </c>
      <c r="H895" s="1">
        <f>IF(B895="", "", "urine")</f>
        <v>0</v>
      </c>
      <c r="I895" s="1">
        <f>IF(B895="", "", "urine metagenome")</f>
        <v>0</v>
      </c>
      <c r="J895" s="1">
        <f>IF(B895="", "", "1346744")</f>
        <v>0</v>
      </c>
    </row>
    <row r="896" spans="1:10">
      <c r="A896">
        <f>IF(COUNTBLANK(B896:J896)&lt;&gt;COLUMNS(B896:J896),895,"")</f>
        <v>0</v>
      </c>
      <c r="C896" s="1">
        <f>IF(B896="", "", "UBERON:genitourinary")</f>
        <v>0</v>
      </c>
      <c r="D896" s="1">
        <f>IF(B896="", "", "UBERON:urine")</f>
        <v>0</v>
      </c>
      <c r="E896" s="1">
        <f>IF(B896="", "", "UBERON:kidney")</f>
        <v>0</v>
      </c>
      <c r="F896" s="1">
        <f>IF(B896="", "", "animal corpus")</f>
        <v>0</v>
      </c>
      <c r="G896" s="1">
        <f>IF(B896="", "", "urine")</f>
        <v>0</v>
      </c>
      <c r="H896" s="1">
        <f>IF(B896="", "", "urine")</f>
        <v>0</v>
      </c>
      <c r="I896" s="1">
        <f>IF(B896="", "", "urine metagenome")</f>
        <v>0</v>
      </c>
      <c r="J896" s="1">
        <f>IF(B896="", "", "1346744")</f>
        <v>0</v>
      </c>
    </row>
    <row r="897" spans="1:10">
      <c r="A897">
        <f>IF(COUNTBLANK(B897:J897)&lt;&gt;COLUMNS(B897:J897),896,"")</f>
        <v>0</v>
      </c>
      <c r="C897" s="1">
        <f>IF(B897="", "", "UBERON:genitourinary")</f>
        <v>0</v>
      </c>
      <c r="D897" s="1">
        <f>IF(B897="", "", "UBERON:urine")</f>
        <v>0</v>
      </c>
      <c r="E897" s="1">
        <f>IF(B897="", "", "UBERON:kidney")</f>
        <v>0</v>
      </c>
      <c r="F897" s="1">
        <f>IF(B897="", "", "animal corpus")</f>
        <v>0</v>
      </c>
      <c r="G897" s="1">
        <f>IF(B897="", "", "urine")</f>
        <v>0</v>
      </c>
      <c r="H897" s="1">
        <f>IF(B897="", "", "urine")</f>
        <v>0</v>
      </c>
      <c r="I897" s="1">
        <f>IF(B897="", "", "urine metagenome")</f>
        <v>0</v>
      </c>
      <c r="J897" s="1">
        <f>IF(B897="", "", "1346744")</f>
        <v>0</v>
      </c>
    </row>
    <row r="898" spans="1:10">
      <c r="A898">
        <f>IF(COUNTBLANK(B898:J898)&lt;&gt;COLUMNS(B898:J898),897,"")</f>
        <v>0</v>
      </c>
      <c r="C898" s="1">
        <f>IF(B898="", "", "UBERON:genitourinary")</f>
        <v>0</v>
      </c>
      <c r="D898" s="1">
        <f>IF(B898="", "", "UBERON:urine")</f>
        <v>0</v>
      </c>
      <c r="E898" s="1">
        <f>IF(B898="", "", "UBERON:kidney")</f>
        <v>0</v>
      </c>
      <c r="F898" s="1">
        <f>IF(B898="", "", "animal corpus")</f>
        <v>0</v>
      </c>
      <c r="G898" s="1">
        <f>IF(B898="", "", "urine")</f>
        <v>0</v>
      </c>
      <c r="H898" s="1">
        <f>IF(B898="", "", "urine")</f>
        <v>0</v>
      </c>
      <c r="I898" s="1">
        <f>IF(B898="", "", "urine metagenome")</f>
        <v>0</v>
      </c>
      <c r="J898" s="1">
        <f>IF(B898="", "", "1346744")</f>
        <v>0</v>
      </c>
    </row>
    <row r="899" spans="1:10">
      <c r="A899">
        <f>IF(COUNTBLANK(B899:J899)&lt;&gt;COLUMNS(B899:J899),898,"")</f>
        <v>0</v>
      </c>
      <c r="C899" s="1">
        <f>IF(B899="", "", "UBERON:genitourinary")</f>
        <v>0</v>
      </c>
      <c r="D899" s="1">
        <f>IF(B899="", "", "UBERON:urine")</f>
        <v>0</v>
      </c>
      <c r="E899" s="1">
        <f>IF(B899="", "", "UBERON:kidney")</f>
        <v>0</v>
      </c>
      <c r="F899" s="1">
        <f>IF(B899="", "", "animal corpus")</f>
        <v>0</v>
      </c>
      <c r="G899" s="1">
        <f>IF(B899="", "", "urine")</f>
        <v>0</v>
      </c>
      <c r="H899" s="1">
        <f>IF(B899="", "", "urine")</f>
        <v>0</v>
      </c>
      <c r="I899" s="1">
        <f>IF(B899="", "", "urine metagenome")</f>
        <v>0</v>
      </c>
      <c r="J899" s="1">
        <f>IF(B899="", "", "1346744")</f>
        <v>0</v>
      </c>
    </row>
    <row r="900" spans="1:10">
      <c r="A900">
        <f>IF(COUNTBLANK(B900:J900)&lt;&gt;COLUMNS(B900:J900),899,"")</f>
        <v>0</v>
      </c>
      <c r="C900" s="1">
        <f>IF(B900="", "", "UBERON:genitourinary")</f>
        <v>0</v>
      </c>
      <c r="D900" s="1">
        <f>IF(B900="", "", "UBERON:urine")</f>
        <v>0</v>
      </c>
      <c r="E900" s="1">
        <f>IF(B900="", "", "UBERON:kidney")</f>
        <v>0</v>
      </c>
      <c r="F900" s="1">
        <f>IF(B900="", "", "animal corpus")</f>
        <v>0</v>
      </c>
      <c r="G900" s="1">
        <f>IF(B900="", "", "urine")</f>
        <v>0</v>
      </c>
      <c r="H900" s="1">
        <f>IF(B900="", "", "urine")</f>
        <v>0</v>
      </c>
      <c r="I900" s="1">
        <f>IF(B900="", "", "urine metagenome")</f>
        <v>0</v>
      </c>
      <c r="J900" s="1">
        <f>IF(B900="", "", "1346744")</f>
        <v>0</v>
      </c>
    </row>
    <row r="901" spans="1:10">
      <c r="A901">
        <f>IF(COUNTBLANK(B901:J901)&lt;&gt;COLUMNS(B901:J901),900,"")</f>
        <v>0</v>
      </c>
      <c r="C901" s="1">
        <f>IF(B901="", "", "UBERON:genitourinary")</f>
        <v>0</v>
      </c>
      <c r="D901" s="1">
        <f>IF(B901="", "", "UBERON:urine")</f>
        <v>0</v>
      </c>
      <c r="E901" s="1">
        <f>IF(B901="", "", "UBERON:kidney")</f>
        <v>0</v>
      </c>
      <c r="F901" s="1">
        <f>IF(B901="", "", "animal corpus")</f>
        <v>0</v>
      </c>
      <c r="G901" s="1">
        <f>IF(B901="", "", "urine")</f>
        <v>0</v>
      </c>
      <c r="H901" s="1">
        <f>IF(B901="", "", "urine")</f>
        <v>0</v>
      </c>
      <c r="I901" s="1">
        <f>IF(B901="", "", "urine metagenome")</f>
        <v>0</v>
      </c>
      <c r="J901" s="1">
        <f>IF(B901="", "", "1346744")</f>
        <v>0</v>
      </c>
    </row>
    <row r="902" spans="1:10">
      <c r="A902">
        <f>IF(COUNTBLANK(B902:J902)&lt;&gt;COLUMNS(B902:J902),901,"")</f>
        <v>0</v>
      </c>
      <c r="C902" s="1">
        <f>IF(B902="", "", "UBERON:genitourinary")</f>
        <v>0</v>
      </c>
      <c r="D902" s="1">
        <f>IF(B902="", "", "UBERON:urine")</f>
        <v>0</v>
      </c>
      <c r="E902" s="1">
        <f>IF(B902="", "", "UBERON:kidney")</f>
        <v>0</v>
      </c>
      <c r="F902" s="1">
        <f>IF(B902="", "", "animal corpus")</f>
        <v>0</v>
      </c>
      <c r="G902" s="1">
        <f>IF(B902="", "", "urine")</f>
        <v>0</v>
      </c>
      <c r="H902" s="1">
        <f>IF(B902="", "", "urine")</f>
        <v>0</v>
      </c>
      <c r="I902" s="1">
        <f>IF(B902="", "", "urine metagenome")</f>
        <v>0</v>
      </c>
      <c r="J902" s="1">
        <f>IF(B902="", "", "1346744")</f>
        <v>0</v>
      </c>
    </row>
    <row r="903" spans="1:10">
      <c r="A903">
        <f>IF(COUNTBLANK(B903:J903)&lt;&gt;COLUMNS(B903:J903),902,"")</f>
        <v>0</v>
      </c>
      <c r="C903" s="1">
        <f>IF(B903="", "", "UBERON:genitourinary")</f>
        <v>0</v>
      </c>
      <c r="D903" s="1">
        <f>IF(B903="", "", "UBERON:urine")</f>
        <v>0</v>
      </c>
      <c r="E903" s="1">
        <f>IF(B903="", "", "UBERON:kidney")</f>
        <v>0</v>
      </c>
      <c r="F903" s="1">
        <f>IF(B903="", "", "animal corpus")</f>
        <v>0</v>
      </c>
      <c r="G903" s="1">
        <f>IF(B903="", "", "urine")</f>
        <v>0</v>
      </c>
      <c r="H903" s="1">
        <f>IF(B903="", "", "urine")</f>
        <v>0</v>
      </c>
      <c r="I903" s="1">
        <f>IF(B903="", "", "urine metagenome")</f>
        <v>0</v>
      </c>
      <c r="J903" s="1">
        <f>IF(B903="", "", "1346744")</f>
        <v>0</v>
      </c>
    </row>
    <row r="904" spans="1:10">
      <c r="A904">
        <f>IF(COUNTBLANK(B904:J904)&lt;&gt;COLUMNS(B904:J904),903,"")</f>
        <v>0</v>
      </c>
      <c r="C904" s="1">
        <f>IF(B904="", "", "UBERON:genitourinary")</f>
        <v>0</v>
      </c>
      <c r="D904" s="1">
        <f>IF(B904="", "", "UBERON:urine")</f>
        <v>0</v>
      </c>
      <c r="E904" s="1">
        <f>IF(B904="", "", "UBERON:kidney")</f>
        <v>0</v>
      </c>
      <c r="F904" s="1">
        <f>IF(B904="", "", "animal corpus")</f>
        <v>0</v>
      </c>
      <c r="G904" s="1">
        <f>IF(B904="", "", "urine")</f>
        <v>0</v>
      </c>
      <c r="H904" s="1">
        <f>IF(B904="", "", "urine")</f>
        <v>0</v>
      </c>
      <c r="I904" s="1">
        <f>IF(B904="", "", "urine metagenome")</f>
        <v>0</v>
      </c>
      <c r="J904" s="1">
        <f>IF(B904="", "", "1346744")</f>
        <v>0</v>
      </c>
    </row>
    <row r="905" spans="1:10">
      <c r="A905">
        <f>IF(COUNTBLANK(B905:J905)&lt;&gt;COLUMNS(B905:J905),904,"")</f>
        <v>0</v>
      </c>
      <c r="C905" s="1">
        <f>IF(B905="", "", "UBERON:genitourinary")</f>
        <v>0</v>
      </c>
      <c r="D905" s="1">
        <f>IF(B905="", "", "UBERON:urine")</f>
        <v>0</v>
      </c>
      <c r="E905" s="1">
        <f>IF(B905="", "", "UBERON:kidney")</f>
        <v>0</v>
      </c>
      <c r="F905" s="1">
        <f>IF(B905="", "", "animal corpus")</f>
        <v>0</v>
      </c>
      <c r="G905" s="1">
        <f>IF(B905="", "", "urine")</f>
        <v>0</v>
      </c>
      <c r="H905" s="1">
        <f>IF(B905="", "", "urine")</f>
        <v>0</v>
      </c>
      <c r="I905" s="1">
        <f>IF(B905="", "", "urine metagenome")</f>
        <v>0</v>
      </c>
      <c r="J905" s="1">
        <f>IF(B905="", "", "1346744")</f>
        <v>0</v>
      </c>
    </row>
    <row r="906" spans="1:10">
      <c r="A906">
        <f>IF(COUNTBLANK(B906:J906)&lt;&gt;COLUMNS(B906:J906),905,"")</f>
        <v>0</v>
      </c>
      <c r="C906" s="1">
        <f>IF(B906="", "", "UBERON:genitourinary")</f>
        <v>0</v>
      </c>
      <c r="D906" s="1">
        <f>IF(B906="", "", "UBERON:urine")</f>
        <v>0</v>
      </c>
      <c r="E906" s="1">
        <f>IF(B906="", "", "UBERON:kidney")</f>
        <v>0</v>
      </c>
      <c r="F906" s="1">
        <f>IF(B906="", "", "animal corpus")</f>
        <v>0</v>
      </c>
      <c r="G906" s="1">
        <f>IF(B906="", "", "urine")</f>
        <v>0</v>
      </c>
      <c r="H906" s="1">
        <f>IF(B906="", "", "urine")</f>
        <v>0</v>
      </c>
      <c r="I906" s="1">
        <f>IF(B906="", "", "urine metagenome")</f>
        <v>0</v>
      </c>
      <c r="J906" s="1">
        <f>IF(B906="", "", "1346744")</f>
        <v>0</v>
      </c>
    </row>
    <row r="907" spans="1:10">
      <c r="A907">
        <f>IF(COUNTBLANK(B907:J907)&lt;&gt;COLUMNS(B907:J907),906,"")</f>
        <v>0</v>
      </c>
      <c r="C907" s="1">
        <f>IF(B907="", "", "UBERON:genitourinary")</f>
        <v>0</v>
      </c>
      <c r="D907" s="1">
        <f>IF(B907="", "", "UBERON:urine")</f>
        <v>0</v>
      </c>
      <c r="E907" s="1">
        <f>IF(B907="", "", "UBERON:kidney")</f>
        <v>0</v>
      </c>
      <c r="F907" s="1">
        <f>IF(B907="", "", "animal corpus")</f>
        <v>0</v>
      </c>
      <c r="G907" s="1">
        <f>IF(B907="", "", "urine")</f>
        <v>0</v>
      </c>
      <c r="H907" s="1">
        <f>IF(B907="", "", "urine")</f>
        <v>0</v>
      </c>
      <c r="I907" s="1">
        <f>IF(B907="", "", "urine metagenome")</f>
        <v>0</v>
      </c>
      <c r="J907" s="1">
        <f>IF(B907="", "", "1346744")</f>
        <v>0</v>
      </c>
    </row>
    <row r="908" spans="1:10">
      <c r="A908">
        <f>IF(COUNTBLANK(B908:J908)&lt;&gt;COLUMNS(B908:J908),907,"")</f>
        <v>0</v>
      </c>
      <c r="C908" s="1">
        <f>IF(B908="", "", "UBERON:genitourinary")</f>
        <v>0</v>
      </c>
      <c r="D908" s="1">
        <f>IF(B908="", "", "UBERON:urine")</f>
        <v>0</v>
      </c>
      <c r="E908" s="1">
        <f>IF(B908="", "", "UBERON:kidney")</f>
        <v>0</v>
      </c>
      <c r="F908" s="1">
        <f>IF(B908="", "", "animal corpus")</f>
        <v>0</v>
      </c>
      <c r="G908" s="1">
        <f>IF(B908="", "", "urine")</f>
        <v>0</v>
      </c>
      <c r="H908" s="1">
        <f>IF(B908="", "", "urine")</f>
        <v>0</v>
      </c>
      <c r="I908" s="1">
        <f>IF(B908="", "", "urine metagenome")</f>
        <v>0</v>
      </c>
      <c r="J908" s="1">
        <f>IF(B908="", "", "1346744")</f>
        <v>0</v>
      </c>
    </row>
    <row r="909" spans="1:10">
      <c r="A909">
        <f>IF(COUNTBLANK(B909:J909)&lt;&gt;COLUMNS(B909:J909),908,"")</f>
        <v>0</v>
      </c>
      <c r="C909" s="1">
        <f>IF(B909="", "", "UBERON:genitourinary")</f>
        <v>0</v>
      </c>
      <c r="D909" s="1">
        <f>IF(B909="", "", "UBERON:urine")</f>
        <v>0</v>
      </c>
      <c r="E909" s="1">
        <f>IF(B909="", "", "UBERON:kidney")</f>
        <v>0</v>
      </c>
      <c r="F909" s="1">
        <f>IF(B909="", "", "animal corpus")</f>
        <v>0</v>
      </c>
      <c r="G909" s="1">
        <f>IF(B909="", "", "urine")</f>
        <v>0</v>
      </c>
      <c r="H909" s="1">
        <f>IF(B909="", "", "urine")</f>
        <v>0</v>
      </c>
      <c r="I909" s="1">
        <f>IF(B909="", "", "urine metagenome")</f>
        <v>0</v>
      </c>
      <c r="J909" s="1">
        <f>IF(B909="", "", "1346744")</f>
        <v>0</v>
      </c>
    </row>
    <row r="910" spans="1:10">
      <c r="A910">
        <f>IF(COUNTBLANK(B910:J910)&lt;&gt;COLUMNS(B910:J910),909,"")</f>
        <v>0</v>
      </c>
      <c r="C910" s="1">
        <f>IF(B910="", "", "UBERON:genitourinary")</f>
        <v>0</v>
      </c>
      <c r="D910" s="1">
        <f>IF(B910="", "", "UBERON:urine")</f>
        <v>0</v>
      </c>
      <c r="E910" s="1">
        <f>IF(B910="", "", "UBERON:kidney")</f>
        <v>0</v>
      </c>
      <c r="F910" s="1">
        <f>IF(B910="", "", "animal corpus")</f>
        <v>0</v>
      </c>
      <c r="G910" s="1">
        <f>IF(B910="", "", "urine")</f>
        <v>0</v>
      </c>
      <c r="H910" s="1">
        <f>IF(B910="", "", "urine")</f>
        <v>0</v>
      </c>
      <c r="I910" s="1">
        <f>IF(B910="", "", "urine metagenome")</f>
        <v>0</v>
      </c>
      <c r="J910" s="1">
        <f>IF(B910="", "", "1346744")</f>
        <v>0</v>
      </c>
    </row>
    <row r="911" spans="1:10">
      <c r="A911">
        <f>IF(COUNTBLANK(B911:J911)&lt;&gt;COLUMNS(B911:J911),910,"")</f>
        <v>0</v>
      </c>
      <c r="C911" s="1">
        <f>IF(B911="", "", "UBERON:genitourinary")</f>
        <v>0</v>
      </c>
      <c r="D911" s="1">
        <f>IF(B911="", "", "UBERON:urine")</f>
        <v>0</v>
      </c>
      <c r="E911" s="1">
        <f>IF(B911="", "", "UBERON:kidney")</f>
        <v>0</v>
      </c>
      <c r="F911" s="1">
        <f>IF(B911="", "", "animal corpus")</f>
        <v>0</v>
      </c>
      <c r="G911" s="1">
        <f>IF(B911="", "", "urine")</f>
        <v>0</v>
      </c>
      <c r="H911" s="1">
        <f>IF(B911="", "", "urine")</f>
        <v>0</v>
      </c>
      <c r="I911" s="1">
        <f>IF(B911="", "", "urine metagenome")</f>
        <v>0</v>
      </c>
      <c r="J911" s="1">
        <f>IF(B911="", "", "1346744")</f>
        <v>0</v>
      </c>
    </row>
    <row r="912" spans="1:10">
      <c r="A912">
        <f>IF(COUNTBLANK(B912:J912)&lt;&gt;COLUMNS(B912:J912),911,"")</f>
        <v>0</v>
      </c>
      <c r="C912" s="1">
        <f>IF(B912="", "", "UBERON:genitourinary")</f>
        <v>0</v>
      </c>
      <c r="D912" s="1">
        <f>IF(B912="", "", "UBERON:urine")</f>
        <v>0</v>
      </c>
      <c r="E912" s="1">
        <f>IF(B912="", "", "UBERON:kidney")</f>
        <v>0</v>
      </c>
      <c r="F912" s="1">
        <f>IF(B912="", "", "animal corpus")</f>
        <v>0</v>
      </c>
      <c r="G912" s="1">
        <f>IF(B912="", "", "urine")</f>
        <v>0</v>
      </c>
      <c r="H912" s="1">
        <f>IF(B912="", "", "urine")</f>
        <v>0</v>
      </c>
      <c r="I912" s="1">
        <f>IF(B912="", "", "urine metagenome")</f>
        <v>0</v>
      </c>
      <c r="J912" s="1">
        <f>IF(B912="", "", "1346744")</f>
        <v>0</v>
      </c>
    </row>
    <row r="913" spans="1:10">
      <c r="A913">
        <f>IF(COUNTBLANK(B913:J913)&lt;&gt;COLUMNS(B913:J913),912,"")</f>
        <v>0</v>
      </c>
      <c r="C913" s="1">
        <f>IF(B913="", "", "UBERON:genitourinary")</f>
        <v>0</v>
      </c>
      <c r="D913" s="1">
        <f>IF(B913="", "", "UBERON:urine")</f>
        <v>0</v>
      </c>
      <c r="E913" s="1">
        <f>IF(B913="", "", "UBERON:kidney")</f>
        <v>0</v>
      </c>
      <c r="F913" s="1">
        <f>IF(B913="", "", "animal corpus")</f>
        <v>0</v>
      </c>
      <c r="G913" s="1">
        <f>IF(B913="", "", "urine")</f>
        <v>0</v>
      </c>
      <c r="H913" s="1">
        <f>IF(B913="", "", "urine")</f>
        <v>0</v>
      </c>
      <c r="I913" s="1">
        <f>IF(B913="", "", "urine metagenome")</f>
        <v>0</v>
      </c>
      <c r="J913" s="1">
        <f>IF(B913="", "", "1346744")</f>
        <v>0</v>
      </c>
    </row>
    <row r="914" spans="1:10">
      <c r="A914">
        <f>IF(COUNTBLANK(B914:J914)&lt;&gt;COLUMNS(B914:J914),913,"")</f>
        <v>0</v>
      </c>
      <c r="C914" s="1">
        <f>IF(B914="", "", "UBERON:genitourinary")</f>
        <v>0</v>
      </c>
      <c r="D914" s="1">
        <f>IF(B914="", "", "UBERON:urine")</f>
        <v>0</v>
      </c>
      <c r="E914" s="1">
        <f>IF(B914="", "", "UBERON:kidney")</f>
        <v>0</v>
      </c>
      <c r="F914" s="1">
        <f>IF(B914="", "", "animal corpus")</f>
        <v>0</v>
      </c>
      <c r="G914" s="1">
        <f>IF(B914="", "", "urine")</f>
        <v>0</v>
      </c>
      <c r="H914" s="1">
        <f>IF(B914="", "", "urine")</f>
        <v>0</v>
      </c>
      <c r="I914" s="1">
        <f>IF(B914="", "", "urine metagenome")</f>
        <v>0</v>
      </c>
      <c r="J914" s="1">
        <f>IF(B914="", "", "1346744")</f>
        <v>0</v>
      </c>
    </row>
    <row r="915" spans="1:10">
      <c r="A915">
        <f>IF(COUNTBLANK(B915:J915)&lt;&gt;COLUMNS(B915:J915),914,"")</f>
        <v>0</v>
      </c>
      <c r="C915" s="1">
        <f>IF(B915="", "", "UBERON:genitourinary")</f>
        <v>0</v>
      </c>
      <c r="D915" s="1">
        <f>IF(B915="", "", "UBERON:urine")</f>
        <v>0</v>
      </c>
      <c r="E915" s="1">
        <f>IF(B915="", "", "UBERON:kidney")</f>
        <v>0</v>
      </c>
      <c r="F915" s="1">
        <f>IF(B915="", "", "animal corpus")</f>
        <v>0</v>
      </c>
      <c r="G915" s="1">
        <f>IF(B915="", "", "urine")</f>
        <v>0</v>
      </c>
      <c r="H915" s="1">
        <f>IF(B915="", "", "urine")</f>
        <v>0</v>
      </c>
      <c r="I915" s="1">
        <f>IF(B915="", "", "urine metagenome")</f>
        <v>0</v>
      </c>
      <c r="J915" s="1">
        <f>IF(B915="", "", "1346744")</f>
        <v>0</v>
      </c>
    </row>
    <row r="916" spans="1:10">
      <c r="A916">
        <f>IF(COUNTBLANK(B916:J916)&lt;&gt;COLUMNS(B916:J916),915,"")</f>
        <v>0</v>
      </c>
      <c r="C916" s="1">
        <f>IF(B916="", "", "UBERON:genitourinary")</f>
        <v>0</v>
      </c>
      <c r="D916" s="1">
        <f>IF(B916="", "", "UBERON:urine")</f>
        <v>0</v>
      </c>
      <c r="E916" s="1">
        <f>IF(B916="", "", "UBERON:kidney")</f>
        <v>0</v>
      </c>
      <c r="F916" s="1">
        <f>IF(B916="", "", "animal corpus")</f>
        <v>0</v>
      </c>
      <c r="G916" s="1">
        <f>IF(B916="", "", "urine")</f>
        <v>0</v>
      </c>
      <c r="H916" s="1">
        <f>IF(B916="", "", "urine")</f>
        <v>0</v>
      </c>
      <c r="I916" s="1">
        <f>IF(B916="", "", "urine metagenome")</f>
        <v>0</v>
      </c>
      <c r="J916" s="1">
        <f>IF(B916="", "", "1346744")</f>
        <v>0</v>
      </c>
    </row>
    <row r="917" spans="1:10">
      <c r="A917">
        <f>IF(COUNTBLANK(B917:J917)&lt;&gt;COLUMNS(B917:J917),916,"")</f>
        <v>0</v>
      </c>
      <c r="C917" s="1">
        <f>IF(B917="", "", "UBERON:genitourinary")</f>
        <v>0</v>
      </c>
      <c r="D917" s="1">
        <f>IF(B917="", "", "UBERON:urine")</f>
        <v>0</v>
      </c>
      <c r="E917" s="1">
        <f>IF(B917="", "", "UBERON:kidney")</f>
        <v>0</v>
      </c>
      <c r="F917" s="1">
        <f>IF(B917="", "", "animal corpus")</f>
        <v>0</v>
      </c>
      <c r="G917" s="1">
        <f>IF(B917="", "", "urine")</f>
        <v>0</v>
      </c>
      <c r="H917" s="1">
        <f>IF(B917="", "", "urine")</f>
        <v>0</v>
      </c>
      <c r="I917" s="1">
        <f>IF(B917="", "", "urine metagenome")</f>
        <v>0</v>
      </c>
      <c r="J917" s="1">
        <f>IF(B917="", "", "1346744")</f>
        <v>0</v>
      </c>
    </row>
    <row r="918" spans="1:10">
      <c r="A918">
        <f>IF(COUNTBLANK(B918:J918)&lt;&gt;COLUMNS(B918:J918),917,"")</f>
        <v>0</v>
      </c>
      <c r="C918" s="1">
        <f>IF(B918="", "", "UBERON:genitourinary")</f>
        <v>0</v>
      </c>
      <c r="D918" s="1">
        <f>IF(B918="", "", "UBERON:urine")</f>
        <v>0</v>
      </c>
      <c r="E918" s="1">
        <f>IF(B918="", "", "UBERON:kidney")</f>
        <v>0</v>
      </c>
      <c r="F918" s="1">
        <f>IF(B918="", "", "animal corpus")</f>
        <v>0</v>
      </c>
      <c r="G918" s="1">
        <f>IF(B918="", "", "urine")</f>
        <v>0</v>
      </c>
      <c r="H918" s="1">
        <f>IF(B918="", "", "urine")</f>
        <v>0</v>
      </c>
      <c r="I918" s="1">
        <f>IF(B918="", "", "urine metagenome")</f>
        <v>0</v>
      </c>
      <c r="J918" s="1">
        <f>IF(B918="", "", "1346744")</f>
        <v>0</v>
      </c>
    </row>
    <row r="919" spans="1:10">
      <c r="A919">
        <f>IF(COUNTBLANK(B919:J919)&lt;&gt;COLUMNS(B919:J919),918,"")</f>
        <v>0</v>
      </c>
      <c r="C919" s="1">
        <f>IF(B919="", "", "UBERON:genitourinary")</f>
        <v>0</v>
      </c>
      <c r="D919" s="1">
        <f>IF(B919="", "", "UBERON:urine")</f>
        <v>0</v>
      </c>
      <c r="E919" s="1">
        <f>IF(B919="", "", "UBERON:kidney")</f>
        <v>0</v>
      </c>
      <c r="F919" s="1">
        <f>IF(B919="", "", "animal corpus")</f>
        <v>0</v>
      </c>
      <c r="G919" s="1">
        <f>IF(B919="", "", "urine")</f>
        <v>0</v>
      </c>
      <c r="H919" s="1">
        <f>IF(B919="", "", "urine")</f>
        <v>0</v>
      </c>
      <c r="I919" s="1">
        <f>IF(B919="", "", "urine metagenome")</f>
        <v>0</v>
      </c>
      <c r="J919" s="1">
        <f>IF(B919="", "", "1346744")</f>
        <v>0</v>
      </c>
    </row>
    <row r="920" spans="1:10">
      <c r="A920">
        <f>IF(COUNTBLANK(B920:J920)&lt;&gt;COLUMNS(B920:J920),919,"")</f>
        <v>0</v>
      </c>
      <c r="C920" s="1">
        <f>IF(B920="", "", "UBERON:genitourinary")</f>
        <v>0</v>
      </c>
      <c r="D920" s="1">
        <f>IF(B920="", "", "UBERON:urine")</f>
        <v>0</v>
      </c>
      <c r="E920" s="1">
        <f>IF(B920="", "", "UBERON:kidney")</f>
        <v>0</v>
      </c>
      <c r="F920" s="1">
        <f>IF(B920="", "", "animal corpus")</f>
        <v>0</v>
      </c>
      <c r="G920" s="1">
        <f>IF(B920="", "", "urine")</f>
        <v>0</v>
      </c>
      <c r="H920" s="1">
        <f>IF(B920="", "", "urine")</f>
        <v>0</v>
      </c>
      <c r="I920" s="1">
        <f>IF(B920="", "", "urine metagenome")</f>
        <v>0</v>
      </c>
      <c r="J920" s="1">
        <f>IF(B920="", "", "1346744")</f>
        <v>0</v>
      </c>
    </row>
    <row r="921" spans="1:10">
      <c r="A921">
        <f>IF(COUNTBLANK(B921:J921)&lt;&gt;COLUMNS(B921:J921),920,"")</f>
        <v>0</v>
      </c>
      <c r="C921" s="1">
        <f>IF(B921="", "", "UBERON:genitourinary")</f>
        <v>0</v>
      </c>
      <c r="D921" s="1">
        <f>IF(B921="", "", "UBERON:urine")</f>
        <v>0</v>
      </c>
      <c r="E921" s="1">
        <f>IF(B921="", "", "UBERON:kidney")</f>
        <v>0</v>
      </c>
      <c r="F921" s="1">
        <f>IF(B921="", "", "animal corpus")</f>
        <v>0</v>
      </c>
      <c r="G921" s="1">
        <f>IF(B921="", "", "urine")</f>
        <v>0</v>
      </c>
      <c r="H921" s="1">
        <f>IF(B921="", "", "urine")</f>
        <v>0</v>
      </c>
      <c r="I921" s="1">
        <f>IF(B921="", "", "urine metagenome")</f>
        <v>0</v>
      </c>
      <c r="J921" s="1">
        <f>IF(B921="", "", "1346744")</f>
        <v>0</v>
      </c>
    </row>
    <row r="922" spans="1:10">
      <c r="A922">
        <f>IF(COUNTBLANK(B922:J922)&lt;&gt;COLUMNS(B922:J922),921,"")</f>
        <v>0</v>
      </c>
      <c r="C922" s="1">
        <f>IF(B922="", "", "UBERON:genitourinary")</f>
        <v>0</v>
      </c>
      <c r="D922" s="1">
        <f>IF(B922="", "", "UBERON:urine")</f>
        <v>0</v>
      </c>
      <c r="E922" s="1">
        <f>IF(B922="", "", "UBERON:kidney")</f>
        <v>0</v>
      </c>
      <c r="F922" s="1">
        <f>IF(B922="", "", "animal corpus")</f>
        <v>0</v>
      </c>
      <c r="G922" s="1">
        <f>IF(B922="", "", "urine")</f>
        <v>0</v>
      </c>
      <c r="H922" s="1">
        <f>IF(B922="", "", "urine")</f>
        <v>0</v>
      </c>
      <c r="I922" s="1">
        <f>IF(B922="", "", "urine metagenome")</f>
        <v>0</v>
      </c>
      <c r="J922" s="1">
        <f>IF(B922="", "", "1346744")</f>
        <v>0</v>
      </c>
    </row>
    <row r="923" spans="1:10">
      <c r="A923">
        <f>IF(COUNTBLANK(B923:J923)&lt;&gt;COLUMNS(B923:J923),922,"")</f>
        <v>0</v>
      </c>
      <c r="C923" s="1">
        <f>IF(B923="", "", "UBERON:genitourinary")</f>
        <v>0</v>
      </c>
      <c r="D923" s="1">
        <f>IF(B923="", "", "UBERON:urine")</f>
        <v>0</v>
      </c>
      <c r="E923" s="1">
        <f>IF(B923="", "", "UBERON:kidney")</f>
        <v>0</v>
      </c>
      <c r="F923" s="1">
        <f>IF(B923="", "", "animal corpus")</f>
        <v>0</v>
      </c>
      <c r="G923" s="1">
        <f>IF(B923="", "", "urine")</f>
        <v>0</v>
      </c>
      <c r="H923" s="1">
        <f>IF(B923="", "", "urine")</f>
        <v>0</v>
      </c>
      <c r="I923" s="1">
        <f>IF(B923="", "", "urine metagenome")</f>
        <v>0</v>
      </c>
      <c r="J923" s="1">
        <f>IF(B923="", "", "1346744")</f>
        <v>0</v>
      </c>
    </row>
    <row r="924" spans="1:10">
      <c r="A924">
        <f>IF(COUNTBLANK(B924:J924)&lt;&gt;COLUMNS(B924:J924),923,"")</f>
        <v>0</v>
      </c>
      <c r="C924" s="1">
        <f>IF(B924="", "", "UBERON:genitourinary")</f>
        <v>0</v>
      </c>
      <c r="D924" s="1">
        <f>IF(B924="", "", "UBERON:urine")</f>
        <v>0</v>
      </c>
      <c r="E924" s="1">
        <f>IF(B924="", "", "UBERON:kidney")</f>
        <v>0</v>
      </c>
      <c r="F924" s="1">
        <f>IF(B924="", "", "animal corpus")</f>
        <v>0</v>
      </c>
      <c r="G924" s="1">
        <f>IF(B924="", "", "urine")</f>
        <v>0</v>
      </c>
      <c r="H924" s="1">
        <f>IF(B924="", "", "urine")</f>
        <v>0</v>
      </c>
      <c r="I924" s="1">
        <f>IF(B924="", "", "urine metagenome")</f>
        <v>0</v>
      </c>
      <c r="J924" s="1">
        <f>IF(B924="", "", "1346744")</f>
        <v>0</v>
      </c>
    </row>
    <row r="925" spans="1:10">
      <c r="A925">
        <f>IF(COUNTBLANK(B925:J925)&lt;&gt;COLUMNS(B925:J925),924,"")</f>
        <v>0</v>
      </c>
      <c r="C925" s="1">
        <f>IF(B925="", "", "UBERON:genitourinary")</f>
        <v>0</v>
      </c>
      <c r="D925" s="1">
        <f>IF(B925="", "", "UBERON:urine")</f>
        <v>0</v>
      </c>
      <c r="E925" s="1">
        <f>IF(B925="", "", "UBERON:kidney")</f>
        <v>0</v>
      </c>
      <c r="F925" s="1">
        <f>IF(B925="", "", "animal corpus")</f>
        <v>0</v>
      </c>
      <c r="G925" s="1">
        <f>IF(B925="", "", "urine")</f>
        <v>0</v>
      </c>
      <c r="H925" s="1">
        <f>IF(B925="", "", "urine")</f>
        <v>0</v>
      </c>
      <c r="I925" s="1">
        <f>IF(B925="", "", "urine metagenome")</f>
        <v>0</v>
      </c>
      <c r="J925" s="1">
        <f>IF(B925="", "", "1346744")</f>
        <v>0</v>
      </c>
    </row>
    <row r="926" spans="1:10">
      <c r="A926">
        <f>IF(COUNTBLANK(B926:J926)&lt;&gt;COLUMNS(B926:J926),925,"")</f>
        <v>0</v>
      </c>
      <c r="C926" s="1">
        <f>IF(B926="", "", "UBERON:genitourinary")</f>
        <v>0</v>
      </c>
      <c r="D926" s="1">
        <f>IF(B926="", "", "UBERON:urine")</f>
        <v>0</v>
      </c>
      <c r="E926" s="1">
        <f>IF(B926="", "", "UBERON:kidney")</f>
        <v>0</v>
      </c>
      <c r="F926" s="1">
        <f>IF(B926="", "", "animal corpus")</f>
        <v>0</v>
      </c>
      <c r="G926" s="1">
        <f>IF(B926="", "", "urine")</f>
        <v>0</v>
      </c>
      <c r="H926" s="1">
        <f>IF(B926="", "", "urine")</f>
        <v>0</v>
      </c>
      <c r="I926" s="1">
        <f>IF(B926="", "", "urine metagenome")</f>
        <v>0</v>
      </c>
      <c r="J926" s="1">
        <f>IF(B926="", "", "1346744")</f>
        <v>0</v>
      </c>
    </row>
    <row r="927" spans="1:10">
      <c r="A927">
        <f>IF(COUNTBLANK(B927:J927)&lt;&gt;COLUMNS(B927:J927),926,"")</f>
        <v>0</v>
      </c>
      <c r="C927" s="1">
        <f>IF(B927="", "", "UBERON:genitourinary")</f>
        <v>0</v>
      </c>
      <c r="D927" s="1">
        <f>IF(B927="", "", "UBERON:urine")</f>
        <v>0</v>
      </c>
      <c r="E927" s="1">
        <f>IF(B927="", "", "UBERON:kidney")</f>
        <v>0</v>
      </c>
      <c r="F927" s="1">
        <f>IF(B927="", "", "animal corpus")</f>
        <v>0</v>
      </c>
      <c r="G927" s="1">
        <f>IF(B927="", "", "urine")</f>
        <v>0</v>
      </c>
      <c r="H927" s="1">
        <f>IF(B927="", "", "urine")</f>
        <v>0</v>
      </c>
      <c r="I927" s="1">
        <f>IF(B927="", "", "urine metagenome")</f>
        <v>0</v>
      </c>
      <c r="J927" s="1">
        <f>IF(B927="", "", "1346744")</f>
        <v>0</v>
      </c>
    </row>
    <row r="928" spans="1:10">
      <c r="A928">
        <f>IF(COUNTBLANK(B928:J928)&lt;&gt;COLUMNS(B928:J928),927,"")</f>
        <v>0</v>
      </c>
      <c r="C928" s="1">
        <f>IF(B928="", "", "UBERON:genitourinary")</f>
        <v>0</v>
      </c>
      <c r="D928" s="1">
        <f>IF(B928="", "", "UBERON:urine")</f>
        <v>0</v>
      </c>
      <c r="E928" s="1">
        <f>IF(B928="", "", "UBERON:kidney")</f>
        <v>0</v>
      </c>
      <c r="F928" s="1">
        <f>IF(B928="", "", "animal corpus")</f>
        <v>0</v>
      </c>
      <c r="G928" s="1">
        <f>IF(B928="", "", "urine")</f>
        <v>0</v>
      </c>
      <c r="H928" s="1">
        <f>IF(B928="", "", "urine")</f>
        <v>0</v>
      </c>
      <c r="I928" s="1">
        <f>IF(B928="", "", "urine metagenome")</f>
        <v>0</v>
      </c>
      <c r="J928" s="1">
        <f>IF(B928="", "", "1346744")</f>
        <v>0</v>
      </c>
    </row>
    <row r="929" spans="1:10">
      <c r="A929">
        <f>IF(COUNTBLANK(B929:J929)&lt;&gt;COLUMNS(B929:J929),928,"")</f>
        <v>0</v>
      </c>
      <c r="C929" s="1">
        <f>IF(B929="", "", "UBERON:genitourinary")</f>
        <v>0</v>
      </c>
      <c r="D929" s="1">
        <f>IF(B929="", "", "UBERON:urine")</f>
        <v>0</v>
      </c>
      <c r="E929" s="1">
        <f>IF(B929="", "", "UBERON:kidney")</f>
        <v>0</v>
      </c>
      <c r="F929" s="1">
        <f>IF(B929="", "", "animal corpus")</f>
        <v>0</v>
      </c>
      <c r="G929" s="1">
        <f>IF(B929="", "", "urine")</f>
        <v>0</v>
      </c>
      <c r="H929" s="1">
        <f>IF(B929="", "", "urine")</f>
        <v>0</v>
      </c>
      <c r="I929" s="1">
        <f>IF(B929="", "", "urine metagenome")</f>
        <v>0</v>
      </c>
      <c r="J929" s="1">
        <f>IF(B929="", "", "1346744")</f>
        <v>0</v>
      </c>
    </row>
    <row r="930" spans="1:10">
      <c r="A930">
        <f>IF(COUNTBLANK(B930:J930)&lt;&gt;COLUMNS(B930:J930),929,"")</f>
        <v>0</v>
      </c>
      <c r="C930" s="1">
        <f>IF(B930="", "", "UBERON:genitourinary")</f>
        <v>0</v>
      </c>
      <c r="D930" s="1">
        <f>IF(B930="", "", "UBERON:urine")</f>
        <v>0</v>
      </c>
      <c r="E930" s="1">
        <f>IF(B930="", "", "UBERON:kidney")</f>
        <v>0</v>
      </c>
      <c r="F930" s="1">
        <f>IF(B930="", "", "animal corpus")</f>
        <v>0</v>
      </c>
      <c r="G930" s="1">
        <f>IF(B930="", "", "urine")</f>
        <v>0</v>
      </c>
      <c r="H930" s="1">
        <f>IF(B930="", "", "urine")</f>
        <v>0</v>
      </c>
      <c r="I930" s="1">
        <f>IF(B930="", "", "urine metagenome")</f>
        <v>0</v>
      </c>
      <c r="J930" s="1">
        <f>IF(B930="", "", "1346744")</f>
        <v>0</v>
      </c>
    </row>
    <row r="931" spans="1:10">
      <c r="A931">
        <f>IF(COUNTBLANK(B931:J931)&lt;&gt;COLUMNS(B931:J931),930,"")</f>
        <v>0</v>
      </c>
      <c r="C931" s="1">
        <f>IF(B931="", "", "UBERON:genitourinary")</f>
        <v>0</v>
      </c>
      <c r="D931" s="1">
        <f>IF(B931="", "", "UBERON:urine")</f>
        <v>0</v>
      </c>
      <c r="E931" s="1">
        <f>IF(B931="", "", "UBERON:kidney")</f>
        <v>0</v>
      </c>
      <c r="F931" s="1">
        <f>IF(B931="", "", "animal corpus")</f>
        <v>0</v>
      </c>
      <c r="G931" s="1">
        <f>IF(B931="", "", "urine")</f>
        <v>0</v>
      </c>
      <c r="H931" s="1">
        <f>IF(B931="", "", "urine")</f>
        <v>0</v>
      </c>
      <c r="I931" s="1">
        <f>IF(B931="", "", "urine metagenome")</f>
        <v>0</v>
      </c>
      <c r="J931" s="1">
        <f>IF(B931="", "", "1346744")</f>
        <v>0</v>
      </c>
    </row>
    <row r="932" spans="1:10">
      <c r="A932">
        <f>IF(COUNTBLANK(B932:J932)&lt;&gt;COLUMNS(B932:J932),931,"")</f>
        <v>0</v>
      </c>
      <c r="C932" s="1">
        <f>IF(B932="", "", "UBERON:genitourinary")</f>
        <v>0</v>
      </c>
      <c r="D932" s="1">
        <f>IF(B932="", "", "UBERON:urine")</f>
        <v>0</v>
      </c>
      <c r="E932" s="1">
        <f>IF(B932="", "", "UBERON:kidney")</f>
        <v>0</v>
      </c>
      <c r="F932" s="1">
        <f>IF(B932="", "", "animal corpus")</f>
        <v>0</v>
      </c>
      <c r="G932" s="1">
        <f>IF(B932="", "", "urine")</f>
        <v>0</v>
      </c>
      <c r="H932" s="1">
        <f>IF(B932="", "", "urine")</f>
        <v>0</v>
      </c>
      <c r="I932" s="1">
        <f>IF(B932="", "", "urine metagenome")</f>
        <v>0</v>
      </c>
      <c r="J932" s="1">
        <f>IF(B932="", "", "1346744")</f>
        <v>0</v>
      </c>
    </row>
    <row r="933" spans="1:10">
      <c r="A933">
        <f>IF(COUNTBLANK(B933:J933)&lt;&gt;COLUMNS(B933:J933),932,"")</f>
        <v>0</v>
      </c>
      <c r="C933" s="1">
        <f>IF(B933="", "", "UBERON:genitourinary")</f>
        <v>0</v>
      </c>
      <c r="D933" s="1">
        <f>IF(B933="", "", "UBERON:urine")</f>
        <v>0</v>
      </c>
      <c r="E933" s="1">
        <f>IF(B933="", "", "UBERON:kidney")</f>
        <v>0</v>
      </c>
      <c r="F933" s="1">
        <f>IF(B933="", "", "animal corpus")</f>
        <v>0</v>
      </c>
      <c r="G933" s="1">
        <f>IF(B933="", "", "urine")</f>
        <v>0</v>
      </c>
      <c r="H933" s="1">
        <f>IF(B933="", "", "urine")</f>
        <v>0</v>
      </c>
      <c r="I933" s="1">
        <f>IF(B933="", "", "urine metagenome")</f>
        <v>0</v>
      </c>
      <c r="J933" s="1">
        <f>IF(B933="", "", "1346744")</f>
        <v>0</v>
      </c>
    </row>
    <row r="934" spans="1:10">
      <c r="A934">
        <f>IF(COUNTBLANK(B934:J934)&lt;&gt;COLUMNS(B934:J934),933,"")</f>
        <v>0</v>
      </c>
      <c r="C934" s="1">
        <f>IF(B934="", "", "UBERON:genitourinary")</f>
        <v>0</v>
      </c>
      <c r="D934" s="1">
        <f>IF(B934="", "", "UBERON:urine")</f>
        <v>0</v>
      </c>
      <c r="E934" s="1">
        <f>IF(B934="", "", "UBERON:kidney")</f>
        <v>0</v>
      </c>
      <c r="F934" s="1">
        <f>IF(B934="", "", "animal corpus")</f>
        <v>0</v>
      </c>
      <c r="G934" s="1">
        <f>IF(B934="", "", "urine")</f>
        <v>0</v>
      </c>
      <c r="H934" s="1">
        <f>IF(B934="", "", "urine")</f>
        <v>0</v>
      </c>
      <c r="I934" s="1">
        <f>IF(B934="", "", "urine metagenome")</f>
        <v>0</v>
      </c>
      <c r="J934" s="1">
        <f>IF(B934="", "", "1346744")</f>
        <v>0</v>
      </c>
    </row>
    <row r="935" spans="1:10">
      <c r="A935">
        <f>IF(COUNTBLANK(B935:J935)&lt;&gt;COLUMNS(B935:J935),934,"")</f>
        <v>0</v>
      </c>
      <c r="C935" s="1">
        <f>IF(B935="", "", "UBERON:genitourinary")</f>
        <v>0</v>
      </c>
      <c r="D935" s="1">
        <f>IF(B935="", "", "UBERON:urine")</f>
        <v>0</v>
      </c>
      <c r="E935" s="1">
        <f>IF(B935="", "", "UBERON:kidney")</f>
        <v>0</v>
      </c>
      <c r="F935" s="1">
        <f>IF(B935="", "", "animal corpus")</f>
        <v>0</v>
      </c>
      <c r="G935" s="1">
        <f>IF(B935="", "", "urine")</f>
        <v>0</v>
      </c>
      <c r="H935" s="1">
        <f>IF(B935="", "", "urine")</f>
        <v>0</v>
      </c>
      <c r="I935" s="1">
        <f>IF(B935="", "", "urine metagenome")</f>
        <v>0</v>
      </c>
      <c r="J935" s="1">
        <f>IF(B935="", "", "1346744")</f>
        <v>0</v>
      </c>
    </row>
    <row r="936" spans="1:10">
      <c r="A936">
        <f>IF(COUNTBLANK(B936:J936)&lt;&gt;COLUMNS(B936:J936),935,"")</f>
        <v>0</v>
      </c>
      <c r="C936" s="1">
        <f>IF(B936="", "", "UBERON:genitourinary")</f>
        <v>0</v>
      </c>
      <c r="D936" s="1">
        <f>IF(B936="", "", "UBERON:urine")</f>
        <v>0</v>
      </c>
      <c r="E936" s="1">
        <f>IF(B936="", "", "UBERON:kidney")</f>
        <v>0</v>
      </c>
      <c r="F936" s="1">
        <f>IF(B936="", "", "animal corpus")</f>
        <v>0</v>
      </c>
      <c r="G936" s="1">
        <f>IF(B936="", "", "urine")</f>
        <v>0</v>
      </c>
      <c r="H936" s="1">
        <f>IF(B936="", "", "urine")</f>
        <v>0</v>
      </c>
      <c r="I936" s="1">
        <f>IF(B936="", "", "urine metagenome")</f>
        <v>0</v>
      </c>
      <c r="J936" s="1">
        <f>IF(B936="", "", "1346744")</f>
        <v>0</v>
      </c>
    </row>
    <row r="937" spans="1:10">
      <c r="A937">
        <f>IF(COUNTBLANK(B937:J937)&lt;&gt;COLUMNS(B937:J937),936,"")</f>
        <v>0</v>
      </c>
      <c r="C937" s="1">
        <f>IF(B937="", "", "UBERON:genitourinary")</f>
        <v>0</v>
      </c>
      <c r="D937" s="1">
        <f>IF(B937="", "", "UBERON:urine")</f>
        <v>0</v>
      </c>
      <c r="E937" s="1">
        <f>IF(B937="", "", "UBERON:kidney")</f>
        <v>0</v>
      </c>
      <c r="F937" s="1">
        <f>IF(B937="", "", "animal corpus")</f>
        <v>0</v>
      </c>
      <c r="G937" s="1">
        <f>IF(B937="", "", "urine")</f>
        <v>0</v>
      </c>
      <c r="H937" s="1">
        <f>IF(B937="", "", "urine")</f>
        <v>0</v>
      </c>
      <c r="I937" s="1">
        <f>IF(B937="", "", "urine metagenome")</f>
        <v>0</v>
      </c>
      <c r="J937" s="1">
        <f>IF(B937="", "", "1346744")</f>
        <v>0</v>
      </c>
    </row>
    <row r="938" spans="1:10">
      <c r="A938">
        <f>IF(COUNTBLANK(B938:J938)&lt;&gt;COLUMNS(B938:J938),937,"")</f>
        <v>0</v>
      </c>
      <c r="C938" s="1">
        <f>IF(B938="", "", "UBERON:genitourinary")</f>
        <v>0</v>
      </c>
      <c r="D938" s="1">
        <f>IF(B938="", "", "UBERON:urine")</f>
        <v>0</v>
      </c>
      <c r="E938" s="1">
        <f>IF(B938="", "", "UBERON:kidney")</f>
        <v>0</v>
      </c>
      <c r="F938" s="1">
        <f>IF(B938="", "", "animal corpus")</f>
        <v>0</v>
      </c>
      <c r="G938" s="1">
        <f>IF(B938="", "", "urine")</f>
        <v>0</v>
      </c>
      <c r="H938" s="1">
        <f>IF(B938="", "", "urine")</f>
        <v>0</v>
      </c>
      <c r="I938" s="1">
        <f>IF(B938="", "", "urine metagenome")</f>
        <v>0</v>
      </c>
      <c r="J938" s="1">
        <f>IF(B938="", "", "1346744")</f>
        <v>0</v>
      </c>
    </row>
    <row r="939" spans="1:10">
      <c r="A939">
        <f>IF(COUNTBLANK(B939:J939)&lt;&gt;COLUMNS(B939:J939),938,"")</f>
        <v>0</v>
      </c>
      <c r="C939" s="1">
        <f>IF(B939="", "", "UBERON:genitourinary")</f>
        <v>0</v>
      </c>
      <c r="D939" s="1">
        <f>IF(B939="", "", "UBERON:urine")</f>
        <v>0</v>
      </c>
      <c r="E939" s="1">
        <f>IF(B939="", "", "UBERON:kidney")</f>
        <v>0</v>
      </c>
      <c r="F939" s="1">
        <f>IF(B939="", "", "animal corpus")</f>
        <v>0</v>
      </c>
      <c r="G939" s="1">
        <f>IF(B939="", "", "urine")</f>
        <v>0</v>
      </c>
      <c r="H939" s="1">
        <f>IF(B939="", "", "urine")</f>
        <v>0</v>
      </c>
      <c r="I939" s="1">
        <f>IF(B939="", "", "urine metagenome")</f>
        <v>0</v>
      </c>
      <c r="J939" s="1">
        <f>IF(B939="", "", "1346744")</f>
        <v>0</v>
      </c>
    </row>
    <row r="940" spans="1:10">
      <c r="A940">
        <f>IF(COUNTBLANK(B940:J940)&lt;&gt;COLUMNS(B940:J940),939,"")</f>
        <v>0</v>
      </c>
      <c r="C940" s="1">
        <f>IF(B940="", "", "UBERON:genitourinary")</f>
        <v>0</v>
      </c>
      <c r="D940" s="1">
        <f>IF(B940="", "", "UBERON:urine")</f>
        <v>0</v>
      </c>
      <c r="E940" s="1">
        <f>IF(B940="", "", "UBERON:kidney")</f>
        <v>0</v>
      </c>
      <c r="F940" s="1">
        <f>IF(B940="", "", "animal corpus")</f>
        <v>0</v>
      </c>
      <c r="G940" s="1">
        <f>IF(B940="", "", "urine")</f>
        <v>0</v>
      </c>
      <c r="H940" s="1">
        <f>IF(B940="", "", "urine")</f>
        <v>0</v>
      </c>
      <c r="I940" s="1">
        <f>IF(B940="", "", "urine metagenome")</f>
        <v>0</v>
      </c>
      <c r="J940" s="1">
        <f>IF(B940="", "", "1346744")</f>
        <v>0</v>
      </c>
    </row>
    <row r="941" spans="1:10">
      <c r="A941">
        <f>IF(COUNTBLANK(B941:J941)&lt;&gt;COLUMNS(B941:J941),940,"")</f>
        <v>0</v>
      </c>
      <c r="C941" s="1">
        <f>IF(B941="", "", "UBERON:genitourinary")</f>
        <v>0</v>
      </c>
      <c r="D941" s="1">
        <f>IF(B941="", "", "UBERON:urine")</f>
        <v>0</v>
      </c>
      <c r="E941" s="1">
        <f>IF(B941="", "", "UBERON:kidney")</f>
        <v>0</v>
      </c>
      <c r="F941" s="1">
        <f>IF(B941="", "", "animal corpus")</f>
        <v>0</v>
      </c>
      <c r="G941" s="1">
        <f>IF(B941="", "", "urine")</f>
        <v>0</v>
      </c>
      <c r="H941" s="1">
        <f>IF(B941="", "", "urine")</f>
        <v>0</v>
      </c>
      <c r="I941" s="1">
        <f>IF(B941="", "", "urine metagenome")</f>
        <v>0</v>
      </c>
      <c r="J941" s="1">
        <f>IF(B941="", "", "1346744")</f>
        <v>0</v>
      </c>
    </row>
    <row r="942" spans="1:10">
      <c r="A942">
        <f>IF(COUNTBLANK(B942:J942)&lt;&gt;COLUMNS(B942:J942),941,"")</f>
        <v>0</v>
      </c>
      <c r="C942" s="1">
        <f>IF(B942="", "", "UBERON:genitourinary")</f>
        <v>0</v>
      </c>
      <c r="D942" s="1">
        <f>IF(B942="", "", "UBERON:urine")</f>
        <v>0</v>
      </c>
      <c r="E942" s="1">
        <f>IF(B942="", "", "UBERON:kidney")</f>
        <v>0</v>
      </c>
      <c r="F942" s="1">
        <f>IF(B942="", "", "animal corpus")</f>
        <v>0</v>
      </c>
      <c r="G942" s="1">
        <f>IF(B942="", "", "urine")</f>
        <v>0</v>
      </c>
      <c r="H942" s="1">
        <f>IF(B942="", "", "urine")</f>
        <v>0</v>
      </c>
      <c r="I942" s="1">
        <f>IF(B942="", "", "urine metagenome")</f>
        <v>0</v>
      </c>
      <c r="J942" s="1">
        <f>IF(B942="", "", "1346744")</f>
        <v>0</v>
      </c>
    </row>
    <row r="943" spans="1:10">
      <c r="A943">
        <f>IF(COUNTBLANK(B943:J943)&lt;&gt;COLUMNS(B943:J943),942,"")</f>
        <v>0</v>
      </c>
      <c r="C943" s="1">
        <f>IF(B943="", "", "UBERON:genitourinary")</f>
        <v>0</v>
      </c>
      <c r="D943" s="1">
        <f>IF(B943="", "", "UBERON:urine")</f>
        <v>0</v>
      </c>
      <c r="E943" s="1">
        <f>IF(B943="", "", "UBERON:kidney")</f>
        <v>0</v>
      </c>
      <c r="F943" s="1">
        <f>IF(B943="", "", "animal corpus")</f>
        <v>0</v>
      </c>
      <c r="G943" s="1">
        <f>IF(B943="", "", "urine")</f>
        <v>0</v>
      </c>
      <c r="H943" s="1">
        <f>IF(B943="", "", "urine")</f>
        <v>0</v>
      </c>
      <c r="I943" s="1">
        <f>IF(B943="", "", "urine metagenome")</f>
        <v>0</v>
      </c>
      <c r="J943" s="1">
        <f>IF(B943="", "", "1346744")</f>
        <v>0</v>
      </c>
    </row>
    <row r="944" spans="1:10">
      <c r="A944">
        <f>IF(COUNTBLANK(B944:J944)&lt;&gt;COLUMNS(B944:J944),943,"")</f>
        <v>0</v>
      </c>
      <c r="C944" s="1">
        <f>IF(B944="", "", "UBERON:genitourinary")</f>
        <v>0</v>
      </c>
      <c r="D944" s="1">
        <f>IF(B944="", "", "UBERON:urine")</f>
        <v>0</v>
      </c>
      <c r="E944" s="1">
        <f>IF(B944="", "", "UBERON:kidney")</f>
        <v>0</v>
      </c>
      <c r="F944" s="1">
        <f>IF(B944="", "", "animal corpus")</f>
        <v>0</v>
      </c>
      <c r="G944" s="1">
        <f>IF(B944="", "", "urine")</f>
        <v>0</v>
      </c>
      <c r="H944" s="1">
        <f>IF(B944="", "", "urine")</f>
        <v>0</v>
      </c>
      <c r="I944" s="1">
        <f>IF(B944="", "", "urine metagenome")</f>
        <v>0</v>
      </c>
      <c r="J944" s="1">
        <f>IF(B944="", "", "1346744")</f>
        <v>0</v>
      </c>
    </row>
    <row r="945" spans="1:10">
      <c r="A945">
        <f>IF(COUNTBLANK(B945:J945)&lt;&gt;COLUMNS(B945:J945),944,"")</f>
        <v>0</v>
      </c>
      <c r="C945" s="1">
        <f>IF(B945="", "", "UBERON:genitourinary")</f>
        <v>0</v>
      </c>
      <c r="D945" s="1">
        <f>IF(B945="", "", "UBERON:urine")</f>
        <v>0</v>
      </c>
      <c r="E945" s="1">
        <f>IF(B945="", "", "UBERON:kidney")</f>
        <v>0</v>
      </c>
      <c r="F945" s="1">
        <f>IF(B945="", "", "animal corpus")</f>
        <v>0</v>
      </c>
      <c r="G945" s="1">
        <f>IF(B945="", "", "urine")</f>
        <v>0</v>
      </c>
      <c r="H945" s="1">
        <f>IF(B945="", "", "urine")</f>
        <v>0</v>
      </c>
      <c r="I945" s="1">
        <f>IF(B945="", "", "urine metagenome")</f>
        <v>0</v>
      </c>
      <c r="J945" s="1">
        <f>IF(B945="", "", "1346744")</f>
        <v>0</v>
      </c>
    </row>
    <row r="946" spans="1:10">
      <c r="A946">
        <f>IF(COUNTBLANK(B946:J946)&lt;&gt;COLUMNS(B946:J946),945,"")</f>
        <v>0</v>
      </c>
      <c r="C946" s="1">
        <f>IF(B946="", "", "UBERON:genitourinary")</f>
        <v>0</v>
      </c>
      <c r="D946" s="1">
        <f>IF(B946="", "", "UBERON:urine")</f>
        <v>0</v>
      </c>
      <c r="E946" s="1">
        <f>IF(B946="", "", "UBERON:kidney")</f>
        <v>0</v>
      </c>
      <c r="F946" s="1">
        <f>IF(B946="", "", "animal corpus")</f>
        <v>0</v>
      </c>
      <c r="G946" s="1">
        <f>IF(B946="", "", "urine")</f>
        <v>0</v>
      </c>
      <c r="H946" s="1">
        <f>IF(B946="", "", "urine")</f>
        <v>0</v>
      </c>
      <c r="I946" s="1">
        <f>IF(B946="", "", "urine metagenome")</f>
        <v>0</v>
      </c>
      <c r="J946" s="1">
        <f>IF(B946="", "", "1346744")</f>
        <v>0</v>
      </c>
    </row>
    <row r="947" spans="1:10">
      <c r="A947">
        <f>IF(COUNTBLANK(B947:J947)&lt;&gt;COLUMNS(B947:J947),946,"")</f>
        <v>0</v>
      </c>
      <c r="C947" s="1">
        <f>IF(B947="", "", "UBERON:genitourinary")</f>
        <v>0</v>
      </c>
      <c r="D947" s="1">
        <f>IF(B947="", "", "UBERON:urine")</f>
        <v>0</v>
      </c>
      <c r="E947" s="1">
        <f>IF(B947="", "", "UBERON:kidney")</f>
        <v>0</v>
      </c>
      <c r="F947" s="1">
        <f>IF(B947="", "", "animal corpus")</f>
        <v>0</v>
      </c>
      <c r="G947" s="1">
        <f>IF(B947="", "", "urine")</f>
        <v>0</v>
      </c>
      <c r="H947" s="1">
        <f>IF(B947="", "", "urine")</f>
        <v>0</v>
      </c>
      <c r="I947" s="1">
        <f>IF(B947="", "", "urine metagenome")</f>
        <v>0</v>
      </c>
      <c r="J947" s="1">
        <f>IF(B947="", "", "1346744")</f>
        <v>0</v>
      </c>
    </row>
    <row r="948" spans="1:10">
      <c r="A948">
        <f>IF(COUNTBLANK(B948:J948)&lt;&gt;COLUMNS(B948:J948),947,"")</f>
        <v>0</v>
      </c>
      <c r="C948" s="1">
        <f>IF(B948="", "", "UBERON:genitourinary")</f>
        <v>0</v>
      </c>
      <c r="D948" s="1">
        <f>IF(B948="", "", "UBERON:urine")</f>
        <v>0</v>
      </c>
      <c r="E948" s="1">
        <f>IF(B948="", "", "UBERON:kidney")</f>
        <v>0</v>
      </c>
      <c r="F948" s="1">
        <f>IF(B948="", "", "animal corpus")</f>
        <v>0</v>
      </c>
      <c r="G948" s="1">
        <f>IF(B948="", "", "urine")</f>
        <v>0</v>
      </c>
      <c r="H948" s="1">
        <f>IF(B948="", "", "urine")</f>
        <v>0</v>
      </c>
      <c r="I948" s="1">
        <f>IF(B948="", "", "urine metagenome")</f>
        <v>0</v>
      </c>
      <c r="J948" s="1">
        <f>IF(B948="", "", "1346744")</f>
        <v>0</v>
      </c>
    </row>
    <row r="949" spans="1:10">
      <c r="A949">
        <f>IF(COUNTBLANK(B949:J949)&lt;&gt;COLUMNS(B949:J949),948,"")</f>
        <v>0</v>
      </c>
      <c r="C949" s="1">
        <f>IF(B949="", "", "UBERON:genitourinary")</f>
        <v>0</v>
      </c>
      <c r="D949" s="1">
        <f>IF(B949="", "", "UBERON:urine")</f>
        <v>0</v>
      </c>
      <c r="E949" s="1">
        <f>IF(B949="", "", "UBERON:kidney")</f>
        <v>0</v>
      </c>
      <c r="F949" s="1">
        <f>IF(B949="", "", "animal corpus")</f>
        <v>0</v>
      </c>
      <c r="G949" s="1">
        <f>IF(B949="", "", "urine")</f>
        <v>0</v>
      </c>
      <c r="H949" s="1">
        <f>IF(B949="", "", "urine")</f>
        <v>0</v>
      </c>
      <c r="I949" s="1">
        <f>IF(B949="", "", "urine metagenome")</f>
        <v>0</v>
      </c>
      <c r="J949" s="1">
        <f>IF(B949="", "", "1346744")</f>
        <v>0</v>
      </c>
    </row>
    <row r="950" spans="1:10">
      <c r="A950">
        <f>IF(COUNTBLANK(B950:J950)&lt;&gt;COLUMNS(B950:J950),949,"")</f>
        <v>0</v>
      </c>
      <c r="C950" s="1">
        <f>IF(B950="", "", "UBERON:genitourinary")</f>
        <v>0</v>
      </c>
      <c r="D950" s="1">
        <f>IF(B950="", "", "UBERON:urine")</f>
        <v>0</v>
      </c>
      <c r="E950" s="1">
        <f>IF(B950="", "", "UBERON:kidney")</f>
        <v>0</v>
      </c>
      <c r="F950" s="1">
        <f>IF(B950="", "", "animal corpus")</f>
        <v>0</v>
      </c>
      <c r="G950" s="1">
        <f>IF(B950="", "", "urine")</f>
        <v>0</v>
      </c>
      <c r="H950" s="1">
        <f>IF(B950="", "", "urine")</f>
        <v>0</v>
      </c>
      <c r="I950" s="1">
        <f>IF(B950="", "", "urine metagenome")</f>
        <v>0</v>
      </c>
      <c r="J950" s="1">
        <f>IF(B950="", "", "1346744")</f>
        <v>0</v>
      </c>
    </row>
    <row r="951" spans="1:10">
      <c r="A951">
        <f>IF(COUNTBLANK(B951:J951)&lt;&gt;COLUMNS(B951:J951),950,"")</f>
        <v>0</v>
      </c>
      <c r="C951" s="1">
        <f>IF(B951="", "", "UBERON:genitourinary")</f>
        <v>0</v>
      </c>
      <c r="D951" s="1">
        <f>IF(B951="", "", "UBERON:urine")</f>
        <v>0</v>
      </c>
      <c r="E951" s="1">
        <f>IF(B951="", "", "UBERON:kidney")</f>
        <v>0</v>
      </c>
      <c r="F951" s="1">
        <f>IF(B951="", "", "animal corpus")</f>
        <v>0</v>
      </c>
      <c r="G951" s="1">
        <f>IF(B951="", "", "urine")</f>
        <v>0</v>
      </c>
      <c r="H951" s="1">
        <f>IF(B951="", "", "urine")</f>
        <v>0</v>
      </c>
      <c r="I951" s="1">
        <f>IF(B951="", "", "urine metagenome")</f>
        <v>0</v>
      </c>
      <c r="J951" s="1">
        <f>IF(B951="", "", "1346744")</f>
        <v>0</v>
      </c>
    </row>
    <row r="952" spans="1:10">
      <c r="A952">
        <f>IF(COUNTBLANK(B952:J952)&lt;&gt;COLUMNS(B952:J952),951,"")</f>
        <v>0</v>
      </c>
      <c r="C952" s="1">
        <f>IF(B952="", "", "UBERON:genitourinary")</f>
        <v>0</v>
      </c>
      <c r="D952" s="1">
        <f>IF(B952="", "", "UBERON:urine")</f>
        <v>0</v>
      </c>
      <c r="E952" s="1">
        <f>IF(B952="", "", "UBERON:kidney")</f>
        <v>0</v>
      </c>
      <c r="F952" s="1">
        <f>IF(B952="", "", "animal corpus")</f>
        <v>0</v>
      </c>
      <c r="G952" s="1">
        <f>IF(B952="", "", "urine")</f>
        <v>0</v>
      </c>
      <c r="H952" s="1">
        <f>IF(B952="", "", "urine")</f>
        <v>0</v>
      </c>
      <c r="I952" s="1">
        <f>IF(B952="", "", "urine metagenome")</f>
        <v>0</v>
      </c>
      <c r="J952" s="1">
        <f>IF(B952="", "", "1346744")</f>
        <v>0</v>
      </c>
    </row>
    <row r="953" spans="1:10">
      <c r="A953">
        <f>IF(COUNTBLANK(B953:J953)&lt;&gt;COLUMNS(B953:J953),952,"")</f>
        <v>0</v>
      </c>
      <c r="C953" s="1">
        <f>IF(B953="", "", "UBERON:genitourinary")</f>
        <v>0</v>
      </c>
      <c r="D953" s="1">
        <f>IF(B953="", "", "UBERON:urine")</f>
        <v>0</v>
      </c>
      <c r="E953" s="1">
        <f>IF(B953="", "", "UBERON:kidney")</f>
        <v>0</v>
      </c>
      <c r="F953" s="1">
        <f>IF(B953="", "", "animal corpus")</f>
        <v>0</v>
      </c>
      <c r="G953" s="1">
        <f>IF(B953="", "", "urine")</f>
        <v>0</v>
      </c>
      <c r="H953" s="1">
        <f>IF(B953="", "", "urine")</f>
        <v>0</v>
      </c>
      <c r="I953" s="1">
        <f>IF(B953="", "", "urine metagenome")</f>
        <v>0</v>
      </c>
      <c r="J953" s="1">
        <f>IF(B953="", "", "1346744")</f>
        <v>0</v>
      </c>
    </row>
    <row r="954" spans="1:10">
      <c r="A954">
        <f>IF(COUNTBLANK(B954:J954)&lt;&gt;COLUMNS(B954:J954),953,"")</f>
        <v>0</v>
      </c>
      <c r="C954" s="1">
        <f>IF(B954="", "", "UBERON:genitourinary")</f>
        <v>0</v>
      </c>
      <c r="D954" s="1">
        <f>IF(B954="", "", "UBERON:urine")</f>
        <v>0</v>
      </c>
      <c r="E954" s="1">
        <f>IF(B954="", "", "UBERON:kidney")</f>
        <v>0</v>
      </c>
      <c r="F954" s="1">
        <f>IF(B954="", "", "animal corpus")</f>
        <v>0</v>
      </c>
      <c r="G954" s="1">
        <f>IF(B954="", "", "urine")</f>
        <v>0</v>
      </c>
      <c r="H954" s="1">
        <f>IF(B954="", "", "urine")</f>
        <v>0</v>
      </c>
      <c r="I954" s="1">
        <f>IF(B954="", "", "urine metagenome")</f>
        <v>0</v>
      </c>
      <c r="J954" s="1">
        <f>IF(B954="", "", "1346744")</f>
        <v>0</v>
      </c>
    </row>
    <row r="955" spans="1:10">
      <c r="A955">
        <f>IF(COUNTBLANK(B955:J955)&lt;&gt;COLUMNS(B955:J955),954,"")</f>
        <v>0</v>
      </c>
      <c r="C955" s="1">
        <f>IF(B955="", "", "UBERON:genitourinary")</f>
        <v>0</v>
      </c>
      <c r="D955" s="1">
        <f>IF(B955="", "", "UBERON:urine")</f>
        <v>0</v>
      </c>
      <c r="E955" s="1">
        <f>IF(B955="", "", "UBERON:kidney")</f>
        <v>0</v>
      </c>
      <c r="F955" s="1">
        <f>IF(B955="", "", "animal corpus")</f>
        <v>0</v>
      </c>
      <c r="G955" s="1">
        <f>IF(B955="", "", "urine")</f>
        <v>0</v>
      </c>
      <c r="H955" s="1">
        <f>IF(B955="", "", "urine")</f>
        <v>0</v>
      </c>
      <c r="I955" s="1">
        <f>IF(B955="", "", "urine metagenome")</f>
        <v>0</v>
      </c>
      <c r="J955" s="1">
        <f>IF(B955="", "", "1346744")</f>
        <v>0</v>
      </c>
    </row>
    <row r="956" spans="1:10">
      <c r="A956">
        <f>IF(COUNTBLANK(B956:J956)&lt;&gt;COLUMNS(B956:J956),955,"")</f>
        <v>0</v>
      </c>
      <c r="C956" s="1">
        <f>IF(B956="", "", "UBERON:genitourinary")</f>
        <v>0</v>
      </c>
      <c r="D956" s="1">
        <f>IF(B956="", "", "UBERON:urine")</f>
        <v>0</v>
      </c>
      <c r="E956" s="1">
        <f>IF(B956="", "", "UBERON:kidney")</f>
        <v>0</v>
      </c>
      <c r="F956" s="1">
        <f>IF(B956="", "", "animal corpus")</f>
        <v>0</v>
      </c>
      <c r="G956" s="1">
        <f>IF(B956="", "", "urine")</f>
        <v>0</v>
      </c>
      <c r="H956" s="1">
        <f>IF(B956="", "", "urine")</f>
        <v>0</v>
      </c>
      <c r="I956" s="1">
        <f>IF(B956="", "", "urine metagenome")</f>
        <v>0</v>
      </c>
      <c r="J956" s="1">
        <f>IF(B956="", "", "1346744")</f>
        <v>0</v>
      </c>
    </row>
    <row r="957" spans="1:10">
      <c r="A957">
        <f>IF(COUNTBLANK(B957:J957)&lt;&gt;COLUMNS(B957:J957),956,"")</f>
        <v>0</v>
      </c>
      <c r="C957" s="1">
        <f>IF(B957="", "", "UBERON:genitourinary")</f>
        <v>0</v>
      </c>
      <c r="D957" s="1">
        <f>IF(B957="", "", "UBERON:urine")</f>
        <v>0</v>
      </c>
      <c r="E957" s="1">
        <f>IF(B957="", "", "UBERON:kidney")</f>
        <v>0</v>
      </c>
      <c r="F957" s="1">
        <f>IF(B957="", "", "animal corpus")</f>
        <v>0</v>
      </c>
      <c r="G957" s="1">
        <f>IF(B957="", "", "urine")</f>
        <v>0</v>
      </c>
      <c r="H957" s="1">
        <f>IF(B957="", "", "urine")</f>
        <v>0</v>
      </c>
      <c r="I957" s="1">
        <f>IF(B957="", "", "urine metagenome")</f>
        <v>0</v>
      </c>
      <c r="J957" s="1">
        <f>IF(B957="", "", "1346744")</f>
        <v>0</v>
      </c>
    </row>
    <row r="958" spans="1:10">
      <c r="A958">
        <f>IF(COUNTBLANK(B958:J958)&lt;&gt;COLUMNS(B958:J958),957,"")</f>
        <v>0</v>
      </c>
      <c r="C958" s="1">
        <f>IF(B958="", "", "UBERON:genitourinary")</f>
        <v>0</v>
      </c>
      <c r="D958" s="1">
        <f>IF(B958="", "", "UBERON:urine")</f>
        <v>0</v>
      </c>
      <c r="E958" s="1">
        <f>IF(B958="", "", "UBERON:kidney")</f>
        <v>0</v>
      </c>
      <c r="F958" s="1">
        <f>IF(B958="", "", "animal corpus")</f>
        <v>0</v>
      </c>
      <c r="G958" s="1">
        <f>IF(B958="", "", "urine")</f>
        <v>0</v>
      </c>
      <c r="H958" s="1">
        <f>IF(B958="", "", "urine")</f>
        <v>0</v>
      </c>
      <c r="I958" s="1">
        <f>IF(B958="", "", "urine metagenome")</f>
        <v>0</v>
      </c>
      <c r="J958" s="1">
        <f>IF(B958="", "", "1346744")</f>
        <v>0</v>
      </c>
    </row>
    <row r="959" spans="1:10">
      <c r="A959">
        <f>IF(COUNTBLANK(B959:J959)&lt;&gt;COLUMNS(B959:J959),958,"")</f>
        <v>0</v>
      </c>
      <c r="C959" s="1">
        <f>IF(B959="", "", "UBERON:genitourinary")</f>
        <v>0</v>
      </c>
      <c r="D959" s="1">
        <f>IF(B959="", "", "UBERON:urine")</f>
        <v>0</v>
      </c>
      <c r="E959" s="1">
        <f>IF(B959="", "", "UBERON:kidney")</f>
        <v>0</v>
      </c>
      <c r="F959" s="1">
        <f>IF(B959="", "", "animal corpus")</f>
        <v>0</v>
      </c>
      <c r="G959" s="1">
        <f>IF(B959="", "", "urine")</f>
        <v>0</v>
      </c>
      <c r="H959" s="1">
        <f>IF(B959="", "", "urine")</f>
        <v>0</v>
      </c>
      <c r="I959" s="1">
        <f>IF(B959="", "", "urine metagenome")</f>
        <v>0</v>
      </c>
      <c r="J959" s="1">
        <f>IF(B959="", "", "1346744")</f>
        <v>0</v>
      </c>
    </row>
    <row r="960" spans="1:10">
      <c r="A960">
        <f>IF(COUNTBLANK(B960:J960)&lt;&gt;COLUMNS(B960:J960),959,"")</f>
        <v>0</v>
      </c>
      <c r="C960" s="1">
        <f>IF(B960="", "", "UBERON:genitourinary")</f>
        <v>0</v>
      </c>
      <c r="D960" s="1">
        <f>IF(B960="", "", "UBERON:urine")</f>
        <v>0</v>
      </c>
      <c r="E960" s="1">
        <f>IF(B960="", "", "UBERON:kidney")</f>
        <v>0</v>
      </c>
      <c r="F960" s="1">
        <f>IF(B960="", "", "animal corpus")</f>
        <v>0</v>
      </c>
      <c r="G960" s="1">
        <f>IF(B960="", "", "urine")</f>
        <v>0</v>
      </c>
      <c r="H960" s="1">
        <f>IF(B960="", "", "urine")</f>
        <v>0</v>
      </c>
      <c r="I960" s="1">
        <f>IF(B960="", "", "urine metagenome")</f>
        <v>0</v>
      </c>
      <c r="J960" s="1">
        <f>IF(B960="", "", "1346744")</f>
        <v>0</v>
      </c>
    </row>
    <row r="961" spans="1:10">
      <c r="A961">
        <f>IF(COUNTBLANK(B961:J961)&lt;&gt;COLUMNS(B961:J961),960,"")</f>
        <v>0</v>
      </c>
      <c r="C961" s="1">
        <f>IF(B961="", "", "UBERON:genitourinary")</f>
        <v>0</v>
      </c>
      <c r="D961" s="1">
        <f>IF(B961="", "", "UBERON:urine")</f>
        <v>0</v>
      </c>
      <c r="E961" s="1">
        <f>IF(B961="", "", "UBERON:kidney")</f>
        <v>0</v>
      </c>
      <c r="F961" s="1">
        <f>IF(B961="", "", "animal corpus")</f>
        <v>0</v>
      </c>
      <c r="G961" s="1">
        <f>IF(B961="", "", "urine")</f>
        <v>0</v>
      </c>
      <c r="H961" s="1">
        <f>IF(B961="", "", "urine")</f>
        <v>0</v>
      </c>
      <c r="I961" s="1">
        <f>IF(B961="", "", "urine metagenome")</f>
        <v>0</v>
      </c>
      <c r="J961" s="1">
        <f>IF(B961="", "", "1346744")</f>
        <v>0</v>
      </c>
    </row>
    <row r="962" spans="1:10">
      <c r="A962">
        <f>IF(COUNTBLANK(B962:J962)&lt;&gt;COLUMNS(B962:J962),961,"")</f>
        <v>0</v>
      </c>
      <c r="C962" s="1">
        <f>IF(B962="", "", "UBERON:genitourinary")</f>
        <v>0</v>
      </c>
      <c r="D962" s="1">
        <f>IF(B962="", "", "UBERON:urine")</f>
        <v>0</v>
      </c>
      <c r="E962" s="1">
        <f>IF(B962="", "", "UBERON:kidney")</f>
        <v>0</v>
      </c>
      <c r="F962" s="1">
        <f>IF(B962="", "", "animal corpus")</f>
        <v>0</v>
      </c>
      <c r="G962" s="1">
        <f>IF(B962="", "", "urine")</f>
        <v>0</v>
      </c>
      <c r="H962" s="1">
        <f>IF(B962="", "", "urine")</f>
        <v>0</v>
      </c>
      <c r="I962" s="1">
        <f>IF(B962="", "", "urine metagenome")</f>
        <v>0</v>
      </c>
      <c r="J962" s="1">
        <f>IF(B962="", "", "1346744")</f>
        <v>0</v>
      </c>
    </row>
    <row r="963" spans="1:10">
      <c r="A963">
        <f>IF(COUNTBLANK(B963:J963)&lt;&gt;COLUMNS(B963:J963),962,"")</f>
        <v>0</v>
      </c>
      <c r="C963" s="1">
        <f>IF(B963="", "", "UBERON:genitourinary")</f>
        <v>0</v>
      </c>
      <c r="D963" s="1">
        <f>IF(B963="", "", "UBERON:urine")</f>
        <v>0</v>
      </c>
      <c r="E963" s="1">
        <f>IF(B963="", "", "UBERON:kidney")</f>
        <v>0</v>
      </c>
      <c r="F963" s="1">
        <f>IF(B963="", "", "animal corpus")</f>
        <v>0</v>
      </c>
      <c r="G963" s="1">
        <f>IF(B963="", "", "urine")</f>
        <v>0</v>
      </c>
      <c r="H963" s="1">
        <f>IF(B963="", "", "urine")</f>
        <v>0</v>
      </c>
      <c r="I963" s="1">
        <f>IF(B963="", "", "urine metagenome")</f>
        <v>0</v>
      </c>
      <c r="J963" s="1">
        <f>IF(B963="", "", "1346744")</f>
        <v>0</v>
      </c>
    </row>
    <row r="964" spans="1:10">
      <c r="A964">
        <f>IF(COUNTBLANK(B964:J964)&lt;&gt;COLUMNS(B964:J964),963,"")</f>
        <v>0</v>
      </c>
      <c r="C964" s="1">
        <f>IF(B964="", "", "UBERON:genitourinary")</f>
        <v>0</v>
      </c>
      <c r="D964" s="1">
        <f>IF(B964="", "", "UBERON:urine")</f>
        <v>0</v>
      </c>
      <c r="E964" s="1">
        <f>IF(B964="", "", "UBERON:kidney")</f>
        <v>0</v>
      </c>
      <c r="F964" s="1">
        <f>IF(B964="", "", "animal corpus")</f>
        <v>0</v>
      </c>
      <c r="G964" s="1">
        <f>IF(B964="", "", "urine")</f>
        <v>0</v>
      </c>
      <c r="H964" s="1">
        <f>IF(B964="", "", "urine")</f>
        <v>0</v>
      </c>
      <c r="I964" s="1">
        <f>IF(B964="", "", "urine metagenome")</f>
        <v>0</v>
      </c>
      <c r="J964" s="1">
        <f>IF(B964="", "", "1346744")</f>
        <v>0</v>
      </c>
    </row>
    <row r="965" spans="1:10">
      <c r="A965">
        <f>IF(COUNTBLANK(B965:J965)&lt;&gt;COLUMNS(B965:J965),964,"")</f>
        <v>0</v>
      </c>
      <c r="C965" s="1">
        <f>IF(B965="", "", "UBERON:genitourinary")</f>
        <v>0</v>
      </c>
      <c r="D965" s="1">
        <f>IF(B965="", "", "UBERON:urine")</f>
        <v>0</v>
      </c>
      <c r="E965" s="1">
        <f>IF(B965="", "", "UBERON:kidney")</f>
        <v>0</v>
      </c>
      <c r="F965" s="1">
        <f>IF(B965="", "", "animal corpus")</f>
        <v>0</v>
      </c>
      <c r="G965" s="1">
        <f>IF(B965="", "", "urine")</f>
        <v>0</v>
      </c>
      <c r="H965" s="1">
        <f>IF(B965="", "", "urine")</f>
        <v>0</v>
      </c>
      <c r="I965" s="1">
        <f>IF(B965="", "", "urine metagenome")</f>
        <v>0</v>
      </c>
      <c r="J965" s="1">
        <f>IF(B965="", "", "1346744")</f>
        <v>0</v>
      </c>
    </row>
    <row r="966" spans="1:10">
      <c r="A966">
        <f>IF(COUNTBLANK(B966:J966)&lt;&gt;COLUMNS(B966:J966),965,"")</f>
        <v>0</v>
      </c>
      <c r="C966" s="1">
        <f>IF(B966="", "", "UBERON:genitourinary")</f>
        <v>0</v>
      </c>
      <c r="D966" s="1">
        <f>IF(B966="", "", "UBERON:urine")</f>
        <v>0</v>
      </c>
      <c r="E966" s="1">
        <f>IF(B966="", "", "UBERON:kidney")</f>
        <v>0</v>
      </c>
      <c r="F966" s="1">
        <f>IF(B966="", "", "animal corpus")</f>
        <v>0</v>
      </c>
      <c r="G966" s="1">
        <f>IF(B966="", "", "urine")</f>
        <v>0</v>
      </c>
      <c r="H966" s="1">
        <f>IF(B966="", "", "urine")</f>
        <v>0</v>
      </c>
      <c r="I966" s="1">
        <f>IF(B966="", "", "urine metagenome")</f>
        <v>0</v>
      </c>
      <c r="J966" s="1">
        <f>IF(B966="", "", "1346744")</f>
        <v>0</v>
      </c>
    </row>
    <row r="967" spans="1:10">
      <c r="A967">
        <f>IF(COUNTBLANK(B967:J967)&lt;&gt;COLUMNS(B967:J967),966,"")</f>
        <v>0</v>
      </c>
      <c r="C967" s="1">
        <f>IF(B967="", "", "UBERON:genitourinary")</f>
        <v>0</v>
      </c>
      <c r="D967" s="1">
        <f>IF(B967="", "", "UBERON:urine")</f>
        <v>0</v>
      </c>
      <c r="E967" s="1">
        <f>IF(B967="", "", "UBERON:kidney")</f>
        <v>0</v>
      </c>
      <c r="F967" s="1">
        <f>IF(B967="", "", "animal corpus")</f>
        <v>0</v>
      </c>
      <c r="G967" s="1">
        <f>IF(B967="", "", "urine")</f>
        <v>0</v>
      </c>
      <c r="H967" s="1">
        <f>IF(B967="", "", "urine")</f>
        <v>0</v>
      </c>
      <c r="I967" s="1">
        <f>IF(B967="", "", "urine metagenome")</f>
        <v>0</v>
      </c>
      <c r="J967" s="1">
        <f>IF(B967="", "", "1346744")</f>
        <v>0</v>
      </c>
    </row>
    <row r="968" spans="1:10">
      <c r="A968">
        <f>IF(COUNTBLANK(B968:J968)&lt;&gt;COLUMNS(B968:J968),967,"")</f>
        <v>0</v>
      </c>
      <c r="C968" s="1">
        <f>IF(B968="", "", "UBERON:genitourinary")</f>
        <v>0</v>
      </c>
      <c r="D968" s="1">
        <f>IF(B968="", "", "UBERON:urine")</f>
        <v>0</v>
      </c>
      <c r="E968" s="1">
        <f>IF(B968="", "", "UBERON:kidney")</f>
        <v>0</v>
      </c>
      <c r="F968" s="1">
        <f>IF(B968="", "", "animal corpus")</f>
        <v>0</v>
      </c>
      <c r="G968" s="1">
        <f>IF(B968="", "", "urine")</f>
        <v>0</v>
      </c>
      <c r="H968" s="1">
        <f>IF(B968="", "", "urine")</f>
        <v>0</v>
      </c>
      <c r="I968" s="1">
        <f>IF(B968="", "", "urine metagenome")</f>
        <v>0</v>
      </c>
      <c r="J968" s="1">
        <f>IF(B968="", "", "1346744")</f>
        <v>0</v>
      </c>
    </row>
    <row r="969" spans="1:10">
      <c r="A969">
        <f>IF(COUNTBLANK(B969:J969)&lt;&gt;COLUMNS(B969:J969),968,"")</f>
        <v>0</v>
      </c>
      <c r="C969" s="1">
        <f>IF(B969="", "", "UBERON:genitourinary")</f>
        <v>0</v>
      </c>
      <c r="D969" s="1">
        <f>IF(B969="", "", "UBERON:urine")</f>
        <v>0</v>
      </c>
      <c r="E969" s="1">
        <f>IF(B969="", "", "UBERON:kidney")</f>
        <v>0</v>
      </c>
      <c r="F969" s="1">
        <f>IF(B969="", "", "animal corpus")</f>
        <v>0</v>
      </c>
      <c r="G969" s="1">
        <f>IF(B969="", "", "urine")</f>
        <v>0</v>
      </c>
      <c r="H969" s="1">
        <f>IF(B969="", "", "urine")</f>
        <v>0</v>
      </c>
      <c r="I969" s="1">
        <f>IF(B969="", "", "urine metagenome")</f>
        <v>0</v>
      </c>
      <c r="J969" s="1">
        <f>IF(B969="", "", "1346744")</f>
        <v>0</v>
      </c>
    </row>
    <row r="970" spans="1:10">
      <c r="A970">
        <f>IF(COUNTBLANK(B970:J970)&lt;&gt;COLUMNS(B970:J970),969,"")</f>
        <v>0</v>
      </c>
      <c r="C970" s="1">
        <f>IF(B970="", "", "UBERON:genitourinary")</f>
        <v>0</v>
      </c>
      <c r="D970" s="1">
        <f>IF(B970="", "", "UBERON:urine")</f>
        <v>0</v>
      </c>
      <c r="E970" s="1">
        <f>IF(B970="", "", "UBERON:kidney")</f>
        <v>0</v>
      </c>
      <c r="F970" s="1">
        <f>IF(B970="", "", "animal corpus")</f>
        <v>0</v>
      </c>
      <c r="G970" s="1">
        <f>IF(B970="", "", "urine")</f>
        <v>0</v>
      </c>
      <c r="H970" s="1">
        <f>IF(B970="", "", "urine")</f>
        <v>0</v>
      </c>
      <c r="I970" s="1">
        <f>IF(B970="", "", "urine metagenome")</f>
        <v>0</v>
      </c>
      <c r="J970" s="1">
        <f>IF(B970="", "", "1346744")</f>
        <v>0</v>
      </c>
    </row>
    <row r="971" spans="1:10">
      <c r="A971">
        <f>IF(COUNTBLANK(B971:J971)&lt;&gt;COLUMNS(B971:J971),970,"")</f>
        <v>0</v>
      </c>
      <c r="C971" s="1">
        <f>IF(B971="", "", "UBERON:genitourinary")</f>
        <v>0</v>
      </c>
      <c r="D971" s="1">
        <f>IF(B971="", "", "UBERON:urine")</f>
        <v>0</v>
      </c>
      <c r="E971" s="1">
        <f>IF(B971="", "", "UBERON:kidney")</f>
        <v>0</v>
      </c>
      <c r="F971" s="1">
        <f>IF(B971="", "", "animal corpus")</f>
        <v>0</v>
      </c>
      <c r="G971" s="1">
        <f>IF(B971="", "", "urine")</f>
        <v>0</v>
      </c>
      <c r="H971" s="1">
        <f>IF(B971="", "", "urine")</f>
        <v>0</v>
      </c>
      <c r="I971" s="1">
        <f>IF(B971="", "", "urine metagenome")</f>
        <v>0</v>
      </c>
      <c r="J971" s="1">
        <f>IF(B971="", "", "1346744")</f>
        <v>0</v>
      </c>
    </row>
    <row r="972" spans="1:10">
      <c r="A972">
        <f>IF(COUNTBLANK(B972:J972)&lt;&gt;COLUMNS(B972:J972),971,"")</f>
        <v>0</v>
      </c>
      <c r="C972" s="1">
        <f>IF(B972="", "", "UBERON:genitourinary")</f>
        <v>0</v>
      </c>
      <c r="D972" s="1">
        <f>IF(B972="", "", "UBERON:urine")</f>
        <v>0</v>
      </c>
      <c r="E972" s="1">
        <f>IF(B972="", "", "UBERON:kidney")</f>
        <v>0</v>
      </c>
      <c r="F972" s="1">
        <f>IF(B972="", "", "animal corpus")</f>
        <v>0</v>
      </c>
      <c r="G972" s="1">
        <f>IF(B972="", "", "urine")</f>
        <v>0</v>
      </c>
      <c r="H972" s="1">
        <f>IF(B972="", "", "urine")</f>
        <v>0</v>
      </c>
      <c r="I972" s="1">
        <f>IF(B972="", "", "urine metagenome")</f>
        <v>0</v>
      </c>
      <c r="J972" s="1">
        <f>IF(B972="", "", "1346744")</f>
        <v>0</v>
      </c>
    </row>
    <row r="973" spans="1:10">
      <c r="A973">
        <f>IF(COUNTBLANK(B973:J973)&lt;&gt;COLUMNS(B973:J973),972,"")</f>
        <v>0</v>
      </c>
      <c r="C973" s="1">
        <f>IF(B973="", "", "UBERON:genitourinary")</f>
        <v>0</v>
      </c>
      <c r="D973" s="1">
        <f>IF(B973="", "", "UBERON:urine")</f>
        <v>0</v>
      </c>
      <c r="E973" s="1">
        <f>IF(B973="", "", "UBERON:kidney")</f>
        <v>0</v>
      </c>
      <c r="F973" s="1">
        <f>IF(B973="", "", "animal corpus")</f>
        <v>0</v>
      </c>
      <c r="G973" s="1">
        <f>IF(B973="", "", "urine")</f>
        <v>0</v>
      </c>
      <c r="H973" s="1">
        <f>IF(B973="", "", "urine")</f>
        <v>0</v>
      </c>
      <c r="I973" s="1">
        <f>IF(B973="", "", "urine metagenome")</f>
        <v>0</v>
      </c>
      <c r="J973" s="1">
        <f>IF(B973="", "", "1346744")</f>
        <v>0</v>
      </c>
    </row>
    <row r="974" spans="1:10">
      <c r="A974">
        <f>IF(COUNTBLANK(B974:J974)&lt;&gt;COLUMNS(B974:J974),973,"")</f>
        <v>0</v>
      </c>
      <c r="C974" s="1">
        <f>IF(B974="", "", "UBERON:genitourinary")</f>
        <v>0</v>
      </c>
      <c r="D974" s="1">
        <f>IF(B974="", "", "UBERON:urine")</f>
        <v>0</v>
      </c>
      <c r="E974" s="1">
        <f>IF(B974="", "", "UBERON:kidney")</f>
        <v>0</v>
      </c>
      <c r="F974" s="1">
        <f>IF(B974="", "", "animal corpus")</f>
        <v>0</v>
      </c>
      <c r="G974" s="1">
        <f>IF(B974="", "", "urine")</f>
        <v>0</v>
      </c>
      <c r="H974" s="1">
        <f>IF(B974="", "", "urine")</f>
        <v>0</v>
      </c>
      <c r="I974" s="1">
        <f>IF(B974="", "", "urine metagenome")</f>
        <v>0</v>
      </c>
      <c r="J974" s="1">
        <f>IF(B974="", "", "1346744")</f>
        <v>0</v>
      </c>
    </row>
    <row r="975" spans="1:10">
      <c r="A975">
        <f>IF(COUNTBLANK(B975:J975)&lt;&gt;COLUMNS(B975:J975),974,"")</f>
        <v>0</v>
      </c>
      <c r="C975" s="1">
        <f>IF(B975="", "", "UBERON:genitourinary")</f>
        <v>0</v>
      </c>
      <c r="D975" s="1">
        <f>IF(B975="", "", "UBERON:urine")</f>
        <v>0</v>
      </c>
      <c r="E975" s="1">
        <f>IF(B975="", "", "UBERON:kidney")</f>
        <v>0</v>
      </c>
      <c r="F975" s="1">
        <f>IF(B975="", "", "animal corpus")</f>
        <v>0</v>
      </c>
      <c r="G975" s="1">
        <f>IF(B975="", "", "urine")</f>
        <v>0</v>
      </c>
      <c r="H975" s="1">
        <f>IF(B975="", "", "urine")</f>
        <v>0</v>
      </c>
      <c r="I975" s="1">
        <f>IF(B975="", "", "urine metagenome")</f>
        <v>0</v>
      </c>
      <c r="J975" s="1">
        <f>IF(B975="", "", "1346744")</f>
        <v>0</v>
      </c>
    </row>
    <row r="976" spans="1:10">
      <c r="A976">
        <f>IF(COUNTBLANK(B976:J976)&lt;&gt;COLUMNS(B976:J976),975,"")</f>
        <v>0</v>
      </c>
      <c r="C976" s="1">
        <f>IF(B976="", "", "UBERON:genitourinary")</f>
        <v>0</v>
      </c>
      <c r="D976" s="1">
        <f>IF(B976="", "", "UBERON:urine")</f>
        <v>0</v>
      </c>
      <c r="E976" s="1">
        <f>IF(B976="", "", "UBERON:kidney")</f>
        <v>0</v>
      </c>
      <c r="F976" s="1">
        <f>IF(B976="", "", "animal corpus")</f>
        <v>0</v>
      </c>
      <c r="G976" s="1">
        <f>IF(B976="", "", "urine")</f>
        <v>0</v>
      </c>
      <c r="H976" s="1">
        <f>IF(B976="", "", "urine")</f>
        <v>0</v>
      </c>
      <c r="I976" s="1">
        <f>IF(B976="", "", "urine metagenome")</f>
        <v>0</v>
      </c>
      <c r="J976" s="1">
        <f>IF(B976="", "", "1346744")</f>
        <v>0</v>
      </c>
    </row>
    <row r="977" spans="1:10">
      <c r="A977">
        <f>IF(COUNTBLANK(B977:J977)&lt;&gt;COLUMNS(B977:J977),976,"")</f>
        <v>0</v>
      </c>
      <c r="C977" s="1">
        <f>IF(B977="", "", "UBERON:genitourinary")</f>
        <v>0</v>
      </c>
      <c r="D977" s="1">
        <f>IF(B977="", "", "UBERON:urine")</f>
        <v>0</v>
      </c>
      <c r="E977" s="1">
        <f>IF(B977="", "", "UBERON:kidney")</f>
        <v>0</v>
      </c>
      <c r="F977" s="1">
        <f>IF(B977="", "", "animal corpus")</f>
        <v>0</v>
      </c>
      <c r="G977" s="1">
        <f>IF(B977="", "", "urine")</f>
        <v>0</v>
      </c>
      <c r="H977" s="1">
        <f>IF(B977="", "", "urine")</f>
        <v>0</v>
      </c>
      <c r="I977" s="1">
        <f>IF(B977="", "", "urine metagenome")</f>
        <v>0</v>
      </c>
      <c r="J977" s="1">
        <f>IF(B977="", "", "1346744")</f>
        <v>0</v>
      </c>
    </row>
    <row r="978" spans="1:10">
      <c r="A978">
        <f>IF(COUNTBLANK(B978:J978)&lt;&gt;COLUMNS(B978:J978),977,"")</f>
        <v>0</v>
      </c>
      <c r="C978" s="1">
        <f>IF(B978="", "", "UBERON:genitourinary")</f>
        <v>0</v>
      </c>
      <c r="D978" s="1">
        <f>IF(B978="", "", "UBERON:urine")</f>
        <v>0</v>
      </c>
      <c r="E978" s="1">
        <f>IF(B978="", "", "UBERON:kidney")</f>
        <v>0</v>
      </c>
      <c r="F978" s="1">
        <f>IF(B978="", "", "animal corpus")</f>
        <v>0</v>
      </c>
      <c r="G978" s="1">
        <f>IF(B978="", "", "urine")</f>
        <v>0</v>
      </c>
      <c r="H978" s="1">
        <f>IF(B978="", "", "urine")</f>
        <v>0</v>
      </c>
      <c r="I978" s="1">
        <f>IF(B978="", "", "urine metagenome")</f>
        <v>0</v>
      </c>
      <c r="J978" s="1">
        <f>IF(B978="", "", "1346744")</f>
        <v>0</v>
      </c>
    </row>
    <row r="979" spans="1:10">
      <c r="A979">
        <f>IF(COUNTBLANK(B979:J979)&lt;&gt;COLUMNS(B979:J979),978,"")</f>
        <v>0</v>
      </c>
      <c r="C979" s="1">
        <f>IF(B979="", "", "UBERON:genitourinary")</f>
        <v>0</v>
      </c>
      <c r="D979" s="1">
        <f>IF(B979="", "", "UBERON:urine")</f>
        <v>0</v>
      </c>
      <c r="E979" s="1">
        <f>IF(B979="", "", "UBERON:kidney")</f>
        <v>0</v>
      </c>
      <c r="F979" s="1">
        <f>IF(B979="", "", "animal corpus")</f>
        <v>0</v>
      </c>
      <c r="G979" s="1">
        <f>IF(B979="", "", "urine")</f>
        <v>0</v>
      </c>
      <c r="H979" s="1">
        <f>IF(B979="", "", "urine")</f>
        <v>0</v>
      </c>
      <c r="I979" s="1">
        <f>IF(B979="", "", "urine metagenome")</f>
        <v>0</v>
      </c>
      <c r="J979" s="1">
        <f>IF(B979="", "", "1346744")</f>
        <v>0</v>
      </c>
    </row>
    <row r="980" spans="1:10">
      <c r="A980">
        <f>IF(COUNTBLANK(B980:J980)&lt;&gt;COLUMNS(B980:J980),979,"")</f>
        <v>0</v>
      </c>
      <c r="C980" s="1">
        <f>IF(B980="", "", "UBERON:genitourinary")</f>
        <v>0</v>
      </c>
      <c r="D980" s="1">
        <f>IF(B980="", "", "UBERON:urine")</f>
        <v>0</v>
      </c>
      <c r="E980" s="1">
        <f>IF(B980="", "", "UBERON:kidney")</f>
        <v>0</v>
      </c>
      <c r="F980" s="1">
        <f>IF(B980="", "", "animal corpus")</f>
        <v>0</v>
      </c>
      <c r="G980" s="1">
        <f>IF(B980="", "", "urine")</f>
        <v>0</v>
      </c>
      <c r="H980" s="1">
        <f>IF(B980="", "", "urine")</f>
        <v>0</v>
      </c>
      <c r="I980" s="1">
        <f>IF(B980="", "", "urine metagenome")</f>
        <v>0</v>
      </c>
      <c r="J980" s="1">
        <f>IF(B980="", "", "1346744")</f>
        <v>0</v>
      </c>
    </row>
    <row r="981" spans="1:10">
      <c r="A981">
        <f>IF(COUNTBLANK(B981:J981)&lt;&gt;COLUMNS(B981:J981),980,"")</f>
        <v>0</v>
      </c>
      <c r="C981" s="1">
        <f>IF(B981="", "", "UBERON:genitourinary")</f>
        <v>0</v>
      </c>
      <c r="D981" s="1">
        <f>IF(B981="", "", "UBERON:urine")</f>
        <v>0</v>
      </c>
      <c r="E981" s="1">
        <f>IF(B981="", "", "UBERON:kidney")</f>
        <v>0</v>
      </c>
      <c r="F981" s="1">
        <f>IF(B981="", "", "animal corpus")</f>
        <v>0</v>
      </c>
      <c r="G981" s="1">
        <f>IF(B981="", "", "urine")</f>
        <v>0</v>
      </c>
      <c r="H981" s="1">
        <f>IF(B981="", "", "urine")</f>
        <v>0</v>
      </c>
      <c r="I981" s="1">
        <f>IF(B981="", "", "urine metagenome")</f>
        <v>0</v>
      </c>
      <c r="J981" s="1">
        <f>IF(B981="", "", "1346744")</f>
        <v>0</v>
      </c>
    </row>
    <row r="982" spans="1:10">
      <c r="A982">
        <f>IF(COUNTBLANK(B982:J982)&lt;&gt;COLUMNS(B982:J982),981,"")</f>
        <v>0</v>
      </c>
      <c r="C982" s="1">
        <f>IF(B982="", "", "UBERON:genitourinary")</f>
        <v>0</v>
      </c>
      <c r="D982" s="1">
        <f>IF(B982="", "", "UBERON:urine")</f>
        <v>0</v>
      </c>
      <c r="E982" s="1">
        <f>IF(B982="", "", "UBERON:kidney")</f>
        <v>0</v>
      </c>
      <c r="F982" s="1">
        <f>IF(B982="", "", "animal corpus")</f>
        <v>0</v>
      </c>
      <c r="G982" s="1">
        <f>IF(B982="", "", "urine")</f>
        <v>0</v>
      </c>
      <c r="H982" s="1">
        <f>IF(B982="", "", "urine")</f>
        <v>0</v>
      </c>
      <c r="I982" s="1">
        <f>IF(B982="", "", "urine metagenome")</f>
        <v>0</v>
      </c>
      <c r="J982" s="1">
        <f>IF(B982="", "", "1346744")</f>
        <v>0</v>
      </c>
    </row>
    <row r="983" spans="1:10">
      <c r="A983">
        <f>IF(COUNTBLANK(B983:J983)&lt;&gt;COLUMNS(B983:J983),982,"")</f>
        <v>0</v>
      </c>
      <c r="C983" s="1">
        <f>IF(B983="", "", "UBERON:genitourinary")</f>
        <v>0</v>
      </c>
      <c r="D983" s="1">
        <f>IF(B983="", "", "UBERON:urine")</f>
        <v>0</v>
      </c>
      <c r="E983" s="1">
        <f>IF(B983="", "", "UBERON:kidney")</f>
        <v>0</v>
      </c>
      <c r="F983" s="1">
        <f>IF(B983="", "", "animal corpus")</f>
        <v>0</v>
      </c>
      <c r="G983" s="1">
        <f>IF(B983="", "", "urine")</f>
        <v>0</v>
      </c>
      <c r="H983" s="1">
        <f>IF(B983="", "", "urine")</f>
        <v>0</v>
      </c>
      <c r="I983" s="1">
        <f>IF(B983="", "", "urine metagenome")</f>
        <v>0</v>
      </c>
      <c r="J983" s="1">
        <f>IF(B983="", "", "1346744")</f>
        <v>0</v>
      </c>
    </row>
    <row r="984" spans="1:10">
      <c r="A984">
        <f>IF(COUNTBLANK(B984:J984)&lt;&gt;COLUMNS(B984:J984),983,"")</f>
        <v>0</v>
      </c>
      <c r="C984" s="1">
        <f>IF(B984="", "", "UBERON:genitourinary")</f>
        <v>0</v>
      </c>
      <c r="D984" s="1">
        <f>IF(B984="", "", "UBERON:urine")</f>
        <v>0</v>
      </c>
      <c r="E984" s="1">
        <f>IF(B984="", "", "UBERON:kidney")</f>
        <v>0</v>
      </c>
      <c r="F984" s="1">
        <f>IF(B984="", "", "animal corpus")</f>
        <v>0</v>
      </c>
      <c r="G984" s="1">
        <f>IF(B984="", "", "urine")</f>
        <v>0</v>
      </c>
      <c r="H984" s="1">
        <f>IF(B984="", "", "urine")</f>
        <v>0</v>
      </c>
      <c r="I984" s="1">
        <f>IF(B984="", "", "urine metagenome")</f>
        <v>0</v>
      </c>
      <c r="J984" s="1">
        <f>IF(B984="", "", "1346744")</f>
        <v>0</v>
      </c>
    </row>
    <row r="985" spans="1:10">
      <c r="A985">
        <f>IF(COUNTBLANK(B985:J985)&lt;&gt;COLUMNS(B985:J985),984,"")</f>
        <v>0</v>
      </c>
      <c r="C985" s="1">
        <f>IF(B985="", "", "UBERON:genitourinary")</f>
        <v>0</v>
      </c>
      <c r="D985" s="1">
        <f>IF(B985="", "", "UBERON:urine")</f>
        <v>0</v>
      </c>
      <c r="E985" s="1">
        <f>IF(B985="", "", "UBERON:kidney")</f>
        <v>0</v>
      </c>
      <c r="F985" s="1">
        <f>IF(B985="", "", "animal corpus")</f>
        <v>0</v>
      </c>
      <c r="G985" s="1">
        <f>IF(B985="", "", "urine")</f>
        <v>0</v>
      </c>
      <c r="H985" s="1">
        <f>IF(B985="", "", "urine")</f>
        <v>0</v>
      </c>
      <c r="I985" s="1">
        <f>IF(B985="", "", "urine metagenome")</f>
        <v>0</v>
      </c>
      <c r="J985" s="1">
        <f>IF(B985="", "", "1346744")</f>
        <v>0</v>
      </c>
    </row>
    <row r="986" spans="1:10">
      <c r="A986">
        <f>IF(COUNTBLANK(B986:J986)&lt;&gt;COLUMNS(B986:J986),985,"")</f>
        <v>0</v>
      </c>
      <c r="C986" s="1">
        <f>IF(B986="", "", "UBERON:genitourinary")</f>
        <v>0</v>
      </c>
      <c r="D986" s="1">
        <f>IF(B986="", "", "UBERON:urine")</f>
        <v>0</v>
      </c>
      <c r="E986" s="1">
        <f>IF(B986="", "", "UBERON:kidney")</f>
        <v>0</v>
      </c>
      <c r="F986" s="1">
        <f>IF(B986="", "", "animal corpus")</f>
        <v>0</v>
      </c>
      <c r="G986" s="1">
        <f>IF(B986="", "", "urine")</f>
        <v>0</v>
      </c>
      <c r="H986" s="1">
        <f>IF(B986="", "", "urine")</f>
        <v>0</v>
      </c>
      <c r="I986" s="1">
        <f>IF(B986="", "", "urine metagenome")</f>
        <v>0</v>
      </c>
      <c r="J986" s="1">
        <f>IF(B986="", "", "1346744")</f>
        <v>0</v>
      </c>
    </row>
    <row r="987" spans="1:10">
      <c r="A987">
        <f>IF(COUNTBLANK(B987:J987)&lt;&gt;COLUMNS(B987:J987),986,"")</f>
        <v>0</v>
      </c>
      <c r="C987" s="1">
        <f>IF(B987="", "", "UBERON:genitourinary")</f>
        <v>0</v>
      </c>
      <c r="D987" s="1">
        <f>IF(B987="", "", "UBERON:urine")</f>
        <v>0</v>
      </c>
      <c r="E987" s="1">
        <f>IF(B987="", "", "UBERON:kidney")</f>
        <v>0</v>
      </c>
      <c r="F987" s="1">
        <f>IF(B987="", "", "animal corpus")</f>
        <v>0</v>
      </c>
      <c r="G987" s="1">
        <f>IF(B987="", "", "urine")</f>
        <v>0</v>
      </c>
      <c r="H987" s="1">
        <f>IF(B987="", "", "urine")</f>
        <v>0</v>
      </c>
      <c r="I987" s="1">
        <f>IF(B987="", "", "urine metagenome")</f>
        <v>0</v>
      </c>
      <c r="J987" s="1">
        <f>IF(B987="", "", "1346744")</f>
        <v>0</v>
      </c>
    </row>
    <row r="988" spans="1:10">
      <c r="A988">
        <f>IF(COUNTBLANK(B988:J988)&lt;&gt;COLUMNS(B988:J988),987,"")</f>
        <v>0</v>
      </c>
      <c r="C988" s="1">
        <f>IF(B988="", "", "UBERON:genitourinary")</f>
        <v>0</v>
      </c>
      <c r="D988" s="1">
        <f>IF(B988="", "", "UBERON:urine")</f>
        <v>0</v>
      </c>
      <c r="E988" s="1">
        <f>IF(B988="", "", "UBERON:kidney")</f>
        <v>0</v>
      </c>
      <c r="F988" s="1">
        <f>IF(B988="", "", "animal corpus")</f>
        <v>0</v>
      </c>
      <c r="G988" s="1">
        <f>IF(B988="", "", "urine")</f>
        <v>0</v>
      </c>
      <c r="H988" s="1">
        <f>IF(B988="", "", "urine")</f>
        <v>0</v>
      </c>
      <c r="I988" s="1">
        <f>IF(B988="", "", "urine metagenome")</f>
        <v>0</v>
      </c>
      <c r="J988" s="1">
        <f>IF(B988="", "", "1346744")</f>
        <v>0</v>
      </c>
    </row>
    <row r="989" spans="1:10">
      <c r="A989">
        <f>IF(COUNTBLANK(B989:J989)&lt;&gt;COLUMNS(B989:J989),988,"")</f>
        <v>0</v>
      </c>
      <c r="C989" s="1">
        <f>IF(B989="", "", "UBERON:genitourinary")</f>
        <v>0</v>
      </c>
      <c r="D989" s="1">
        <f>IF(B989="", "", "UBERON:urine")</f>
        <v>0</v>
      </c>
      <c r="E989" s="1">
        <f>IF(B989="", "", "UBERON:kidney")</f>
        <v>0</v>
      </c>
      <c r="F989" s="1">
        <f>IF(B989="", "", "animal corpus")</f>
        <v>0</v>
      </c>
      <c r="G989" s="1">
        <f>IF(B989="", "", "urine")</f>
        <v>0</v>
      </c>
      <c r="H989" s="1">
        <f>IF(B989="", "", "urine")</f>
        <v>0</v>
      </c>
      <c r="I989" s="1">
        <f>IF(B989="", "", "urine metagenome")</f>
        <v>0</v>
      </c>
      <c r="J989" s="1">
        <f>IF(B989="", "", "1346744")</f>
        <v>0</v>
      </c>
    </row>
    <row r="990" spans="1:10">
      <c r="A990">
        <f>IF(COUNTBLANK(B990:J990)&lt;&gt;COLUMNS(B990:J990),989,"")</f>
        <v>0</v>
      </c>
      <c r="C990" s="1">
        <f>IF(B990="", "", "UBERON:genitourinary")</f>
        <v>0</v>
      </c>
      <c r="D990" s="1">
        <f>IF(B990="", "", "UBERON:urine")</f>
        <v>0</v>
      </c>
      <c r="E990" s="1">
        <f>IF(B990="", "", "UBERON:kidney")</f>
        <v>0</v>
      </c>
      <c r="F990" s="1">
        <f>IF(B990="", "", "animal corpus")</f>
        <v>0</v>
      </c>
      <c r="G990" s="1">
        <f>IF(B990="", "", "urine")</f>
        <v>0</v>
      </c>
      <c r="H990" s="1">
        <f>IF(B990="", "", "urine")</f>
        <v>0</v>
      </c>
      <c r="I990" s="1">
        <f>IF(B990="", "", "urine metagenome")</f>
        <v>0</v>
      </c>
      <c r="J990" s="1">
        <f>IF(B990="", "", "1346744")</f>
        <v>0</v>
      </c>
    </row>
    <row r="991" spans="1:10">
      <c r="A991">
        <f>IF(COUNTBLANK(B991:J991)&lt;&gt;COLUMNS(B991:J991),990,"")</f>
        <v>0</v>
      </c>
      <c r="C991" s="1">
        <f>IF(B991="", "", "UBERON:genitourinary")</f>
        <v>0</v>
      </c>
      <c r="D991" s="1">
        <f>IF(B991="", "", "UBERON:urine")</f>
        <v>0</v>
      </c>
      <c r="E991" s="1">
        <f>IF(B991="", "", "UBERON:kidney")</f>
        <v>0</v>
      </c>
      <c r="F991" s="1">
        <f>IF(B991="", "", "animal corpus")</f>
        <v>0</v>
      </c>
      <c r="G991" s="1">
        <f>IF(B991="", "", "urine")</f>
        <v>0</v>
      </c>
      <c r="H991" s="1">
        <f>IF(B991="", "", "urine")</f>
        <v>0</v>
      </c>
      <c r="I991" s="1">
        <f>IF(B991="", "", "urine metagenome")</f>
        <v>0</v>
      </c>
      <c r="J991" s="1">
        <f>IF(B991="", "", "1346744")</f>
        <v>0</v>
      </c>
    </row>
    <row r="992" spans="1:10">
      <c r="A992">
        <f>IF(COUNTBLANK(B992:J992)&lt;&gt;COLUMNS(B992:J992),991,"")</f>
        <v>0</v>
      </c>
      <c r="C992" s="1">
        <f>IF(B992="", "", "UBERON:genitourinary")</f>
        <v>0</v>
      </c>
      <c r="D992" s="1">
        <f>IF(B992="", "", "UBERON:urine")</f>
        <v>0</v>
      </c>
      <c r="E992" s="1">
        <f>IF(B992="", "", "UBERON:kidney")</f>
        <v>0</v>
      </c>
      <c r="F992" s="1">
        <f>IF(B992="", "", "animal corpus")</f>
        <v>0</v>
      </c>
      <c r="G992" s="1">
        <f>IF(B992="", "", "urine")</f>
        <v>0</v>
      </c>
      <c r="H992" s="1">
        <f>IF(B992="", "", "urine")</f>
        <v>0</v>
      </c>
      <c r="I992" s="1">
        <f>IF(B992="", "", "urine metagenome")</f>
        <v>0</v>
      </c>
      <c r="J992" s="1">
        <f>IF(B992="", "", "1346744")</f>
        <v>0</v>
      </c>
    </row>
    <row r="993" spans="1:10">
      <c r="A993">
        <f>IF(COUNTBLANK(B993:J993)&lt;&gt;COLUMNS(B993:J993),992,"")</f>
        <v>0</v>
      </c>
      <c r="C993" s="1">
        <f>IF(B993="", "", "UBERON:genitourinary")</f>
        <v>0</v>
      </c>
      <c r="D993" s="1">
        <f>IF(B993="", "", "UBERON:urine")</f>
        <v>0</v>
      </c>
      <c r="E993" s="1">
        <f>IF(B993="", "", "UBERON:kidney")</f>
        <v>0</v>
      </c>
      <c r="F993" s="1">
        <f>IF(B993="", "", "animal corpus")</f>
        <v>0</v>
      </c>
      <c r="G993" s="1">
        <f>IF(B993="", "", "urine")</f>
        <v>0</v>
      </c>
      <c r="H993" s="1">
        <f>IF(B993="", "", "urine")</f>
        <v>0</v>
      </c>
      <c r="I993" s="1">
        <f>IF(B993="", "", "urine metagenome")</f>
        <v>0</v>
      </c>
      <c r="J993" s="1">
        <f>IF(B993="", "", "1346744")</f>
        <v>0</v>
      </c>
    </row>
    <row r="994" spans="1:10">
      <c r="A994">
        <f>IF(COUNTBLANK(B994:J994)&lt;&gt;COLUMNS(B994:J994),993,"")</f>
        <v>0</v>
      </c>
      <c r="C994" s="1">
        <f>IF(B994="", "", "UBERON:genitourinary")</f>
        <v>0</v>
      </c>
      <c r="D994" s="1">
        <f>IF(B994="", "", "UBERON:urine")</f>
        <v>0</v>
      </c>
      <c r="E994" s="1">
        <f>IF(B994="", "", "UBERON:kidney")</f>
        <v>0</v>
      </c>
      <c r="F994" s="1">
        <f>IF(B994="", "", "animal corpus")</f>
        <v>0</v>
      </c>
      <c r="G994" s="1">
        <f>IF(B994="", "", "urine")</f>
        <v>0</v>
      </c>
      <c r="H994" s="1">
        <f>IF(B994="", "", "urine")</f>
        <v>0</v>
      </c>
      <c r="I994" s="1">
        <f>IF(B994="", "", "urine metagenome")</f>
        <v>0</v>
      </c>
      <c r="J994" s="1">
        <f>IF(B994="", "", "1346744")</f>
        <v>0</v>
      </c>
    </row>
    <row r="995" spans="1:10">
      <c r="A995">
        <f>IF(COUNTBLANK(B995:J995)&lt;&gt;COLUMNS(B995:J995),994,"")</f>
        <v>0</v>
      </c>
      <c r="C995" s="1">
        <f>IF(B995="", "", "UBERON:genitourinary")</f>
        <v>0</v>
      </c>
      <c r="D995" s="1">
        <f>IF(B995="", "", "UBERON:urine")</f>
        <v>0</v>
      </c>
      <c r="E995" s="1">
        <f>IF(B995="", "", "UBERON:kidney")</f>
        <v>0</v>
      </c>
      <c r="F995" s="1">
        <f>IF(B995="", "", "animal corpus")</f>
        <v>0</v>
      </c>
      <c r="G995" s="1">
        <f>IF(B995="", "", "urine")</f>
        <v>0</v>
      </c>
      <c r="H995" s="1">
        <f>IF(B995="", "", "urine")</f>
        <v>0</v>
      </c>
      <c r="I995" s="1">
        <f>IF(B995="", "", "urine metagenome")</f>
        <v>0</v>
      </c>
      <c r="J995" s="1">
        <f>IF(B995="", "", "1346744")</f>
        <v>0</v>
      </c>
    </row>
    <row r="996" spans="1:10">
      <c r="A996">
        <f>IF(COUNTBLANK(B996:J996)&lt;&gt;COLUMNS(B996:J996),995,"")</f>
        <v>0</v>
      </c>
      <c r="C996" s="1">
        <f>IF(B996="", "", "UBERON:genitourinary")</f>
        <v>0</v>
      </c>
      <c r="D996" s="1">
        <f>IF(B996="", "", "UBERON:urine")</f>
        <v>0</v>
      </c>
      <c r="E996" s="1">
        <f>IF(B996="", "", "UBERON:kidney")</f>
        <v>0</v>
      </c>
      <c r="F996" s="1">
        <f>IF(B996="", "", "animal corpus")</f>
        <v>0</v>
      </c>
      <c r="G996" s="1">
        <f>IF(B996="", "", "urine")</f>
        <v>0</v>
      </c>
      <c r="H996" s="1">
        <f>IF(B996="", "", "urine")</f>
        <v>0</v>
      </c>
      <c r="I996" s="1">
        <f>IF(B996="", "", "urine metagenome")</f>
        <v>0</v>
      </c>
      <c r="J996" s="1">
        <f>IF(B996="", "", "1346744")</f>
        <v>0</v>
      </c>
    </row>
    <row r="997" spans="1:10">
      <c r="A997">
        <f>IF(COUNTBLANK(B997:J997)&lt;&gt;COLUMNS(B997:J997),996,"")</f>
        <v>0</v>
      </c>
      <c r="C997" s="1">
        <f>IF(B997="", "", "UBERON:genitourinary")</f>
        <v>0</v>
      </c>
      <c r="D997" s="1">
        <f>IF(B997="", "", "UBERON:urine")</f>
        <v>0</v>
      </c>
      <c r="E997" s="1">
        <f>IF(B997="", "", "UBERON:kidney")</f>
        <v>0</v>
      </c>
      <c r="F997" s="1">
        <f>IF(B997="", "", "animal corpus")</f>
        <v>0</v>
      </c>
      <c r="G997" s="1">
        <f>IF(B997="", "", "urine")</f>
        <v>0</v>
      </c>
      <c r="H997" s="1">
        <f>IF(B997="", "", "urine")</f>
        <v>0</v>
      </c>
      <c r="I997" s="1">
        <f>IF(B997="", "", "urine metagenome")</f>
        <v>0</v>
      </c>
      <c r="J997" s="1">
        <f>IF(B997="", "", "1346744")</f>
        <v>0</v>
      </c>
    </row>
    <row r="998" spans="1:10">
      <c r="A998">
        <f>IF(COUNTBLANK(B998:J998)&lt;&gt;COLUMNS(B998:J998),997,"")</f>
        <v>0</v>
      </c>
      <c r="C998" s="1">
        <f>IF(B998="", "", "UBERON:genitourinary")</f>
        <v>0</v>
      </c>
      <c r="D998" s="1">
        <f>IF(B998="", "", "UBERON:urine")</f>
        <v>0</v>
      </c>
      <c r="E998" s="1">
        <f>IF(B998="", "", "UBERON:kidney")</f>
        <v>0</v>
      </c>
      <c r="F998" s="1">
        <f>IF(B998="", "", "animal corpus")</f>
        <v>0</v>
      </c>
      <c r="G998" s="1">
        <f>IF(B998="", "", "urine")</f>
        <v>0</v>
      </c>
      <c r="H998" s="1">
        <f>IF(B998="", "", "urine")</f>
        <v>0</v>
      </c>
      <c r="I998" s="1">
        <f>IF(B998="", "", "urine metagenome")</f>
        <v>0</v>
      </c>
      <c r="J998" s="1">
        <f>IF(B998="", "", "1346744")</f>
        <v>0</v>
      </c>
    </row>
    <row r="999" spans="1:10">
      <c r="A999">
        <f>IF(COUNTBLANK(B999:J999)&lt;&gt;COLUMNS(B999:J999),998,"")</f>
        <v>0</v>
      </c>
      <c r="C999" s="1">
        <f>IF(B999="", "", "UBERON:genitourinary")</f>
        <v>0</v>
      </c>
      <c r="D999" s="1">
        <f>IF(B999="", "", "UBERON:urine")</f>
        <v>0</v>
      </c>
      <c r="E999" s="1">
        <f>IF(B999="", "", "UBERON:kidney")</f>
        <v>0</v>
      </c>
      <c r="F999" s="1">
        <f>IF(B999="", "", "animal corpus")</f>
        <v>0</v>
      </c>
      <c r="G999" s="1">
        <f>IF(B999="", "", "urine")</f>
        <v>0</v>
      </c>
      <c r="H999" s="1">
        <f>IF(B999="", "", "urine")</f>
        <v>0</v>
      </c>
      <c r="I999" s="1">
        <f>IF(B999="", "", "urine metagenome")</f>
        <v>0</v>
      </c>
      <c r="J999" s="1">
        <f>IF(B999="", "", "1346744")</f>
        <v>0</v>
      </c>
    </row>
    <row r="1000" spans="1:10">
      <c r="A1000">
        <f>IF(COUNTBLANK(B1000:J1000)&lt;&gt;COLUMNS(B1000:J1000),999,"")</f>
        <v>0</v>
      </c>
      <c r="C1000" s="1">
        <f>IF(B1000="", "", "UBERON:genitourinary")</f>
        <v>0</v>
      </c>
      <c r="D1000" s="1">
        <f>IF(B1000="", "", "UBERON:urine")</f>
        <v>0</v>
      </c>
      <c r="E1000" s="1">
        <f>IF(B1000="", "", "UBERON:kidney")</f>
        <v>0</v>
      </c>
      <c r="F1000" s="1">
        <f>IF(B1000="", "", "animal corpus")</f>
        <v>0</v>
      </c>
      <c r="G1000" s="1">
        <f>IF(B1000="", "", "urine")</f>
        <v>0</v>
      </c>
      <c r="H1000" s="1">
        <f>IF(B1000="", "", "urine")</f>
        <v>0</v>
      </c>
      <c r="I1000" s="1">
        <f>IF(B1000="", "", "urine metagenome")</f>
        <v>0</v>
      </c>
      <c r="J1000" s="1">
        <f>IF(B1000="", "", "1346744")</f>
        <v>0</v>
      </c>
    </row>
    <row r="1001" spans="1:10">
      <c r="A1001">
        <f>IF(COUNTBLANK(B1001:J1001)&lt;&gt;COLUMNS(B1001:J1001),1000,"")</f>
        <v>0</v>
      </c>
      <c r="C1001" s="1">
        <f>IF(B1001="", "", "UBERON:genitourinary")</f>
        <v>0</v>
      </c>
      <c r="D1001" s="1">
        <f>IF(B1001="", "", "UBERON:urine")</f>
        <v>0</v>
      </c>
      <c r="E1001" s="1">
        <f>IF(B1001="", "", "UBERON:kidney")</f>
        <v>0</v>
      </c>
      <c r="F1001" s="1">
        <f>IF(B1001="", "", "animal corpus")</f>
        <v>0</v>
      </c>
      <c r="G1001" s="1">
        <f>IF(B1001="", "", "urine")</f>
        <v>0</v>
      </c>
      <c r="H1001" s="1">
        <f>IF(B1001="", "", "urine")</f>
        <v>0</v>
      </c>
      <c r="I1001" s="1">
        <f>IF(B1001="", "", "urine metagenome")</f>
        <v>0</v>
      </c>
      <c r="J1001" s="1">
        <f>IF(B1001="", "", "1346744")</f>
        <v>0</v>
      </c>
    </row>
    <row r="1002" spans="1:10">
      <c r="B1002" s="2" t="s">
        <v>2</v>
      </c>
    </row>
  </sheetData>
  <sheetProtection sheet="1" objects="1" scenarios="1" formatCells="0" formatColumns="0" formatRows="0"/>
  <dataValidations count="9">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body_habitat" error="The body_habitat value entered is not valid. The value must be a string and must equal &quot;UBERON:genitourinary&quot;. The default value is UBERON:genitourinary." promptTitle="Enter body_habitat" prompt="The value must be a string and must equal &quot;UBERON:genitourinary&quot;. The default value is UBERON:genitourinary." sqref="C2:C1001">
      <formula1>"UBERON:genitourinary"</formula1>
    </dataValidation>
    <dataValidation type="list" allowBlank="1" showInputMessage="1" showErrorMessage="1" errorTitle="Invalid body_product" error="The body_product value entered is not valid. The value must be a string and must equal &quot;UBERON:urine&quot;. The default value is UBERON:urine." promptTitle="Enter body_product" prompt="The value must be a string and must equal &quot;UBERON:urine&quot;. The default value is UBERON:urine." sqref="D2:D1001">
      <formula1>"UBERON:urine"</formula1>
    </dataValidation>
    <dataValidation type="list" allowBlank="1" showInputMessage="1" showErrorMessage="1" errorTitle="Invalid body_site" error="The body_site value entered is not valid. The value must be a string and must equal &quot;UBERON:kidney&quot;. The default value is UBERON:kidney." promptTitle="Enter body_site" prompt="The value must be a string and must equal &quot;UBERON:kidney&quot;. The default value is UBERON:kidney." sqref="E2:E1001">
      <formula1>"UBERON:kidney"</formula1>
    </dataValidation>
    <dataValidation type="list" allowBlank="1" showInputMessage="1" showErrorMessage="1" errorTitle="Invalid empo_3" error="The empo_3 value entered is not valid. The value must be a string and must equal &quot;animal corpus&quot;. The default value is animal corpus." promptTitle="Enter empo_3" prompt="The value must be a string and must equal &quot;animal corpus&quot;. The default value is animal corpus." sqref="F2:F1001">
      <formula1>"animal corpus"</formula1>
    </dataValidation>
    <dataValidation type="list" allowBlank="1" showInputMessage="1" showErrorMessage="1" errorTitle="Invalid env_material" error="The env_material value entered is not valid. The value must be a string and must equal &quot;urine&quot;. The default value is urine." promptTitle="Enter env_material" prompt="The value must be a string and must equal &quot;urine&quot;. The default value is urine." sqref="G2:G1001">
      <formula1>"urine"</formula1>
    </dataValidation>
    <dataValidation type="list" allowBlank="1" showInputMessage="1" showErrorMessage="1" errorTitle="Invalid sample_type" error="The sample_type value entered is not valid. The value must be a string and must equal &quot;urine&quot;. The default value is urine." promptTitle="Enter sample_type" prompt="The value must be a string and must equal &quot;urine&quot;. The default value is urine." sqref="H2:H1001">
      <formula1>"urine"</formula1>
    </dataValidation>
    <dataValidation type="list" allowBlank="1" showInputMessage="1" showErrorMessage="1" errorTitle="Invalid scientific_name" error="The scientific_name value entered is not valid. The value must be a string and must equal &quot;urine metagenome&quot;. The default value is urine metagenome." promptTitle="Enter scientific_name" prompt="The value must be a string and must equal &quot;urine metagenome&quot;. The default value is urine metagenome." sqref="I2:I1001">
      <formula1>"urine metagenome"</formula1>
    </dataValidation>
    <dataValidation type="list" allowBlank="1" showInputMessage="1" showErrorMessage="1" errorTitle="Invalid taxon_id" error="The taxon_id value entered is not valid. The value must be a string and must equal &quot;1346744&quot;. The default value is 1346744." promptTitle="Enter taxon_id" prompt="The value must be a string and must equal &quot;1346744&quot;. The default value is 1346744." sqref="J2:J1001">
      <formula1>"1346744"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6" max="6" width="9.140625" style="3"/>
    <col min="7" max="7" width="9.140625" style="3"/>
    <col min="8" max="8" width="9.140625" style="3"/>
    <col min="9" max="9" width="9.140625" style="3"/>
    <col min="10" max="10" width="9.140625" style="3"/>
    <col min="14" max="20" width="0" hidden="1" customWidth="1"/>
    <col min="21" max="29" width="0" hidden="1" customWidth="1"/>
  </cols>
  <sheetData>
    <row r="1" spans="1:29">
      <c r="A1" s="2" t="s">
        <v>1</v>
      </c>
      <c r="B1" s="2">
        <f>IF(B2=" ", " ", INDEX($U$1:$AC$1, 1, MATCH(COLUMNS($U$1006:U1006),$U$1006:$AC$1006,0)))</f>
        <v>0</v>
      </c>
      <c r="C1" s="2">
        <f>IF(C2=" ", " ", INDEX($U$1:$AC$1, 1, MATCH(COLUMNS($U$1006:V1006),$U$1006:$AC$1006,0)))</f>
        <v>0</v>
      </c>
      <c r="D1" s="2">
        <f>IF(D2=" ", " ", INDEX($U$1:$AC$1, 1, MATCH(COLUMNS($U$1006:W1006),$U$1006:$AC$1006,0)))</f>
        <v>0</v>
      </c>
      <c r="E1" s="2">
        <f>IF(E2=" ", " ", INDEX($U$1:$AC$1, 1, MATCH(COLUMNS($U$1006:X1006),$U$1006:$AC$1006,0)))</f>
        <v>0</v>
      </c>
      <c r="F1" s="2">
        <f>IF(F2=" ", " ", INDEX($U$1:$AC$1, 1, MATCH(COLUMNS($U$1006:Y1006),$U$1006:$AC$1006,0)))</f>
        <v>0</v>
      </c>
      <c r="G1" s="2">
        <f>IF(G2=" ", " ", INDEX($U$1:$AC$1, 1, MATCH(COLUMNS($U$1006:Z1006),$U$1006:$AC$1006,0)))</f>
        <v>0</v>
      </c>
      <c r="H1" s="2">
        <f>IF(H2=" ", " ", INDEX($U$1:$AC$1, 1, MATCH(COLUMNS($U$1006:AA1006),$U$1006:$AC$1006,0)))</f>
        <v>0</v>
      </c>
      <c r="I1" s="2">
        <f>IF(I2=" ", " ", INDEX($U$1:$AC$1, 1, MATCH(COLUMNS($U$1006:AB1006),$U$1006:$AC$1006,0)))</f>
        <v>0</v>
      </c>
      <c r="J1" s="2">
        <f>IF(J2=" ", " ", INDEX($U$1:$AC$1, 1, MATCH(COLUMNS($U$1006:AC1006),$U$1006:$AC$1006,0)))</f>
        <v>0</v>
      </c>
      <c r="N1" s="2" t="s">
        <v>15</v>
      </c>
      <c r="O1" s="2" t="s">
        <v>14</v>
      </c>
      <c r="P1" s="2" t="s">
        <v>13</v>
      </c>
      <c r="Q1" s="2" t="s">
        <v>12</v>
      </c>
      <c r="R1" s="2" t="s">
        <v>11</v>
      </c>
      <c r="S1" s="2" t="s">
        <v>1</v>
      </c>
      <c r="U1" s="2" t="s">
        <v>1</v>
      </c>
      <c r="V1" s="2" t="s">
        <v>3</v>
      </c>
      <c r="W1" s="2" t="s">
        <v>4</v>
      </c>
      <c r="X1" s="2" t="s">
        <v>5</v>
      </c>
      <c r="Y1" s="2" t="s">
        <v>6</v>
      </c>
      <c r="Z1" s="2" t="s">
        <v>7</v>
      </c>
      <c r="AA1" s="2" t="s">
        <v>8</v>
      </c>
      <c r="AB1" s="2" t="s">
        <v>9</v>
      </c>
      <c r="AC1" s="2" t="s">
        <v>10</v>
      </c>
    </row>
    <row r="2" spans="1:29">
      <c r="A2" s="4">
        <f>IF(B2=" "," ",HYPERLINK(CONCATENATE("#metadata!",ADDRESS(INDEX($P$2:$P$1001,MATCH(ROWS($N$2:N2),$N$2:$N$1001,0),0),1)),INDEX($S$2:$S$1001,MATCH(ROWS($N$2:N2),$N$2:$N$1001,0),0)))</f>
        <v>0</v>
      </c>
      <c r="B2" s="3">
        <f>IF(OR(INDEX($O$2:$O$1001,MATCH(ROWS($N$2:N2),$N$2:$N$1001,0),1)&gt;=100000,INDEX($U$1005:$AC$1005,1,MATCH(COLUMNS($U$1006:U1006),$U$1006:$AC$1006,0))&gt;=100000), " ",IF(INDEX($U$2:$AC$1001,MATCH(ROWS($N$2:N2),$N$2:$N$1001,0),MATCH(COLUMNS($U$1006:U1006),$U$1006:$AC$1006,0)), HYPERLINK("#",""), HYPERLINK(CONCATENATE("#metadata!", ADDRESS(INDEX($P$2:$P$1001,MATCH(ROWS($N$2:N2),$N$2:$N$1001,0),0), INDEX($U$1004:$AC$1004,1,MATCH(COLUMNS($U$1006:U1006),$U$1006:$AC$1006,0)))),"Fix")))</f>
        <v>0</v>
      </c>
      <c r="C2" s="3">
        <f>IF(OR(INDEX($O$2:$O$1001,MATCH(ROWS($N$2:N2),$N$2:$N$1001,0),1)&gt;=100000,INDEX($U$1005:$AC$1005,1,MATCH(COLUMNS($U$1006:V1006),$U$1006:$AC$1006,0))&gt;=100000), " ",IF(INDEX($U$2:$AC$1001,MATCH(ROWS($N$2:N2),$N$2:$N$1001,0),MATCH(COLUMNS($U$1006:V1006),$U$1006:$AC$1006,0)), HYPERLINK("#",""), HYPERLINK(CONCATENATE("#metadata!", ADDRESS(INDEX($P$2:$P$1001,MATCH(ROWS($N$2:N2),$N$2:$N$1001,0),0), INDEX($U$1004:$AC$1004,1,MATCH(COLUMNS($U$1006:V1006),$U$1006:$AC$1006,0)))),"Fix")))</f>
        <v>0</v>
      </c>
      <c r="D2" s="3">
        <f>IF(OR(INDEX($O$2:$O$1001,MATCH(ROWS($N$2:N2),$N$2:$N$1001,0),1)&gt;=100000,INDEX($U$1005:$AC$1005,1,MATCH(COLUMNS($U$1006:W1006),$U$1006:$AC$1006,0))&gt;=100000), " ",IF(INDEX($U$2:$AC$1001,MATCH(ROWS($N$2:N2),$N$2:$N$1001,0),MATCH(COLUMNS($U$1006:W1006),$U$1006:$AC$1006,0)), HYPERLINK("#",""), HYPERLINK(CONCATENATE("#metadata!", ADDRESS(INDEX($P$2:$P$1001,MATCH(ROWS($N$2:N2),$N$2:$N$1001,0),0), INDEX($U$1004:$AC$1004,1,MATCH(COLUMNS($U$1006:W1006),$U$1006:$AC$1006,0)))),"Fix")))</f>
        <v>0</v>
      </c>
      <c r="E2" s="3">
        <f>IF(OR(INDEX($O$2:$O$1001,MATCH(ROWS($N$2:N2),$N$2:$N$1001,0),1)&gt;=100000,INDEX($U$1005:$AC$1005,1,MATCH(COLUMNS($U$1006:X1006),$U$1006:$AC$1006,0))&gt;=100000), " ",IF(INDEX($U$2:$AC$1001,MATCH(ROWS($N$2:N2),$N$2:$N$1001,0),MATCH(COLUMNS($U$1006:X1006),$U$1006:$AC$1006,0)), HYPERLINK("#",""), HYPERLINK(CONCATENATE("#metadata!", ADDRESS(INDEX($P$2:$P$1001,MATCH(ROWS($N$2:N2),$N$2:$N$1001,0),0), INDEX($U$1004:$AC$1004,1,MATCH(COLUMNS($U$1006:X1006),$U$1006:$AC$1006,0)))),"Fix")))</f>
        <v>0</v>
      </c>
      <c r="F2" s="3">
        <f>IF(OR(INDEX($O$2:$O$1001,MATCH(ROWS($N$2:N2),$N$2:$N$1001,0),1)&gt;=100000,INDEX($U$1005:$AC$1005,1,MATCH(COLUMNS($U$1006:Y1006),$U$1006:$AC$1006,0))&gt;=100000), " ",IF(INDEX($U$2:$AC$1001,MATCH(ROWS($N$2:N2),$N$2:$N$1001,0),MATCH(COLUMNS($U$1006:Y1006),$U$1006:$AC$1006,0)), HYPERLINK("#",""), HYPERLINK(CONCATENATE("#metadata!", ADDRESS(INDEX($P$2:$P$1001,MATCH(ROWS($N$2:N2),$N$2:$N$1001,0),0), INDEX($U$1004:$AC$1004,1,MATCH(COLUMNS($U$1006:Y1006),$U$1006:$AC$1006,0)))),"Fix")))</f>
        <v>0</v>
      </c>
      <c r="G2" s="3">
        <f>IF(OR(INDEX($O$2:$O$1001,MATCH(ROWS($N$2:N2),$N$2:$N$1001,0),1)&gt;=100000,INDEX($U$1005:$AC$1005,1,MATCH(COLUMNS($U$1006:Z1006),$U$1006:$AC$1006,0))&gt;=100000), " ",IF(INDEX($U$2:$AC$1001,MATCH(ROWS($N$2:N2),$N$2:$N$1001,0),MATCH(COLUMNS($U$1006:Z1006),$U$1006:$AC$1006,0)), HYPERLINK("#",""), HYPERLINK(CONCATENATE("#metadata!", ADDRESS(INDEX($P$2:$P$1001,MATCH(ROWS($N$2:N2),$N$2:$N$1001,0),0), INDEX($U$1004:$AC$1004,1,MATCH(COLUMNS($U$1006:Z1006),$U$1006:$AC$1006,0)))),"Fix")))</f>
        <v>0</v>
      </c>
      <c r="H2" s="3">
        <f>IF(OR(INDEX($O$2:$O$1001,MATCH(ROWS($N$2:N2),$N$2:$N$1001,0),1)&gt;=100000,INDEX($U$1005:$AC$1005,1,MATCH(COLUMNS($U$1006:AA1006),$U$1006:$AC$1006,0))&gt;=100000), " ",IF(INDEX($U$2:$AC$1001,MATCH(ROWS($N$2:N2),$N$2:$N$1001,0),MATCH(COLUMNS($U$1006:AA1006),$U$1006:$AC$1006,0)), HYPERLINK("#",""), HYPERLINK(CONCATENATE("#metadata!", ADDRESS(INDEX($P$2:$P$1001,MATCH(ROWS($N$2:N2),$N$2:$N$1001,0),0), INDEX($U$1004:$AC$1004,1,MATCH(COLUMNS($U$1006:AA1006),$U$1006:$AC$1006,0)))),"Fix")))</f>
        <v>0</v>
      </c>
      <c r="I2" s="3">
        <f>IF(OR(INDEX($O$2:$O$1001,MATCH(ROWS($N$2:N2),$N$2:$N$1001,0),1)&gt;=100000,INDEX($U$1005:$AC$1005,1,MATCH(COLUMNS($U$1006:AB1006),$U$1006:$AC$1006,0))&gt;=100000), " ",IF(INDEX($U$2:$AC$1001,MATCH(ROWS($N$2:N2),$N$2:$N$1001,0),MATCH(COLUMNS($U$1006:AB1006),$U$1006:$AC$1006,0)), HYPERLINK("#",""), HYPERLINK(CONCATENATE("#metadata!", ADDRESS(INDEX($P$2:$P$1001,MATCH(ROWS($N$2:N2),$N$2:$N$1001,0),0), INDEX($U$1004:$AC$1004,1,MATCH(COLUMNS($U$1006:AB1006),$U$1006:$AC$1006,0)))),"Fix")))</f>
        <v>0</v>
      </c>
      <c r="J2" s="3">
        <f>IF(OR(INDEX($O$2:$O$1001,MATCH(ROWS($N$2:N2),$N$2:$N$1001,0),1)&gt;=100000,INDEX($U$1005:$AC$1005,1,MATCH(COLUMNS($U$1006:AC1006),$U$1006:$AC$1006,0))&gt;=100000), " ",IF(INDEX($U$2:$AC$1001,MATCH(ROWS($N$2:N2),$N$2:$N$1001,0),MATCH(COLUMNS($U$1006:AC1006),$U$1006:$AC$1006,0)), HYPERLINK("#",""), HYPERLINK(CONCATENATE("#metadata!", ADDRESS(INDEX($P$2:$P$1001,MATCH(ROWS($N$2:N2),$N$2:$N$1001,0),0), INDEX($U$1004:$AC$1004,1,MATCH(COLUMNS($U$1006:AC1006),$U$1006:$AC$1006,0)))),"Fix")))</f>
        <v>0</v>
      </c>
      <c r="N2">
        <f t="array" ref="N2:N1001">COUNTIF(O$2:O$1001,"&lt;="&amp;$O2:$O1001)</f>
        <v>0</v>
      </c>
      <c r="O2">
        <f t="array" ref="O2:O1001">INT(Q2:Q1001)*100000+$P$2:$P$1001</f>
        <v>0</v>
      </c>
      <c r="P2">
        <f t="array" ref="P2:P1001">ROW(metadata!B2:B1001)</f>
        <v>0</v>
      </c>
      <c r="Q2">
        <f>IF(R2,TRUE,AND(U2:AC2))</f>
        <v>0</v>
      </c>
      <c r="R2">
        <f>COUNTBLANK(metadata!B2:J2)=COLUMNS(metadata!B2:J2)</f>
        <v>0</v>
      </c>
      <c r="S2">
        <f t="array" ref="S2:S1001">IF(metadata!B2:B1001="","",metadata!B2:B1001)</f>
        <v>0</v>
      </c>
      <c r="U2">
        <f>AND(IF(metadata!B2="",FALSE,TRUE),COUNTIF(metadata!B:B, metadata!B2) = 1,NOT(ISERROR(SUMPRODUCT(SEARCH(MID(metadata!B2,ROW(INDIRECT("1:"&amp;LEN(metadata!B2))), 1),"0123456789abcdefghijklmnopqrstuvwxyzABCDEFGHIJKLMNOPQRSTUVWXYZ.")))))</f>
        <v>0</v>
      </c>
      <c r="V2">
        <f>AND(IF(metadata!C2="",FALSE,TRUE),exact(metadata!C2,"UBERON:genitourinary"))</f>
        <v>0</v>
      </c>
      <c r="W2">
        <f>AND(IF(metadata!D2="",FALSE,TRUE),exact(metadata!D2,"UBERON:urine"))</f>
        <v>0</v>
      </c>
      <c r="X2">
        <f>AND(IF(metadata!E2="",FALSE,TRUE),exact(metadata!E2,"UBERON:kidney"))</f>
        <v>0</v>
      </c>
      <c r="Y2">
        <f>AND(IF(metadata!F2="",FALSE,TRUE),exact(metadata!F2,"animal corpus"))</f>
        <v>0</v>
      </c>
      <c r="Z2">
        <f>AND(IF(metadata!G2="",FALSE,TRUE),exact(metadata!G2,"urine"))</f>
        <v>0</v>
      </c>
      <c r="AA2">
        <f>AND(IF(metadata!H2="",FALSE,TRUE),exact(metadata!H2,"urine"))</f>
        <v>0</v>
      </c>
      <c r="AB2">
        <f>AND(IF(metadata!I2="",FALSE,TRUE),exact(metadata!I2,"urine metagenome"))</f>
        <v>0</v>
      </c>
      <c r="AC2">
        <f>AND(IF(metadata!J2="",FALSE,TRUE),exact(metadata!J2,"1346744"))</f>
        <v>0</v>
      </c>
    </row>
    <row r="3" spans="1:29">
      <c r="A3" s="4">
        <f>IF(B3=" "," ",HYPERLINK(CONCATENATE("#metadata!",ADDRESS(INDEX($P$2:$P$1001,MATCH(ROWS($N$2:N3),$N$2:$N$1001,0),0),1)),INDEX($S$2:$S$1001,MATCH(ROWS($N$2:N3),$N$2:$N$1001,0),0)))</f>
        <v>0</v>
      </c>
      <c r="B3" s="3">
        <f>IF(OR(INDEX($O$2:$O$1001,MATCH(ROWS($N$2:N3),$N$2:$N$1001,0),1)&gt;=100000,INDEX($U$1005:$AC$1005,1,MATCH(COLUMNS($U$1006:U1006),$U$1006:$AC$1006,0))&gt;=100000), " ",IF(INDEX($U$2:$AC$1001,MATCH(ROWS($N$2:N3),$N$2:$N$1001,0),MATCH(COLUMNS($U$1006:U1006),$U$1006:$AC$1006,0)), HYPERLINK("#",""), HYPERLINK(CONCATENATE("#metadata!", ADDRESS(INDEX($P$2:$P$1001,MATCH(ROWS($N$2:N3),$N$2:$N$1001,0),0), INDEX($U$1004:$AC$1004,1,MATCH(COLUMNS($U$1006:U1006),$U$1006:$AC$1006,0)))),"Fix")))</f>
        <v>0</v>
      </c>
      <c r="C3" s="3">
        <f>IF(OR(INDEX($O$2:$O$1001,MATCH(ROWS($N$2:N3),$N$2:$N$1001,0),1)&gt;=100000,INDEX($U$1005:$AC$1005,1,MATCH(COLUMNS($U$1006:V1006),$U$1006:$AC$1006,0))&gt;=100000), " ",IF(INDEX($U$2:$AC$1001,MATCH(ROWS($N$2:N3),$N$2:$N$1001,0),MATCH(COLUMNS($U$1006:V1006),$U$1006:$AC$1006,0)), HYPERLINK("#",""), HYPERLINK(CONCATENATE("#metadata!", ADDRESS(INDEX($P$2:$P$1001,MATCH(ROWS($N$2:N3),$N$2:$N$1001,0),0), INDEX($U$1004:$AC$1004,1,MATCH(COLUMNS($U$1006:V1006),$U$1006:$AC$1006,0)))),"Fix")))</f>
        <v>0</v>
      </c>
      <c r="D3" s="3">
        <f>IF(OR(INDEX($O$2:$O$1001,MATCH(ROWS($N$2:N3),$N$2:$N$1001,0),1)&gt;=100000,INDEX($U$1005:$AC$1005,1,MATCH(COLUMNS($U$1006:W1006),$U$1006:$AC$1006,0))&gt;=100000), " ",IF(INDEX($U$2:$AC$1001,MATCH(ROWS($N$2:N3),$N$2:$N$1001,0),MATCH(COLUMNS($U$1006:W1006),$U$1006:$AC$1006,0)), HYPERLINK("#",""), HYPERLINK(CONCATENATE("#metadata!", ADDRESS(INDEX($P$2:$P$1001,MATCH(ROWS($N$2:N3),$N$2:$N$1001,0),0), INDEX($U$1004:$AC$1004,1,MATCH(COLUMNS($U$1006:W1006),$U$1006:$AC$1006,0)))),"Fix")))</f>
        <v>0</v>
      </c>
      <c r="E3" s="3">
        <f>IF(OR(INDEX($O$2:$O$1001,MATCH(ROWS($N$2:N3),$N$2:$N$1001,0),1)&gt;=100000,INDEX($U$1005:$AC$1005,1,MATCH(COLUMNS($U$1006:X1006),$U$1006:$AC$1006,0))&gt;=100000), " ",IF(INDEX($U$2:$AC$1001,MATCH(ROWS($N$2:N3),$N$2:$N$1001,0),MATCH(COLUMNS($U$1006:X1006),$U$1006:$AC$1006,0)), HYPERLINK("#",""), HYPERLINK(CONCATENATE("#metadata!", ADDRESS(INDEX($P$2:$P$1001,MATCH(ROWS($N$2:N3),$N$2:$N$1001,0),0), INDEX($U$1004:$AC$1004,1,MATCH(COLUMNS($U$1006:X1006),$U$1006:$AC$1006,0)))),"Fix")))</f>
        <v>0</v>
      </c>
      <c r="F3" s="3">
        <f>IF(OR(INDEX($O$2:$O$1001,MATCH(ROWS($N$2:N3),$N$2:$N$1001,0),1)&gt;=100000,INDEX($U$1005:$AC$1005,1,MATCH(COLUMNS($U$1006:Y1006),$U$1006:$AC$1006,0))&gt;=100000), " ",IF(INDEX($U$2:$AC$1001,MATCH(ROWS($N$2:N3),$N$2:$N$1001,0),MATCH(COLUMNS($U$1006:Y1006),$U$1006:$AC$1006,0)), HYPERLINK("#",""), HYPERLINK(CONCATENATE("#metadata!", ADDRESS(INDEX($P$2:$P$1001,MATCH(ROWS($N$2:N3),$N$2:$N$1001,0),0), INDEX($U$1004:$AC$1004,1,MATCH(COLUMNS($U$1006:Y1006),$U$1006:$AC$1006,0)))),"Fix")))</f>
        <v>0</v>
      </c>
      <c r="G3" s="3">
        <f>IF(OR(INDEX($O$2:$O$1001,MATCH(ROWS($N$2:N3),$N$2:$N$1001,0),1)&gt;=100000,INDEX($U$1005:$AC$1005,1,MATCH(COLUMNS($U$1006:Z1006),$U$1006:$AC$1006,0))&gt;=100000), " ",IF(INDEX($U$2:$AC$1001,MATCH(ROWS($N$2:N3),$N$2:$N$1001,0),MATCH(COLUMNS($U$1006:Z1006),$U$1006:$AC$1006,0)), HYPERLINK("#",""), HYPERLINK(CONCATENATE("#metadata!", ADDRESS(INDEX($P$2:$P$1001,MATCH(ROWS($N$2:N3),$N$2:$N$1001,0),0), INDEX($U$1004:$AC$1004,1,MATCH(COLUMNS($U$1006:Z1006),$U$1006:$AC$1006,0)))),"Fix")))</f>
        <v>0</v>
      </c>
      <c r="H3" s="3">
        <f>IF(OR(INDEX($O$2:$O$1001,MATCH(ROWS($N$2:N3),$N$2:$N$1001,0),1)&gt;=100000,INDEX($U$1005:$AC$1005,1,MATCH(COLUMNS($U$1006:AA1006),$U$1006:$AC$1006,0))&gt;=100000), " ",IF(INDEX($U$2:$AC$1001,MATCH(ROWS($N$2:N3),$N$2:$N$1001,0),MATCH(COLUMNS($U$1006:AA1006),$U$1006:$AC$1006,0)), HYPERLINK("#",""), HYPERLINK(CONCATENATE("#metadata!", ADDRESS(INDEX($P$2:$P$1001,MATCH(ROWS($N$2:N3),$N$2:$N$1001,0),0), INDEX($U$1004:$AC$1004,1,MATCH(COLUMNS($U$1006:AA1006),$U$1006:$AC$1006,0)))),"Fix")))</f>
        <v>0</v>
      </c>
      <c r="I3" s="3">
        <f>IF(OR(INDEX($O$2:$O$1001,MATCH(ROWS($N$2:N3),$N$2:$N$1001,0),1)&gt;=100000,INDEX($U$1005:$AC$1005,1,MATCH(COLUMNS($U$1006:AB1006),$U$1006:$AC$1006,0))&gt;=100000), " ",IF(INDEX($U$2:$AC$1001,MATCH(ROWS($N$2:N3),$N$2:$N$1001,0),MATCH(COLUMNS($U$1006:AB1006),$U$1006:$AC$1006,0)), HYPERLINK("#",""), HYPERLINK(CONCATENATE("#metadata!", ADDRESS(INDEX($P$2:$P$1001,MATCH(ROWS($N$2:N3),$N$2:$N$1001,0),0), INDEX($U$1004:$AC$1004,1,MATCH(COLUMNS($U$1006:AB1006),$U$1006:$AC$1006,0)))),"Fix")))</f>
        <v>0</v>
      </c>
      <c r="J3" s="3">
        <f>IF(OR(INDEX($O$2:$O$1001,MATCH(ROWS($N$2:N3),$N$2:$N$1001,0),1)&gt;=100000,INDEX($U$1005:$AC$1005,1,MATCH(COLUMNS($U$1006:AC1006),$U$1006:$AC$1006,0))&gt;=100000), " ",IF(INDEX($U$2:$AC$1001,MATCH(ROWS($N$2:N3),$N$2:$N$1001,0),MATCH(COLUMNS($U$1006:AC1006),$U$1006:$AC$1006,0)), HYPERLINK("#",""), HYPERLINK(CONCATENATE("#metadata!", ADDRESS(INDEX($P$2:$P$1001,MATCH(ROWS($N$2:N3),$N$2:$N$1001,0),0), INDEX($U$1004:$AC$1004,1,MATCH(COLUMNS($U$1006:AC1006),$U$1006:$AC$1006,0)))),"Fix")))</f>
        <v>0</v>
      </c>
      <c r="N3">
        <v>0</v>
      </c>
      <c r="O3">
        <v>0</v>
      </c>
      <c r="P3">
        <v>0</v>
      </c>
      <c r="Q3">
        <f>IF(R3,TRUE,AND(U3:AC3))</f>
        <v>0</v>
      </c>
      <c r="R3">
        <f>COUNTBLANK(metadata!B3:J3)=COLUMNS(metadata!B3:J3)</f>
        <v>0</v>
      </c>
      <c r="S3">
        <v>0</v>
      </c>
      <c r="U3">
        <f>AND(IF(metadata!B3="",FALSE,TRUE),COUNTIF(metadata!B:B, metadata!B3) = 1,NOT(ISERROR(SUMPRODUCT(SEARCH(MID(metadata!B3,ROW(INDIRECT("1:"&amp;LEN(metadata!B3))), 1),"0123456789abcdefghijklmnopqrstuvwxyzABCDEFGHIJKLMNOPQRSTUVWXYZ.")))))</f>
        <v>0</v>
      </c>
      <c r="V3">
        <f>AND(IF(metadata!C3="",FALSE,TRUE),exact(metadata!C3,"UBERON:genitourinary"))</f>
        <v>0</v>
      </c>
      <c r="W3">
        <f>AND(IF(metadata!D3="",FALSE,TRUE),exact(metadata!D3,"UBERON:urine"))</f>
        <v>0</v>
      </c>
      <c r="X3">
        <f>AND(IF(metadata!E3="",FALSE,TRUE),exact(metadata!E3,"UBERON:kidney"))</f>
        <v>0</v>
      </c>
      <c r="Y3">
        <f>AND(IF(metadata!F3="",FALSE,TRUE),exact(metadata!F3,"animal corpus"))</f>
        <v>0</v>
      </c>
      <c r="Z3">
        <f>AND(IF(metadata!G3="",FALSE,TRUE),exact(metadata!G3,"urine"))</f>
        <v>0</v>
      </c>
      <c r="AA3">
        <f>AND(IF(metadata!H3="",FALSE,TRUE),exact(metadata!H3,"urine"))</f>
        <v>0</v>
      </c>
      <c r="AB3">
        <f>AND(IF(metadata!I3="",FALSE,TRUE),exact(metadata!I3,"urine metagenome"))</f>
        <v>0</v>
      </c>
      <c r="AC3">
        <f>AND(IF(metadata!J3="",FALSE,TRUE),exact(metadata!J3,"1346744"))</f>
        <v>0</v>
      </c>
    </row>
    <row r="4" spans="1:29">
      <c r="A4" s="4">
        <f>IF(B4=" "," ",HYPERLINK(CONCATENATE("#metadata!",ADDRESS(INDEX($P$2:$P$1001,MATCH(ROWS($N$2:N4),$N$2:$N$1001,0),0),1)),INDEX($S$2:$S$1001,MATCH(ROWS($N$2:N4),$N$2:$N$1001,0),0)))</f>
        <v>0</v>
      </c>
      <c r="B4" s="3">
        <f>IF(OR(INDEX($O$2:$O$1001,MATCH(ROWS($N$2:N4),$N$2:$N$1001,0),1)&gt;=100000,INDEX($U$1005:$AC$1005,1,MATCH(COLUMNS($U$1006:U1006),$U$1006:$AC$1006,0))&gt;=100000), " ",IF(INDEX($U$2:$AC$1001,MATCH(ROWS($N$2:N4),$N$2:$N$1001,0),MATCH(COLUMNS($U$1006:U1006),$U$1006:$AC$1006,0)), HYPERLINK("#",""), HYPERLINK(CONCATENATE("#metadata!", ADDRESS(INDEX($P$2:$P$1001,MATCH(ROWS($N$2:N4),$N$2:$N$1001,0),0), INDEX($U$1004:$AC$1004,1,MATCH(COLUMNS($U$1006:U1006),$U$1006:$AC$1006,0)))),"Fix")))</f>
        <v>0</v>
      </c>
      <c r="C4" s="3">
        <f>IF(OR(INDEX($O$2:$O$1001,MATCH(ROWS($N$2:N4),$N$2:$N$1001,0),1)&gt;=100000,INDEX($U$1005:$AC$1005,1,MATCH(COLUMNS($U$1006:V1006),$U$1006:$AC$1006,0))&gt;=100000), " ",IF(INDEX($U$2:$AC$1001,MATCH(ROWS($N$2:N4),$N$2:$N$1001,0),MATCH(COLUMNS($U$1006:V1006),$U$1006:$AC$1006,0)), HYPERLINK("#",""), HYPERLINK(CONCATENATE("#metadata!", ADDRESS(INDEX($P$2:$P$1001,MATCH(ROWS($N$2:N4),$N$2:$N$1001,0),0), INDEX($U$1004:$AC$1004,1,MATCH(COLUMNS($U$1006:V1006),$U$1006:$AC$1006,0)))),"Fix")))</f>
        <v>0</v>
      </c>
      <c r="D4" s="3">
        <f>IF(OR(INDEX($O$2:$O$1001,MATCH(ROWS($N$2:N4),$N$2:$N$1001,0),1)&gt;=100000,INDEX($U$1005:$AC$1005,1,MATCH(COLUMNS($U$1006:W1006),$U$1006:$AC$1006,0))&gt;=100000), " ",IF(INDEX($U$2:$AC$1001,MATCH(ROWS($N$2:N4),$N$2:$N$1001,0),MATCH(COLUMNS($U$1006:W1006),$U$1006:$AC$1006,0)), HYPERLINK("#",""), HYPERLINK(CONCATENATE("#metadata!", ADDRESS(INDEX($P$2:$P$1001,MATCH(ROWS($N$2:N4),$N$2:$N$1001,0),0), INDEX($U$1004:$AC$1004,1,MATCH(COLUMNS($U$1006:W1006),$U$1006:$AC$1006,0)))),"Fix")))</f>
        <v>0</v>
      </c>
      <c r="E4" s="3">
        <f>IF(OR(INDEX($O$2:$O$1001,MATCH(ROWS($N$2:N4),$N$2:$N$1001,0),1)&gt;=100000,INDEX($U$1005:$AC$1005,1,MATCH(COLUMNS($U$1006:X1006),$U$1006:$AC$1006,0))&gt;=100000), " ",IF(INDEX($U$2:$AC$1001,MATCH(ROWS($N$2:N4),$N$2:$N$1001,0),MATCH(COLUMNS($U$1006:X1006),$U$1006:$AC$1006,0)), HYPERLINK("#",""), HYPERLINK(CONCATENATE("#metadata!", ADDRESS(INDEX($P$2:$P$1001,MATCH(ROWS($N$2:N4),$N$2:$N$1001,0),0), INDEX($U$1004:$AC$1004,1,MATCH(COLUMNS($U$1006:X1006),$U$1006:$AC$1006,0)))),"Fix")))</f>
        <v>0</v>
      </c>
      <c r="F4" s="3">
        <f>IF(OR(INDEX($O$2:$O$1001,MATCH(ROWS($N$2:N4),$N$2:$N$1001,0),1)&gt;=100000,INDEX($U$1005:$AC$1005,1,MATCH(COLUMNS($U$1006:Y1006),$U$1006:$AC$1006,0))&gt;=100000), " ",IF(INDEX($U$2:$AC$1001,MATCH(ROWS($N$2:N4),$N$2:$N$1001,0),MATCH(COLUMNS($U$1006:Y1006),$U$1006:$AC$1006,0)), HYPERLINK("#",""), HYPERLINK(CONCATENATE("#metadata!", ADDRESS(INDEX($P$2:$P$1001,MATCH(ROWS($N$2:N4),$N$2:$N$1001,0),0), INDEX($U$1004:$AC$1004,1,MATCH(COLUMNS($U$1006:Y1006),$U$1006:$AC$1006,0)))),"Fix")))</f>
        <v>0</v>
      </c>
      <c r="G4" s="3">
        <f>IF(OR(INDEX($O$2:$O$1001,MATCH(ROWS($N$2:N4),$N$2:$N$1001,0),1)&gt;=100000,INDEX($U$1005:$AC$1005,1,MATCH(COLUMNS($U$1006:Z1006),$U$1006:$AC$1006,0))&gt;=100000), " ",IF(INDEX($U$2:$AC$1001,MATCH(ROWS($N$2:N4),$N$2:$N$1001,0),MATCH(COLUMNS($U$1006:Z1006),$U$1006:$AC$1006,0)), HYPERLINK("#",""), HYPERLINK(CONCATENATE("#metadata!", ADDRESS(INDEX($P$2:$P$1001,MATCH(ROWS($N$2:N4),$N$2:$N$1001,0),0), INDEX($U$1004:$AC$1004,1,MATCH(COLUMNS($U$1006:Z1006),$U$1006:$AC$1006,0)))),"Fix")))</f>
        <v>0</v>
      </c>
      <c r="H4" s="3">
        <f>IF(OR(INDEX($O$2:$O$1001,MATCH(ROWS($N$2:N4),$N$2:$N$1001,0),1)&gt;=100000,INDEX($U$1005:$AC$1005,1,MATCH(COLUMNS($U$1006:AA1006),$U$1006:$AC$1006,0))&gt;=100000), " ",IF(INDEX($U$2:$AC$1001,MATCH(ROWS($N$2:N4),$N$2:$N$1001,0),MATCH(COLUMNS($U$1006:AA1006),$U$1006:$AC$1006,0)), HYPERLINK("#",""), HYPERLINK(CONCATENATE("#metadata!", ADDRESS(INDEX($P$2:$P$1001,MATCH(ROWS($N$2:N4),$N$2:$N$1001,0),0), INDEX($U$1004:$AC$1004,1,MATCH(COLUMNS($U$1006:AA1006),$U$1006:$AC$1006,0)))),"Fix")))</f>
        <v>0</v>
      </c>
      <c r="I4" s="3">
        <f>IF(OR(INDEX($O$2:$O$1001,MATCH(ROWS($N$2:N4),$N$2:$N$1001,0),1)&gt;=100000,INDEX($U$1005:$AC$1005,1,MATCH(COLUMNS($U$1006:AB1006),$U$1006:$AC$1006,0))&gt;=100000), " ",IF(INDEX($U$2:$AC$1001,MATCH(ROWS($N$2:N4),$N$2:$N$1001,0),MATCH(COLUMNS($U$1006:AB1006),$U$1006:$AC$1006,0)), HYPERLINK("#",""), HYPERLINK(CONCATENATE("#metadata!", ADDRESS(INDEX($P$2:$P$1001,MATCH(ROWS($N$2:N4),$N$2:$N$1001,0),0), INDEX($U$1004:$AC$1004,1,MATCH(COLUMNS($U$1006:AB1006),$U$1006:$AC$1006,0)))),"Fix")))</f>
        <v>0</v>
      </c>
      <c r="J4" s="3">
        <f>IF(OR(INDEX($O$2:$O$1001,MATCH(ROWS($N$2:N4),$N$2:$N$1001,0),1)&gt;=100000,INDEX($U$1005:$AC$1005,1,MATCH(COLUMNS($U$1006:AC1006),$U$1006:$AC$1006,0))&gt;=100000), " ",IF(INDEX($U$2:$AC$1001,MATCH(ROWS($N$2:N4),$N$2:$N$1001,0),MATCH(COLUMNS($U$1006:AC1006),$U$1006:$AC$1006,0)), HYPERLINK("#",""), HYPERLINK(CONCATENATE("#metadata!", ADDRESS(INDEX($P$2:$P$1001,MATCH(ROWS($N$2:N4),$N$2:$N$1001,0),0), INDEX($U$1004:$AC$1004,1,MATCH(COLUMNS($U$1006:AC1006),$U$1006:$AC$1006,0)))),"Fix")))</f>
        <v>0</v>
      </c>
      <c r="N4">
        <v>0</v>
      </c>
      <c r="O4">
        <v>0</v>
      </c>
      <c r="P4">
        <v>0</v>
      </c>
      <c r="Q4">
        <f>IF(R4,TRUE,AND(U4:AC4))</f>
        <v>0</v>
      </c>
      <c r="R4">
        <f>COUNTBLANK(metadata!B4:J4)=COLUMNS(metadata!B4:J4)</f>
        <v>0</v>
      </c>
      <c r="S4">
        <v>0</v>
      </c>
      <c r="U4">
        <f>AND(IF(metadata!B4="",FALSE,TRUE),COUNTIF(metadata!B:B, metadata!B4) = 1,NOT(ISERROR(SUMPRODUCT(SEARCH(MID(metadata!B4,ROW(INDIRECT("1:"&amp;LEN(metadata!B4))), 1),"0123456789abcdefghijklmnopqrstuvwxyzABCDEFGHIJKLMNOPQRSTUVWXYZ.")))))</f>
        <v>0</v>
      </c>
      <c r="V4">
        <f>AND(IF(metadata!C4="",FALSE,TRUE),exact(metadata!C4,"UBERON:genitourinary"))</f>
        <v>0</v>
      </c>
      <c r="W4">
        <f>AND(IF(metadata!D4="",FALSE,TRUE),exact(metadata!D4,"UBERON:urine"))</f>
        <v>0</v>
      </c>
      <c r="X4">
        <f>AND(IF(metadata!E4="",FALSE,TRUE),exact(metadata!E4,"UBERON:kidney"))</f>
        <v>0</v>
      </c>
      <c r="Y4">
        <f>AND(IF(metadata!F4="",FALSE,TRUE),exact(metadata!F4,"animal corpus"))</f>
        <v>0</v>
      </c>
      <c r="Z4">
        <f>AND(IF(metadata!G4="",FALSE,TRUE),exact(metadata!G4,"urine"))</f>
        <v>0</v>
      </c>
      <c r="AA4">
        <f>AND(IF(metadata!H4="",FALSE,TRUE),exact(metadata!H4,"urine"))</f>
        <v>0</v>
      </c>
      <c r="AB4">
        <f>AND(IF(metadata!I4="",FALSE,TRUE),exact(metadata!I4,"urine metagenome"))</f>
        <v>0</v>
      </c>
      <c r="AC4">
        <f>AND(IF(metadata!J4="",FALSE,TRUE),exact(metadata!J4,"1346744"))</f>
        <v>0</v>
      </c>
    </row>
    <row r="5" spans="1:29">
      <c r="A5" s="4">
        <f>IF(B5=" "," ",HYPERLINK(CONCATENATE("#metadata!",ADDRESS(INDEX($P$2:$P$1001,MATCH(ROWS($N$2:N5),$N$2:$N$1001,0),0),1)),INDEX($S$2:$S$1001,MATCH(ROWS($N$2:N5),$N$2:$N$1001,0),0)))</f>
        <v>0</v>
      </c>
      <c r="B5" s="3">
        <f>IF(OR(INDEX($O$2:$O$1001,MATCH(ROWS($N$2:N5),$N$2:$N$1001,0),1)&gt;=100000,INDEX($U$1005:$AC$1005,1,MATCH(COLUMNS($U$1006:U1006),$U$1006:$AC$1006,0))&gt;=100000), " ",IF(INDEX($U$2:$AC$1001,MATCH(ROWS($N$2:N5),$N$2:$N$1001,0),MATCH(COLUMNS($U$1006:U1006),$U$1006:$AC$1006,0)), HYPERLINK("#",""), HYPERLINK(CONCATENATE("#metadata!", ADDRESS(INDEX($P$2:$P$1001,MATCH(ROWS($N$2:N5),$N$2:$N$1001,0),0), INDEX($U$1004:$AC$1004,1,MATCH(COLUMNS($U$1006:U1006),$U$1006:$AC$1006,0)))),"Fix")))</f>
        <v>0</v>
      </c>
      <c r="C5" s="3">
        <f>IF(OR(INDEX($O$2:$O$1001,MATCH(ROWS($N$2:N5),$N$2:$N$1001,0),1)&gt;=100000,INDEX($U$1005:$AC$1005,1,MATCH(COLUMNS($U$1006:V1006),$U$1006:$AC$1006,0))&gt;=100000), " ",IF(INDEX($U$2:$AC$1001,MATCH(ROWS($N$2:N5),$N$2:$N$1001,0),MATCH(COLUMNS($U$1006:V1006),$U$1006:$AC$1006,0)), HYPERLINK("#",""), HYPERLINK(CONCATENATE("#metadata!", ADDRESS(INDEX($P$2:$P$1001,MATCH(ROWS($N$2:N5),$N$2:$N$1001,0),0), INDEX($U$1004:$AC$1004,1,MATCH(COLUMNS($U$1006:V1006),$U$1006:$AC$1006,0)))),"Fix")))</f>
        <v>0</v>
      </c>
      <c r="D5" s="3">
        <f>IF(OR(INDEX($O$2:$O$1001,MATCH(ROWS($N$2:N5),$N$2:$N$1001,0),1)&gt;=100000,INDEX($U$1005:$AC$1005,1,MATCH(COLUMNS($U$1006:W1006),$U$1006:$AC$1006,0))&gt;=100000), " ",IF(INDEX($U$2:$AC$1001,MATCH(ROWS($N$2:N5),$N$2:$N$1001,0),MATCH(COLUMNS($U$1006:W1006),$U$1006:$AC$1006,0)), HYPERLINK("#",""), HYPERLINK(CONCATENATE("#metadata!", ADDRESS(INDEX($P$2:$P$1001,MATCH(ROWS($N$2:N5),$N$2:$N$1001,0),0), INDEX($U$1004:$AC$1004,1,MATCH(COLUMNS($U$1006:W1006),$U$1006:$AC$1006,0)))),"Fix")))</f>
        <v>0</v>
      </c>
      <c r="E5" s="3">
        <f>IF(OR(INDEX($O$2:$O$1001,MATCH(ROWS($N$2:N5),$N$2:$N$1001,0),1)&gt;=100000,INDEX($U$1005:$AC$1005,1,MATCH(COLUMNS($U$1006:X1006),$U$1006:$AC$1006,0))&gt;=100000), " ",IF(INDEX($U$2:$AC$1001,MATCH(ROWS($N$2:N5),$N$2:$N$1001,0),MATCH(COLUMNS($U$1006:X1006),$U$1006:$AC$1006,0)), HYPERLINK("#",""), HYPERLINK(CONCATENATE("#metadata!", ADDRESS(INDEX($P$2:$P$1001,MATCH(ROWS($N$2:N5),$N$2:$N$1001,0),0), INDEX($U$1004:$AC$1004,1,MATCH(COLUMNS($U$1006:X1006),$U$1006:$AC$1006,0)))),"Fix")))</f>
        <v>0</v>
      </c>
      <c r="F5" s="3">
        <f>IF(OR(INDEX($O$2:$O$1001,MATCH(ROWS($N$2:N5),$N$2:$N$1001,0),1)&gt;=100000,INDEX($U$1005:$AC$1005,1,MATCH(COLUMNS($U$1006:Y1006),$U$1006:$AC$1006,0))&gt;=100000), " ",IF(INDEX($U$2:$AC$1001,MATCH(ROWS($N$2:N5),$N$2:$N$1001,0),MATCH(COLUMNS($U$1006:Y1006),$U$1006:$AC$1006,0)), HYPERLINK("#",""), HYPERLINK(CONCATENATE("#metadata!", ADDRESS(INDEX($P$2:$P$1001,MATCH(ROWS($N$2:N5),$N$2:$N$1001,0),0), INDEX($U$1004:$AC$1004,1,MATCH(COLUMNS($U$1006:Y1006),$U$1006:$AC$1006,0)))),"Fix")))</f>
        <v>0</v>
      </c>
      <c r="G5" s="3">
        <f>IF(OR(INDEX($O$2:$O$1001,MATCH(ROWS($N$2:N5),$N$2:$N$1001,0),1)&gt;=100000,INDEX($U$1005:$AC$1005,1,MATCH(COLUMNS($U$1006:Z1006),$U$1006:$AC$1006,0))&gt;=100000), " ",IF(INDEX($U$2:$AC$1001,MATCH(ROWS($N$2:N5),$N$2:$N$1001,0),MATCH(COLUMNS($U$1006:Z1006),$U$1006:$AC$1006,0)), HYPERLINK("#",""), HYPERLINK(CONCATENATE("#metadata!", ADDRESS(INDEX($P$2:$P$1001,MATCH(ROWS($N$2:N5),$N$2:$N$1001,0),0), INDEX($U$1004:$AC$1004,1,MATCH(COLUMNS($U$1006:Z1006),$U$1006:$AC$1006,0)))),"Fix")))</f>
        <v>0</v>
      </c>
      <c r="H5" s="3">
        <f>IF(OR(INDEX($O$2:$O$1001,MATCH(ROWS($N$2:N5),$N$2:$N$1001,0),1)&gt;=100000,INDEX($U$1005:$AC$1005,1,MATCH(COLUMNS($U$1006:AA1006),$U$1006:$AC$1006,0))&gt;=100000), " ",IF(INDEX($U$2:$AC$1001,MATCH(ROWS($N$2:N5),$N$2:$N$1001,0),MATCH(COLUMNS($U$1006:AA1006),$U$1006:$AC$1006,0)), HYPERLINK("#",""), HYPERLINK(CONCATENATE("#metadata!", ADDRESS(INDEX($P$2:$P$1001,MATCH(ROWS($N$2:N5),$N$2:$N$1001,0),0), INDEX($U$1004:$AC$1004,1,MATCH(COLUMNS($U$1006:AA1006),$U$1006:$AC$1006,0)))),"Fix")))</f>
        <v>0</v>
      </c>
      <c r="I5" s="3">
        <f>IF(OR(INDEX($O$2:$O$1001,MATCH(ROWS($N$2:N5),$N$2:$N$1001,0),1)&gt;=100000,INDEX($U$1005:$AC$1005,1,MATCH(COLUMNS($U$1006:AB1006),$U$1006:$AC$1006,0))&gt;=100000), " ",IF(INDEX($U$2:$AC$1001,MATCH(ROWS($N$2:N5),$N$2:$N$1001,0),MATCH(COLUMNS($U$1006:AB1006),$U$1006:$AC$1006,0)), HYPERLINK("#",""), HYPERLINK(CONCATENATE("#metadata!", ADDRESS(INDEX($P$2:$P$1001,MATCH(ROWS($N$2:N5),$N$2:$N$1001,0),0), INDEX($U$1004:$AC$1004,1,MATCH(COLUMNS($U$1006:AB1006),$U$1006:$AC$1006,0)))),"Fix")))</f>
        <v>0</v>
      </c>
      <c r="J5" s="3">
        <f>IF(OR(INDEX($O$2:$O$1001,MATCH(ROWS($N$2:N5),$N$2:$N$1001,0),1)&gt;=100000,INDEX($U$1005:$AC$1005,1,MATCH(COLUMNS($U$1006:AC1006),$U$1006:$AC$1006,0))&gt;=100000), " ",IF(INDEX($U$2:$AC$1001,MATCH(ROWS($N$2:N5),$N$2:$N$1001,0),MATCH(COLUMNS($U$1006:AC1006),$U$1006:$AC$1006,0)), HYPERLINK("#",""), HYPERLINK(CONCATENATE("#metadata!", ADDRESS(INDEX($P$2:$P$1001,MATCH(ROWS($N$2:N5),$N$2:$N$1001,0),0), INDEX($U$1004:$AC$1004,1,MATCH(COLUMNS($U$1006:AC1006),$U$1006:$AC$1006,0)))),"Fix")))</f>
        <v>0</v>
      </c>
      <c r="N5">
        <v>0</v>
      </c>
      <c r="O5">
        <v>0</v>
      </c>
      <c r="P5">
        <v>0</v>
      </c>
      <c r="Q5">
        <f>IF(R5,TRUE,AND(U5:AC5))</f>
        <v>0</v>
      </c>
      <c r="R5">
        <f>COUNTBLANK(metadata!B5:J5)=COLUMNS(metadata!B5:J5)</f>
        <v>0</v>
      </c>
      <c r="S5">
        <v>0</v>
      </c>
      <c r="U5">
        <f>AND(IF(metadata!B5="",FALSE,TRUE),COUNTIF(metadata!B:B, metadata!B5) = 1,NOT(ISERROR(SUMPRODUCT(SEARCH(MID(metadata!B5,ROW(INDIRECT("1:"&amp;LEN(metadata!B5))), 1),"0123456789abcdefghijklmnopqrstuvwxyzABCDEFGHIJKLMNOPQRSTUVWXYZ.")))))</f>
        <v>0</v>
      </c>
      <c r="V5">
        <f>AND(IF(metadata!C5="",FALSE,TRUE),exact(metadata!C5,"UBERON:genitourinary"))</f>
        <v>0</v>
      </c>
      <c r="W5">
        <f>AND(IF(metadata!D5="",FALSE,TRUE),exact(metadata!D5,"UBERON:urine"))</f>
        <v>0</v>
      </c>
      <c r="X5">
        <f>AND(IF(metadata!E5="",FALSE,TRUE),exact(metadata!E5,"UBERON:kidney"))</f>
        <v>0</v>
      </c>
      <c r="Y5">
        <f>AND(IF(metadata!F5="",FALSE,TRUE),exact(metadata!F5,"animal corpus"))</f>
        <v>0</v>
      </c>
      <c r="Z5">
        <f>AND(IF(metadata!G5="",FALSE,TRUE),exact(metadata!G5,"urine"))</f>
        <v>0</v>
      </c>
      <c r="AA5">
        <f>AND(IF(metadata!H5="",FALSE,TRUE),exact(metadata!H5,"urine"))</f>
        <v>0</v>
      </c>
      <c r="AB5">
        <f>AND(IF(metadata!I5="",FALSE,TRUE),exact(metadata!I5,"urine metagenome"))</f>
        <v>0</v>
      </c>
      <c r="AC5">
        <f>AND(IF(metadata!J5="",FALSE,TRUE),exact(metadata!J5,"1346744"))</f>
        <v>0</v>
      </c>
    </row>
    <row r="6" spans="1:29">
      <c r="A6" s="4">
        <f>IF(B6=" "," ",HYPERLINK(CONCATENATE("#metadata!",ADDRESS(INDEX($P$2:$P$1001,MATCH(ROWS($N$2:N6),$N$2:$N$1001,0),0),1)),INDEX($S$2:$S$1001,MATCH(ROWS($N$2:N6),$N$2:$N$1001,0),0)))</f>
        <v>0</v>
      </c>
      <c r="B6" s="3">
        <f>IF(OR(INDEX($O$2:$O$1001,MATCH(ROWS($N$2:N6),$N$2:$N$1001,0),1)&gt;=100000,INDEX($U$1005:$AC$1005,1,MATCH(COLUMNS($U$1006:U1006),$U$1006:$AC$1006,0))&gt;=100000), " ",IF(INDEX($U$2:$AC$1001,MATCH(ROWS($N$2:N6),$N$2:$N$1001,0),MATCH(COLUMNS($U$1006:U1006),$U$1006:$AC$1006,0)), HYPERLINK("#",""), HYPERLINK(CONCATENATE("#metadata!", ADDRESS(INDEX($P$2:$P$1001,MATCH(ROWS($N$2:N6),$N$2:$N$1001,0),0), INDEX($U$1004:$AC$1004,1,MATCH(COLUMNS($U$1006:U1006),$U$1006:$AC$1006,0)))),"Fix")))</f>
        <v>0</v>
      </c>
      <c r="C6" s="3">
        <f>IF(OR(INDEX($O$2:$O$1001,MATCH(ROWS($N$2:N6),$N$2:$N$1001,0),1)&gt;=100000,INDEX($U$1005:$AC$1005,1,MATCH(COLUMNS($U$1006:V1006),$U$1006:$AC$1006,0))&gt;=100000), " ",IF(INDEX($U$2:$AC$1001,MATCH(ROWS($N$2:N6),$N$2:$N$1001,0),MATCH(COLUMNS($U$1006:V1006),$U$1006:$AC$1006,0)), HYPERLINK("#",""), HYPERLINK(CONCATENATE("#metadata!", ADDRESS(INDEX($P$2:$P$1001,MATCH(ROWS($N$2:N6),$N$2:$N$1001,0),0), INDEX($U$1004:$AC$1004,1,MATCH(COLUMNS($U$1006:V1006),$U$1006:$AC$1006,0)))),"Fix")))</f>
        <v>0</v>
      </c>
      <c r="D6" s="3">
        <f>IF(OR(INDEX($O$2:$O$1001,MATCH(ROWS($N$2:N6),$N$2:$N$1001,0),1)&gt;=100000,INDEX($U$1005:$AC$1005,1,MATCH(COLUMNS($U$1006:W1006),$U$1006:$AC$1006,0))&gt;=100000), " ",IF(INDEX($U$2:$AC$1001,MATCH(ROWS($N$2:N6),$N$2:$N$1001,0),MATCH(COLUMNS($U$1006:W1006),$U$1006:$AC$1006,0)), HYPERLINK("#",""), HYPERLINK(CONCATENATE("#metadata!", ADDRESS(INDEX($P$2:$P$1001,MATCH(ROWS($N$2:N6),$N$2:$N$1001,0),0), INDEX($U$1004:$AC$1004,1,MATCH(COLUMNS($U$1006:W1006),$U$1006:$AC$1006,0)))),"Fix")))</f>
        <v>0</v>
      </c>
      <c r="E6" s="3">
        <f>IF(OR(INDEX($O$2:$O$1001,MATCH(ROWS($N$2:N6),$N$2:$N$1001,0),1)&gt;=100000,INDEX($U$1005:$AC$1005,1,MATCH(COLUMNS($U$1006:X1006),$U$1006:$AC$1006,0))&gt;=100000), " ",IF(INDEX($U$2:$AC$1001,MATCH(ROWS($N$2:N6),$N$2:$N$1001,0),MATCH(COLUMNS($U$1006:X1006),$U$1006:$AC$1006,0)), HYPERLINK("#",""), HYPERLINK(CONCATENATE("#metadata!", ADDRESS(INDEX($P$2:$P$1001,MATCH(ROWS($N$2:N6),$N$2:$N$1001,0),0), INDEX($U$1004:$AC$1004,1,MATCH(COLUMNS($U$1006:X1006),$U$1006:$AC$1006,0)))),"Fix")))</f>
        <v>0</v>
      </c>
      <c r="F6" s="3">
        <f>IF(OR(INDEX($O$2:$O$1001,MATCH(ROWS($N$2:N6),$N$2:$N$1001,0),1)&gt;=100000,INDEX($U$1005:$AC$1005,1,MATCH(COLUMNS($U$1006:Y1006),$U$1006:$AC$1006,0))&gt;=100000), " ",IF(INDEX($U$2:$AC$1001,MATCH(ROWS($N$2:N6),$N$2:$N$1001,0),MATCH(COLUMNS($U$1006:Y1006),$U$1006:$AC$1006,0)), HYPERLINK("#",""), HYPERLINK(CONCATENATE("#metadata!", ADDRESS(INDEX($P$2:$P$1001,MATCH(ROWS($N$2:N6),$N$2:$N$1001,0),0), INDEX($U$1004:$AC$1004,1,MATCH(COLUMNS($U$1006:Y1006),$U$1006:$AC$1006,0)))),"Fix")))</f>
        <v>0</v>
      </c>
      <c r="G6" s="3">
        <f>IF(OR(INDEX($O$2:$O$1001,MATCH(ROWS($N$2:N6),$N$2:$N$1001,0),1)&gt;=100000,INDEX($U$1005:$AC$1005,1,MATCH(COLUMNS($U$1006:Z1006),$U$1006:$AC$1006,0))&gt;=100000), " ",IF(INDEX($U$2:$AC$1001,MATCH(ROWS($N$2:N6),$N$2:$N$1001,0),MATCH(COLUMNS($U$1006:Z1006),$U$1006:$AC$1006,0)), HYPERLINK("#",""), HYPERLINK(CONCATENATE("#metadata!", ADDRESS(INDEX($P$2:$P$1001,MATCH(ROWS($N$2:N6),$N$2:$N$1001,0),0), INDEX($U$1004:$AC$1004,1,MATCH(COLUMNS($U$1006:Z1006),$U$1006:$AC$1006,0)))),"Fix")))</f>
        <v>0</v>
      </c>
      <c r="H6" s="3">
        <f>IF(OR(INDEX($O$2:$O$1001,MATCH(ROWS($N$2:N6),$N$2:$N$1001,0),1)&gt;=100000,INDEX($U$1005:$AC$1005,1,MATCH(COLUMNS($U$1006:AA1006),$U$1006:$AC$1006,0))&gt;=100000), " ",IF(INDEX($U$2:$AC$1001,MATCH(ROWS($N$2:N6),$N$2:$N$1001,0),MATCH(COLUMNS($U$1006:AA1006),$U$1006:$AC$1006,0)), HYPERLINK("#",""), HYPERLINK(CONCATENATE("#metadata!", ADDRESS(INDEX($P$2:$P$1001,MATCH(ROWS($N$2:N6),$N$2:$N$1001,0),0), INDEX($U$1004:$AC$1004,1,MATCH(COLUMNS($U$1006:AA1006),$U$1006:$AC$1006,0)))),"Fix")))</f>
        <v>0</v>
      </c>
      <c r="I6" s="3">
        <f>IF(OR(INDEX($O$2:$O$1001,MATCH(ROWS($N$2:N6),$N$2:$N$1001,0),1)&gt;=100000,INDEX($U$1005:$AC$1005,1,MATCH(COLUMNS($U$1006:AB1006),$U$1006:$AC$1006,0))&gt;=100000), " ",IF(INDEX($U$2:$AC$1001,MATCH(ROWS($N$2:N6),$N$2:$N$1001,0),MATCH(COLUMNS($U$1006:AB1006),$U$1006:$AC$1006,0)), HYPERLINK("#",""), HYPERLINK(CONCATENATE("#metadata!", ADDRESS(INDEX($P$2:$P$1001,MATCH(ROWS($N$2:N6),$N$2:$N$1001,0),0), INDEX($U$1004:$AC$1004,1,MATCH(COLUMNS($U$1006:AB1006),$U$1006:$AC$1006,0)))),"Fix")))</f>
        <v>0</v>
      </c>
      <c r="J6" s="3">
        <f>IF(OR(INDEX($O$2:$O$1001,MATCH(ROWS($N$2:N6),$N$2:$N$1001,0),1)&gt;=100000,INDEX($U$1005:$AC$1005,1,MATCH(COLUMNS($U$1006:AC1006),$U$1006:$AC$1006,0))&gt;=100000), " ",IF(INDEX($U$2:$AC$1001,MATCH(ROWS($N$2:N6),$N$2:$N$1001,0),MATCH(COLUMNS($U$1006:AC1006),$U$1006:$AC$1006,0)), HYPERLINK("#",""), HYPERLINK(CONCATENATE("#metadata!", ADDRESS(INDEX($P$2:$P$1001,MATCH(ROWS($N$2:N6),$N$2:$N$1001,0),0), INDEX($U$1004:$AC$1004,1,MATCH(COLUMNS($U$1006:AC1006),$U$1006:$AC$1006,0)))),"Fix")))</f>
        <v>0</v>
      </c>
      <c r="N6">
        <v>0</v>
      </c>
      <c r="O6">
        <v>0</v>
      </c>
      <c r="P6">
        <v>0</v>
      </c>
      <c r="Q6">
        <f>IF(R6,TRUE,AND(U6:AC6))</f>
        <v>0</v>
      </c>
      <c r="R6">
        <f>COUNTBLANK(metadata!B6:J6)=COLUMNS(metadata!B6:J6)</f>
        <v>0</v>
      </c>
      <c r="S6">
        <v>0</v>
      </c>
      <c r="U6">
        <f>AND(IF(metadata!B6="",FALSE,TRUE),COUNTIF(metadata!B:B, metadata!B6) = 1,NOT(ISERROR(SUMPRODUCT(SEARCH(MID(metadata!B6,ROW(INDIRECT("1:"&amp;LEN(metadata!B6))), 1),"0123456789abcdefghijklmnopqrstuvwxyzABCDEFGHIJKLMNOPQRSTUVWXYZ.")))))</f>
        <v>0</v>
      </c>
      <c r="V6">
        <f>AND(IF(metadata!C6="",FALSE,TRUE),exact(metadata!C6,"UBERON:genitourinary"))</f>
        <v>0</v>
      </c>
      <c r="W6">
        <f>AND(IF(metadata!D6="",FALSE,TRUE),exact(metadata!D6,"UBERON:urine"))</f>
        <v>0</v>
      </c>
      <c r="X6">
        <f>AND(IF(metadata!E6="",FALSE,TRUE),exact(metadata!E6,"UBERON:kidney"))</f>
        <v>0</v>
      </c>
      <c r="Y6">
        <f>AND(IF(metadata!F6="",FALSE,TRUE),exact(metadata!F6,"animal corpus"))</f>
        <v>0</v>
      </c>
      <c r="Z6">
        <f>AND(IF(metadata!G6="",FALSE,TRUE),exact(metadata!G6,"urine"))</f>
        <v>0</v>
      </c>
      <c r="AA6">
        <f>AND(IF(metadata!H6="",FALSE,TRUE),exact(metadata!H6,"urine"))</f>
        <v>0</v>
      </c>
      <c r="AB6">
        <f>AND(IF(metadata!I6="",FALSE,TRUE),exact(metadata!I6,"urine metagenome"))</f>
        <v>0</v>
      </c>
      <c r="AC6">
        <f>AND(IF(metadata!J6="",FALSE,TRUE),exact(metadata!J6,"1346744"))</f>
        <v>0</v>
      </c>
    </row>
    <row r="7" spans="1:29">
      <c r="A7" s="4">
        <f>IF(B7=" "," ",HYPERLINK(CONCATENATE("#metadata!",ADDRESS(INDEX($P$2:$P$1001,MATCH(ROWS($N$2:N7),$N$2:$N$1001,0),0),1)),INDEX($S$2:$S$1001,MATCH(ROWS($N$2:N7),$N$2:$N$1001,0),0)))</f>
        <v>0</v>
      </c>
      <c r="B7" s="3">
        <f>IF(OR(INDEX($O$2:$O$1001,MATCH(ROWS($N$2:N7),$N$2:$N$1001,0),1)&gt;=100000,INDEX($U$1005:$AC$1005,1,MATCH(COLUMNS($U$1006:U1006),$U$1006:$AC$1006,0))&gt;=100000), " ",IF(INDEX($U$2:$AC$1001,MATCH(ROWS($N$2:N7),$N$2:$N$1001,0),MATCH(COLUMNS($U$1006:U1006),$U$1006:$AC$1006,0)), HYPERLINK("#",""), HYPERLINK(CONCATENATE("#metadata!", ADDRESS(INDEX($P$2:$P$1001,MATCH(ROWS($N$2:N7),$N$2:$N$1001,0),0), INDEX($U$1004:$AC$1004,1,MATCH(COLUMNS($U$1006:U1006),$U$1006:$AC$1006,0)))),"Fix")))</f>
        <v>0</v>
      </c>
      <c r="C7" s="3">
        <f>IF(OR(INDEX($O$2:$O$1001,MATCH(ROWS($N$2:N7),$N$2:$N$1001,0),1)&gt;=100000,INDEX($U$1005:$AC$1005,1,MATCH(COLUMNS($U$1006:V1006),$U$1006:$AC$1006,0))&gt;=100000), " ",IF(INDEX($U$2:$AC$1001,MATCH(ROWS($N$2:N7),$N$2:$N$1001,0),MATCH(COLUMNS($U$1006:V1006),$U$1006:$AC$1006,0)), HYPERLINK("#",""), HYPERLINK(CONCATENATE("#metadata!", ADDRESS(INDEX($P$2:$P$1001,MATCH(ROWS($N$2:N7),$N$2:$N$1001,0),0), INDEX($U$1004:$AC$1004,1,MATCH(COLUMNS($U$1006:V1006),$U$1006:$AC$1006,0)))),"Fix")))</f>
        <v>0</v>
      </c>
      <c r="D7" s="3">
        <f>IF(OR(INDEX($O$2:$O$1001,MATCH(ROWS($N$2:N7),$N$2:$N$1001,0),1)&gt;=100000,INDEX($U$1005:$AC$1005,1,MATCH(COLUMNS($U$1006:W1006),$U$1006:$AC$1006,0))&gt;=100000), " ",IF(INDEX($U$2:$AC$1001,MATCH(ROWS($N$2:N7),$N$2:$N$1001,0),MATCH(COLUMNS($U$1006:W1006),$U$1006:$AC$1006,0)), HYPERLINK("#",""), HYPERLINK(CONCATENATE("#metadata!", ADDRESS(INDEX($P$2:$P$1001,MATCH(ROWS($N$2:N7),$N$2:$N$1001,0),0), INDEX($U$1004:$AC$1004,1,MATCH(COLUMNS($U$1006:W1006),$U$1006:$AC$1006,0)))),"Fix")))</f>
        <v>0</v>
      </c>
      <c r="E7" s="3">
        <f>IF(OR(INDEX($O$2:$O$1001,MATCH(ROWS($N$2:N7),$N$2:$N$1001,0),1)&gt;=100000,INDEX($U$1005:$AC$1005,1,MATCH(COLUMNS($U$1006:X1006),$U$1006:$AC$1006,0))&gt;=100000), " ",IF(INDEX($U$2:$AC$1001,MATCH(ROWS($N$2:N7),$N$2:$N$1001,0),MATCH(COLUMNS($U$1006:X1006),$U$1006:$AC$1006,0)), HYPERLINK("#",""), HYPERLINK(CONCATENATE("#metadata!", ADDRESS(INDEX($P$2:$P$1001,MATCH(ROWS($N$2:N7),$N$2:$N$1001,0),0), INDEX($U$1004:$AC$1004,1,MATCH(COLUMNS($U$1006:X1006),$U$1006:$AC$1006,0)))),"Fix")))</f>
        <v>0</v>
      </c>
      <c r="F7" s="3">
        <f>IF(OR(INDEX($O$2:$O$1001,MATCH(ROWS($N$2:N7),$N$2:$N$1001,0),1)&gt;=100000,INDEX($U$1005:$AC$1005,1,MATCH(COLUMNS($U$1006:Y1006),$U$1006:$AC$1006,0))&gt;=100000), " ",IF(INDEX($U$2:$AC$1001,MATCH(ROWS($N$2:N7),$N$2:$N$1001,0),MATCH(COLUMNS($U$1006:Y1006),$U$1006:$AC$1006,0)), HYPERLINK("#",""), HYPERLINK(CONCATENATE("#metadata!", ADDRESS(INDEX($P$2:$P$1001,MATCH(ROWS($N$2:N7),$N$2:$N$1001,0),0), INDEX($U$1004:$AC$1004,1,MATCH(COLUMNS($U$1006:Y1006),$U$1006:$AC$1006,0)))),"Fix")))</f>
        <v>0</v>
      </c>
      <c r="G7" s="3">
        <f>IF(OR(INDEX($O$2:$O$1001,MATCH(ROWS($N$2:N7),$N$2:$N$1001,0),1)&gt;=100000,INDEX($U$1005:$AC$1005,1,MATCH(COLUMNS($U$1006:Z1006),$U$1006:$AC$1006,0))&gt;=100000), " ",IF(INDEX($U$2:$AC$1001,MATCH(ROWS($N$2:N7),$N$2:$N$1001,0),MATCH(COLUMNS($U$1006:Z1006),$U$1006:$AC$1006,0)), HYPERLINK("#",""), HYPERLINK(CONCATENATE("#metadata!", ADDRESS(INDEX($P$2:$P$1001,MATCH(ROWS($N$2:N7),$N$2:$N$1001,0),0), INDEX($U$1004:$AC$1004,1,MATCH(COLUMNS($U$1006:Z1006),$U$1006:$AC$1006,0)))),"Fix")))</f>
        <v>0</v>
      </c>
      <c r="H7" s="3">
        <f>IF(OR(INDEX($O$2:$O$1001,MATCH(ROWS($N$2:N7),$N$2:$N$1001,0),1)&gt;=100000,INDEX($U$1005:$AC$1005,1,MATCH(COLUMNS($U$1006:AA1006),$U$1006:$AC$1006,0))&gt;=100000), " ",IF(INDEX($U$2:$AC$1001,MATCH(ROWS($N$2:N7),$N$2:$N$1001,0),MATCH(COLUMNS($U$1006:AA1006),$U$1006:$AC$1006,0)), HYPERLINK("#",""), HYPERLINK(CONCATENATE("#metadata!", ADDRESS(INDEX($P$2:$P$1001,MATCH(ROWS($N$2:N7),$N$2:$N$1001,0),0), INDEX($U$1004:$AC$1004,1,MATCH(COLUMNS($U$1006:AA1006),$U$1006:$AC$1006,0)))),"Fix")))</f>
        <v>0</v>
      </c>
      <c r="I7" s="3">
        <f>IF(OR(INDEX($O$2:$O$1001,MATCH(ROWS($N$2:N7),$N$2:$N$1001,0),1)&gt;=100000,INDEX($U$1005:$AC$1005,1,MATCH(COLUMNS($U$1006:AB1006),$U$1006:$AC$1006,0))&gt;=100000), " ",IF(INDEX($U$2:$AC$1001,MATCH(ROWS($N$2:N7),$N$2:$N$1001,0),MATCH(COLUMNS($U$1006:AB1006),$U$1006:$AC$1006,0)), HYPERLINK("#",""), HYPERLINK(CONCATENATE("#metadata!", ADDRESS(INDEX($P$2:$P$1001,MATCH(ROWS($N$2:N7),$N$2:$N$1001,0),0), INDEX($U$1004:$AC$1004,1,MATCH(COLUMNS($U$1006:AB1006),$U$1006:$AC$1006,0)))),"Fix")))</f>
        <v>0</v>
      </c>
      <c r="J7" s="3">
        <f>IF(OR(INDEX($O$2:$O$1001,MATCH(ROWS($N$2:N7),$N$2:$N$1001,0),1)&gt;=100000,INDEX($U$1005:$AC$1005,1,MATCH(COLUMNS($U$1006:AC1006),$U$1006:$AC$1006,0))&gt;=100000), " ",IF(INDEX($U$2:$AC$1001,MATCH(ROWS($N$2:N7),$N$2:$N$1001,0),MATCH(COLUMNS($U$1006:AC1006),$U$1006:$AC$1006,0)), HYPERLINK("#",""), HYPERLINK(CONCATENATE("#metadata!", ADDRESS(INDEX($P$2:$P$1001,MATCH(ROWS($N$2:N7),$N$2:$N$1001,0),0), INDEX($U$1004:$AC$1004,1,MATCH(COLUMNS($U$1006:AC1006),$U$1006:$AC$1006,0)))),"Fix")))</f>
        <v>0</v>
      </c>
      <c r="N7">
        <v>0</v>
      </c>
      <c r="O7">
        <v>0</v>
      </c>
      <c r="P7">
        <v>0</v>
      </c>
      <c r="Q7">
        <f>IF(R7,TRUE,AND(U7:AC7))</f>
        <v>0</v>
      </c>
      <c r="R7">
        <f>COUNTBLANK(metadata!B7:J7)=COLUMNS(metadata!B7:J7)</f>
        <v>0</v>
      </c>
      <c r="S7">
        <v>0</v>
      </c>
      <c r="U7">
        <f>AND(IF(metadata!B7="",FALSE,TRUE),COUNTIF(metadata!B:B, metadata!B7) = 1,NOT(ISERROR(SUMPRODUCT(SEARCH(MID(metadata!B7,ROW(INDIRECT("1:"&amp;LEN(metadata!B7))), 1),"0123456789abcdefghijklmnopqrstuvwxyzABCDEFGHIJKLMNOPQRSTUVWXYZ.")))))</f>
        <v>0</v>
      </c>
      <c r="V7">
        <f>AND(IF(metadata!C7="",FALSE,TRUE),exact(metadata!C7,"UBERON:genitourinary"))</f>
        <v>0</v>
      </c>
      <c r="W7">
        <f>AND(IF(metadata!D7="",FALSE,TRUE),exact(metadata!D7,"UBERON:urine"))</f>
        <v>0</v>
      </c>
      <c r="X7">
        <f>AND(IF(metadata!E7="",FALSE,TRUE),exact(metadata!E7,"UBERON:kidney"))</f>
        <v>0</v>
      </c>
      <c r="Y7">
        <f>AND(IF(metadata!F7="",FALSE,TRUE),exact(metadata!F7,"animal corpus"))</f>
        <v>0</v>
      </c>
      <c r="Z7">
        <f>AND(IF(metadata!G7="",FALSE,TRUE),exact(metadata!G7,"urine"))</f>
        <v>0</v>
      </c>
      <c r="AA7">
        <f>AND(IF(metadata!H7="",FALSE,TRUE),exact(metadata!H7,"urine"))</f>
        <v>0</v>
      </c>
      <c r="AB7">
        <f>AND(IF(metadata!I7="",FALSE,TRUE),exact(metadata!I7,"urine metagenome"))</f>
        <v>0</v>
      </c>
      <c r="AC7">
        <f>AND(IF(metadata!J7="",FALSE,TRUE),exact(metadata!J7,"1346744"))</f>
        <v>0</v>
      </c>
    </row>
    <row r="8" spans="1:29">
      <c r="A8" s="4">
        <f>IF(B8=" "," ",HYPERLINK(CONCATENATE("#metadata!",ADDRESS(INDEX($P$2:$P$1001,MATCH(ROWS($N$2:N8),$N$2:$N$1001,0),0),1)),INDEX($S$2:$S$1001,MATCH(ROWS($N$2:N8),$N$2:$N$1001,0),0)))</f>
        <v>0</v>
      </c>
      <c r="B8" s="3">
        <f>IF(OR(INDEX($O$2:$O$1001,MATCH(ROWS($N$2:N8),$N$2:$N$1001,0),1)&gt;=100000,INDEX($U$1005:$AC$1005,1,MATCH(COLUMNS($U$1006:U1006),$U$1006:$AC$1006,0))&gt;=100000), " ",IF(INDEX($U$2:$AC$1001,MATCH(ROWS($N$2:N8),$N$2:$N$1001,0),MATCH(COLUMNS($U$1006:U1006),$U$1006:$AC$1006,0)), HYPERLINK("#",""), HYPERLINK(CONCATENATE("#metadata!", ADDRESS(INDEX($P$2:$P$1001,MATCH(ROWS($N$2:N8),$N$2:$N$1001,0),0), INDEX($U$1004:$AC$1004,1,MATCH(COLUMNS($U$1006:U1006),$U$1006:$AC$1006,0)))),"Fix")))</f>
        <v>0</v>
      </c>
      <c r="C8" s="3">
        <f>IF(OR(INDEX($O$2:$O$1001,MATCH(ROWS($N$2:N8),$N$2:$N$1001,0),1)&gt;=100000,INDEX($U$1005:$AC$1005,1,MATCH(COLUMNS($U$1006:V1006),$U$1006:$AC$1006,0))&gt;=100000), " ",IF(INDEX($U$2:$AC$1001,MATCH(ROWS($N$2:N8),$N$2:$N$1001,0),MATCH(COLUMNS($U$1006:V1006),$U$1006:$AC$1006,0)), HYPERLINK("#",""), HYPERLINK(CONCATENATE("#metadata!", ADDRESS(INDEX($P$2:$P$1001,MATCH(ROWS($N$2:N8),$N$2:$N$1001,0),0), INDEX($U$1004:$AC$1004,1,MATCH(COLUMNS($U$1006:V1006),$U$1006:$AC$1006,0)))),"Fix")))</f>
        <v>0</v>
      </c>
      <c r="D8" s="3">
        <f>IF(OR(INDEX($O$2:$O$1001,MATCH(ROWS($N$2:N8),$N$2:$N$1001,0),1)&gt;=100000,INDEX($U$1005:$AC$1005,1,MATCH(COLUMNS($U$1006:W1006),$U$1006:$AC$1006,0))&gt;=100000), " ",IF(INDEX($U$2:$AC$1001,MATCH(ROWS($N$2:N8),$N$2:$N$1001,0),MATCH(COLUMNS($U$1006:W1006),$U$1006:$AC$1006,0)), HYPERLINK("#",""), HYPERLINK(CONCATENATE("#metadata!", ADDRESS(INDEX($P$2:$P$1001,MATCH(ROWS($N$2:N8),$N$2:$N$1001,0),0), INDEX($U$1004:$AC$1004,1,MATCH(COLUMNS($U$1006:W1006),$U$1006:$AC$1006,0)))),"Fix")))</f>
        <v>0</v>
      </c>
      <c r="E8" s="3">
        <f>IF(OR(INDEX($O$2:$O$1001,MATCH(ROWS($N$2:N8),$N$2:$N$1001,0),1)&gt;=100000,INDEX($U$1005:$AC$1005,1,MATCH(COLUMNS($U$1006:X1006),$U$1006:$AC$1006,0))&gt;=100000), " ",IF(INDEX($U$2:$AC$1001,MATCH(ROWS($N$2:N8),$N$2:$N$1001,0),MATCH(COLUMNS($U$1006:X1006),$U$1006:$AC$1006,0)), HYPERLINK("#",""), HYPERLINK(CONCATENATE("#metadata!", ADDRESS(INDEX($P$2:$P$1001,MATCH(ROWS($N$2:N8),$N$2:$N$1001,0),0), INDEX($U$1004:$AC$1004,1,MATCH(COLUMNS($U$1006:X1006),$U$1006:$AC$1006,0)))),"Fix")))</f>
        <v>0</v>
      </c>
      <c r="F8" s="3">
        <f>IF(OR(INDEX($O$2:$O$1001,MATCH(ROWS($N$2:N8),$N$2:$N$1001,0),1)&gt;=100000,INDEX($U$1005:$AC$1005,1,MATCH(COLUMNS($U$1006:Y1006),$U$1006:$AC$1006,0))&gt;=100000), " ",IF(INDEX($U$2:$AC$1001,MATCH(ROWS($N$2:N8),$N$2:$N$1001,0),MATCH(COLUMNS($U$1006:Y1006),$U$1006:$AC$1006,0)), HYPERLINK("#",""), HYPERLINK(CONCATENATE("#metadata!", ADDRESS(INDEX($P$2:$P$1001,MATCH(ROWS($N$2:N8),$N$2:$N$1001,0),0), INDEX($U$1004:$AC$1004,1,MATCH(COLUMNS($U$1006:Y1006),$U$1006:$AC$1006,0)))),"Fix")))</f>
        <v>0</v>
      </c>
      <c r="G8" s="3">
        <f>IF(OR(INDEX($O$2:$O$1001,MATCH(ROWS($N$2:N8),$N$2:$N$1001,0),1)&gt;=100000,INDEX($U$1005:$AC$1005,1,MATCH(COLUMNS($U$1006:Z1006),$U$1006:$AC$1006,0))&gt;=100000), " ",IF(INDEX($U$2:$AC$1001,MATCH(ROWS($N$2:N8),$N$2:$N$1001,0),MATCH(COLUMNS($U$1006:Z1006),$U$1006:$AC$1006,0)), HYPERLINK("#",""), HYPERLINK(CONCATENATE("#metadata!", ADDRESS(INDEX($P$2:$P$1001,MATCH(ROWS($N$2:N8),$N$2:$N$1001,0),0), INDEX($U$1004:$AC$1004,1,MATCH(COLUMNS($U$1006:Z1006),$U$1006:$AC$1006,0)))),"Fix")))</f>
        <v>0</v>
      </c>
      <c r="H8" s="3">
        <f>IF(OR(INDEX($O$2:$O$1001,MATCH(ROWS($N$2:N8),$N$2:$N$1001,0),1)&gt;=100000,INDEX($U$1005:$AC$1005,1,MATCH(COLUMNS($U$1006:AA1006),$U$1006:$AC$1006,0))&gt;=100000), " ",IF(INDEX($U$2:$AC$1001,MATCH(ROWS($N$2:N8),$N$2:$N$1001,0),MATCH(COLUMNS($U$1006:AA1006),$U$1006:$AC$1006,0)), HYPERLINK("#",""), HYPERLINK(CONCATENATE("#metadata!", ADDRESS(INDEX($P$2:$P$1001,MATCH(ROWS($N$2:N8),$N$2:$N$1001,0),0), INDEX($U$1004:$AC$1004,1,MATCH(COLUMNS($U$1006:AA1006),$U$1006:$AC$1006,0)))),"Fix")))</f>
        <v>0</v>
      </c>
      <c r="I8" s="3">
        <f>IF(OR(INDEX($O$2:$O$1001,MATCH(ROWS($N$2:N8),$N$2:$N$1001,0),1)&gt;=100000,INDEX($U$1005:$AC$1005,1,MATCH(COLUMNS($U$1006:AB1006),$U$1006:$AC$1006,0))&gt;=100000), " ",IF(INDEX($U$2:$AC$1001,MATCH(ROWS($N$2:N8),$N$2:$N$1001,0),MATCH(COLUMNS($U$1006:AB1006),$U$1006:$AC$1006,0)), HYPERLINK("#",""), HYPERLINK(CONCATENATE("#metadata!", ADDRESS(INDEX($P$2:$P$1001,MATCH(ROWS($N$2:N8),$N$2:$N$1001,0),0), INDEX($U$1004:$AC$1004,1,MATCH(COLUMNS($U$1006:AB1006),$U$1006:$AC$1006,0)))),"Fix")))</f>
        <v>0</v>
      </c>
      <c r="J8" s="3">
        <f>IF(OR(INDEX($O$2:$O$1001,MATCH(ROWS($N$2:N8),$N$2:$N$1001,0),1)&gt;=100000,INDEX($U$1005:$AC$1005,1,MATCH(COLUMNS($U$1006:AC1006),$U$1006:$AC$1006,0))&gt;=100000), " ",IF(INDEX($U$2:$AC$1001,MATCH(ROWS($N$2:N8),$N$2:$N$1001,0),MATCH(COLUMNS($U$1006:AC1006),$U$1006:$AC$1006,0)), HYPERLINK("#",""), HYPERLINK(CONCATENATE("#metadata!", ADDRESS(INDEX($P$2:$P$1001,MATCH(ROWS($N$2:N8),$N$2:$N$1001,0),0), INDEX($U$1004:$AC$1004,1,MATCH(COLUMNS($U$1006:AC1006),$U$1006:$AC$1006,0)))),"Fix")))</f>
        <v>0</v>
      </c>
      <c r="N8">
        <v>0</v>
      </c>
      <c r="O8">
        <v>0</v>
      </c>
      <c r="P8">
        <v>0</v>
      </c>
      <c r="Q8">
        <f>IF(R8,TRUE,AND(U8:AC8))</f>
        <v>0</v>
      </c>
      <c r="R8">
        <f>COUNTBLANK(metadata!B8:J8)=COLUMNS(metadata!B8:J8)</f>
        <v>0</v>
      </c>
      <c r="S8">
        <v>0</v>
      </c>
      <c r="U8">
        <f>AND(IF(metadata!B8="",FALSE,TRUE),COUNTIF(metadata!B:B, metadata!B8) = 1,NOT(ISERROR(SUMPRODUCT(SEARCH(MID(metadata!B8,ROW(INDIRECT("1:"&amp;LEN(metadata!B8))), 1),"0123456789abcdefghijklmnopqrstuvwxyzABCDEFGHIJKLMNOPQRSTUVWXYZ.")))))</f>
        <v>0</v>
      </c>
      <c r="V8">
        <f>AND(IF(metadata!C8="",FALSE,TRUE),exact(metadata!C8,"UBERON:genitourinary"))</f>
        <v>0</v>
      </c>
      <c r="W8">
        <f>AND(IF(metadata!D8="",FALSE,TRUE),exact(metadata!D8,"UBERON:urine"))</f>
        <v>0</v>
      </c>
      <c r="X8">
        <f>AND(IF(metadata!E8="",FALSE,TRUE),exact(metadata!E8,"UBERON:kidney"))</f>
        <v>0</v>
      </c>
      <c r="Y8">
        <f>AND(IF(metadata!F8="",FALSE,TRUE),exact(metadata!F8,"animal corpus"))</f>
        <v>0</v>
      </c>
      <c r="Z8">
        <f>AND(IF(metadata!G8="",FALSE,TRUE),exact(metadata!G8,"urine"))</f>
        <v>0</v>
      </c>
      <c r="AA8">
        <f>AND(IF(metadata!H8="",FALSE,TRUE),exact(metadata!H8,"urine"))</f>
        <v>0</v>
      </c>
      <c r="AB8">
        <f>AND(IF(metadata!I8="",FALSE,TRUE),exact(metadata!I8,"urine metagenome"))</f>
        <v>0</v>
      </c>
      <c r="AC8">
        <f>AND(IF(metadata!J8="",FALSE,TRUE),exact(metadata!J8,"1346744"))</f>
        <v>0</v>
      </c>
    </row>
    <row r="9" spans="1:29">
      <c r="A9" s="4">
        <f>IF(B9=" "," ",HYPERLINK(CONCATENATE("#metadata!",ADDRESS(INDEX($P$2:$P$1001,MATCH(ROWS($N$2:N9),$N$2:$N$1001,0),0),1)),INDEX($S$2:$S$1001,MATCH(ROWS($N$2:N9),$N$2:$N$1001,0),0)))</f>
        <v>0</v>
      </c>
      <c r="B9" s="3">
        <f>IF(OR(INDEX($O$2:$O$1001,MATCH(ROWS($N$2:N9),$N$2:$N$1001,0),1)&gt;=100000,INDEX($U$1005:$AC$1005,1,MATCH(COLUMNS($U$1006:U1006),$U$1006:$AC$1006,0))&gt;=100000), " ",IF(INDEX($U$2:$AC$1001,MATCH(ROWS($N$2:N9),$N$2:$N$1001,0),MATCH(COLUMNS($U$1006:U1006),$U$1006:$AC$1006,0)), HYPERLINK("#",""), HYPERLINK(CONCATENATE("#metadata!", ADDRESS(INDEX($P$2:$P$1001,MATCH(ROWS($N$2:N9),$N$2:$N$1001,0),0), INDEX($U$1004:$AC$1004,1,MATCH(COLUMNS($U$1006:U1006),$U$1006:$AC$1006,0)))),"Fix")))</f>
        <v>0</v>
      </c>
      <c r="C9" s="3">
        <f>IF(OR(INDEX($O$2:$O$1001,MATCH(ROWS($N$2:N9),$N$2:$N$1001,0),1)&gt;=100000,INDEX($U$1005:$AC$1005,1,MATCH(COLUMNS($U$1006:V1006),$U$1006:$AC$1006,0))&gt;=100000), " ",IF(INDEX($U$2:$AC$1001,MATCH(ROWS($N$2:N9),$N$2:$N$1001,0),MATCH(COLUMNS($U$1006:V1006),$U$1006:$AC$1006,0)), HYPERLINK("#",""), HYPERLINK(CONCATENATE("#metadata!", ADDRESS(INDEX($P$2:$P$1001,MATCH(ROWS($N$2:N9),$N$2:$N$1001,0),0), INDEX($U$1004:$AC$1004,1,MATCH(COLUMNS($U$1006:V1006),$U$1006:$AC$1006,0)))),"Fix")))</f>
        <v>0</v>
      </c>
      <c r="D9" s="3">
        <f>IF(OR(INDEX($O$2:$O$1001,MATCH(ROWS($N$2:N9),$N$2:$N$1001,0),1)&gt;=100000,INDEX($U$1005:$AC$1005,1,MATCH(COLUMNS($U$1006:W1006),$U$1006:$AC$1006,0))&gt;=100000), " ",IF(INDEX($U$2:$AC$1001,MATCH(ROWS($N$2:N9),$N$2:$N$1001,0),MATCH(COLUMNS($U$1006:W1006),$U$1006:$AC$1006,0)), HYPERLINK("#",""), HYPERLINK(CONCATENATE("#metadata!", ADDRESS(INDEX($P$2:$P$1001,MATCH(ROWS($N$2:N9),$N$2:$N$1001,0),0), INDEX($U$1004:$AC$1004,1,MATCH(COLUMNS($U$1006:W1006),$U$1006:$AC$1006,0)))),"Fix")))</f>
        <v>0</v>
      </c>
      <c r="E9" s="3">
        <f>IF(OR(INDEX($O$2:$O$1001,MATCH(ROWS($N$2:N9),$N$2:$N$1001,0),1)&gt;=100000,INDEX($U$1005:$AC$1005,1,MATCH(COLUMNS($U$1006:X1006),$U$1006:$AC$1006,0))&gt;=100000), " ",IF(INDEX($U$2:$AC$1001,MATCH(ROWS($N$2:N9),$N$2:$N$1001,0),MATCH(COLUMNS($U$1006:X1006),$U$1006:$AC$1006,0)), HYPERLINK("#",""), HYPERLINK(CONCATENATE("#metadata!", ADDRESS(INDEX($P$2:$P$1001,MATCH(ROWS($N$2:N9),$N$2:$N$1001,0),0), INDEX($U$1004:$AC$1004,1,MATCH(COLUMNS($U$1006:X1006),$U$1006:$AC$1006,0)))),"Fix")))</f>
        <v>0</v>
      </c>
      <c r="F9" s="3">
        <f>IF(OR(INDEX($O$2:$O$1001,MATCH(ROWS($N$2:N9),$N$2:$N$1001,0),1)&gt;=100000,INDEX($U$1005:$AC$1005,1,MATCH(COLUMNS($U$1006:Y1006),$U$1006:$AC$1006,0))&gt;=100000), " ",IF(INDEX($U$2:$AC$1001,MATCH(ROWS($N$2:N9),$N$2:$N$1001,0),MATCH(COLUMNS($U$1006:Y1006),$U$1006:$AC$1006,0)), HYPERLINK("#",""), HYPERLINK(CONCATENATE("#metadata!", ADDRESS(INDEX($P$2:$P$1001,MATCH(ROWS($N$2:N9),$N$2:$N$1001,0),0), INDEX($U$1004:$AC$1004,1,MATCH(COLUMNS($U$1006:Y1006),$U$1006:$AC$1006,0)))),"Fix")))</f>
        <v>0</v>
      </c>
      <c r="G9" s="3">
        <f>IF(OR(INDEX($O$2:$O$1001,MATCH(ROWS($N$2:N9),$N$2:$N$1001,0),1)&gt;=100000,INDEX($U$1005:$AC$1005,1,MATCH(COLUMNS($U$1006:Z1006),$U$1006:$AC$1006,0))&gt;=100000), " ",IF(INDEX($U$2:$AC$1001,MATCH(ROWS($N$2:N9),$N$2:$N$1001,0),MATCH(COLUMNS($U$1006:Z1006),$U$1006:$AC$1006,0)), HYPERLINK("#",""), HYPERLINK(CONCATENATE("#metadata!", ADDRESS(INDEX($P$2:$P$1001,MATCH(ROWS($N$2:N9),$N$2:$N$1001,0),0), INDEX($U$1004:$AC$1004,1,MATCH(COLUMNS($U$1006:Z1006),$U$1006:$AC$1006,0)))),"Fix")))</f>
        <v>0</v>
      </c>
      <c r="H9" s="3">
        <f>IF(OR(INDEX($O$2:$O$1001,MATCH(ROWS($N$2:N9),$N$2:$N$1001,0),1)&gt;=100000,INDEX($U$1005:$AC$1005,1,MATCH(COLUMNS($U$1006:AA1006),$U$1006:$AC$1006,0))&gt;=100000), " ",IF(INDEX($U$2:$AC$1001,MATCH(ROWS($N$2:N9),$N$2:$N$1001,0),MATCH(COLUMNS($U$1006:AA1006),$U$1006:$AC$1006,0)), HYPERLINK("#",""), HYPERLINK(CONCATENATE("#metadata!", ADDRESS(INDEX($P$2:$P$1001,MATCH(ROWS($N$2:N9),$N$2:$N$1001,0),0), INDEX($U$1004:$AC$1004,1,MATCH(COLUMNS($U$1006:AA1006),$U$1006:$AC$1006,0)))),"Fix")))</f>
        <v>0</v>
      </c>
      <c r="I9" s="3">
        <f>IF(OR(INDEX($O$2:$O$1001,MATCH(ROWS($N$2:N9),$N$2:$N$1001,0),1)&gt;=100000,INDEX($U$1005:$AC$1005,1,MATCH(COLUMNS($U$1006:AB1006),$U$1006:$AC$1006,0))&gt;=100000), " ",IF(INDEX($U$2:$AC$1001,MATCH(ROWS($N$2:N9),$N$2:$N$1001,0),MATCH(COLUMNS($U$1006:AB1006),$U$1006:$AC$1006,0)), HYPERLINK("#",""), HYPERLINK(CONCATENATE("#metadata!", ADDRESS(INDEX($P$2:$P$1001,MATCH(ROWS($N$2:N9),$N$2:$N$1001,0),0), INDEX($U$1004:$AC$1004,1,MATCH(COLUMNS($U$1006:AB1006),$U$1006:$AC$1006,0)))),"Fix")))</f>
        <v>0</v>
      </c>
      <c r="J9" s="3">
        <f>IF(OR(INDEX($O$2:$O$1001,MATCH(ROWS($N$2:N9),$N$2:$N$1001,0),1)&gt;=100000,INDEX($U$1005:$AC$1005,1,MATCH(COLUMNS($U$1006:AC1006),$U$1006:$AC$1006,0))&gt;=100000), " ",IF(INDEX($U$2:$AC$1001,MATCH(ROWS($N$2:N9),$N$2:$N$1001,0),MATCH(COLUMNS($U$1006:AC1006),$U$1006:$AC$1006,0)), HYPERLINK("#",""), HYPERLINK(CONCATENATE("#metadata!", ADDRESS(INDEX($P$2:$P$1001,MATCH(ROWS($N$2:N9),$N$2:$N$1001,0),0), INDEX($U$1004:$AC$1004,1,MATCH(COLUMNS($U$1006:AC1006),$U$1006:$AC$1006,0)))),"Fix")))</f>
        <v>0</v>
      </c>
      <c r="N9">
        <v>0</v>
      </c>
      <c r="O9">
        <v>0</v>
      </c>
      <c r="P9">
        <v>0</v>
      </c>
      <c r="Q9">
        <f>IF(R9,TRUE,AND(U9:AC9))</f>
        <v>0</v>
      </c>
      <c r="R9">
        <f>COUNTBLANK(metadata!B9:J9)=COLUMNS(metadata!B9:J9)</f>
        <v>0</v>
      </c>
      <c r="S9">
        <v>0</v>
      </c>
      <c r="U9">
        <f>AND(IF(metadata!B9="",FALSE,TRUE),COUNTIF(metadata!B:B, metadata!B9) = 1,NOT(ISERROR(SUMPRODUCT(SEARCH(MID(metadata!B9,ROW(INDIRECT("1:"&amp;LEN(metadata!B9))), 1),"0123456789abcdefghijklmnopqrstuvwxyzABCDEFGHIJKLMNOPQRSTUVWXYZ.")))))</f>
        <v>0</v>
      </c>
      <c r="V9">
        <f>AND(IF(metadata!C9="",FALSE,TRUE),exact(metadata!C9,"UBERON:genitourinary"))</f>
        <v>0</v>
      </c>
      <c r="W9">
        <f>AND(IF(metadata!D9="",FALSE,TRUE),exact(metadata!D9,"UBERON:urine"))</f>
        <v>0</v>
      </c>
      <c r="X9">
        <f>AND(IF(metadata!E9="",FALSE,TRUE),exact(metadata!E9,"UBERON:kidney"))</f>
        <v>0</v>
      </c>
      <c r="Y9">
        <f>AND(IF(metadata!F9="",FALSE,TRUE),exact(metadata!F9,"animal corpus"))</f>
        <v>0</v>
      </c>
      <c r="Z9">
        <f>AND(IF(metadata!G9="",FALSE,TRUE),exact(metadata!G9,"urine"))</f>
        <v>0</v>
      </c>
      <c r="AA9">
        <f>AND(IF(metadata!H9="",FALSE,TRUE),exact(metadata!H9,"urine"))</f>
        <v>0</v>
      </c>
      <c r="AB9">
        <f>AND(IF(metadata!I9="",FALSE,TRUE),exact(metadata!I9,"urine metagenome"))</f>
        <v>0</v>
      </c>
      <c r="AC9">
        <f>AND(IF(metadata!J9="",FALSE,TRUE),exact(metadata!J9,"1346744"))</f>
        <v>0</v>
      </c>
    </row>
    <row r="10" spans="1:29">
      <c r="A10" s="4">
        <f>IF(B10=" "," ",HYPERLINK(CONCATENATE("#metadata!",ADDRESS(INDEX($P$2:$P$1001,MATCH(ROWS($N$2:N10),$N$2:$N$1001,0),0),1)),INDEX($S$2:$S$1001,MATCH(ROWS($N$2:N10),$N$2:$N$1001,0),0)))</f>
        <v>0</v>
      </c>
      <c r="B10" s="3">
        <f>IF(OR(INDEX($O$2:$O$1001,MATCH(ROWS($N$2:N10),$N$2:$N$1001,0),1)&gt;=100000,INDEX($U$1005:$AC$1005,1,MATCH(COLUMNS($U$1006:U1006),$U$1006:$AC$1006,0))&gt;=100000), " ",IF(INDEX($U$2:$AC$1001,MATCH(ROWS($N$2:N10),$N$2:$N$1001,0),MATCH(COLUMNS($U$1006:U1006),$U$1006:$AC$1006,0)), HYPERLINK("#",""), HYPERLINK(CONCATENATE("#metadata!", ADDRESS(INDEX($P$2:$P$1001,MATCH(ROWS($N$2:N10),$N$2:$N$1001,0),0), INDEX($U$1004:$AC$1004,1,MATCH(COLUMNS($U$1006:U1006),$U$1006:$AC$1006,0)))),"Fix")))</f>
        <v>0</v>
      </c>
      <c r="C10" s="3">
        <f>IF(OR(INDEX($O$2:$O$1001,MATCH(ROWS($N$2:N10),$N$2:$N$1001,0),1)&gt;=100000,INDEX($U$1005:$AC$1005,1,MATCH(COLUMNS($U$1006:V1006),$U$1006:$AC$1006,0))&gt;=100000), " ",IF(INDEX($U$2:$AC$1001,MATCH(ROWS($N$2:N10),$N$2:$N$1001,0),MATCH(COLUMNS($U$1006:V1006),$U$1006:$AC$1006,0)), HYPERLINK("#",""), HYPERLINK(CONCATENATE("#metadata!", ADDRESS(INDEX($P$2:$P$1001,MATCH(ROWS($N$2:N10),$N$2:$N$1001,0),0), INDEX($U$1004:$AC$1004,1,MATCH(COLUMNS($U$1006:V1006),$U$1006:$AC$1006,0)))),"Fix")))</f>
        <v>0</v>
      </c>
      <c r="D10" s="3">
        <f>IF(OR(INDEX($O$2:$O$1001,MATCH(ROWS($N$2:N10),$N$2:$N$1001,0),1)&gt;=100000,INDEX($U$1005:$AC$1005,1,MATCH(COLUMNS($U$1006:W1006),$U$1006:$AC$1006,0))&gt;=100000), " ",IF(INDEX($U$2:$AC$1001,MATCH(ROWS($N$2:N10),$N$2:$N$1001,0),MATCH(COLUMNS($U$1006:W1006),$U$1006:$AC$1006,0)), HYPERLINK("#",""), HYPERLINK(CONCATENATE("#metadata!", ADDRESS(INDEX($P$2:$P$1001,MATCH(ROWS($N$2:N10),$N$2:$N$1001,0),0), INDEX($U$1004:$AC$1004,1,MATCH(COLUMNS($U$1006:W1006),$U$1006:$AC$1006,0)))),"Fix")))</f>
        <v>0</v>
      </c>
      <c r="E10" s="3">
        <f>IF(OR(INDEX($O$2:$O$1001,MATCH(ROWS($N$2:N10),$N$2:$N$1001,0),1)&gt;=100000,INDEX($U$1005:$AC$1005,1,MATCH(COLUMNS($U$1006:X1006),$U$1006:$AC$1006,0))&gt;=100000), " ",IF(INDEX($U$2:$AC$1001,MATCH(ROWS($N$2:N10),$N$2:$N$1001,0),MATCH(COLUMNS($U$1006:X1006),$U$1006:$AC$1006,0)), HYPERLINK("#",""), HYPERLINK(CONCATENATE("#metadata!", ADDRESS(INDEX($P$2:$P$1001,MATCH(ROWS($N$2:N10),$N$2:$N$1001,0),0), INDEX($U$1004:$AC$1004,1,MATCH(COLUMNS($U$1006:X1006),$U$1006:$AC$1006,0)))),"Fix")))</f>
        <v>0</v>
      </c>
      <c r="F10" s="3">
        <f>IF(OR(INDEX($O$2:$O$1001,MATCH(ROWS($N$2:N10),$N$2:$N$1001,0),1)&gt;=100000,INDEX($U$1005:$AC$1005,1,MATCH(COLUMNS($U$1006:Y1006),$U$1006:$AC$1006,0))&gt;=100000), " ",IF(INDEX($U$2:$AC$1001,MATCH(ROWS($N$2:N10),$N$2:$N$1001,0),MATCH(COLUMNS($U$1006:Y1006),$U$1006:$AC$1006,0)), HYPERLINK("#",""), HYPERLINK(CONCATENATE("#metadata!", ADDRESS(INDEX($P$2:$P$1001,MATCH(ROWS($N$2:N10),$N$2:$N$1001,0),0), INDEX($U$1004:$AC$1004,1,MATCH(COLUMNS($U$1006:Y1006),$U$1006:$AC$1006,0)))),"Fix")))</f>
        <v>0</v>
      </c>
      <c r="G10" s="3">
        <f>IF(OR(INDEX($O$2:$O$1001,MATCH(ROWS($N$2:N10),$N$2:$N$1001,0),1)&gt;=100000,INDEX($U$1005:$AC$1005,1,MATCH(COLUMNS($U$1006:Z1006),$U$1006:$AC$1006,0))&gt;=100000), " ",IF(INDEX($U$2:$AC$1001,MATCH(ROWS($N$2:N10),$N$2:$N$1001,0),MATCH(COLUMNS($U$1006:Z1006),$U$1006:$AC$1006,0)), HYPERLINK("#",""), HYPERLINK(CONCATENATE("#metadata!", ADDRESS(INDEX($P$2:$P$1001,MATCH(ROWS($N$2:N10),$N$2:$N$1001,0),0), INDEX($U$1004:$AC$1004,1,MATCH(COLUMNS($U$1006:Z1006),$U$1006:$AC$1006,0)))),"Fix")))</f>
        <v>0</v>
      </c>
      <c r="H10" s="3">
        <f>IF(OR(INDEX($O$2:$O$1001,MATCH(ROWS($N$2:N10),$N$2:$N$1001,0),1)&gt;=100000,INDEX($U$1005:$AC$1005,1,MATCH(COLUMNS($U$1006:AA1006),$U$1006:$AC$1006,0))&gt;=100000), " ",IF(INDEX($U$2:$AC$1001,MATCH(ROWS($N$2:N10),$N$2:$N$1001,0),MATCH(COLUMNS($U$1006:AA1006),$U$1006:$AC$1006,0)), HYPERLINK("#",""), HYPERLINK(CONCATENATE("#metadata!", ADDRESS(INDEX($P$2:$P$1001,MATCH(ROWS($N$2:N10),$N$2:$N$1001,0),0), INDEX($U$1004:$AC$1004,1,MATCH(COLUMNS($U$1006:AA1006),$U$1006:$AC$1006,0)))),"Fix")))</f>
        <v>0</v>
      </c>
      <c r="I10" s="3">
        <f>IF(OR(INDEX($O$2:$O$1001,MATCH(ROWS($N$2:N10),$N$2:$N$1001,0),1)&gt;=100000,INDEX($U$1005:$AC$1005,1,MATCH(COLUMNS($U$1006:AB1006),$U$1006:$AC$1006,0))&gt;=100000), " ",IF(INDEX($U$2:$AC$1001,MATCH(ROWS($N$2:N10),$N$2:$N$1001,0),MATCH(COLUMNS($U$1006:AB1006),$U$1006:$AC$1006,0)), HYPERLINK("#",""), HYPERLINK(CONCATENATE("#metadata!", ADDRESS(INDEX($P$2:$P$1001,MATCH(ROWS($N$2:N10),$N$2:$N$1001,0),0), INDEX($U$1004:$AC$1004,1,MATCH(COLUMNS($U$1006:AB1006),$U$1006:$AC$1006,0)))),"Fix")))</f>
        <v>0</v>
      </c>
      <c r="J10" s="3">
        <f>IF(OR(INDEX($O$2:$O$1001,MATCH(ROWS($N$2:N10),$N$2:$N$1001,0),1)&gt;=100000,INDEX($U$1005:$AC$1005,1,MATCH(COLUMNS($U$1006:AC1006),$U$1006:$AC$1006,0))&gt;=100000), " ",IF(INDEX($U$2:$AC$1001,MATCH(ROWS($N$2:N10),$N$2:$N$1001,0),MATCH(COLUMNS($U$1006:AC1006),$U$1006:$AC$1006,0)), HYPERLINK("#",""), HYPERLINK(CONCATENATE("#metadata!", ADDRESS(INDEX($P$2:$P$1001,MATCH(ROWS($N$2:N10),$N$2:$N$1001,0),0), INDEX($U$1004:$AC$1004,1,MATCH(COLUMNS($U$1006:AC1006),$U$1006:$AC$1006,0)))),"Fix")))</f>
        <v>0</v>
      </c>
      <c r="N10">
        <v>0</v>
      </c>
      <c r="O10">
        <v>0</v>
      </c>
      <c r="P10">
        <v>0</v>
      </c>
      <c r="Q10">
        <f>IF(R10,TRUE,AND(U10:AC10))</f>
        <v>0</v>
      </c>
      <c r="R10">
        <f>COUNTBLANK(metadata!B10:J10)=COLUMNS(metadata!B10:J10)</f>
        <v>0</v>
      </c>
      <c r="S10">
        <v>0</v>
      </c>
      <c r="U10">
        <f>AND(IF(metadata!B10="",FALSE,TRUE),COUNTIF(metadata!B:B, metadata!B10) = 1,NOT(ISERROR(SUMPRODUCT(SEARCH(MID(metadata!B10,ROW(INDIRECT("1:"&amp;LEN(metadata!B10))), 1),"0123456789abcdefghijklmnopqrstuvwxyzABCDEFGHIJKLMNOPQRSTUVWXYZ.")))))</f>
        <v>0</v>
      </c>
      <c r="V10">
        <f>AND(IF(metadata!C10="",FALSE,TRUE),exact(metadata!C10,"UBERON:genitourinary"))</f>
        <v>0</v>
      </c>
      <c r="W10">
        <f>AND(IF(metadata!D10="",FALSE,TRUE),exact(metadata!D10,"UBERON:urine"))</f>
        <v>0</v>
      </c>
      <c r="X10">
        <f>AND(IF(metadata!E10="",FALSE,TRUE),exact(metadata!E10,"UBERON:kidney"))</f>
        <v>0</v>
      </c>
      <c r="Y10">
        <f>AND(IF(metadata!F10="",FALSE,TRUE),exact(metadata!F10,"animal corpus"))</f>
        <v>0</v>
      </c>
      <c r="Z10">
        <f>AND(IF(metadata!G10="",FALSE,TRUE),exact(metadata!G10,"urine"))</f>
        <v>0</v>
      </c>
      <c r="AA10">
        <f>AND(IF(metadata!H10="",FALSE,TRUE),exact(metadata!H10,"urine"))</f>
        <v>0</v>
      </c>
      <c r="AB10">
        <f>AND(IF(metadata!I10="",FALSE,TRUE),exact(metadata!I10,"urine metagenome"))</f>
        <v>0</v>
      </c>
      <c r="AC10">
        <f>AND(IF(metadata!J10="",FALSE,TRUE),exact(metadata!J10,"1346744"))</f>
        <v>0</v>
      </c>
    </row>
    <row r="11" spans="1:29">
      <c r="A11" s="4">
        <f>IF(B11=" "," ",HYPERLINK(CONCATENATE("#metadata!",ADDRESS(INDEX($P$2:$P$1001,MATCH(ROWS($N$2:N11),$N$2:$N$1001,0),0),1)),INDEX($S$2:$S$1001,MATCH(ROWS($N$2:N11),$N$2:$N$1001,0),0)))</f>
        <v>0</v>
      </c>
      <c r="B11" s="3">
        <f>IF(OR(INDEX($O$2:$O$1001,MATCH(ROWS($N$2:N11),$N$2:$N$1001,0),1)&gt;=100000,INDEX($U$1005:$AC$1005,1,MATCH(COLUMNS($U$1006:U1006),$U$1006:$AC$1006,0))&gt;=100000), " ",IF(INDEX($U$2:$AC$1001,MATCH(ROWS($N$2:N11),$N$2:$N$1001,0),MATCH(COLUMNS($U$1006:U1006),$U$1006:$AC$1006,0)), HYPERLINK("#",""), HYPERLINK(CONCATENATE("#metadata!", ADDRESS(INDEX($P$2:$P$1001,MATCH(ROWS($N$2:N11),$N$2:$N$1001,0),0), INDEX($U$1004:$AC$1004,1,MATCH(COLUMNS($U$1006:U1006),$U$1006:$AC$1006,0)))),"Fix")))</f>
        <v>0</v>
      </c>
      <c r="C11" s="3">
        <f>IF(OR(INDEX($O$2:$O$1001,MATCH(ROWS($N$2:N11),$N$2:$N$1001,0),1)&gt;=100000,INDEX($U$1005:$AC$1005,1,MATCH(COLUMNS($U$1006:V1006),$U$1006:$AC$1006,0))&gt;=100000), " ",IF(INDEX($U$2:$AC$1001,MATCH(ROWS($N$2:N11),$N$2:$N$1001,0),MATCH(COLUMNS($U$1006:V1006),$U$1006:$AC$1006,0)), HYPERLINK("#",""), HYPERLINK(CONCATENATE("#metadata!", ADDRESS(INDEX($P$2:$P$1001,MATCH(ROWS($N$2:N11),$N$2:$N$1001,0),0), INDEX($U$1004:$AC$1004,1,MATCH(COLUMNS($U$1006:V1006),$U$1006:$AC$1006,0)))),"Fix")))</f>
        <v>0</v>
      </c>
      <c r="D11" s="3">
        <f>IF(OR(INDEX($O$2:$O$1001,MATCH(ROWS($N$2:N11),$N$2:$N$1001,0),1)&gt;=100000,INDEX($U$1005:$AC$1005,1,MATCH(COLUMNS($U$1006:W1006),$U$1006:$AC$1006,0))&gt;=100000), " ",IF(INDEX($U$2:$AC$1001,MATCH(ROWS($N$2:N11),$N$2:$N$1001,0),MATCH(COLUMNS($U$1006:W1006),$U$1006:$AC$1006,0)), HYPERLINK("#",""), HYPERLINK(CONCATENATE("#metadata!", ADDRESS(INDEX($P$2:$P$1001,MATCH(ROWS($N$2:N11),$N$2:$N$1001,0),0), INDEX($U$1004:$AC$1004,1,MATCH(COLUMNS($U$1006:W1006),$U$1006:$AC$1006,0)))),"Fix")))</f>
        <v>0</v>
      </c>
      <c r="E11" s="3">
        <f>IF(OR(INDEX($O$2:$O$1001,MATCH(ROWS($N$2:N11),$N$2:$N$1001,0),1)&gt;=100000,INDEX($U$1005:$AC$1005,1,MATCH(COLUMNS($U$1006:X1006),$U$1006:$AC$1006,0))&gt;=100000), " ",IF(INDEX($U$2:$AC$1001,MATCH(ROWS($N$2:N11),$N$2:$N$1001,0),MATCH(COLUMNS($U$1006:X1006),$U$1006:$AC$1006,0)), HYPERLINK("#",""), HYPERLINK(CONCATENATE("#metadata!", ADDRESS(INDEX($P$2:$P$1001,MATCH(ROWS($N$2:N11),$N$2:$N$1001,0),0), INDEX($U$1004:$AC$1004,1,MATCH(COLUMNS($U$1006:X1006),$U$1006:$AC$1006,0)))),"Fix")))</f>
        <v>0</v>
      </c>
      <c r="F11" s="3">
        <f>IF(OR(INDEX($O$2:$O$1001,MATCH(ROWS($N$2:N11),$N$2:$N$1001,0),1)&gt;=100000,INDEX($U$1005:$AC$1005,1,MATCH(COLUMNS($U$1006:Y1006),$U$1006:$AC$1006,0))&gt;=100000), " ",IF(INDEX($U$2:$AC$1001,MATCH(ROWS($N$2:N11),$N$2:$N$1001,0),MATCH(COLUMNS($U$1006:Y1006),$U$1006:$AC$1006,0)), HYPERLINK("#",""), HYPERLINK(CONCATENATE("#metadata!", ADDRESS(INDEX($P$2:$P$1001,MATCH(ROWS($N$2:N11),$N$2:$N$1001,0),0), INDEX($U$1004:$AC$1004,1,MATCH(COLUMNS($U$1006:Y1006),$U$1006:$AC$1006,0)))),"Fix")))</f>
        <v>0</v>
      </c>
      <c r="G11" s="3">
        <f>IF(OR(INDEX($O$2:$O$1001,MATCH(ROWS($N$2:N11),$N$2:$N$1001,0),1)&gt;=100000,INDEX($U$1005:$AC$1005,1,MATCH(COLUMNS($U$1006:Z1006),$U$1006:$AC$1006,0))&gt;=100000), " ",IF(INDEX($U$2:$AC$1001,MATCH(ROWS($N$2:N11),$N$2:$N$1001,0),MATCH(COLUMNS($U$1006:Z1006),$U$1006:$AC$1006,0)), HYPERLINK("#",""), HYPERLINK(CONCATENATE("#metadata!", ADDRESS(INDEX($P$2:$P$1001,MATCH(ROWS($N$2:N11),$N$2:$N$1001,0),0), INDEX($U$1004:$AC$1004,1,MATCH(COLUMNS($U$1006:Z1006),$U$1006:$AC$1006,0)))),"Fix")))</f>
        <v>0</v>
      </c>
      <c r="H11" s="3">
        <f>IF(OR(INDEX($O$2:$O$1001,MATCH(ROWS($N$2:N11),$N$2:$N$1001,0),1)&gt;=100000,INDEX($U$1005:$AC$1005,1,MATCH(COLUMNS($U$1006:AA1006),$U$1006:$AC$1006,0))&gt;=100000), " ",IF(INDEX($U$2:$AC$1001,MATCH(ROWS($N$2:N11),$N$2:$N$1001,0),MATCH(COLUMNS($U$1006:AA1006),$U$1006:$AC$1006,0)), HYPERLINK("#",""), HYPERLINK(CONCATENATE("#metadata!", ADDRESS(INDEX($P$2:$P$1001,MATCH(ROWS($N$2:N11),$N$2:$N$1001,0),0), INDEX($U$1004:$AC$1004,1,MATCH(COLUMNS($U$1006:AA1006),$U$1006:$AC$1006,0)))),"Fix")))</f>
        <v>0</v>
      </c>
      <c r="I11" s="3">
        <f>IF(OR(INDEX($O$2:$O$1001,MATCH(ROWS($N$2:N11),$N$2:$N$1001,0),1)&gt;=100000,INDEX($U$1005:$AC$1005,1,MATCH(COLUMNS($U$1006:AB1006),$U$1006:$AC$1006,0))&gt;=100000), " ",IF(INDEX($U$2:$AC$1001,MATCH(ROWS($N$2:N11),$N$2:$N$1001,0),MATCH(COLUMNS($U$1006:AB1006),$U$1006:$AC$1006,0)), HYPERLINK("#",""), HYPERLINK(CONCATENATE("#metadata!", ADDRESS(INDEX($P$2:$P$1001,MATCH(ROWS($N$2:N11),$N$2:$N$1001,0),0), INDEX($U$1004:$AC$1004,1,MATCH(COLUMNS($U$1006:AB1006),$U$1006:$AC$1006,0)))),"Fix")))</f>
        <v>0</v>
      </c>
      <c r="J11" s="3">
        <f>IF(OR(INDEX($O$2:$O$1001,MATCH(ROWS($N$2:N11),$N$2:$N$1001,0),1)&gt;=100000,INDEX($U$1005:$AC$1005,1,MATCH(COLUMNS($U$1006:AC1006),$U$1006:$AC$1006,0))&gt;=100000), " ",IF(INDEX($U$2:$AC$1001,MATCH(ROWS($N$2:N11),$N$2:$N$1001,0),MATCH(COLUMNS($U$1006:AC1006),$U$1006:$AC$1006,0)), HYPERLINK("#",""), HYPERLINK(CONCATENATE("#metadata!", ADDRESS(INDEX($P$2:$P$1001,MATCH(ROWS($N$2:N11),$N$2:$N$1001,0),0), INDEX($U$1004:$AC$1004,1,MATCH(COLUMNS($U$1006:AC1006),$U$1006:$AC$1006,0)))),"Fix")))</f>
        <v>0</v>
      </c>
      <c r="N11">
        <v>0</v>
      </c>
      <c r="O11">
        <v>0</v>
      </c>
      <c r="P11">
        <v>0</v>
      </c>
      <c r="Q11">
        <f>IF(R11,TRUE,AND(U11:AC11))</f>
        <v>0</v>
      </c>
      <c r="R11">
        <f>COUNTBLANK(metadata!B11:J11)=COLUMNS(metadata!B11:J11)</f>
        <v>0</v>
      </c>
      <c r="S11">
        <v>0</v>
      </c>
      <c r="U11">
        <f>AND(IF(metadata!B11="",FALSE,TRUE),COUNTIF(metadata!B:B, metadata!B11) = 1,NOT(ISERROR(SUMPRODUCT(SEARCH(MID(metadata!B11,ROW(INDIRECT("1:"&amp;LEN(metadata!B11))), 1),"0123456789abcdefghijklmnopqrstuvwxyzABCDEFGHIJKLMNOPQRSTUVWXYZ.")))))</f>
        <v>0</v>
      </c>
      <c r="V11">
        <f>AND(IF(metadata!C11="",FALSE,TRUE),exact(metadata!C11,"UBERON:genitourinary"))</f>
        <v>0</v>
      </c>
      <c r="W11">
        <f>AND(IF(metadata!D11="",FALSE,TRUE),exact(metadata!D11,"UBERON:urine"))</f>
        <v>0</v>
      </c>
      <c r="X11">
        <f>AND(IF(metadata!E11="",FALSE,TRUE),exact(metadata!E11,"UBERON:kidney"))</f>
        <v>0</v>
      </c>
      <c r="Y11">
        <f>AND(IF(metadata!F11="",FALSE,TRUE),exact(metadata!F11,"animal corpus"))</f>
        <v>0</v>
      </c>
      <c r="Z11">
        <f>AND(IF(metadata!G11="",FALSE,TRUE),exact(metadata!G11,"urine"))</f>
        <v>0</v>
      </c>
      <c r="AA11">
        <f>AND(IF(metadata!H11="",FALSE,TRUE),exact(metadata!H11,"urine"))</f>
        <v>0</v>
      </c>
      <c r="AB11">
        <f>AND(IF(metadata!I11="",FALSE,TRUE),exact(metadata!I11,"urine metagenome"))</f>
        <v>0</v>
      </c>
      <c r="AC11">
        <f>AND(IF(metadata!J11="",FALSE,TRUE),exact(metadata!J11,"1346744"))</f>
        <v>0</v>
      </c>
    </row>
    <row r="12" spans="1:29">
      <c r="A12" s="4">
        <f>IF(B12=" "," ",HYPERLINK(CONCATENATE("#metadata!",ADDRESS(INDEX($P$2:$P$1001,MATCH(ROWS($N$2:N12),$N$2:$N$1001,0),0),1)),INDEX($S$2:$S$1001,MATCH(ROWS($N$2:N12),$N$2:$N$1001,0),0)))</f>
        <v>0</v>
      </c>
      <c r="B12" s="3">
        <f>IF(OR(INDEX($O$2:$O$1001,MATCH(ROWS($N$2:N12),$N$2:$N$1001,0),1)&gt;=100000,INDEX($U$1005:$AC$1005,1,MATCH(COLUMNS($U$1006:U1006),$U$1006:$AC$1006,0))&gt;=100000), " ",IF(INDEX($U$2:$AC$1001,MATCH(ROWS($N$2:N12),$N$2:$N$1001,0),MATCH(COLUMNS($U$1006:U1006),$U$1006:$AC$1006,0)), HYPERLINK("#",""), HYPERLINK(CONCATENATE("#metadata!", ADDRESS(INDEX($P$2:$P$1001,MATCH(ROWS($N$2:N12),$N$2:$N$1001,0),0), INDEX($U$1004:$AC$1004,1,MATCH(COLUMNS($U$1006:U1006),$U$1006:$AC$1006,0)))),"Fix")))</f>
        <v>0</v>
      </c>
      <c r="C12" s="3">
        <f>IF(OR(INDEX($O$2:$O$1001,MATCH(ROWS($N$2:N12),$N$2:$N$1001,0),1)&gt;=100000,INDEX($U$1005:$AC$1005,1,MATCH(COLUMNS($U$1006:V1006),$U$1006:$AC$1006,0))&gt;=100000), " ",IF(INDEX($U$2:$AC$1001,MATCH(ROWS($N$2:N12),$N$2:$N$1001,0),MATCH(COLUMNS($U$1006:V1006),$U$1006:$AC$1006,0)), HYPERLINK("#",""), HYPERLINK(CONCATENATE("#metadata!", ADDRESS(INDEX($P$2:$P$1001,MATCH(ROWS($N$2:N12),$N$2:$N$1001,0),0), INDEX($U$1004:$AC$1004,1,MATCH(COLUMNS($U$1006:V1006),$U$1006:$AC$1006,0)))),"Fix")))</f>
        <v>0</v>
      </c>
      <c r="D12" s="3">
        <f>IF(OR(INDEX($O$2:$O$1001,MATCH(ROWS($N$2:N12),$N$2:$N$1001,0),1)&gt;=100000,INDEX($U$1005:$AC$1005,1,MATCH(COLUMNS($U$1006:W1006),$U$1006:$AC$1006,0))&gt;=100000), " ",IF(INDEX($U$2:$AC$1001,MATCH(ROWS($N$2:N12),$N$2:$N$1001,0),MATCH(COLUMNS($U$1006:W1006),$U$1006:$AC$1006,0)), HYPERLINK("#",""), HYPERLINK(CONCATENATE("#metadata!", ADDRESS(INDEX($P$2:$P$1001,MATCH(ROWS($N$2:N12),$N$2:$N$1001,0),0), INDEX($U$1004:$AC$1004,1,MATCH(COLUMNS($U$1006:W1006),$U$1006:$AC$1006,0)))),"Fix")))</f>
        <v>0</v>
      </c>
      <c r="E12" s="3">
        <f>IF(OR(INDEX($O$2:$O$1001,MATCH(ROWS($N$2:N12),$N$2:$N$1001,0),1)&gt;=100000,INDEX($U$1005:$AC$1005,1,MATCH(COLUMNS($U$1006:X1006),$U$1006:$AC$1006,0))&gt;=100000), " ",IF(INDEX($U$2:$AC$1001,MATCH(ROWS($N$2:N12),$N$2:$N$1001,0),MATCH(COLUMNS($U$1006:X1006),$U$1006:$AC$1006,0)), HYPERLINK("#",""), HYPERLINK(CONCATENATE("#metadata!", ADDRESS(INDEX($P$2:$P$1001,MATCH(ROWS($N$2:N12),$N$2:$N$1001,0),0), INDEX($U$1004:$AC$1004,1,MATCH(COLUMNS($U$1006:X1006),$U$1006:$AC$1006,0)))),"Fix")))</f>
        <v>0</v>
      </c>
      <c r="F12" s="3">
        <f>IF(OR(INDEX($O$2:$O$1001,MATCH(ROWS($N$2:N12),$N$2:$N$1001,0),1)&gt;=100000,INDEX($U$1005:$AC$1005,1,MATCH(COLUMNS($U$1006:Y1006),$U$1006:$AC$1006,0))&gt;=100000), " ",IF(INDEX($U$2:$AC$1001,MATCH(ROWS($N$2:N12),$N$2:$N$1001,0),MATCH(COLUMNS($U$1006:Y1006),$U$1006:$AC$1006,0)), HYPERLINK("#",""), HYPERLINK(CONCATENATE("#metadata!", ADDRESS(INDEX($P$2:$P$1001,MATCH(ROWS($N$2:N12),$N$2:$N$1001,0),0), INDEX($U$1004:$AC$1004,1,MATCH(COLUMNS($U$1006:Y1006),$U$1006:$AC$1006,0)))),"Fix")))</f>
        <v>0</v>
      </c>
      <c r="G12" s="3">
        <f>IF(OR(INDEX($O$2:$O$1001,MATCH(ROWS($N$2:N12),$N$2:$N$1001,0),1)&gt;=100000,INDEX($U$1005:$AC$1005,1,MATCH(COLUMNS($U$1006:Z1006),$U$1006:$AC$1006,0))&gt;=100000), " ",IF(INDEX($U$2:$AC$1001,MATCH(ROWS($N$2:N12),$N$2:$N$1001,0),MATCH(COLUMNS($U$1006:Z1006),$U$1006:$AC$1006,0)), HYPERLINK("#",""), HYPERLINK(CONCATENATE("#metadata!", ADDRESS(INDEX($P$2:$P$1001,MATCH(ROWS($N$2:N12),$N$2:$N$1001,0),0), INDEX($U$1004:$AC$1004,1,MATCH(COLUMNS($U$1006:Z1006),$U$1006:$AC$1006,0)))),"Fix")))</f>
        <v>0</v>
      </c>
      <c r="H12" s="3">
        <f>IF(OR(INDEX($O$2:$O$1001,MATCH(ROWS($N$2:N12),$N$2:$N$1001,0),1)&gt;=100000,INDEX($U$1005:$AC$1005,1,MATCH(COLUMNS($U$1006:AA1006),$U$1006:$AC$1006,0))&gt;=100000), " ",IF(INDEX($U$2:$AC$1001,MATCH(ROWS($N$2:N12),$N$2:$N$1001,0),MATCH(COLUMNS($U$1006:AA1006),$U$1006:$AC$1006,0)), HYPERLINK("#",""), HYPERLINK(CONCATENATE("#metadata!", ADDRESS(INDEX($P$2:$P$1001,MATCH(ROWS($N$2:N12),$N$2:$N$1001,0),0), INDEX($U$1004:$AC$1004,1,MATCH(COLUMNS($U$1006:AA1006),$U$1006:$AC$1006,0)))),"Fix")))</f>
        <v>0</v>
      </c>
      <c r="I12" s="3">
        <f>IF(OR(INDEX($O$2:$O$1001,MATCH(ROWS($N$2:N12),$N$2:$N$1001,0),1)&gt;=100000,INDEX($U$1005:$AC$1005,1,MATCH(COLUMNS($U$1006:AB1006),$U$1006:$AC$1006,0))&gt;=100000), " ",IF(INDEX($U$2:$AC$1001,MATCH(ROWS($N$2:N12),$N$2:$N$1001,0),MATCH(COLUMNS($U$1006:AB1006),$U$1006:$AC$1006,0)), HYPERLINK("#",""), HYPERLINK(CONCATENATE("#metadata!", ADDRESS(INDEX($P$2:$P$1001,MATCH(ROWS($N$2:N12),$N$2:$N$1001,0),0), INDEX($U$1004:$AC$1004,1,MATCH(COLUMNS($U$1006:AB1006),$U$1006:$AC$1006,0)))),"Fix")))</f>
        <v>0</v>
      </c>
      <c r="J12" s="3">
        <f>IF(OR(INDEX($O$2:$O$1001,MATCH(ROWS($N$2:N12),$N$2:$N$1001,0),1)&gt;=100000,INDEX($U$1005:$AC$1005,1,MATCH(COLUMNS($U$1006:AC1006),$U$1006:$AC$1006,0))&gt;=100000), " ",IF(INDEX($U$2:$AC$1001,MATCH(ROWS($N$2:N12),$N$2:$N$1001,0),MATCH(COLUMNS($U$1006:AC1006),$U$1006:$AC$1006,0)), HYPERLINK("#",""), HYPERLINK(CONCATENATE("#metadata!", ADDRESS(INDEX($P$2:$P$1001,MATCH(ROWS($N$2:N12),$N$2:$N$1001,0),0), INDEX($U$1004:$AC$1004,1,MATCH(COLUMNS($U$1006:AC1006),$U$1006:$AC$1006,0)))),"Fix")))</f>
        <v>0</v>
      </c>
      <c r="N12">
        <v>0</v>
      </c>
      <c r="O12">
        <v>0</v>
      </c>
      <c r="P12">
        <v>0</v>
      </c>
      <c r="Q12">
        <f>IF(R12,TRUE,AND(U12:AC12))</f>
        <v>0</v>
      </c>
      <c r="R12">
        <f>COUNTBLANK(metadata!B12:J12)=COLUMNS(metadata!B12:J12)</f>
        <v>0</v>
      </c>
      <c r="S12">
        <v>0</v>
      </c>
      <c r="U12">
        <f>AND(IF(metadata!B12="",FALSE,TRUE),COUNTIF(metadata!B:B, metadata!B12) = 1,NOT(ISERROR(SUMPRODUCT(SEARCH(MID(metadata!B12,ROW(INDIRECT("1:"&amp;LEN(metadata!B12))), 1),"0123456789abcdefghijklmnopqrstuvwxyzABCDEFGHIJKLMNOPQRSTUVWXYZ.")))))</f>
        <v>0</v>
      </c>
      <c r="V12">
        <f>AND(IF(metadata!C12="",FALSE,TRUE),exact(metadata!C12,"UBERON:genitourinary"))</f>
        <v>0</v>
      </c>
      <c r="W12">
        <f>AND(IF(metadata!D12="",FALSE,TRUE),exact(metadata!D12,"UBERON:urine"))</f>
        <v>0</v>
      </c>
      <c r="X12">
        <f>AND(IF(metadata!E12="",FALSE,TRUE),exact(metadata!E12,"UBERON:kidney"))</f>
        <v>0</v>
      </c>
      <c r="Y12">
        <f>AND(IF(metadata!F12="",FALSE,TRUE),exact(metadata!F12,"animal corpus"))</f>
        <v>0</v>
      </c>
      <c r="Z12">
        <f>AND(IF(metadata!G12="",FALSE,TRUE),exact(metadata!G12,"urine"))</f>
        <v>0</v>
      </c>
      <c r="AA12">
        <f>AND(IF(metadata!H12="",FALSE,TRUE),exact(metadata!H12,"urine"))</f>
        <v>0</v>
      </c>
      <c r="AB12">
        <f>AND(IF(metadata!I12="",FALSE,TRUE),exact(metadata!I12,"urine metagenome"))</f>
        <v>0</v>
      </c>
      <c r="AC12">
        <f>AND(IF(metadata!J12="",FALSE,TRUE),exact(metadata!J12,"1346744"))</f>
        <v>0</v>
      </c>
    </row>
    <row r="13" spans="1:29">
      <c r="A13" s="4">
        <f>IF(B13=" "," ",HYPERLINK(CONCATENATE("#metadata!",ADDRESS(INDEX($P$2:$P$1001,MATCH(ROWS($N$2:N13),$N$2:$N$1001,0),0),1)),INDEX($S$2:$S$1001,MATCH(ROWS($N$2:N13),$N$2:$N$1001,0),0)))</f>
        <v>0</v>
      </c>
      <c r="B13" s="3">
        <f>IF(OR(INDEX($O$2:$O$1001,MATCH(ROWS($N$2:N13),$N$2:$N$1001,0),1)&gt;=100000,INDEX($U$1005:$AC$1005,1,MATCH(COLUMNS($U$1006:U1006),$U$1006:$AC$1006,0))&gt;=100000), " ",IF(INDEX($U$2:$AC$1001,MATCH(ROWS($N$2:N13),$N$2:$N$1001,0),MATCH(COLUMNS($U$1006:U1006),$U$1006:$AC$1006,0)), HYPERLINK("#",""), HYPERLINK(CONCATENATE("#metadata!", ADDRESS(INDEX($P$2:$P$1001,MATCH(ROWS($N$2:N13),$N$2:$N$1001,0),0), INDEX($U$1004:$AC$1004,1,MATCH(COLUMNS($U$1006:U1006),$U$1006:$AC$1006,0)))),"Fix")))</f>
        <v>0</v>
      </c>
      <c r="C13" s="3">
        <f>IF(OR(INDEX($O$2:$O$1001,MATCH(ROWS($N$2:N13),$N$2:$N$1001,0),1)&gt;=100000,INDEX($U$1005:$AC$1005,1,MATCH(COLUMNS($U$1006:V1006),$U$1006:$AC$1006,0))&gt;=100000), " ",IF(INDEX($U$2:$AC$1001,MATCH(ROWS($N$2:N13),$N$2:$N$1001,0),MATCH(COLUMNS($U$1006:V1006),$U$1006:$AC$1006,0)), HYPERLINK("#",""), HYPERLINK(CONCATENATE("#metadata!", ADDRESS(INDEX($P$2:$P$1001,MATCH(ROWS($N$2:N13),$N$2:$N$1001,0),0), INDEX($U$1004:$AC$1004,1,MATCH(COLUMNS($U$1006:V1006),$U$1006:$AC$1006,0)))),"Fix")))</f>
        <v>0</v>
      </c>
      <c r="D13" s="3">
        <f>IF(OR(INDEX($O$2:$O$1001,MATCH(ROWS($N$2:N13),$N$2:$N$1001,0),1)&gt;=100000,INDEX($U$1005:$AC$1005,1,MATCH(COLUMNS($U$1006:W1006),$U$1006:$AC$1006,0))&gt;=100000), " ",IF(INDEX($U$2:$AC$1001,MATCH(ROWS($N$2:N13),$N$2:$N$1001,0),MATCH(COLUMNS($U$1006:W1006),$U$1006:$AC$1006,0)), HYPERLINK("#",""), HYPERLINK(CONCATENATE("#metadata!", ADDRESS(INDEX($P$2:$P$1001,MATCH(ROWS($N$2:N13),$N$2:$N$1001,0),0), INDEX($U$1004:$AC$1004,1,MATCH(COLUMNS($U$1006:W1006),$U$1006:$AC$1006,0)))),"Fix")))</f>
        <v>0</v>
      </c>
      <c r="E13" s="3">
        <f>IF(OR(INDEX($O$2:$O$1001,MATCH(ROWS($N$2:N13),$N$2:$N$1001,0),1)&gt;=100000,INDEX($U$1005:$AC$1005,1,MATCH(COLUMNS($U$1006:X1006),$U$1006:$AC$1006,0))&gt;=100000), " ",IF(INDEX($U$2:$AC$1001,MATCH(ROWS($N$2:N13),$N$2:$N$1001,0),MATCH(COLUMNS($U$1006:X1006),$U$1006:$AC$1006,0)), HYPERLINK("#",""), HYPERLINK(CONCATENATE("#metadata!", ADDRESS(INDEX($P$2:$P$1001,MATCH(ROWS($N$2:N13),$N$2:$N$1001,0),0), INDEX($U$1004:$AC$1004,1,MATCH(COLUMNS($U$1006:X1006),$U$1006:$AC$1006,0)))),"Fix")))</f>
        <v>0</v>
      </c>
      <c r="F13" s="3">
        <f>IF(OR(INDEX($O$2:$O$1001,MATCH(ROWS($N$2:N13),$N$2:$N$1001,0),1)&gt;=100000,INDEX($U$1005:$AC$1005,1,MATCH(COLUMNS($U$1006:Y1006),$U$1006:$AC$1006,0))&gt;=100000), " ",IF(INDEX($U$2:$AC$1001,MATCH(ROWS($N$2:N13),$N$2:$N$1001,0),MATCH(COLUMNS($U$1006:Y1006),$U$1006:$AC$1006,0)), HYPERLINK("#",""), HYPERLINK(CONCATENATE("#metadata!", ADDRESS(INDEX($P$2:$P$1001,MATCH(ROWS($N$2:N13),$N$2:$N$1001,0),0), INDEX($U$1004:$AC$1004,1,MATCH(COLUMNS($U$1006:Y1006),$U$1006:$AC$1006,0)))),"Fix")))</f>
        <v>0</v>
      </c>
      <c r="G13" s="3">
        <f>IF(OR(INDEX($O$2:$O$1001,MATCH(ROWS($N$2:N13),$N$2:$N$1001,0),1)&gt;=100000,INDEX($U$1005:$AC$1005,1,MATCH(COLUMNS($U$1006:Z1006),$U$1006:$AC$1006,0))&gt;=100000), " ",IF(INDEX($U$2:$AC$1001,MATCH(ROWS($N$2:N13),$N$2:$N$1001,0),MATCH(COLUMNS($U$1006:Z1006),$U$1006:$AC$1006,0)), HYPERLINK("#",""), HYPERLINK(CONCATENATE("#metadata!", ADDRESS(INDEX($P$2:$P$1001,MATCH(ROWS($N$2:N13),$N$2:$N$1001,0),0), INDEX($U$1004:$AC$1004,1,MATCH(COLUMNS($U$1006:Z1006),$U$1006:$AC$1006,0)))),"Fix")))</f>
        <v>0</v>
      </c>
      <c r="H13" s="3">
        <f>IF(OR(INDEX($O$2:$O$1001,MATCH(ROWS($N$2:N13),$N$2:$N$1001,0),1)&gt;=100000,INDEX($U$1005:$AC$1005,1,MATCH(COLUMNS($U$1006:AA1006),$U$1006:$AC$1006,0))&gt;=100000), " ",IF(INDEX($U$2:$AC$1001,MATCH(ROWS($N$2:N13),$N$2:$N$1001,0),MATCH(COLUMNS($U$1006:AA1006),$U$1006:$AC$1006,0)), HYPERLINK("#",""), HYPERLINK(CONCATENATE("#metadata!", ADDRESS(INDEX($P$2:$P$1001,MATCH(ROWS($N$2:N13),$N$2:$N$1001,0),0), INDEX($U$1004:$AC$1004,1,MATCH(COLUMNS($U$1006:AA1006),$U$1006:$AC$1006,0)))),"Fix")))</f>
        <v>0</v>
      </c>
      <c r="I13" s="3">
        <f>IF(OR(INDEX($O$2:$O$1001,MATCH(ROWS($N$2:N13),$N$2:$N$1001,0),1)&gt;=100000,INDEX($U$1005:$AC$1005,1,MATCH(COLUMNS($U$1006:AB1006),$U$1006:$AC$1006,0))&gt;=100000), " ",IF(INDEX($U$2:$AC$1001,MATCH(ROWS($N$2:N13),$N$2:$N$1001,0),MATCH(COLUMNS($U$1006:AB1006),$U$1006:$AC$1006,0)), HYPERLINK("#",""), HYPERLINK(CONCATENATE("#metadata!", ADDRESS(INDEX($P$2:$P$1001,MATCH(ROWS($N$2:N13),$N$2:$N$1001,0),0), INDEX($U$1004:$AC$1004,1,MATCH(COLUMNS($U$1006:AB1006),$U$1006:$AC$1006,0)))),"Fix")))</f>
        <v>0</v>
      </c>
      <c r="J13" s="3">
        <f>IF(OR(INDEX($O$2:$O$1001,MATCH(ROWS($N$2:N13),$N$2:$N$1001,0),1)&gt;=100000,INDEX($U$1005:$AC$1005,1,MATCH(COLUMNS($U$1006:AC1006),$U$1006:$AC$1006,0))&gt;=100000), " ",IF(INDEX($U$2:$AC$1001,MATCH(ROWS($N$2:N13),$N$2:$N$1001,0),MATCH(COLUMNS($U$1006:AC1006),$U$1006:$AC$1006,0)), HYPERLINK("#",""), HYPERLINK(CONCATENATE("#metadata!", ADDRESS(INDEX($P$2:$P$1001,MATCH(ROWS($N$2:N13),$N$2:$N$1001,0),0), INDEX($U$1004:$AC$1004,1,MATCH(COLUMNS($U$1006:AC1006),$U$1006:$AC$1006,0)))),"Fix")))</f>
        <v>0</v>
      </c>
      <c r="N13">
        <v>0</v>
      </c>
      <c r="O13">
        <v>0</v>
      </c>
      <c r="P13">
        <v>0</v>
      </c>
      <c r="Q13">
        <f>IF(R13,TRUE,AND(U13:AC13))</f>
        <v>0</v>
      </c>
      <c r="R13">
        <f>COUNTBLANK(metadata!B13:J13)=COLUMNS(metadata!B13:J13)</f>
        <v>0</v>
      </c>
      <c r="S13">
        <v>0</v>
      </c>
      <c r="U13">
        <f>AND(IF(metadata!B13="",FALSE,TRUE),COUNTIF(metadata!B:B, metadata!B13) = 1,NOT(ISERROR(SUMPRODUCT(SEARCH(MID(metadata!B13,ROW(INDIRECT("1:"&amp;LEN(metadata!B13))), 1),"0123456789abcdefghijklmnopqrstuvwxyzABCDEFGHIJKLMNOPQRSTUVWXYZ.")))))</f>
        <v>0</v>
      </c>
      <c r="V13">
        <f>AND(IF(metadata!C13="",FALSE,TRUE),exact(metadata!C13,"UBERON:genitourinary"))</f>
        <v>0</v>
      </c>
      <c r="W13">
        <f>AND(IF(metadata!D13="",FALSE,TRUE),exact(metadata!D13,"UBERON:urine"))</f>
        <v>0</v>
      </c>
      <c r="X13">
        <f>AND(IF(metadata!E13="",FALSE,TRUE),exact(metadata!E13,"UBERON:kidney"))</f>
        <v>0</v>
      </c>
      <c r="Y13">
        <f>AND(IF(metadata!F13="",FALSE,TRUE),exact(metadata!F13,"animal corpus"))</f>
        <v>0</v>
      </c>
      <c r="Z13">
        <f>AND(IF(metadata!G13="",FALSE,TRUE),exact(metadata!G13,"urine"))</f>
        <v>0</v>
      </c>
      <c r="AA13">
        <f>AND(IF(metadata!H13="",FALSE,TRUE),exact(metadata!H13,"urine"))</f>
        <v>0</v>
      </c>
      <c r="AB13">
        <f>AND(IF(metadata!I13="",FALSE,TRUE),exact(metadata!I13,"urine metagenome"))</f>
        <v>0</v>
      </c>
      <c r="AC13">
        <f>AND(IF(metadata!J13="",FALSE,TRUE),exact(metadata!J13,"1346744"))</f>
        <v>0</v>
      </c>
    </row>
    <row r="14" spans="1:29">
      <c r="A14" s="4">
        <f>IF(B14=" "," ",HYPERLINK(CONCATENATE("#metadata!",ADDRESS(INDEX($P$2:$P$1001,MATCH(ROWS($N$2:N14),$N$2:$N$1001,0),0),1)),INDEX($S$2:$S$1001,MATCH(ROWS($N$2:N14),$N$2:$N$1001,0),0)))</f>
        <v>0</v>
      </c>
      <c r="B14" s="3">
        <f>IF(OR(INDEX($O$2:$O$1001,MATCH(ROWS($N$2:N14),$N$2:$N$1001,0),1)&gt;=100000,INDEX($U$1005:$AC$1005,1,MATCH(COLUMNS($U$1006:U1006),$U$1006:$AC$1006,0))&gt;=100000), " ",IF(INDEX($U$2:$AC$1001,MATCH(ROWS($N$2:N14),$N$2:$N$1001,0),MATCH(COLUMNS($U$1006:U1006),$U$1006:$AC$1006,0)), HYPERLINK("#",""), HYPERLINK(CONCATENATE("#metadata!", ADDRESS(INDEX($P$2:$P$1001,MATCH(ROWS($N$2:N14),$N$2:$N$1001,0),0), INDEX($U$1004:$AC$1004,1,MATCH(COLUMNS($U$1006:U1006),$U$1006:$AC$1006,0)))),"Fix")))</f>
        <v>0</v>
      </c>
      <c r="C14" s="3">
        <f>IF(OR(INDEX($O$2:$O$1001,MATCH(ROWS($N$2:N14),$N$2:$N$1001,0),1)&gt;=100000,INDEX($U$1005:$AC$1005,1,MATCH(COLUMNS($U$1006:V1006),$U$1006:$AC$1006,0))&gt;=100000), " ",IF(INDEX($U$2:$AC$1001,MATCH(ROWS($N$2:N14),$N$2:$N$1001,0),MATCH(COLUMNS($U$1006:V1006),$U$1006:$AC$1006,0)), HYPERLINK("#",""), HYPERLINK(CONCATENATE("#metadata!", ADDRESS(INDEX($P$2:$P$1001,MATCH(ROWS($N$2:N14),$N$2:$N$1001,0),0), INDEX($U$1004:$AC$1004,1,MATCH(COLUMNS($U$1006:V1006),$U$1006:$AC$1006,0)))),"Fix")))</f>
        <v>0</v>
      </c>
      <c r="D14" s="3">
        <f>IF(OR(INDEX($O$2:$O$1001,MATCH(ROWS($N$2:N14),$N$2:$N$1001,0),1)&gt;=100000,INDEX($U$1005:$AC$1005,1,MATCH(COLUMNS($U$1006:W1006),$U$1006:$AC$1006,0))&gt;=100000), " ",IF(INDEX($U$2:$AC$1001,MATCH(ROWS($N$2:N14),$N$2:$N$1001,0),MATCH(COLUMNS($U$1006:W1006),$U$1006:$AC$1006,0)), HYPERLINK("#",""), HYPERLINK(CONCATENATE("#metadata!", ADDRESS(INDEX($P$2:$P$1001,MATCH(ROWS($N$2:N14),$N$2:$N$1001,0),0), INDEX($U$1004:$AC$1004,1,MATCH(COLUMNS($U$1006:W1006),$U$1006:$AC$1006,0)))),"Fix")))</f>
        <v>0</v>
      </c>
      <c r="E14" s="3">
        <f>IF(OR(INDEX($O$2:$O$1001,MATCH(ROWS($N$2:N14),$N$2:$N$1001,0),1)&gt;=100000,INDEX($U$1005:$AC$1005,1,MATCH(COLUMNS($U$1006:X1006),$U$1006:$AC$1006,0))&gt;=100000), " ",IF(INDEX($U$2:$AC$1001,MATCH(ROWS($N$2:N14),$N$2:$N$1001,0),MATCH(COLUMNS($U$1006:X1006),$U$1006:$AC$1006,0)), HYPERLINK("#",""), HYPERLINK(CONCATENATE("#metadata!", ADDRESS(INDEX($P$2:$P$1001,MATCH(ROWS($N$2:N14),$N$2:$N$1001,0),0), INDEX($U$1004:$AC$1004,1,MATCH(COLUMNS($U$1006:X1006),$U$1006:$AC$1006,0)))),"Fix")))</f>
        <v>0</v>
      </c>
      <c r="F14" s="3">
        <f>IF(OR(INDEX($O$2:$O$1001,MATCH(ROWS($N$2:N14),$N$2:$N$1001,0),1)&gt;=100000,INDEX($U$1005:$AC$1005,1,MATCH(COLUMNS($U$1006:Y1006),$U$1006:$AC$1006,0))&gt;=100000), " ",IF(INDEX($U$2:$AC$1001,MATCH(ROWS($N$2:N14),$N$2:$N$1001,0),MATCH(COLUMNS($U$1006:Y1006),$U$1006:$AC$1006,0)), HYPERLINK("#",""), HYPERLINK(CONCATENATE("#metadata!", ADDRESS(INDEX($P$2:$P$1001,MATCH(ROWS($N$2:N14),$N$2:$N$1001,0),0), INDEX($U$1004:$AC$1004,1,MATCH(COLUMNS($U$1006:Y1006),$U$1006:$AC$1006,0)))),"Fix")))</f>
        <v>0</v>
      </c>
      <c r="G14" s="3">
        <f>IF(OR(INDEX($O$2:$O$1001,MATCH(ROWS($N$2:N14),$N$2:$N$1001,0),1)&gt;=100000,INDEX($U$1005:$AC$1005,1,MATCH(COLUMNS($U$1006:Z1006),$U$1006:$AC$1006,0))&gt;=100000), " ",IF(INDEX($U$2:$AC$1001,MATCH(ROWS($N$2:N14),$N$2:$N$1001,0),MATCH(COLUMNS($U$1006:Z1006),$U$1006:$AC$1006,0)), HYPERLINK("#",""), HYPERLINK(CONCATENATE("#metadata!", ADDRESS(INDEX($P$2:$P$1001,MATCH(ROWS($N$2:N14),$N$2:$N$1001,0),0), INDEX($U$1004:$AC$1004,1,MATCH(COLUMNS($U$1006:Z1006),$U$1006:$AC$1006,0)))),"Fix")))</f>
        <v>0</v>
      </c>
      <c r="H14" s="3">
        <f>IF(OR(INDEX($O$2:$O$1001,MATCH(ROWS($N$2:N14),$N$2:$N$1001,0),1)&gt;=100000,INDEX($U$1005:$AC$1005,1,MATCH(COLUMNS($U$1006:AA1006),$U$1006:$AC$1006,0))&gt;=100000), " ",IF(INDEX($U$2:$AC$1001,MATCH(ROWS($N$2:N14),$N$2:$N$1001,0),MATCH(COLUMNS($U$1006:AA1006),$U$1006:$AC$1006,0)), HYPERLINK("#",""), HYPERLINK(CONCATENATE("#metadata!", ADDRESS(INDEX($P$2:$P$1001,MATCH(ROWS($N$2:N14),$N$2:$N$1001,0),0), INDEX($U$1004:$AC$1004,1,MATCH(COLUMNS($U$1006:AA1006),$U$1006:$AC$1006,0)))),"Fix")))</f>
        <v>0</v>
      </c>
      <c r="I14" s="3">
        <f>IF(OR(INDEX($O$2:$O$1001,MATCH(ROWS($N$2:N14),$N$2:$N$1001,0),1)&gt;=100000,INDEX($U$1005:$AC$1005,1,MATCH(COLUMNS($U$1006:AB1006),$U$1006:$AC$1006,0))&gt;=100000), " ",IF(INDEX($U$2:$AC$1001,MATCH(ROWS($N$2:N14),$N$2:$N$1001,0),MATCH(COLUMNS($U$1006:AB1006),$U$1006:$AC$1006,0)), HYPERLINK("#",""), HYPERLINK(CONCATENATE("#metadata!", ADDRESS(INDEX($P$2:$P$1001,MATCH(ROWS($N$2:N14),$N$2:$N$1001,0),0), INDEX($U$1004:$AC$1004,1,MATCH(COLUMNS($U$1006:AB1006),$U$1006:$AC$1006,0)))),"Fix")))</f>
        <v>0</v>
      </c>
      <c r="J14" s="3">
        <f>IF(OR(INDEX($O$2:$O$1001,MATCH(ROWS($N$2:N14),$N$2:$N$1001,0),1)&gt;=100000,INDEX($U$1005:$AC$1005,1,MATCH(COLUMNS($U$1006:AC1006),$U$1006:$AC$1006,0))&gt;=100000), " ",IF(INDEX($U$2:$AC$1001,MATCH(ROWS($N$2:N14),$N$2:$N$1001,0),MATCH(COLUMNS($U$1006:AC1006),$U$1006:$AC$1006,0)), HYPERLINK("#",""), HYPERLINK(CONCATENATE("#metadata!", ADDRESS(INDEX($P$2:$P$1001,MATCH(ROWS($N$2:N14),$N$2:$N$1001,0),0), INDEX($U$1004:$AC$1004,1,MATCH(COLUMNS($U$1006:AC1006),$U$1006:$AC$1006,0)))),"Fix")))</f>
        <v>0</v>
      </c>
      <c r="N14">
        <v>0</v>
      </c>
      <c r="O14">
        <v>0</v>
      </c>
      <c r="P14">
        <v>0</v>
      </c>
      <c r="Q14">
        <f>IF(R14,TRUE,AND(U14:AC14))</f>
        <v>0</v>
      </c>
      <c r="R14">
        <f>COUNTBLANK(metadata!B14:J14)=COLUMNS(metadata!B14:J14)</f>
        <v>0</v>
      </c>
      <c r="S14">
        <v>0</v>
      </c>
      <c r="U14">
        <f>AND(IF(metadata!B14="",FALSE,TRUE),COUNTIF(metadata!B:B, metadata!B14) = 1,NOT(ISERROR(SUMPRODUCT(SEARCH(MID(metadata!B14,ROW(INDIRECT("1:"&amp;LEN(metadata!B14))), 1),"0123456789abcdefghijklmnopqrstuvwxyzABCDEFGHIJKLMNOPQRSTUVWXYZ.")))))</f>
        <v>0</v>
      </c>
      <c r="V14">
        <f>AND(IF(metadata!C14="",FALSE,TRUE),exact(metadata!C14,"UBERON:genitourinary"))</f>
        <v>0</v>
      </c>
      <c r="W14">
        <f>AND(IF(metadata!D14="",FALSE,TRUE),exact(metadata!D14,"UBERON:urine"))</f>
        <v>0</v>
      </c>
      <c r="X14">
        <f>AND(IF(metadata!E14="",FALSE,TRUE),exact(metadata!E14,"UBERON:kidney"))</f>
        <v>0</v>
      </c>
      <c r="Y14">
        <f>AND(IF(metadata!F14="",FALSE,TRUE),exact(metadata!F14,"animal corpus"))</f>
        <v>0</v>
      </c>
      <c r="Z14">
        <f>AND(IF(metadata!G14="",FALSE,TRUE),exact(metadata!G14,"urine"))</f>
        <v>0</v>
      </c>
      <c r="AA14">
        <f>AND(IF(metadata!H14="",FALSE,TRUE),exact(metadata!H14,"urine"))</f>
        <v>0</v>
      </c>
      <c r="AB14">
        <f>AND(IF(metadata!I14="",FALSE,TRUE),exact(metadata!I14,"urine metagenome"))</f>
        <v>0</v>
      </c>
      <c r="AC14">
        <f>AND(IF(metadata!J14="",FALSE,TRUE),exact(metadata!J14,"1346744"))</f>
        <v>0</v>
      </c>
    </row>
    <row r="15" spans="1:29">
      <c r="A15" s="4">
        <f>IF(B15=" "," ",HYPERLINK(CONCATENATE("#metadata!",ADDRESS(INDEX($P$2:$P$1001,MATCH(ROWS($N$2:N15),$N$2:$N$1001,0),0),1)),INDEX($S$2:$S$1001,MATCH(ROWS($N$2:N15),$N$2:$N$1001,0),0)))</f>
        <v>0</v>
      </c>
      <c r="B15" s="3">
        <f>IF(OR(INDEX($O$2:$O$1001,MATCH(ROWS($N$2:N15),$N$2:$N$1001,0),1)&gt;=100000,INDEX($U$1005:$AC$1005,1,MATCH(COLUMNS($U$1006:U1006),$U$1006:$AC$1006,0))&gt;=100000), " ",IF(INDEX($U$2:$AC$1001,MATCH(ROWS($N$2:N15),$N$2:$N$1001,0),MATCH(COLUMNS($U$1006:U1006),$U$1006:$AC$1006,0)), HYPERLINK("#",""), HYPERLINK(CONCATENATE("#metadata!", ADDRESS(INDEX($P$2:$P$1001,MATCH(ROWS($N$2:N15),$N$2:$N$1001,0),0), INDEX($U$1004:$AC$1004,1,MATCH(COLUMNS($U$1006:U1006),$U$1006:$AC$1006,0)))),"Fix")))</f>
        <v>0</v>
      </c>
      <c r="C15" s="3">
        <f>IF(OR(INDEX($O$2:$O$1001,MATCH(ROWS($N$2:N15),$N$2:$N$1001,0),1)&gt;=100000,INDEX($U$1005:$AC$1005,1,MATCH(COLUMNS($U$1006:V1006),$U$1006:$AC$1006,0))&gt;=100000), " ",IF(INDEX($U$2:$AC$1001,MATCH(ROWS($N$2:N15),$N$2:$N$1001,0),MATCH(COLUMNS($U$1006:V1006),$U$1006:$AC$1006,0)), HYPERLINK("#",""), HYPERLINK(CONCATENATE("#metadata!", ADDRESS(INDEX($P$2:$P$1001,MATCH(ROWS($N$2:N15),$N$2:$N$1001,0),0), INDEX($U$1004:$AC$1004,1,MATCH(COLUMNS($U$1006:V1006),$U$1006:$AC$1006,0)))),"Fix")))</f>
        <v>0</v>
      </c>
      <c r="D15" s="3">
        <f>IF(OR(INDEX($O$2:$O$1001,MATCH(ROWS($N$2:N15),$N$2:$N$1001,0),1)&gt;=100000,INDEX($U$1005:$AC$1005,1,MATCH(COLUMNS($U$1006:W1006),$U$1006:$AC$1006,0))&gt;=100000), " ",IF(INDEX($U$2:$AC$1001,MATCH(ROWS($N$2:N15),$N$2:$N$1001,0),MATCH(COLUMNS($U$1006:W1006),$U$1006:$AC$1006,0)), HYPERLINK("#",""), HYPERLINK(CONCATENATE("#metadata!", ADDRESS(INDEX($P$2:$P$1001,MATCH(ROWS($N$2:N15),$N$2:$N$1001,0),0), INDEX($U$1004:$AC$1004,1,MATCH(COLUMNS($U$1006:W1006),$U$1006:$AC$1006,0)))),"Fix")))</f>
        <v>0</v>
      </c>
      <c r="E15" s="3">
        <f>IF(OR(INDEX($O$2:$O$1001,MATCH(ROWS($N$2:N15),$N$2:$N$1001,0),1)&gt;=100000,INDEX($U$1005:$AC$1005,1,MATCH(COLUMNS($U$1006:X1006),$U$1006:$AC$1006,0))&gt;=100000), " ",IF(INDEX($U$2:$AC$1001,MATCH(ROWS($N$2:N15),$N$2:$N$1001,0),MATCH(COLUMNS($U$1006:X1006),$U$1006:$AC$1006,0)), HYPERLINK("#",""), HYPERLINK(CONCATENATE("#metadata!", ADDRESS(INDEX($P$2:$P$1001,MATCH(ROWS($N$2:N15),$N$2:$N$1001,0),0), INDEX($U$1004:$AC$1004,1,MATCH(COLUMNS($U$1006:X1006),$U$1006:$AC$1006,0)))),"Fix")))</f>
        <v>0</v>
      </c>
      <c r="F15" s="3">
        <f>IF(OR(INDEX($O$2:$O$1001,MATCH(ROWS($N$2:N15),$N$2:$N$1001,0),1)&gt;=100000,INDEX($U$1005:$AC$1005,1,MATCH(COLUMNS($U$1006:Y1006),$U$1006:$AC$1006,0))&gt;=100000), " ",IF(INDEX($U$2:$AC$1001,MATCH(ROWS($N$2:N15),$N$2:$N$1001,0),MATCH(COLUMNS($U$1006:Y1006),$U$1006:$AC$1006,0)), HYPERLINK("#",""), HYPERLINK(CONCATENATE("#metadata!", ADDRESS(INDEX($P$2:$P$1001,MATCH(ROWS($N$2:N15),$N$2:$N$1001,0),0), INDEX($U$1004:$AC$1004,1,MATCH(COLUMNS($U$1006:Y1006),$U$1006:$AC$1006,0)))),"Fix")))</f>
        <v>0</v>
      </c>
      <c r="G15" s="3">
        <f>IF(OR(INDEX($O$2:$O$1001,MATCH(ROWS($N$2:N15),$N$2:$N$1001,0),1)&gt;=100000,INDEX($U$1005:$AC$1005,1,MATCH(COLUMNS($U$1006:Z1006),$U$1006:$AC$1006,0))&gt;=100000), " ",IF(INDEX($U$2:$AC$1001,MATCH(ROWS($N$2:N15),$N$2:$N$1001,0),MATCH(COLUMNS($U$1006:Z1006),$U$1006:$AC$1006,0)), HYPERLINK("#",""), HYPERLINK(CONCATENATE("#metadata!", ADDRESS(INDEX($P$2:$P$1001,MATCH(ROWS($N$2:N15),$N$2:$N$1001,0),0), INDEX($U$1004:$AC$1004,1,MATCH(COLUMNS($U$1006:Z1006),$U$1006:$AC$1006,0)))),"Fix")))</f>
        <v>0</v>
      </c>
      <c r="H15" s="3">
        <f>IF(OR(INDEX($O$2:$O$1001,MATCH(ROWS($N$2:N15),$N$2:$N$1001,0),1)&gt;=100000,INDEX($U$1005:$AC$1005,1,MATCH(COLUMNS($U$1006:AA1006),$U$1006:$AC$1006,0))&gt;=100000), " ",IF(INDEX($U$2:$AC$1001,MATCH(ROWS($N$2:N15),$N$2:$N$1001,0),MATCH(COLUMNS($U$1006:AA1006),$U$1006:$AC$1006,0)), HYPERLINK("#",""), HYPERLINK(CONCATENATE("#metadata!", ADDRESS(INDEX($P$2:$P$1001,MATCH(ROWS($N$2:N15),$N$2:$N$1001,0),0), INDEX($U$1004:$AC$1004,1,MATCH(COLUMNS($U$1006:AA1006),$U$1006:$AC$1006,0)))),"Fix")))</f>
        <v>0</v>
      </c>
      <c r="I15" s="3">
        <f>IF(OR(INDEX($O$2:$O$1001,MATCH(ROWS($N$2:N15),$N$2:$N$1001,0),1)&gt;=100000,INDEX($U$1005:$AC$1005,1,MATCH(COLUMNS($U$1006:AB1006),$U$1006:$AC$1006,0))&gt;=100000), " ",IF(INDEX($U$2:$AC$1001,MATCH(ROWS($N$2:N15),$N$2:$N$1001,0),MATCH(COLUMNS($U$1006:AB1006),$U$1006:$AC$1006,0)), HYPERLINK("#",""), HYPERLINK(CONCATENATE("#metadata!", ADDRESS(INDEX($P$2:$P$1001,MATCH(ROWS($N$2:N15),$N$2:$N$1001,0),0), INDEX($U$1004:$AC$1004,1,MATCH(COLUMNS($U$1006:AB1006),$U$1006:$AC$1006,0)))),"Fix")))</f>
        <v>0</v>
      </c>
      <c r="J15" s="3">
        <f>IF(OR(INDEX($O$2:$O$1001,MATCH(ROWS($N$2:N15),$N$2:$N$1001,0),1)&gt;=100000,INDEX($U$1005:$AC$1005,1,MATCH(COLUMNS($U$1006:AC1006),$U$1006:$AC$1006,0))&gt;=100000), " ",IF(INDEX($U$2:$AC$1001,MATCH(ROWS($N$2:N15),$N$2:$N$1001,0),MATCH(COLUMNS($U$1006:AC1006),$U$1006:$AC$1006,0)), HYPERLINK("#",""), HYPERLINK(CONCATENATE("#metadata!", ADDRESS(INDEX($P$2:$P$1001,MATCH(ROWS($N$2:N15),$N$2:$N$1001,0),0), INDEX($U$1004:$AC$1004,1,MATCH(COLUMNS($U$1006:AC1006),$U$1006:$AC$1006,0)))),"Fix")))</f>
        <v>0</v>
      </c>
      <c r="N15">
        <v>0</v>
      </c>
      <c r="O15">
        <v>0</v>
      </c>
      <c r="P15">
        <v>0</v>
      </c>
      <c r="Q15">
        <f>IF(R15,TRUE,AND(U15:AC15))</f>
        <v>0</v>
      </c>
      <c r="R15">
        <f>COUNTBLANK(metadata!B15:J15)=COLUMNS(metadata!B15:J15)</f>
        <v>0</v>
      </c>
      <c r="S15">
        <v>0</v>
      </c>
      <c r="U15">
        <f>AND(IF(metadata!B15="",FALSE,TRUE),COUNTIF(metadata!B:B, metadata!B15) = 1,NOT(ISERROR(SUMPRODUCT(SEARCH(MID(metadata!B15,ROW(INDIRECT("1:"&amp;LEN(metadata!B15))), 1),"0123456789abcdefghijklmnopqrstuvwxyzABCDEFGHIJKLMNOPQRSTUVWXYZ.")))))</f>
        <v>0</v>
      </c>
      <c r="V15">
        <f>AND(IF(metadata!C15="",FALSE,TRUE),exact(metadata!C15,"UBERON:genitourinary"))</f>
        <v>0</v>
      </c>
      <c r="W15">
        <f>AND(IF(metadata!D15="",FALSE,TRUE),exact(metadata!D15,"UBERON:urine"))</f>
        <v>0</v>
      </c>
      <c r="X15">
        <f>AND(IF(metadata!E15="",FALSE,TRUE),exact(metadata!E15,"UBERON:kidney"))</f>
        <v>0</v>
      </c>
      <c r="Y15">
        <f>AND(IF(metadata!F15="",FALSE,TRUE),exact(metadata!F15,"animal corpus"))</f>
        <v>0</v>
      </c>
      <c r="Z15">
        <f>AND(IF(metadata!G15="",FALSE,TRUE),exact(metadata!G15,"urine"))</f>
        <v>0</v>
      </c>
      <c r="AA15">
        <f>AND(IF(metadata!H15="",FALSE,TRUE),exact(metadata!H15,"urine"))</f>
        <v>0</v>
      </c>
      <c r="AB15">
        <f>AND(IF(metadata!I15="",FALSE,TRUE),exact(metadata!I15,"urine metagenome"))</f>
        <v>0</v>
      </c>
      <c r="AC15">
        <f>AND(IF(metadata!J15="",FALSE,TRUE),exact(metadata!J15,"1346744"))</f>
        <v>0</v>
      </c>
    </row>
    <row r="16" spans="1:29">
      <c r="A16" s="4">
        <f>IF(B16=" "," ",HYPERLINK(CONCATENATE("#metadata!",ADDRESS(INDEX($P$2:$P$1001,MATCH(ROWS($N$2:N16),$N$2:$N$1001,0),0),1)),INDEX($S$2:$S$1001,MATCH(ROWS($N$2:N16),$N$2:$N$1001,0),0)))</f>
        <v>0</v>
      </c>
      <c r="B16" s="3">
        <f>IF(OR(INDEX($O$2:$O$1001,MATCH(ROWS($N$2:N16),$N$2:$N$1001,0),1)&gt;=100000,INDEX($U$1005:$AC$1005,1,MATCH(COLUMNS($U$1006:U1006),$U$1006:$AC$1006,0))&gt;=100000), " ",IF(INDEX($U$2:$AC$1001,MATCH(ROWS($N$2:N16),$N$2:$N$1001,0),MATCH(COLUMNS($U$1006:U1006),$U$1006:$AC$1006,0)), HYPERLINK("#",""), HYPERLINK(CONCATENATE("#metadata!", ADDRESS(INDEX($P$2:$P$1001,MATCH(ROWS($N$2:N16),$N$2:$N$1001,0),0), INDEX($U$1004:$AC$1004,1,MATCH(COLUMNS($U$1006:U1006),$U$1006:$AC$1006,0)))),"Fix")))</f>
        <v>0</v>
      </c>
      <c r="C16" s="3">
        <f>IF(OR(INDEX($O$2:$O$1001,MATCH(ROWS($N$2:N16),$N$2:$N$1001,0),1)&gt;=100000,INDEX($U$1005:$AC$1005,1,MATCH(COLUMNS($U$1006:V1006),$U$1006:$AC$1006,0))&gt;=100000), " ",IF(INDEX($U$2:$AC$1001,MATCH(ROWS($N$2:N16),$N$2:$N$1001,0),MATCH(COLUMNS($U$1006:V1006),$U$1006:$AC$1006,0)), HYPERLINK("#",""), HYPERLINK(CONCATENATE("#metadata!", ADDRESS(INDEX($P$2:$P$1001,MATCH(ROWS($N$2:N16),$N$2:$N$1001,0),0), INDEX($U$1004:$AC$1004,1,MATCH(COLUMNS($U$1006:V1006),$U$1006:$AC$1006,0)))),"Fix")))</f>
        <v>0</v>
      </c>
      <c r="D16" s="3">
        <f>IF(OR(INDEX($O$2:$O$1001,MATCH(ROWS($N$2:N16),$N$2:$N$1001,0),1)&gt;=100000,INDEX($U$1005:$AC$1005,1,MATCH(COLUMNS($U$1006:W1006),$U$1006:$AC$1006,0))&gt;=100000), " ",IF(INDEX($U$2:$AC$1001,MATCH(ROWS($N$2:N16),$N$2:$N$1001,0),MATCH(COLUMNS($U$1006:W1006),$U$1006:$AC$1006,0)), HYPERLINK("#",""), HYPERLINK(CONCATENATE("#metadata!", ADDRESS(INDEX($P$2:$P$1001,MATCH(ROWS($N$2:N16),$N$2:$N$1001,0),0), INDEX($U$1004:$AC$1004,1,MATCH(COLUMNS($U$1006:W1006),$U$1006:$AC$1006,0)))),"Fix")))</f>
        <v>0</v>
      </c>
      <c r="E16" s="3">
        <f>IF(OR(INDEX($O$2:$O$1001,MATCH(ROWS($N$2:N16),$N$2:$N$1001,0),1)&gt;=100000,INDEX($U$1005:$AC$1005,1,MATCH(COLUMNS($U$1006:X1006),$U$1006:$AC$1006,0))&gt;=100000), " ",IF(INDEX($U$2:$AC$1001,MATCH(ROWS($N$2:N16),$N$2:$N$1001,0),MATCH(COLUMNS($U$1006:X1006),$U$1006:$AC$1006,0)), HYPERLINK("#",""), HYPERLINK(CONCATENATE("#metadata!", ADDRESS(INDEX($P$2:$P$1001,MATCH(ROWS($N$2:N16),$N$2:$N$1001,0),0), INDEX($U$1004:$AC$1004,1,MATCH(COLUMNS($U$1006:X1006),$U$1006:$AC$1006,0)))),"Fix")))</f>
        <v>0</v>
      </c>
      <c r="F16" s="3">
        <f>IF(OR(INDEX($O$2:$O$1001,MATCH(ROWS($N$2:N16),$N$2:$N$1001,0),1)&gt;=100000,INDEX($U$1005:$AC$1005,1,MATCH(COLUMNS($U$1006:Y1006),$U$1006:$AC$1006,0))&gt;=100000), " ",IF(INDEX($U$2:$AC$1001,MATCH(ROWS($N$2:N16),$N$2:$N$1001,0),MATCH(COLUMNS($U$1006:Y1006),$U$1006:$AC$1006,0)), HYPERLINK("#",""), HYPERLINK(CONCATENATE("#metadata!", ADDRESS(INDEX($P$2:$P$1001,MATCH(ROWS($N$2:N16),$N$2:$N$1001,0),0), INDEX($U$1004:$AC$1004,1,MATCH(COLUMNS($U$1006:Y1006),$U$1006:$AC$1006,0)))),"Fix")))</f>
        <v>0</v>
      </c>
      <c r="G16" s="3">
        <f>IF(OR(INDEX($O$2:$O$1001,MATCH(ROWS($N$2:N16),$N$2:$N$1001,0),1)&gt;=100000,INDEX($U$1005:$AC$1005,1,MATCH(COLUMNS($U$1006:Z1006),$U$1006:$AC$1006,0))&gt;=100000), " ",IF(INDEX($U$2:$AC$1001,MATCH(ROWS($N$2:N16),$N$2:$N$1001,0),MATCH(COLUMNS($U$1006:Z1006),$U$1006:$AC$1006,0)), HYPERLINK("#",""), HYPERLINK(CONCATENATE("#metadata!", ADDRESS(INDEX($P$2:$P$1001,MATCH(ROWS($N$2:N16),$N$2:$N$1001,0),0), INDEX($U$1004:$AC$1004,1,MATCH(COLUMNS($U$1006:Z1006),$U$1006:$AC$1006,0)))),"Fix")))</f>
        <v>0</v>
      </c>
      <c r="H16" s="3">
        <f>IF(OR(INDEX($O$2:$O$1001,MATCH(ROWS($N$2:N16),$N$2:$N$1001,0),1)&gt;=100000,INDEX($U$1005:$AC$1005,1,MATCH(COLUMNS($U$1006:AA1006),$U$1006:$AC$1006,0))&gt;=100000), " ",IF(INDEX($U$2:$AC$1001,MATCH(ROWS($N$2:N16),$N$2:$N$1001,0),MATCH(COLUMNS($U$1006:AA1006),$U$1006:$AC$1006,0)), HYPERLINK("#",""), HYPERLINK(CONCATENATE("#metadata!", ADDRESS(INDEX($P$2:$P$1001,MATCH(ROWS($N$2:N16),$N$2:$N$1001,0),0), INDEX($U$1004:$AC$1004,1,MATCH(COLUMNS($U$1006:AA1006),$U$1006:$AC$1006,0)))),"Fix")))</f>
        <v>0</v>
      </c>
      <c r="I16" s="3">
        <f>IF(OR(INDEX($O$2:$O$1001,MATCH(ROWS($N$2:N16),$N$2:$N$1001,0),1)&gt;=100000,INDEX($U$1005:$AC$1005,1,MATCH(COLUMNS($U$1006:AB1006),$U$1006:$AC$1006,0))&gt;=100000), " ",IF(INDEX($U$2:$AC$1001,MATCH(ROWS($N$2:N16),$N$2:$N$1001,0),MATCH(COLUMNS($U$1006:AB1006),$U$1006:$AC$1006,0)), HYPERLINK("#",""), HYPERLINK(CONCATENATE("#metadata!", ADDRESS(INDEX($P$2:$P$1001,MATCH(ROWS($N$2:N16),$N$2:$N$1001,0),0), INDEX($U$1004:$AC$1004,1,MATCH(COLUMNS($U$1006:AB1006),$U$1006:$AC$1006,0)))),"Fix")))</f>
        <v>0</v>
      </c>
      <c r="J16" s="3">
        <f>IF(OR(INDEX($O$2:$O$1001,MATCH(ROWS($N$2:N16),$N$2:$N$1001,0),1)&gt;=100000,INDEX($U$1005:$AC$1005,1,MATCH(COLUMNS($U$1006:AC1006),$U$1006:$AC$1006,0))&gt;=100000), " ",IF(INDEX($U$2:$AC$1001,MATCH(ROWS($N$2:N16),$N$2:$N$1001,0),MATCH(COLUMNS($U$1006:AC1006),$U$1006:$AC$1006,0)), HYPERLINK("#",""), HYPERLINK(CONCATENATE("#metadata!", ADDRESS(INDEX($P$2:$P$1001,MATCH(ROWS($N$2:N16),$N$2:$N$1001,0),0), INDEX($U$1004:$AC$1004,1,MATCH(COLUMNS($U$1006:AC1006),$U$1006:$AC$1006,0)))),"Fix")))</f>
        <v>0</v>
      </c>
      <c r="N16">
        <v>0</v>
      </c>
      <c r="O16">
        <v>0</v>
      </c>
      <c r="P16">
        <v>0</v>
      </c>
      <c r="Q16">
        <f>IF(R16,TRUE,AND(U16:AC16))</f>
        <v>0</v>
      </c>
      <c r="R16">
        <f>COUNTBLANK(metadata!B16:J16)=COLUMNS(metadata!B16:J16)</f>
        <v>0</v>
      </c>
      <c r="S16">
        <v>0</v>
      </c>
      <c r="U16">
        <f>AND(IF(metadata!B16="",FALSE,TRUE),COUNTIF(metadata!B:B, metadata!B16) = 1,NOT(ISERROR(SUMPRODUCT(SEARCH(MID(metadata!B16,ROW(INDIRECT("1:"&amp;LEN(metadata!B16))), 1),"0123456789abcdefghijklmnopqrstuvwxyzABCDEFGHIJKLMNOPQRSTUVWXYZ.")))))</f>
        <v>0</v>
      </c>
      <c r="V16">
        <f>AND(IF(metadata!C16="",FALSE,TRUE),exact(metadata!C16,"UBERON:genitourinary"))</f>
        <v>0</v>
      </c>
      <c r="W16">
        <f>AND(IF(metadata!D16="",FALSE,TRUE),exact(metadata!D16,"UBERON:urine"))</f>
        <v>0</v>
      </c>
      <c r="X16">
        <f>AND(IF(metadata!E16="",FALSE,TRUE),exact(metadata!E16,"UBERON:kidney"))</f>
        <v>0</v>
      </c>
      <c r="Y16">
        <f>AND(IF(metadata!F16="",FALSE,TRUE),exact(metadata!F16,"animal corpus"))</f>
        <v>0</v>
      </c>
      <c r="Z16">
        <f>AND(IF(metadata!G16="",FALSE,TRUE),exact(metadata!G16,"urine"))</f>
        <v>0</v>
      </c>
      <c r="AA16">
        <f>AND(IF(metadata!H16="",FALSE,TRUE),exact(metadata!H16,"urine"))</f>
        <v>0</v>
      </c>
      <c r="AB16">
        <f>AND(IF(metadata!I16="",FALSE,TRUE),exact(metadata!I16,"urine metagenome"))</f>
        <v>0</v>
      </c>
      <c r="AC16">
        <f>AND(IF(metadata!J16="",FALSE,TRUE),exact(metadata!J16,"1346744"))</f>
        <v>0</v>
      </c>
    </row>
    <row r="17" spans="1:29">
      <c r="A17" s="4">
        <f>IF(B17=" "," ",HYPERLINK(CONCATENATE("#metadata!",ADDRESS(INDEX($P$2:$P$1001,MATCH(ROWS($N$2:N17),$N$2:$N$1001,0),0),1)),INDEX($S$2:$S$1001,MATCH(ROWS($N$2:N17),$N$2:$N$1001,0),0)))</f>
        <v>0</v>
      </c>
      <c r="B17" s="3">
        <f>IF(OR(INDEX($O$2:$O$1001,MATCH(ROWS($N$2:N17),$N$2:$N$1001,0),1)&gt;=100000,INDEX($U$1005:$AC$1005,1,MATCH(COLUMNS($U$1006:U1006),$U$1006:$AC$1006,0))&gt;=100000), " ",IF(INDEX($U$2:$AC$1001,MATCH(ROWS($N$2:N17),$N$2:$N$1001,0),MATCH(COLUMNS($U$1006:U1006),$U$1006:$AC$1006,0)), HYPERLINK("#",""), HYPERLINK(CONCATENATE("#metadata!", ADDRESS(INDEX($P$2:$P$1001,MATCH(ROWS($N$2:N17),$N$2:$N$1001,0),0), INDEX($U$1004:$AC$1004,1,MATCH(COLUMNS($U$1006:U1006),$U$1006:$AC$1006,0)))),"Fix")))</f>
        <v>0</v>
      </c>
      <c r="C17" s="3">
        <f>IF(OR(INDEX($O$2:$O$1001,MATCH(ROWS($N$2:N17),$N$2:$N$1001,0),1)&gt;=100000,INDEX($U$1005:$AC$1005,1,MATCH(COLUMNS($U$1006:V1006),$U$1006:$AC$1006,0))&gt;=100000), " ",IF(INDEX($U$2:$AC$1001,MATCH(ROWS($N$2:N17),$N$2:$N$1001,0),MATCH(COLUMNS($U$1006:V1006),$U$1006:$AC$1006,0)), HYPERLINK("#",""), HYPERLINK(CONCATENATE("#metadata!", ADDRESS(INDEX($P$2:$P$1001,MATCH(ROWS($N$2:N17),$N$2:$N$1001,0),0), INDEX($U$1004:$AC$1004,1,MATCH(COLUMNS($U$1006:V1006),$U$1006:$AC$1006,0)))),"Fix")))</f>
        <v>0</v>
      </c>
      <c r="D17" s="3">
        <f>IF(OR(INDEX($O$2:$O$1001,MATCH(ROWS($N$2:N17),$N$2:$N$1001,0),1)&gt;=100000,INDEX($U$1005:$AC$1005,1,MATCH(COLUMNS($U$1006:W1006),$U$1006:$AC$1006,0))&gt;=100000), " ",IF(INDEX($U$2:$AC$1001,MATCH(ROWS($N$2:N17),$N$2:$N$1001,0),MATCH(COLUMNS($U$1006:W1006),$U$1006:$AC$1006,0)), HYPERLINK("#",""), HYPERLINK(CONCATENATE("#metadata!", ADDRESS(INDEX($P$2:$P$1001,MATCH(ROWS($N$2:N17),$N$2:$N$1001,0),0), INDEX($U$1004:$AC$1004,1,MATCH(COLUMNS($U$1006:W1006),$U$1006:$AC$1006,0)))),"Fix")))</f>
        <v>0</v>
      </c>
      <c r="E17" s="3">
        <f>IF(OR(INDEX($O$2:$O$1001,MATCH(ROWS($N$2:N17),$N$2:$N$1001,0),1)&gt;=100000,INDEX($U$1005:$AC$1005,1,MATCH(COLUMNS($U$1006:X1006),$U$1006:$AC$1006,0))&gt;=100000), " ",IF(INDEX($U$2:$AC$1001,MATCH(ROWS($N$2:N17),$N$2:$N$1001,0),MATCH(COLUMNS($U$1006:X1006),$U$1006:$AC$1006,0)), HYPERLINK("#",""), HYPERLINK(CONCATENATE("#metadata!", ADDRESS(INDEX($P$2:$P$1001,MATCH(ROWS($N$2:N17),$N$2:$N$1001,0),0), INDEX($U$1004:$AC$1004,1,MATCH(COLUMNS($U$1006:X1006),$U$1006:$AC$1006,0)))),"Fix")))</f>
        <v>0</v>
      </c>
      <c r="F17" s="3">
        <f>IF(OR(INDEX($O$2:$O$1001,MATCH(ROWS($N$2:N17),$N$2:$N$1001,0),1)&gt;=100000,INDEX($U$1005:$AC$1005,1,MATCH(COLUMNS($U$1006:Y1006),$U$1006:$AC$1006,0))&gt;=100000), " ",IF(INDEX($U$2:$AC$1001,MATCH(ROWS($N$2:N17),$N$2:$N$1001,0),MATCH(COLUMNS($U$1006:Y1006),$U$1006:$AC$1006,0)), HYPERLINK("#",""), HYPERLINK(CONCATENATE("#metadata!", ADDRESS(INDEX($P$2:$P$1001,MATCH(ROWS($N$2:N17),$N$2:$N$1001,0),0), INDEX($U$1004:$AC$1004,1,MATCH(COLUMNS($U$1006:Y1006),$U$1006:$AC$1006,0)))),"Fix")))</f>
        <v>0</v>
      </c>
      <c r="G17" s="3">
        <f>IF(OR(INDEX($O$2:$O$1001,MATCH(ROWS($N$2:N17),$N$2:$N$1001,0),1)&gt;=100000,INDEX($U$1005:$AC$1005,1,MATCH(COLUMNS($U$1006:Z1006),$U$1006:$AC$1006,0))&gt;=100000), " ",IF(INDEX($U$2:$AC$1001,MATCH(ROWS($N$2:N17),$N$2:$N$1001,0),MATCH(COLUMNS($U$1006:Z1006),$U$1006:$AC$1006,0)), HYPERLINK("#",""), HYPERLINK(CONCATENATE("#metadata!", ADDRESS(INDEX($P$2:$P$1001,MATCH(ROWS($N$2:N17),$N$2:$N$1001,0),0), INDEX($U$1004:$AC$1004,1,MATCH(COLUMNS($U$1006:Z1006),$U$1006:$AC$1006,0)))),"Fix")))</f>
        <v>0</v>
      </c>
      <c r="H17" s="3">
        <f>IF(OR(INDEX($O$2:$O$1001,MATCH(ROWS($N$2:N17),$N$2:$N$1001,0),1)&gt;=100000,INDEX($U$1005:$AC$1005,1,MATCH(COLUMNS($U$1006:AA1006),$U$1006:$AC$1006,0))&gt;=100000), " ",IF(INDEX($U$2:$AC$1001,MATCH(ROWS($N$2:N17),$N$2:$N$1001,0),MATCH(COLUMNS($U$1006:AA1006),$U$1006:$AC$1006,0)), HYPERLINK("#",""), HYPERLINK(CONCATENATE("#metadata!", ADDRESS(INDEX($P$2:$P$1001,MATCH(ROWS($N$2:N17),$N$2:$N$1001,0),0), INDEX($U$1004:$AC$1004,1,MATCH(COLUMNS($U$1006:AA1006),$U$1006:$AC$1006,0)))),"Fix")))</f>
        <v>0</v>
      </c>
      <c r="I17" s="3">
        <f>IF(OR(INDEX($O$2:$O$1001,MATCH(ROWS($N$2:N17),$N$2:$N$1001,0),1)&gt;=100000,INDEX($U$1005:$AC$1005,1,MATCH(COLUMNS($U$1006:AB1006),$U$1006:$AC$1006,0))&gt;=100000), " ",IF(INDEX($U$2:$AC$1001,MATCH(ROWS($N$2:N17),$N$2:$N$1001,0),MATCH(COLUMNS($U$1006:AB1006),$U$1006:$AC$1006,0)), HYPERLINK("#",""), HYPERLINK(CONCATENATE("#metadata!", ADDRESS(INDEX($P$2:$P$1001,MATCH(ROWS($N$2:N17),$N$2:$N$1001,0),0), INDEX($U$1004:$AC$1004,1,MATCH(COLUMNS($U$1006:AB1006),$U$1006:$AC$1006,0)))),"Fix")))</f>
        <v>0</v>
      </c>
      <c r="J17" s="3">
        <f>IF(OR(INDEX($O$2:$O$1001,MATCH(ROWS($N$2:N17),$N$2:$N$1001,0),1)&gt;=100000,INDEX($U$1005:$AC$1005,1,MATCH(COLUMNS($U$1006:AC1006),$U$1006:$AC$1006,0))&gt;=100000), " ",IF(INDEX($U$2:$AC$1001,MATCH(ROWS($N$2:N17),$N$2:$N$1001,0),MATCH(COLUMNS($U$1006:AC1006),$U$1006:$AC$1006,0)), HYPERLINK("#",""), HYPERLINK(CONCATENATE("#metadata!", ADDRESS(INDEX($P$2:$P$1001,MATCH(ROWS($N$2:N17),$N$2:$N$1001,0),0), INDEX($U$1004:$AC$1004,1,MATCH(COLUMNS($U$1006:AC1006),$U$1006:$AC$1006,0)))),"Fix")))</f>
        <v>0</v>
      </c>
      <c r="N17">
        <v>0</v>
      </c>
      <c r="O17">
        <v>0</v>
      </c>
      <c r="P17">
        <v>0</v>
      </c>
      <c r="Q17">
        <f>IF(R17,TRUE,AND(U17:AC17))</f>
        <v>0</v>
      </c>
      <c r="R17">
        <f>COUNTBLANK(metadata!B17:J17)=COLUMNS(metadata!B17:J17)</f>
        <v>0</v>
      </c>
      <c r="S17">
        <v>0</v>
      </c>
      <c r="U17">
        <f>AND(IF(metadata!B17="",FALSE,TRUE),COUNTIF(metadata!B:B, metadata!B17) = 1,NOT(ISERROR(SUMPRODUCT(SEARCH(MID(metadata!B17,ROW(INDIRECT("1:"&amp;LEN(metadata!B17))), 1),"0123456789abcdefghijklmnopqrstuvwxyzABCDEFGHIJKLMNOPQRSTUVWXYZ.")))))</f>
        <v>0</v>
      </c>
      <c r="V17">
        <f>AND(IF(metadata!C17="",FALSE,TRUE),exact(metadata!C17,"UBERON:genitourinary"))</f>
        <v>0</v>
      </c>
      <c r="W17">
        <f>AND(IF(metadata!D17="",FALSE,TRUE),exact(metadata!D17,"UBERON:urine"))</f>
        <v>0</v>
      </c>
      <c r="X17">
        <f>AND(IF(metadata!E17="",FALSE,TRUE),exact(metadata!E17,"UBERON:kidney"))</f>
        <v>0</v>
      </c>
      <c r="Y17">
        <f>AND(IF(metadata!F17="",FALSE,TRUE),exact(metadata!F17,"animal corpus"))</f>
        <v>0</v>
      </c>
      <c r="Z17">
        <f>AND(IF(metadata!G17="",FALSE,TRUE),exact(metadata!G17,"urine"))</f>
        <v>0</v>
      </c>
      <c r="AA17">
        <f>AND(IF(metadata!H17="",FALSE,TRUE),exact(metadata!H17,"urine"))</f>
        <v>0</v>
      </c>
      <c r="AB17">
        <f>AND(IF(metadata!I17="",FALSE,TRUE),exact(metadata!I17,"urine metagenome"))</f>
        <v>0</v>
      </c>
      <c r="AC17">
        <f>AND(IF(metadata!J17="",FALSE,TRUE),exact(metadata!J17,"1346744"))</f>
        <v>0</v>
      </c>
    </row>
    <row r="18" spans="1:29">
      <c r="A18" s="4">
        <f>IF(B18=" "," ",HYPERLINK(CONCATENATE("#metadata!",ADDRESS(INDEX($P$2:$P$1001,MATCH(ROWS($N$2:N18),$N$2:$N$1001,0),0),1)),INDEX($S$2:$S$1001,MATCH(ROWS($N$2:N18),$N$2:$N$1001,0),0)))</f>
        <v>0</v>
      </c>
      <c r="B18" s="3">
        <f>IF(OR(INDEX($O$2:$O$1001,MATCH(ROWS($N$2:N18),$N$2:$N$1001,0),1)&gt;=100000,INDEX($U$1005:$AC$1005,1,MATCH(COLUMNS($U$1006:U1006),$U$1006:$AC$1006,0))&gt;=100000), " ",IF(INDEX($U$2:$AC$1001,MATCH(ROWS($N$2:N18),$N$2:$N$1001,0),MATCH(COLUMNS($U$1006:U1006),$U$1006:$AC$1006,0)), HYPERLINK("#",""), HYPERLINK(CONCATENATE("#metadata!", ADDRESS(INDEX($P$2:$P$1001,MATCH(ROWS($N$2:N18),$N$2:$N$1001,0),0), INDEX($U$1004:$AC$1004,1,MATCH(COLUMNS($U$1006:U1006),$U$1006:$AC$1006,0)))),"Fix")))</f>
        <v>0</v>
      </c>
      <c r="C18" s="3">
        <f>IF(OR(INDEX($O$2:$O$1001,MATCH(ROWS($N$2:N18),$N$2:$N$1001,0),1)&gt;=100000,INDEX($U$1005:$AC$1005,1,MATCH(COLUMNS($U$1006:V1006),$U$1006:$AC$1006,0))&gt;=100000), " ",IF(INDEX($U$2:$AC$1001,MATCH(ROWS($N$2:N18),$N$2:$N$1001,0),MATCH(COLUMNS($U$1006:V1006),$U$1006:$AC$1006,0)), HYPERLINK("#",""), HYPERLINK(CONCATENATE("#metadata!", ADDRESS(INDEX($P$2:$P$1001,MATCH(ROWS($N$2:N18),$N$2:$N$1001,0),0), INDEX($U$1004:$AC$1004,1,MATCH(COLUMNS($U$1006:V1006),$U$1006:$AC$1006,0)))),"Fix")))</f>
        <v>0</v>
      </c>
      <c r="D18" s="3">
        <f>IF(OR(INDEX($O$2:$O$1001,MATCH(ROWS($N$2:N18),$N$2:$N$1001,0),1)&gt;=100000,INDEX($U$1005:$AC$1005,1,MATCH(COLUMNS($U$1006:W1006),$U$1006:$AC$1006,0))&gt;=100000), " ",IF(INDEX($U$2:$AC$1001,MATCH(ROWS($N$2:N18),$N$2:$N$1001,0),MATCH(COLUMNS($U$1006:W1006),$U$1006:$AC$1006,0)), HYPERLINK("#",""), HYPERLINK(CONCATENATE("#metadata!", ADDRESS(INDEX($P$2:$P$1001,MATCH(ROWS($N$2:N18),$N$2:$N$1001,0),0), INDEX($U$1004:$AC$1004,1,MATCH(COLUMNS($U$1006:W1006),$U$1006:$AC$1006,0)))),"Fix")))</f>
        <v>0</v>
      </c>
      <c r="E18" s="3">
        <f>IF(OR(INDEX($O$2:$O$1001,MATCH(ROWS($N$2:N18),$N$2:$N$1001,0),1)&gt;=100000,INDEX($U$1005:$AC$1005,1,MATCH(COLUMNS($U$1006:X1006),$U$1006:$AC$1006,0))&gt;=100000), " ",IF(INDEX($U$2:$AC$1001,MATCH(ROWS($N$2:N18),$N$2:$N$1001,0),MATCH(COLUMNS($U$1006:X1006),$U$1006:$AC$1006,0)), HYPERLINK("#",""), HYPERLINK(CONCATENATE("#metadata!", ADDRESS(INDEX($P$2:$P$1001,MATCH(ROWS($N$2:N18),$N$2:$N$1001,0),0), INDEX($U$1004:$AC$1004,1,MATCH(COLUMNS($U$1006:X1006),$U$1006:$AC$1006,0)))),"Fix")))</f>
        <v>0</v>
      </c>
      <c r="F18" s="3">
        <f>IF(OR(INDEX($O$2:$O$1001,MATCH(ROWS($N$2:N18),$N$2:$N$1001,0),1)&gt;=100000,INDEX($U$1005:$AC$1005,1,MATCH(COLUMNS($U$1006:Y1006),$U$1006:$AC$1006,0))&gt;=100000), " ",IF(INDEX($U$2:$AC$1001,MATCH(ROWS($N$2:N18),$N$2:$N$1001,0),MATCH(COLUMNS($U$1006:Y1006),$U$1006:$AC$1006,0)), HYPERLINK("#",""), HYPERLINK(CONCATENATE("#metadata!", ADDRESS(INDEX($P$2:$P$1001,MATCH(ROWS($N$2:N18),$N$2:$N$1001,0),0), INDEX($U$1004:$AC$1004,1,MATCH(COLUMNS($U$1006:Y1006),$U$1006:$AC$1006,0)))),"Fix")))</f>
        <v>0</v>
      </c>
      <c r="G18" s="3">
        <f>IF(OR(INDEX($O$2:$O$1001,MATCH(ROWS($N$2:N18),$N$2:$N$1001,0),1)&gt;=100000,INDEX($U$1005:$AC$1005,1,MATCH(COLUMNS($U$1006:Z1006),$U$1006:$AC$1006,0))&gt;=100000), " ",IF(INDEX($U$2:$AC$1001,MATCH(ROWS($N$2:N18),$N$2:$N$1001,0),MATCH(COLUMNS($U$1006:Z1006),$U$1006:$AC$1006,0)), HYPERLINK("#",""), HYPERLINK(CONCATENATE("#metadata!", ADDRESS(INDEX($P$2:$P$1001,MATCH(ROWS($N$2:N18),$N$2:$N$1001,0),0), INDEX($U$1004:$AC$1004,1,MATCH(COLUMNS($U$1006:Z1006),$U$1006:$AC$1006,0)))),"Fix")))</f>
        <v>0</v>
      </c>
      <c r="H18" s="3">
        <f>IF(OR(INDEX($O$2:$O$1001,MATCH(ROWS($N$2:N18),$N$2:$N$1001,0),1)&gt;=100000,INDEX($U$1005:$AC$1005,1,MATCH(COLUMNS($U$1006:AA1006),$U$1006:$AC$1006,0))&gt;=100000), " ",IF(INDEX($U$2:$AC$1001,MATCH(ROWS($N$2:N18),$N$2:$N$1001,0),MATCH(COLUMNS($U$1006:AA1006),$U$1006:$AC$1006,0)), HYPERLINK("#",""), HYPERLINK(CONCATENATE("#metadata!", ADDRESS(INDEX($P$2:$P$1001,MATCH(ROWS($N$2:N18),$N$2:$N$1001,0),0), INDEX($U$1004:$AC$1004,1,MATCH(COLUMNS($U$1006:AA1006),$U$1006:$AC$1006,0)))),"Fix")))</f>
        <v>0</v>
      </c>
      <c r="I18" s="3">
        <f>IF(OR(INDEX($O$2:$O$1001,MATCH(ROWS($N$2:N18),$N$2:$N$1001,0),1)&gt;=100000,INDEX($U$1005:$AC$1005,1,MATCH(COLUMNS($U$1006:AB1006),$U$1006:$AC$1006,0))&gt;=100000), " ",IF(INDEX($U$2:$AC$1001,MATCH(ROWS($N$2:N18),$N$2:$N$1001,0),MATCH(COLUMNS($U$1006:AB1006),$U$1006:$AC$1006,0)), HYPERLINK("#",""), HYPERLINK(CONCATENATE("#metadata!", ADDRESS(INDEX($P$2:$P$1001,MATCH(ROWS($N$2:N18),$N$2:$N$1001,0),0), INDEX($U$1004:$AC$1004,1,MATCH(COLUMNS($U$1006:AB1006),$U$1006:$AC$1006,0)))),"Fix")))</f>
        <v>0</v>
      </c>
      <c r="J18" s="3">
        <f>IF(OR(INDEX($O$2:$O$1001,MATCH(ROWS($N$2:N18),$N$2:$N$1001,0),1)&gt;=100000,INDEX($U$1005:$AC$1005,1,MATCH(COLUMNS($U$1006:AC1006),$U$1006:$AC$1006,0))&gt;=100000), " ",IF(INDEX($U$2:$AC$1001,MATCH(ROWS($N$2:N18),$N$2:$N$1001,0),MATCH(COLUMNS($U$1006:AC1006),$U$1006:$AC$1006,0)), HYPERLINK("#",""), HYPERLINK(CONCATENATE("#metadata!", ADDRESS(INDEX($P$2:$P$1001,MATCH(ROWS($N$2:N18),$N$2:$N$1001,0),0), INDEX($U$1004:$AC$1004,1,MATCH(COLUMNS($U$1006:AC1006),$U$1006:$AC$1006,0)))),"Fix")))</f>
        <v>0</v>
      </c>
      <c r="N18">
        <v>0</v>
      </c>
      <c r="O18">
        <v>0</v>
      </c>
      <c r="P18">
        <v>0</v>
      </c>
      <c r="Q18">
        <f>IF(R18,TRUE,AND(U18:AC18))</f>
        <v>0</v>
      </c>
      <c r="R18">
        <f>COUNTBLANK(metadata!B18:J18)=COLUMNS(metadata!B18:J18)</f>
        <v>0</v>
      </c>
      <c r="S18">
        <v>0</v>
      </c>
      <c r="U18">
        <f>AND(IF(metadata!B18="",FALSE,TRUE),COUNTIF(metadata!B:B, metadata!B18) = 1,NOT(ISERROR(SUMPRODUCT(SEARCH(MID(metadata!B18,ROW(INDIRECT("1:"&amp;LEN(metadata!B18))), 1),"0123456789abcdefghijklmnopqrstuvwxyzABCDEFGHIJKLMNOPQRSTUVWXYZ.")))))</f>
        <v>0</v>
      </c>
      <c r="V18">
        <f>AND(IF(metadata!C18="",FALSE,TRUE),exact(metadata!C18,"UBERON:genitourinary"))</f>
        <v>0</v>
      </c>
      <c r="W18">
        <f>AND(IF(metadata!D18="",FALSE,TRUE),exact(metadata!D18,"UBERON:urine"))</f>
        <v>0</v>
      </c>
      <c r="X18">
        <f>AND(IF(metadata!E18="",FALSE,TRUE),exact(metadata!E18,"UBERON:kidney"))</f>
        <v>0</v>
      </c>
      <c r="Y18">
        <f>AND(IF(metadata!F18="",FALSE,TRUE),exact(metadata!F18,"animal corpus"))</f>
        <v>0</v>
      </c>
      <c r="Z18">
        <f>AND(IF(metadata!G18="",FALSE,TRUE),exact(metadata!G18,"urine"))</f>
        <v>0</v>
      </c>
      <c r="AA18">
        <f>AND(IF(metadata!H18="",FALSE,TRUE),exact(metadata!H18,"urine"))</f>
        <v>0</v>
      </c>
      <c r="AB18">
        <f>AND(IF(metadata!I18="",FALSE,TRUE),exact(metadata!I18,"urine metagenome"))</f>
        <v>0</v>
      </c>
      <c r="AC18">
        <f>AND(IF(metadata!J18="",FALSE,TRUE),exact(metadata!J18,"1346744"))</f>
        <v>0</v>
      </c>
    </row>
    <row r="19" spans="1:29">
      <c r="A19" s="4">
        <f>IF(B19=" "," ",HYPERLINK(CONCATENATE("#metadata!",ADDRESS(INDEX($P$2:$P$1001,MATCH(ROWS($N$2:N19),$N$2:$N$1001,0),0),1)),INDEX($S$2:$S$1001,MATCH(ROWS($N$2:N19),$N$2:$N$1001,0),0)))</f>
        <v>0</v>
      </c>
      <c r="B19" s="3">
        <f>IF(OR(INDEX($O$2:$O$1001,MATCH(ROWS($N$2:N19),$N$2:$N$1001,0),1)&gt;=100000,INDEX($U$1005:$AC$1005,1,MATCH(COLUMNS($U$1006:U1006),$U$1006:$AC$1006,0))&gt;=100000), " ",IF(INDEX($U$2:$AC$1001,MATCH(ROWS($N$2:N19),$N$2:$N$1001,0),MATCH(COLUMNS($U$1006:U1006),$U$1006:$AC$1006,0)), HYPERLINK("#",""), HYPERLINK(CONCATENATE("#metadata!", ADDRESS(INDEX($P$2:$P$1001,MATCH(ROWS($N$2:N19),$N$2:$N$1001,0),0), INDEX($U$1004:$AC$1004,1,MATCH(COLUMNS($U$1006:U1006),$U$1006:$AC$1006,0)))),"Fix")))</f>
        <v>0</v>
      </c>
      <c r="C19" s="3">
        <f>IF(OR(INDEX($O$2:$O$1001,MATCH(ROWS($N$2:N19),$N$2:$N$1001,0),1)&gt;=100000,INDEX($U$1005:$AC$1005,1,MATCH(COLUMNS($U$1006:V1006),$U$1006:$AC$1006,0))&gt;=100000), " ",IF(INDEX($U$2:$AC$1001,MATCH(ROWS($N$2:N19),$N$2:$N$1001,0),MATCH(COLUMNS($U$1006:V1006),$U$1006:$AC$1006,0)), HYPERLINK("#",""), HYPERLINK(CONCATENATE("#metadata!", ADDRESS(INDEX($P$2:$P$1001,MATCH(ROWS($N$2:N19),$N$2:$N$1001,0),0), INDEX($U$1004:$AC$1004,1,MATCH(COLUMNS($U$1006:V1006),$U$1006:$AC$1006,0)))),"Fix")))</f>
        <v>0</v>
      </c>
      <c r="D19" s="3">
        <f>IF(OR(INDEX($O$2:$O$1001,MATCH(ROWS($N$2:N19),$N$2:$N$1001,0),1)&gt;=100000,INDEX($U$1005:$AC$1005,1,MATCH(COLUMNS($U$1006:W1006),$U$1006:$AC$1006,0))&gt;=100000), " ",IF(INDEX($U$2:$AC$1001,MATCH(ROWS($N$2:N19),$N$2:$N$1001,0),MATCH(COLUMNS($U$1006:W1006),$U$1006:$AC$1006,0)), HYPERLINK("#",""), HYPERLINK(CONCATENATE("#metadata!", ADDRESS(INDEX($P$2:$P$1001,MATCH(ROWS($N$2:N19),$N$2:$N$1001,0),0), INDEX($U$1004:$AC$1004,1,MATCH(COLUMNS($U$1006:W1006),$U$1006:$AC$1006,0)))),"Fix")))</f>
        <v>0</v>
      </c>
      <c r="E19" s="3">
        <f>IF(OR(INDEX($O$2:$O$1001,MATCH(ROWS($N$2:N19),$N$2:$N$1001,0),1)&gt;=100000,INDEX($U$1005:$AC$1005,1,MATCH(COLUMNS($U$1006:X1006),$U$1006:$AC$1006,0))&gt;=100000), " ",IF(INDEX($U$2:$AC$1001,MATCH(ROWS($N$2:N19),$N$2:$N$1001,0),MATCH(COLUMNS($U$1006:X1006),$U$1006:$AC$1006,0)), HYPERLINK("#",""), HYPERLINK(CONCATENATE("#metadata!", ADDRESS(INDEX($P$2:$P$1001,MATCH(ROWS($N$2:N19),$N$2:$N$1001,0),0), INDEX($U$1004:$AC$1004,1,MATCH(COLUMNS($U$1006:X1006),$U$1006:$AC$1006,0)))),"Fix")))</f>
        <v>0</v>
      </c>
      <c r="F19" s="3">
        <f>IF(OR(INDEX($O$2:$O$1001,MATCH(ROWS($N$2:N19),$N$2:$N$1001,0),1)&gt;=100000,INDEX($U$1005:$AC$1005,1,MATCH(COLUMNS($U$1006:Y1006),$U$1006:$AC$1006,0))&gt;=100000), " ",IF(INDEX($U$2:$AC$1001,MATCH(ROWS($N$2:N19),$N$2:$N$1001,0),MATCH(COLUMNS($U$1006:Y1006),$U$1006:$AC$1006,0)), HYPERLINK("#",""), HYPERLINK(CONCATENATE("#metadata!", ADDRESS(INDEX($P$2:$P$1001,MATCH(ROWS($N$2:N19),$N$2:$N$1001,0),0), INDEX($U$1004:$AC$1004,1,MATCH(COLUMNS($U$1006:Y1006),$U$1006:$AC$1006,0)))),"Fix")))</f>
        <v>0</v>
      </c>
      <c r="G19" s="3">
        <f>IF(OR(INDEX($O$2:$O$1001,MATCH(ROWS($N$2:N19),$N$2:$N$1001,0),1)&gt;=100000,INDEX($U$1005:$AC$1005,1,MATCH(COLUMNS($U$1006:Z1006),$U$1006:$AC$1006,0))&gt;=100000), " ",IF(INDEX($U$2:$AC$1001,MATCH(ROWS($N$2:N19),$N$2:$N$1001,0),MATCH(COLUMNS($U$1006:Z1006),$U$1006:$AC$1006,0)), HYPERLINK("#",""), HYPERLINK(CONCATENATE("#metadata!", ADDRESS(INDEX($P$2:$P$1001,MATCH(ROWS($N$2:N19),$N$2:$N$1001,0),0), INDEX($U$1004:$AC$1004,1,MATCH(COLUMNS($U$1006:Z1006),$U$1006:$AC$1006,0)))),"Fix")))</f>
        <v>0</v>
      </c>
      <c r="H19" s="3">
        <f>IF(OR(INDEX($O$2:$O$1001,MATCH(ROWS($N$2:N19),$N$2:$N$1001,0),1)&gt;=100000,INDEX($U$1005:$AC$1005,1,MATCH(COLUMNS($U$1006:AA1006),$U$1006:$AC$1006,0))&gt;=100000), " ",IF(INDEX($U$2:$AC$1001,MATCH(ROWS($N$2:N19),$N$2:$N$1001,0),MATCH(COLUMNS($U$1006:AA1006),$U$1006:$AC$1006,0)), HYPERLINK("#",""), HYPERLINK(CONCATENATE("#metadata!", ADDRESS(INDEX($P$2:$P$1001,MATCH(ROWS($N$2:N19),$N$2:$N$1001,0),0), INDEX($U$1004:$AC$1004,1,MATCH(COLUMNS($U$1006:AA1006),$U$1006:$AC$1006,0)))),"Fix")))</f>
        <v>0</v>
      </c>
      <c r="I19" s="3">
        <f>IF(OR(INDEX($O$2:$O$1001,MATCH(ROWS($N$2:N19),$N$2:$N$1001,0),1)&gt;=100000,INDEX($U$1005:$AC$1005,1,MATCH(COLUMNS($U$1006:AB1006),$U$1006:$AC$1006,0))&gt;=100000), " ",IF(INDEX($U$2:$AC$1001,MATCH(ROWS($N$2:N19),$N$2:$N$1001,0),MATCH(COLUMNS($U$1006:AB1006),$U$1006:$AC$1006,0)), HYPERLINK("#",""), HYPERLINK(CONCATENATE("#metadata!", ADDRESS(INDEX($P$2:$P$1001,MATCH(ROWS($N$2:N19),$N$2:$N$1001,0),0), INDEX($U$1004:$AC$1004,1,MATCH(COLUMNS($U$1006:AB1006),$U$1006:$AC$1006,0)))),"Fix")))</f>
        <v>0</v>
      </c>
      <c r="J19" s="3">
        <f>IF(OR(INDEX($O$2:$O$1001,MATCH(ROWS($N$2:N19),$N$2:$N$1001,0),1)&gt;=100000,INDEX($U$1005:$AC$1005,1,MATCH(COLUMNS($U$1006:AC1006),$U$1006:$AC$1006,0))&gt;=100000), " ",IF(INDEX($U$2:$AC$1001,MATCH(ROWS($N$2:N19),$N$2:$N$1001,0),MATCH(COLUMNS($U$1006:AC1006),$U$1006:$AC$1006,0)), HYPERLINK("#",""), HYPERLINK(CONCATENATE("#metadata!", ADDRESS(INDEX($P$2:$P$1001,MATCH(ROWS($N$2:N19),$N$2:$N$1001,0),0), INDEX($U$1004:$AC$1004,1,MATCH(COLUMNS($U$1006:AC1006),$U$1006:$AC$1006,0)))),"Fix")))</f>
        <v>0</v>
      </c>
      <c r="N19">
        <v>0</v>
      </c>
      <c r="O19">
        <v>0</v>
      </c>
      <c r="P19">
        <v>0</v>
      </c>
      <c r="Q19">
        <f>IF(R19,TRUE,AND(U19:AC19))</f>
        <v>0</v>
      </c>
      <c r="R19">
        <f>COUNTBLANK(metadata!B19:J19)=COLUMNS(metadata!B19:J19)</f>
        <v>0</v>
      </c>
      <c r="S19">
        <v>0</v>
      </c>
      <c r="U19">
        <f>AND(IF(metadata!B19="",FALSE,TRUE),COUNTIF(metadata!B:B, metadata!B19) = 1,NOT(ISERROR(SUMPRODUCT(SEARCH(MID(metadata!B19,ROW(INDIRECT("1:"&amp;LEN(metadata!B19))), 1),"0123456789abcdefghijklmnopqrstuvwxyzABCDEFGHIJKLMNOPQRSTUVWXYZ.")))))</f>
        <v>0</v>
      </c>
      <c r="V19">
        <f>AND(IF(metadata!C19="",FALSE,TRUE),exact(metadata!C19,"UBERON:genitourinary"))</f>
        <v>0</v>
      </c>
      <c r="W19">
        <f>AND(IF(metadata!D19="",FALSE,TRUE),exact(metadata!D19,"UBERON:urine"))</f>
        <v>0</v>
      </c>
      <c r="X19">
        <f>AND(IF(metadata!E19="",FALSE,TRUE),exact(metadata!E19,"UBERON:kidney"))</f>
        <v>0</v>
      </c>
      <c r="Y19">
        <f>AND(IF(metadata!F19="",FALSE,TRUE),exact(metadata!F19,"animal corpus"))</f>
        <v>0</v>
      </c>
      <c r="Z19">
        <f>AND(IF(metadata!G19="",FALSE,TRUE),exact(metadata!G19,"urine"))</f>
        <v>0</v>
      </c>
      <c r="AA19">
        <f>AND(IF(metadata!H19="",FALSE,TRUE),exact(metadata!H19,"urine"))</f>
        <v>0</v>
      </c>
      <c r="AB19">
        <f>AND(IF(metadata!I19="",FALSE,TRUE),exact(metadata!I19,"urine metagenome"))</f>
        <v>0</v>
      </c>
      <c r="AC19">
        <f>AND(IF(metadata!J19="",FALSE,TRUE),exact(metadata!J19,"1346744"))</f>
        <v>0</v>
      </c>
    </row>
    <row r="20" spans="1:29">
      <c r="A20" s="4">
        <f>IF(B20=" "," ",HYPERLINK(CONCATENATE("#metadata!",ADDRESS(INDEX($P$2:$P$1001,MATCH(ROWS($N$2:N20),$N$2:$N$1001,0),0),1)),INDEX($S$2:$S$1001,MATCH(ROWS($N$2:N20),$N$2:$N$1001,0),0)))</f>
        <v>0</v>
      </c>
      <c r="B20" s="3">
        <f>IF(OR(INDEX($O$2:$O$1001,MATCH(ROWS($N$2:N20),$N$2:$N$1001,0),1)&gt;=100000,INDEX($U$1005:$AC$1005,1,MATCH(COLUMNS($U$1006:U1006),$U$1006:$AC$1006,0))&gt;=100000), " ",IF(INDEX($U$2:$AC$1001,MATCH(ROWS($N$2:N20),$N$2:$N$1001,0),MATCH(COLUMNS($U$1006:U1006),$U$1006:$AC$1006,0)), HYPERLINK("#",""), HYPERLINK(CONCATENATE("#metadata!", ADDRESS(INDEX($P$2:$P$1001,MATCH(ROWS($N$2:N20),$N$2:$N$1001,0),0), INDEX($U$1004:$AC$1004,1,MATCH(COLUMNS($U$1006:U1006),$U$1006:$AC$1006,0)))),"Fix")))</f>
        <v>0</v>
      </c>
      <c r="C20" s="3">
        <f>IF(OR(INDEX($O$2:$O$1001,MATCH(ROWS($N$2:N20),$N$2:$N$1001,0),1)&gt;=100000,INDEX($U$1005:$AC$1005,1,MATCH(COLUMNS($U$1006:V1006),$U$1006:$AC$1006,0))&gt;=100000), " ",IF(INDEX($U$2:$AC$1001,MATCH(ROWS($N$2:N20),$N$2:$N$1001,0),MATCH(COLUMNS($U$1006:V1006),$U$1006:$AC$1006,0)), HYPERLINK("#",""), HYPERLINK(CONCATENATE("#metadata!", ADDRESS(INDEX($P$2:$P$1001,MATCH(ROWS($N$2:N20),$N$2:$N$1001,0),0), INDEX($U$1004:$AC$1004,1,MATCH(COLUMNS($U$1006:V1006),$U$1006:$AC$1006,0)))),"Fix")))</f>
        <v>0</v>
      </c>
      <c r="D20" s="3">
        <f>IF(OR(INDEX($O$2:$O$1001,MATCH(ROWS($N$2:N20),$N$2:$N$1001,0),1)&gt;=100000,INDEX($U$1005:$AC$1005,1,MATCH(COLUMNS($U$1006:W1006),$U$1006:$AC$1006,0))&gt;=100000), " ",IF(INDEX($U$2:$AC$1001,MATCH(ROWS($N$2:N20),$N$2:$N$1001,0),MATCH(COLUMNS($U$1006:W1006),$U$1006:$AC$1006,0)), HYPERLINK("#",""), HYPERLINK(CONCATENATE("#metadata!", ADDRESS(INDEX($P$2:$P$1001,MATCH(ROWS($N$2:N20),$N$2:$N$1001,0),0), INDEX($U$1004:$AC$1004,1,MATCH(COLUMNS($U$1006:W1006),$U$1006:$AC$1006,0)))),"Fix")))</f>
        <v>0</v>
      </c>
      <c r="E20" s="3">
        <f>IF(OR(INDEX($O$2:$O$1001,MATCH(ROWS($N$2:N20),$N$2:$N$1001,0),1)&gt;=100000,INDEX($U$1005:$AC$1005,1,MATCH(COLUMNS($U$1006:X1006),$U$1006:$AC$1006,0))&gt;=100000), " ",IF(INDEX($U$2:$AC$1001,MATCH(ROWS($N$2:N20),$N$2:$N$1001,0),MATCH(COLUMNS($U$1006:X1006),$U$1006:$AC$1006,0)), HYPERLINK("#",""), HYPERLINK(CONCATENATE("#metadata!", ADDRESS(INDEX($P$2:$P$1001,MATCH(ROWS($N$2:N20),$N$2:$N$1001,0),0), INDEX($U$1004:$AC$1004,1,MATCH(COLUMNS($U$1006:X1006),$U$1006:$AC$1006,0)))),"Fix")))</f>
        <v>0</v>
      </c>
      <c r="F20" s="3">
        <f>IF(OR(INDEX($O$2:$O$1001,MATCH(ROWS($N$2:N20),$N$2:$N$1001,0),1)&gt;=100000,INDEX($U$1005:$AC$1005,1,MATCH(COLUMNS($U$1006:Y1006),$U$1006:$AC$1006,0))&gt;=100000), " ",IF(INDEX($U$2:$AC$1001,MATCH(ROWS($N$2:N20),$N$2:$N$1001,0),MATCH(COLUMNS($U$1006:Y1006),$U$1006:$AC$1006,0)), HYPERLINK("#",""), HYPERLINK(CONCATENATE("#metadata!", ADDRESS(INDEX($P$2:$P$1001,MATCH(ROWS($N$2:N20),$N$2:$N$1001,0),0), INDEX($U$1004:$AC$1004,1,MATCH(COLUMNS($U$1006:Y1006),$U$1006:$AC$1006,0)))),"Fix")))</f>
        <v>0</v>
      </c>
      <c r="G20" s="3">
        <f>IF(OR(INDEX($O$2:$O$1001,MATCH(ROWS($N$2:N20),$N$2:$N$1001,0),1)&gt;=100000,INDEX($U$1005:$AC$1005,1,MATCH(COLUMNS($U$1006:Z1006),$U$1006:$AC$1006,0))&gt;=100000), " ",IF(INDEX($U$2:$AC$1001,MATCH(ROWS($N$2:N20),$N$2:$N$1001,0),MATCH(COLUMNS($U$1006:Z1006),$U$1006:$AC$1006,0)), HYPERLINK("#",""), HYPERLINK(CONCATENATE("#metadata!", ADDRESS(INDEX($P$2:$P$1001,MATCH(ROWS($N$2:N20),$N$2:$N$1001,0),0), INDEX($U$1004:$AC$1004,1,MATCH(COLUMNS($U$1006:Z1006),$U$1006:$AC$1006,0)))),"Fix")))</f>
        <v>0</v>
      </c>
      <c r="H20" s="3">
        <f>IF(OR(INDEX($O$2:$O$1001,MATCH(ROWS($N$2:N20),$N$2:$N$1001,0),1)&gt;=100000,INDEX($U$1005:$AC$1005,1,MATCH(COLUMNS($U$1006:AA1006),$U$1006:$AC$1006,0))&gt;=100000), " ",IF(INDEX($U$2:$AC$1001,MATCH(ROWS($N$2:N20),$N$2:$N$1001,0),MATCH(COLUMNS($U$1006:AA1006),$U$1006:$AC$1006,0)), HYPERLINK("#",""), HYPERLINK(CONCATENATE("#metadata!", ADDRESS(INDEX($P$2:$P$1001,MATCH(ROWS($N$2:N20),$N$2:$N$1001,0),0), INDEX($U$1004:$AC$1004,1,MATCH(COLUMNS($U$1006:AA1006),$U$1006:$AC$1006,0)))),"Fix")))</f>
        <v>0</v>
      </c>
      <c r="I20" s="3">
        <f>IF(OR(INDEX($O$2:$O$1001,MATCH(ROWS($N$2:N20),$N$2:$N$1001,0),1)&gt;=100000,INDEX($U$1005:$AC$1005,1,MATCH(COLUMNS($U$1006:AB1006),$U$1006:$AC$1006,0))&gt;=100000), " ",IF(INDEX($U$2:$AC$1001,MATCH(ROWS($N$2:N20),$N$2:$N$1001,0),MATCH(COLUMNS($U$1006:AB1006),$U$1006:$AC$1006,0)), HYPERLINK("#",""), HYPERLINK(CONCATENATE("#metadata!", ADDRESS(INDEX($P$2:$P$1001,MATCH(ROWS($N$2:N20),$N$2:$N$1001,0),0), INDEX($U$1004:$AC$1004,1,MATCH(COLUMNS($U$1006:AB1006),$U$1006:$AC$1006,0)))),"Fix")))</f>
        <v>0</v>
      </c>
      <c r="J20" s="3">
        <f>IF(OR(INDEX($O$2:$O$1001,MATCH(ROWS($N$2:N20),$N$2:$N$1001,0),1)&gt;=100000,INDEX($U$1005:$AC$1005,1,MATCH(COLUMNS($U$1006:AC1006),$U$1006:$AC$1006,0))&gt;=100000), " ",IF(INDEX($U$2:$AC$1001,MATCH(ROWS($N$2:N20),$N$2:$N$1001,0),MATCH(COLUMNS($U$1006:AC1006),$U$1006:$AC$1006,0)), HYPERLINK("#",""), HYPERLINK(CONCATENATE("#metadata!", ADDRESS(INDEX($P$2:$P$1001,MATCH(ROWS($N$2:N20),$N$2:$N$1001,0),0), INDEX($U$1004:$AC$1004,1,MATCH(COLUMNS($U$1006:AC1006),$U$1006:$AC$1006,0)))),"Fix")))</f>
        <v>0</v>
      </c>
      <c r="N20">
        <v>0</v>
      </c>
      <c r="O20">
        <v>0</v>
      </c>
      <c r="P20">
        <v>0</v>
      </c>
      <c r="Q20">
        <f>IF(R20,TRUE,AND(U20:AC20))</f>
        <v>0</v>
      </c>
      <c r="R20">
        <f>COUNTBLANK(metadata!B20:J20)=COLUMNS(metadata!B20:J20)</f>
        <v>0</v>
      </c>
      <c r="S20">
        <v>0</v>
      </c>
      <c r="U20">
        <f>AND(IF(metadata!B20="",FALSE,TRUE),COUNTIF(metadata!B:B, metadata!B20) = 1,NOT(ISERROR(SUMPRODUCT(SEARCH(MID(metadata!B20,ROW(INDIRECT("1:"&amp;LEN(metadata!B20))), 1),"0123456789abcdefghijklmnopqrstuvwxyzABCDEFGHIJKLMNOPQRSTUVWXYZ.")))))</f>
        <v>0</v>
      </c>
      <c r="V20">
        <f>AND(IF(metadata!C20="",FALSE,TRUE),exact(metadata!C20,"UBERON:genitourinary"))</f>
        <v>0</v>
      </c>
      <c r="W20">
        <f>AND(IF(metadata!D20="",FALSE,TRUE),exact(metadata!D20,"UBERON:urine"))</f>
        <v>0</v>
      </c>
      <c r="X20">
        <f>AND(IF(metadata!E20="",FALSE,TRUE),exact(metadata!E20,"UBERON:kidney"))</f>
        <v>0</v>
      </c>
      <c r="Y20">
        <f>AND(IF(metadata!F20="",FALSE,TRUE),exact(metadata!F20,"animal corpus"))</f>
        <v>0</v>
      </c>
      <c r="Z20">
        <f>AND(IF(metadata!G20="",FALSE,TRUE),exact(metadata!G20,"urine"))</f>
        <v>0</v>
      </c>
      <c r="AA20">
        <f>AND(IF(metadata!H20="",FALSE,TRUE),exact(metadata!H20,"urine"))</f>
        <v>0</v>
      </c>
      <c r="AB20">
        <f>AND(IF(metadata!I20="",FALSE,TRUE),exact(metadata!I20,"urine metagenome"))</f>
        <v>0</v>
      </c>
      <c r="AC20">
        <f>AND(IF(metadata!J20="",FALSE,TRUE),exact(metadata!J20,"1346744"))</f>
        <v>0</v>
      </c>
    </row>
    <row r="21" spans="1:29">
      <c r="A21" s="4">
        <f>IF(B21=" "," ",HYPERLINK(CONCATENATE("#metadata!",ADDRESS(INDEX($P$2:$P$1001,MATCH(ROWS($N$2:N21),$N$2:$N$1001,0),0),1)),INDEX($S$2:$S$1001,MATCH(ROWS($N$2:N21),$N$2:$N$1001,0),0)))</f>
        <v>0</v>
      </c>
      <c r="B21" s="3">
        <f>IF(OR(INDEX($O$2:$O$1001,MATCH(ROWS($N$2:N21),$N$2:$N$1001,0),1)&gt;=100000,INDEX($U$1005:$AC$1005,1,MATCH(COLUMNS($U$1006:U1006),$U$1006:$AC$1006,0))&gt;=100000), " ",IF(INDEX($U$2:$AC$1001,MATCH(ROWS($N$2:N21),$N$2:$N$1001,0),MATCH(COLUMNS($U$1006:U1006),$U$1006:$AC$1006,0)), HYPERLINK("#",""), HYPERLINK(CONCATENATE("#metadata!", ADDRESS(INDEX($P$2:$P$1001,MATCH(ROWS($N$2:N21),$N$2:$N$1001,0),0), INDEX($U$1004:$AC$1004,1,MATCH(COLUMNS($U$1006:U1006),$U$1006:$AC$1006,0)))),"Fix")))</f>
        <v>0</v>
      </c>
      <c r="C21" s="3">
        <f>IF(OR(INDEX($O$2:$O$1001,MATCH(ROWS($N$2:N21),$N$2:$N$1001,0),1)&gt;=100000,INDEX($U$1005:$AC$1005,1,MATCH(COLUMNS($U$1006:V1006),$U$1006:$AC$1006,0))&gt;=100000), " ",IF(INDEX($U$2:$AC$1001,MATCH(ROWS($N$2:N21),$N$2:$N$1001,0),MATCH(COLUMNS($U$1006:V1006),$U$1006:$AC$1006,0)), HYPERLINK("#",""), HYPERLINK(CONCATENATE("#metadata!", ADDRESS(INDEX($P$2:$P$1001,MATCH(ROWS($N$2:N21),$N$2:$N$1001,0),0), INDEX($U$1004:$AC$1004,1,MATCH(COLUMNS($U$1006:V1006),$U$1006:$AC$1006,0)))),"Fix")))</f>
        <v>0</v>
      </c>
      <c r="D21" s="3">
        <f>IF(OR(INDEX($O$2:$O$1001,MATCH(ROWS($N$2:N21),$N$2:$N$1001,0),1)&gt;=100000,INDEX($U$1005:$AC$1005,1,MATCH(COLUMNS($U$1006:W1006),$U$1006:$AC$1006,0))&gt;=100000), " ",IF(INDEX($U$2:$AC$1001,MATCH(ROWS($N$2:N21),$N$2:$N$1001,0),MATCH(COLUMNS($U$1006:W1006),$U$1006:$AC$1006,0)), HYPERLINK("#",""), HYPERLINK(CONCATENATE("#metadata!", ADDRESS(INDEX($P$2:$P$1001,MATCH(ROWS($N$2:N21),$N$2:$N$1001,0),0), INDEX($U$1004:$AC$1004,1,MATCH(COLUMNS($U$1006:W1006),$U$1006:$AC$1006,0)))),"Fix")))</f>
        <v>0</v>
      </c>
      <c r="E21" s="3">
        <f>IF(OR(INDEX($O$2:$O$1001,MATCH(ROWS($N$2:N21),$N$2:$N$1001,0),1)&gt;=100000,INDEX($U$1005:$AC$1005,1,MATCH(COLUMNS($U$1006:X1006),$U$1006:$AC$1006,0))&gt;=100000), " ",IF(INDEX($U$2:$AC$1001,MATCH(ROWS($N$2:N21),$N$2:$N$1001,0),MATCH(COLUMNS($U$1006:X1006),$U$1006:$AC$1006,0)), HYPERLINK("#",""), HYPERLINK(CONCATENATE("#metadata!", ADDRESS(INDEX($P$2:$P$1001,MATCH(ROWS($N$2:N21),$N$2:$N$1001,0),0), INDEX($U$1004:$AC$1004,1,MATCH(COLUMNS($U$1006:X1006),$U$1006:$AC$1006,0)))),"Fix")))</f>
        <v>0</v>
      </c>
      <c r="F21" s="3">
        <f>IF(OR(INDEX($O$2:$O$1001,MATCH(ROWS($N$2:N21),$N$2:$N$1001,0),1)&gt;=100000,INDEX($U$1005:$AC$1005,1,MATCH(COLUMNS($U$1006:Y1006),$U$1006:$AC$1006,0))&gt;=100000), " ",IF(INDEX($U$2:$AC$1001,MATCH(ROWS($N$2:N21),$N$2:$N$1001,0),MATCH(COLUMNS($U$1006:Y1006),$U$1006:$AC$1006,0)), HYPERLINK("#",""), HYPERLINK(CONCATENATE("#metadata!", ADDRESS(INDEX($P$2:$P$1001,MATCH(ROWS($N$2:N21),$N$2:$N$1001,0),0), INDEX($U$1004:$AC$1004,1,MATCH(COLUMNS($U$1006:Y1006),$U$1006:$AC$1006,0)))),"Fix")))</f>
        <v>0</v>
      </c>
      <c r="G21" s="3">
        <f>IF(OR(INDEX($O$2:$O$1001,MATCH(ROWS($N$2:N21),$N$2:$N$1001,0),1)&gt;=100000,INDEX($U$1005:$AC$1005,1,MATCH(COLUMNS($U$1006:Z1006),$U$1006:$AC$1006,0))&gt;=100000), " ",IF(INDEX($U$2:$AC$1001,MATCH(ROWS($N$2:N21),$N$2:$N$1001,0),MATCH(COLUMNS($U$1006:Z1006),$U$1006:$AC$1006,0)), HYPERLINK("#",""), HYPERLINK(CONCATENATE("#metadata!", ADDRESS(INDEX($P$2:$P$1001,MATCH(ROWS($N$2:N21),$N$2:$N$1001,0),0), INDEX($U$1004:$AC$1004,1,MATCH(COLUMNS($U$1006:Z1006),$U$1006:$AC$1006,0)))),"Fix")))</f>
        <v>0</v>
      </c>
      <c r="H21" s="3">
        <f>IF(OR(INDEX($O$2:$O$1001,MATCH(ROWS($N$2:N21),$N$2:$N$1001,0),1)&gt;=100000,INDEX($U$1005:$AC$1005,1,MATCH(COLUMNS($U$1006:AA1006),$U$1006:$AC$1006,0))&gt;=100000), " ",IF(INDEX($U$2:$AC$1001,MATCH(ROWS($N$2:N21),$N$2:$N$1001,0),MATCH(COLUMNS($U$1006:AA1006),$U$1006:$AC$1006,0)), HYPERLINK("#",""), HYPERLINK(CONCATENATE("#metadata!", ADDRESS(INDEX($P$2:$P$1001,MATCH(ROWS($N$2:N21),$N$2:$N$1001,0),0), INDEX($U$1004:$AC$1004,1,MATCH(COLUMNS($U$1006:AA1006),$U$1006:$AC$1006,0)))),"Fix")))</f>
        <v>0</v>
      </c>
      <c r="I21" s="3">
        <f>IF(OR(INDEX($O$2:$O$1001,MATCH(ROWS($N$2:N21),$N$2:$N$1001,0),1)&gt;=100000,INDEX($U$1005:$AC$1005,1,MATCH(COLUMNS($U$1006:AB1006),$U$1006:$AC$1006,0))&gt;=100000), " ",IF(INDEX($U$2:$AC$1001,MATCH(ROWS($N$2:N21),$N$2:$N$1001,0),MATCH(COLUMNS($U$1006:AB1006),$U$1006:$AC$1006,0)), HYPERLINK("#",""), HYPERLINK(CONCATENATE("#metadata!", ADDRESS(INDEX($P$2:$P$1001,MATCH(ROWS($N$2:N21),$N$2:$N$1001,0),0), INDEX($U$1004:$AC$1004,1,MATCH(COLUMNS($U$1006:AB1006),$U$1006:$AC$1006,0)))),"Fix")))</f>
        <v>0</v>
      </c>
      <c r="J21" s="3">
        <f>IF(OR(INDEX($O$2:$O$1001,MATCH(ROWS($N$2:N21),$N$2:$N$1001,0),1)&gt;=100000,INDEX($U$1005:$AC$1005,1,MATCH(COLUMNS($U$1006:AC1006),$U$1006:$AC$1006,0))&gt;=100000), " ",IF(INDEX($U$2:$AC$1001,MATCH(ROWS($N$2:N21),$N$2:$N$1001,0),MATCH(COLUMNS($U$1006:AC1006),$U$1006:$AC$1006,0)), HYPERLINK("#",""), HYPERLINK(CONCATENATE("#metadata!", ADDRESS(INDEX($P$2:$P$1001,MATCH(ROWS($N$2:N21),$N$2:$N$1001,0),0), INDEX($U$1004:$AC$1004,1,MATCH(COLUMNS($U$1006:AC1006),$U$1006:$AC$1006,0)))),"Fix")))</f>
        <v>0</v>
      </c>
      <c r="N21">
        <v>0</v>
      </c>
      <c r="O21">
        <v>0</v>
      </c>
      <c r="P21">
        <v>0</v>
      </c>
      <c r="Q21">
        <f>IF(R21,TRUE,AND(U21:AC21))</f>
        <v>0</v>
      </c>
      <c r="R21">
        <f>COUNTBLANK(metadata!B21:J21)=COLUMNS(metadata!B21:J21)</f>
        <v>0</v>
      </c>
      <c r="S21">
        <v>0</v>
      </c>
      <c r="U21">
        <f>AND(IF(metadata!B21="",FALSE,TRUE),COUNTIF(metadata!B:B, metadata!B21) = 1,NOT(ISERROR(SUMPRODUCT(SEARCH(MID(metadata!B21,ROW(INDIRECT("1:"&amp;LEN(metadata!B21))), 1),"0123456789abcdefghijklmnopqrstuvwxyzABCDEFGHIJKLMNOPQRSTUVWXYZ.")))))</f>
        <v>0</v>
      </c>
      <c r="V21">
        <f>AND(IF(metadata!C21="",FALSE,TRUE),exact(metadata!C21,"UBERON:genitourinary"))</f>
        <v>0</v>
      </c>
      <c r="W21">
        <f>AND(IF(metadata!D21="",FALSE,TRUE),exact(metadata!D21,"UBERON:urine"))</f>
        <v>0</v>
      </c>
      <c r="X21">
        <f>AND(IF(metadata!E21="",FALSE,TRUE),exact(metadata!E21,"UBERON:kidney"))</f>
        <v>0</v>
      </c>
      <c r="Y21">
        <f>AND(IF(metadata!F21="",FALSE,TRUE),exact(metadata!F21,"animal corpus"))</f>
        <v>0</v>
      </c>
      <c r="Z21">
        <f>AND(IF(metadata!G21="",FALSE,TRUE),exact(metadata!G21,"urine"))</f>
        <v>0</v>
      </c>
      <c r="AA21">
        <f>AND(IF(metadata!H21="",FALSE,TRUE),exact(metadata!H21,"urine"))</f>
        <v>0</v>
      </c>
      <c r="AB21">
        <f>AND(IF(metadata!I21="",FALSE,TRUE),exact(metadata!I21,"urine metagenome"))</f>
        <v>0</v>
      </c>
      <c r="AC21">
        <f>AND(IF(metadata!J21="",FALSE,TRUE),exact(metadata!J21,"1346744"))</f>
        <v>0</v>
      </c>
    </row>
    <row r="22" spans="1:29">
      <c r="A22" s="4">
        <f>IF(B22=" "," ",HYPERLINK(CONCATENATE("#metadata!",ADDRESS(INDEX($P$2:$P$1001,MATCH(ROWS($N$2:N22),$N$2:$N$1001,0),0),1)),INDEX($S$2:$S$1001,MATCH(ROWS($N$2:N22),$N$2:$N$1001,0),0)))</f>
        <v>0</v>
      </c>
      <c r="B22" s="3">
        <f>IF(OR(INDEX($O$2:$O$1001,MATCH(ROWS($N$2:N22),$N$2:$N$1001,0),1)&gt;=100000,INDEX($U$1005:$AC$1005,1,MATCH(COLUMNS($U$1006:U1006),$U$1006:$AC$1006,0))&gt;=100000), " ",IF(INDEX($U$2:$AC$1001,MATCH(ROWS($N$2:N22),$N$2:$N$1001,0),MATCH(COLUMNS($U$1006:U1006),$U$1006:$AC$1006,0)), HYPERLINK("#",""), HYPERLINK(CONCATENATE("#metadata!", ADDRESS(INDEX($P$2:$P$1001,MATCH(ROWS($N$2:N22),$N$2:$N$1001,0),0), INDEX($U$1004:$AC$1004,1,MATCH(COLUMNS($U$1006:U1006),$U$1006:$AC$1006,0)))),"Fix")))</f>
        <v>0</v>
      </c>
      <c r="C22" s="3">
        <f>IF(OR(INDEX($O$2:$O$1001,MATCH(ROWS($N$2:N22),$N$2:$N$1001,0),1)&gt;=100000,INDEX($U$1005:$AC$1005,1,MATCH(COLUMNS($U$1006:V1006),$U$1006:$AC$1006,0))&gt;=100000), " ",IF(INDEX($U$2:$AC$1001,MATCH(ROWS($N$2:N22),$N$2:$N$1001,0),MATCH(COLUMNS($U$1006:V1006),$U$1006:$AC$1006,0)), HYPERLINK("#",""), HYPERLINK(CONCATENATE("#metadata!", ADDRESS(INDEX($P$2:$P$1001,MATCH(ROWS($N$2:N22),$N$2:$N$1001,0),0), INDEX($U$1004:$AC$1004,1,MATCH(COLUMNS($U$1006:V1006),$U$1006:$AC$1006,0)))),"Fix")))</f>
        <v>0</v>
      </c>
      <c r="D22" s="3">
        <f>IF(OR(INDEX($O$2:$O$1001,MATCH(ROWS($N$2:N22),$N$2:$N$1001,0),1)&gt;=100000,INDEX($U$1005:$AC$1005,1,MATCH(COLUMNS($U$1006:W1006),$U$1006:$AC$1006,0))&gt;=100000), " ",IF(INDEX($U$2:$AC$1001,MATCH(ROWS($N$2:N22),$N$2:$N$1001,0),MATCH(COLUMNS($U$1006:W1006),$U$1006:$AC$1006,0)), HYPERLINK("#",""), HYPERLINK(CONCATENATE("#metadata!", ADDRESS(INDEX($P$2:$P$1001,MATCH(ROWS($N$2:N22),$N$2:$N$1001,0),0), INDEX($U$1004:$AC$1004,1,MATCH(COLUMNS($U$1006:W1006),$U$1006:$AC$1006,0)))),"Fix")))</f>
        <v>0</v>
      </c>
      <c r="E22" s="3">
        <f>IF(OR(INDEX($O$2:$O$1001,MATCH(ROWS($N$2:N22),$N$2:$N$1001,0),1)&gt;=100000,INDEX($U$1005:$AC$1005,1,MATCH(COLUMNS($U$1006:X1006),$U$1006:$AC$1006,0))&gt;=100000), " ",IF(INDEX($U$2:$AC$1001,MATCH(ROWS($N$2:N22),$N$2:$N$1001,0),MATCH(COLUMNS($U$1006:X1006),$U$1006:$AC$1006,0)), HYPERLINK("#",""), HYPERLINK(CONCATENATE("#metadata!", ADDRESS(INDEX($P$2:$P$1001,MATCH(ROWS($N$2:N22),$N$2:$N$1001,0),0), INDEX($U$1004:$AC$1004,1,MATCH(COLUMNS($U$1006:X1006),$U$1006:$AC$1006,0)))),"Fix")))</f>
        <v>0</v>
      </c>
      <c r="F22" s="3">
        <f>IF(OR(INDEX($O$2:$O$1001,MATCH(ROWS($N$2:N22),$N$2:$N$1001,0),1)&gt;=100000,INDEX($U$1005:$AC$1005,1,MATCH(COLUMNS($U$1006:Y1006),$U$1006:$AC$1006,0))&gt;=100000), " ",IF(INDEX($U$2:$AC$1001,MATCH(ROWS($N$2:N22),$N$2:$N$1001,0),MATCH(COLUMNS($U$1006:Y1006),$U$1006:$AC$1006,0)), HYPERLINK("#",""), HYPERLINK(CONCATENATE("#metadata!", ADDRESS(INDEX($P$2:$P$1001,MATCH(ROWS($N$2:N22),$N$2:$N$1001,0),0), INDEX($U$1004:$AC$1004,1,MATCH(COLUMNS($U$1006:Y1006),$U$1006:$AC$1006,0)))),"Fix")))</f>
        <v>0</v>
      </c>
      <c r="G22" s="3">
        <f>IF(OR(INDEX($O$2:$O$1001,MATCH(ROWS($N$2:N22),$N$2:$N$1001,0),1)&gt;=100000,INDEX($U$1005:$AC$1005,1,MATCH(COLUMNS($U$1006:Z1006),$U$1006:$AC$1006,0))&gt;=100000), " ",IF(INDEX($U$2:$AC$1001,MATCH(ROWS($N$2:N22),$N$2:$N$1001,0),MATCH(COLUMNS($U$1006:Z1006),$U$1006:$AC$1006,0)), HYPERLINK("#",""), HYPERLINK(CONCATENATE("#metadata!", ADDRESS(INDEX($P$2:$P$1001,MATCH(ROWS($N$2:N22),$N$2:$N$1001,0),0), INDEX($U$1004:$AC$1004,1,MATCH(COLUMNS($U$1006:Z1006),$U$1006:$AC$1006,0)))),"Fix")))</f>
        <v>0</v>
      </c>
      <c r="H22" s="3">
        <f>IF(OR(INDEX($O$2:$O$1001,MATCH(ROWS($N$2:N22),$N$2:$N$1001,0),1)&gt;=100000,INDEX($U$1005:$AC$1005,1,MATCH(COLUMNS($U$1006:AA1006),$U$1006:$AC$1006,0))&gt;=100000), " ",IF(INDEX($U$2:$AC$1001,MATCH(ROWS($N$2:N22),$N$2:$N$1001,0),MATCH(COLUMNS($U$1006:AA1006),$U$1006:$AC$1006,0)), HYPERLINK("#",""), HYPERLINK(CONCATENATE("#metadata!", ADDRESS(INDEX($P$2:$P$1001,MATCH(ROWS($N$2:N22),$N$2:$N$1001,0),0), INDEX($U$1004:$AC$1004,1,MATCH(COLUMNS($U$1006:AA1006),$U$1006:$AC$1006,0)))),"Fix")))</f>
        <v>0</v>
      </c>
      <c r="I22" s="3">
        <f>IF(OR(INDEX($O$2:$O$1001,MATCH(ROWS($N$2:N22),$N$2:$N$1001,0),1)&gt;=100000,INDEX($U$1005:$AC$1005,1,MATCH(COLUMNS($U$1006:AB1006),$U$1006:$AC$1006,0))&gt;=100000), " ",IF(INDEX($U$2:$AC$1001,MATCH(ROWS($N$2:N22),$N$2:$N$1001,0),MATCH(COLUMNS($U$1006:AB1006),$U$1006:$AC$1006,0)), HYPERLINK("#",""), HYPERLINK(CONCATENATE("#metadata!", ADDRESS(INDEX($P$2:$P$1001,MATCH(ROWS($N$2:N22),$N$2:$N$1001,0),0), INDEX($U$1004:$AC$1004,1,MATCH(COLUMNS($U$1006:AB1006),$U$1006:$AC$1006,0)))),"Fix")))</f>
        <v>0</v>
      </c>
      <c r="J22" s="3">
        <f>IF(OR(INDEX($O$2:$O$1001,MATCH(ROWS($N$2:N22),$N$2:$N$1001,0),1)&gt;=100000,INDEX($U$1005:$AC$1005,1,MATCH(COLUMNS($U$1006:AC1006),$U$1006:$AC$1006,0))&gt;=100000), " ",IF(INDEX($U$2:$AC$1001,MATCH(ROWS($N$2:N22),$N$2:$N$1001,0),MATCH(COLUMNS($U$1006:AC1006),$U$1006:$AC$1006,0)), HYPERLINK("#",""), HYPERLINK(CONCATENATE("#metadata!", ADDRESS(INDEX($P$2:$P$1001,MATCH(ROWS($N$2:N22),$N$2:$N$1001,0),0), INDEX($U$1004:$AC$1004,1,MATCH(COLUMNS($U$1006:AC1006),$U$1006:$AC$1006,0)))),"Fix")))</f>
        <v>0</v>
      </c>
      <c r="N22">
        <v>0</v>
      </c>
      <c r="O22">
        <v>0</v>
      </c>
      <c r="P22">
        <v>0</v>
      </c>
      <c r="Q22">
        <f>IF(R22,TRUE,AND(U22:AC22))</f>
        <v>0</v>
      </c>
      <c r="R22">
        <f>COUNTBLANK(metadata!B22:J22)=COLUMNS(metadata!B22:J22)</f>
        <v>0</v>
      </c>
      <c r="S22">
        <v>0</v>
      </c>
      <c r="U22">
        <f>AND(IF(metadata!B22="",FALSE,TRUE),COUNTIF(metadata!B:B, metadata!B22) = 1,NOT(ISERROR(SUMPRODUCT(SEARCH(MID(metadata!B22,ROW(INDIRECT("1:"&amp;LEN(metadata!B22))), 1),"0123456789abcdefghijklmnopqrstuvwxyzABCDEFGHIJKLMNOPQRSTUVWXYZ.")))))</f>
        <v>0</v>
      </c>
      <c r="V22">
        <f>AND(IF(metadata!C22="",FALSE,TRUE),exact(metadata!C22,"UBERON:genitourinary"))</f>
        <v>0</v>
      </c>
      <c r="W22">
        <f>AND(IF(metadata!D22="",FALSE,TRUE),exact(metadata!D22,"UBERON:urine"))</f>
        <v>0</v>
      </c>
      <c r="X22">
        <f>AND(IF(metadata!E22="",FALSE,TRUE),exact(metadata!E22,"UBERON:kidney"))</f>
        <v>0</v>
      </c>
      <c r="Y22">
        <f>AND(IF(metadata!F22="",FALSE,TRUE),exact(metadata!F22,"animal corpus"))</f>
        <v>0</v>
      </c>
      <c r="Z22">
        <f>AND(IF(metadata!G22="",FALSE,TRUE),exact(metadata!G22,"urine"))</f>
        <v>0</v>
      </c>
      <c r="AA22">
        <f>AND(IF(metadata!H22="",FALSE,TRUE),exact(metadata!H22,"urine"))</f>
        <v>0</v>
      </c>
      <c r="AB22">
        <f>AND(IF(metadata!I22="",FALSE,TRUE),exact(metadata!I22,"urine metagenome"))</f>
        <v>0</v>
      </c>
      <c r="AC22">
        <f>AND(IF(metadata!J22="",FALSE,TRUE),exact(metadata!J22,"1346744"))</f>
        <v>0</v>
      </c>
    </row>
    <row r="23" spans="1:29">
      <c r="A23" s="4">
        <f>IF(B23=" "," ",HYPERLINK(CONCATENATE("#metadata!",ADDRESS(INDEX($P$2:$P$1001,MATCH(ROWS($N$2:N23),$N$2:$N$1001,0),0),1)),INDEX($S$2:$S$1001,MATCH(ROWS($N$2:N23),$N$2:$N$1001,0),0)))</f>
        <v>0</v>
      </c>
      <c r="B23" s="3">
        <f>IF(OR(INDEX($O$2:$O$1001,MATCH(ROWS($N$2:N23),$N$2:$N$1001,0),1)&gt;=100000,INDEX($U$1005:$AC$1005,1,MATCH(COLUMNS($U$1006:U1006),$U$1006:$AC$1006,0))&gt;=100000), " ",IF(INDEX($U$2:$AC$1001,MATCH(ROWS($N$2:N23),$N$2:$N$1001,0),MATCH(COLUMNS($U$1006:U1006),$U$1006:$AC$1006,0)), HYPERLINK("#",""), HYPERLINK(CONCATENATE("#metadata!", ADDRESS(INDEX($P$2:$P$1001,MATCH(ROWS($N$2:N23),$N$2:$N$1001,0),0), INDEX($U$1004:$AC$1004,1,MATCH(COLUMNS($U$1006:U1006),$U$1006:$AC$1006,0)))),"Fix")))</f>
        <v>0</v>
      </c>
      <c r="C23" s="3">
        <f>IF(OR(INDEX($O$2:$O$1001,MATCH(ROWS($N$2:N23),$N$2:$N$1001,0),1)&gt;=100000,INDEX($U$1005:$AC$1005,1,MATCH(COLUMNS($U$1006:V1006),$U$1006:$AC$1006,0))&gt;=100000), " ",IF(INDEX($U$2:$AC$1001,MATCH(ROWS($N$2:N23),$N$2:$N$1001,0),MATCH(COLUMNS($U$1006:V1006),$U$1006:$AC$1006,0)), HYPERLINK("#",""), HYPERLINK(CONCATENATE("#metadata!", ADDRESS(INDEX($P$2:$P$1001,MATCH(ROWS($N$2:N23),$N$2:$N$1001,0),0), INDEX($U$1004:$AC$1004,1,MATCH(COLUMNS($U$1006:V1006),$U$1006:$AC$1006,0)))),"Fix")))</f>
        <v>0</v>
      </c>
      <c r="D23" s="3">
        <f>IF(OR(INDEX($O$2:$O$1001,MATCH(ROWS($N$2:N23),$N$2:$N$1001,0),1)&gt;=100000,INDEX($U$1005:$AC$1005,1,MATCH(COLUMNS($U$1006:W1006),$U$1006:$AC$1006,0))&gt;=100000), " ",IF(INDEX($U$2:$AC$1001,MATCH(ROWS($N$2:N23),$N$2:$N$1001,0),MATCH(COLUMNS($U$1006:W1006),$U$1006:$AC$1006,0)), HYPERLINK("#",""), HYPERLINK(CONCATENATE("#metadata!", ADDRESS(INDEX($P$2:$P$1001,MATCH(ROWS($N$2:N23),$N$2:$N$1001,0),0), INDEX($U$1004:$AC$1004,1,MATCH(COLUMNS($U$1006:W1006),$U$1006:$AC$1006,0)))),"Fix")))</f>
        <v>0</v>
      </c>
      <c r="E23" s="3">
        <f>IF(OR(INDEX($O$2:$O$1001,MATCH(ROWS($N$2:N23),$N$2:$N$1001,0),1)&gt;=100000,INDEX($U$1005:$AC$1005,1,MATCH(COLUMNS($U$1006:X1006),$U$1006:$AC$1006,0))&gt;=100000), " ",IF(INDEX($U$2:$AC$1001,MATCH(ROWS($N$2:N23),$N$2:$N$1001,0),MATCH(COLUMNS($U$1006:X1006),$U$1006:$AC$1006,0)), HYPERLINK("#",""), HYPERLINK(CONCATENATE("#metadata!", ADDRESS(INDEX($P$2:$P$1001,MATCH(ROWS($N$2:N23),$N$2:$N$1001,0),0), INDEX($U$1004:$AC$1004,1,MATCH(COLUMNS($U$1006:X1006),$U$1006:$AC$1006,0)))),"Fix")))</f>
        <v>0</v>
      </c>
      <c r="F23" s="3">
        <f>IF(OR(INDEX($O$2:$O$1001,MATCH(ROWS($N$2:N23),$N$2:$N$1001,0),1)&gt;=100000,INDEX($U$1005:$AC$1005,1,MATCH(COLUMNS($U$1006:Y1006),$U$1006:$AC$1006,0))&gt;=100000), " ",IF(INDEX($U$2:$AC$1001,MATCH(ROWS($N$2:N23),$N$2:$N$1001,0),MATCH(COLUMNS($U$1006:Y1006),$U$1006:$AC$1006,0)), HYPERLINK("#",""), HYPERLINK(CONCATENATE("#metadata!", ADDRESS(INDEX($P$2:$P$1001,MATCH(ROWS($N$2:N23),$N$2:$N$1001,0),0), INDEX($U$1004:$AC$1004,1,MATCH(COLUMNS($U$1006:Y1006),$U$1006:$AC$1006,0)))),"Fix")))</f>
        <v>0</v>
      </c>
      <c r="G23" s="3">
        <f>IF(OR(INDEX($O$2:$O$1001,MATCH(ROWS($N$2:N23),$N$2:$N$1001,0),1)&gt;=100000,INDEX($U$1005:$AC$1005,1,MATCH(COLUMNS($U$1006:Z1006),$U$1006:$AC$1006,0))&gt;=100000), " ",IF(INDEX($U$2:$AC$1001,MATCH(ROWS($N$2:N23),$N$2:$N$1001,0),MATCH(COLUMNS($U$1006:Z1006),$U$1006:$AC$1006,0)), HYPERLINK("#",""), HYPERLINK(CONCATENATE("#metadata!", ADDRESS(INDEX($P$2:$P$1001,MATCH(ROWS($N$2:N23),$N$2:$N$1001,0),0), INDEX($U$1004:$AC$1004,1,MATCH(COLUMNS($U$1006:Z1006),$U$1006:$AC$1006,0)))),"Fix")))</f>
        <v>0</v>
      </c>
      <c r="H23" s="3">
        <f>IF(OR(INDEX($O$2:$O$1001,MATCH(ROWS($N$2:N23),$N$2:$N$1001,0),1)&gt;=100000,INDEX($U$1005:$AC$1005,1,MATCH(COLUMNS($U$1006:AA1006),$U$1006:$AC$1006,0))&gt;=100000), " ",IF(INDEX($U$2:$AC$1001,MATCH(ROWS($N$2:N23),$N$2:$N$1001,0),MATCH(COLUMNS($U$1006:AA1006),$U$1006:$AC$1006,0)), HYPERLINK("#",""), HYPERLINK(CONCATENATE("#metadata!", ADDRESS(INDEX($P$2:$P$1001,MATCH(ROWS($N$2:N23),$N$2:$N$1001,0),0), INDEX($U$1004:$AC$1004,1,MATCH(COLUMNS($U$1006:AA1006),$U$1006:$AC$1006,0)))),"Fix")))</f>
        <v>0</v>
      </c>
      <c r="I23" s="3">
        <f>IF(OR(INDEX($O$2:$O$1001,MATCH(ROWS($N$2:N23),$N$2:$N$1001,0),1)&gt;=100000,INDEX($U$1005:$AC$1005,1,MATCH(COLUMNS($U$1006:AB1006),$U$1006:$AC$1006,0))&gt;=100000), " ",IF(INDEX($U$2:$AC$1001,MATCH(ROWS($N$2:N23),$N$2:$N$1001,0),MATCH(COLUMNS($U$1006:AB1006),$U$1006:$AC$1006,0)), HYPERLINK("#",""), HYPERLINK(CONCATENATE("#metadata!", ADDRESS(INDEX($P$2:$P$1001,MATCH(ROWS($N$2:N23),$N$2:$N$1001,0),0), INDEX($U$1004:$AC$1004,1,MATCH(COLUMNS($U$1006:AB1006),$U$1006:$AC$1006,0)))),"Fix")))</f>
        <v>0</v>
      </c>
      <c r="J23" s="3">
        <f>IF(OR(INDEX($O$2:$O$1001,MATCH(ROWS($N$2:N23),$N$2:$N$1001,0),1)&gt;=100000,INDEX($U$1005:$AC$1005,1,MATCH(COLUMNS($U$1006:AC1006),$U$1006:$AC$1006,0))&gt;=100000), " ",IF(INDEX($U$2:$AC$1001,MATCH(ROWS($N$2:N23),$N$2:$N$1001,0),MATCH(COLUMNS($U$1006:AC1006),$U$1006:$AC$1006,0)), HYPERLINK("#",""), HYPERLINK(CONCATENATE("#metadata!", ADDRESS(INDEX($P$2:$P$1001,MATCH(ROWS($N$2:N23),$N$2:$N$1001,0),0), INDEX($U$1004:$AC$1004,1,MATCH(COLUMNS($U$1006:AC1006),$U$1006:$AC$1006,0)))),"Fix")))</f>
        <v>0</v>
      </c>
      <c r="N23">
        <v>0</v>
      </c>
      <c r="O23">
        <v>0</v>
      </c>
      <c r="P23">
        <v>0</v>
      </c>
      <c r="Q23">
        <f>IF(R23,TRUE,AND(U23:AC23))</f>
        <v>0</v>
      </c>
      <c r="R23">
        <f>COUNTBLANK(metadata!B23:J23)=COLUMNS(metadata!B23:J23)</f>
        <v>0</v>
      </c>
      <c r="S23">
        <v>0</v>
      </c>
      <c r="U23">
        <f>AND(IF(metadata!B23="",FALSE,TRUE),COUNTIF(metadata!B:B, metadata!B23) = 1,NOT(ISERROR(SUMPRODUCT(SEARCH(MID(metadata!B23,ROW(INDIRECT("1:"&amp;LEN(metadata!B23))), 1),"0123456789abcdefghijklmnopqrstuvwxyzABCDEFGHIJKLMNOPQRSTUVWXYZ.")))))</f>
        <v>0</v>
      </c>
      <c r="V23">
        <f>AND(IF(metadata!C23="",FALSE,TRUE),exact(metadata!C23,"UBERON:genitourinary"))</f>
        <v>0</v>
      </c>
      <c r="W23">
        <f>AND(IF(metadata!D23="",FALSE,TRUE),exact(metadata!D23,"UBERON:urine"))</f>
        <v>0</v>
      </c>
      <c r="X23">
        <f>AND(IF(metadata!E23="",FALSE,TRUE),exact(metadata!E23,"UBERON:kidney"))</f>
        <v>0</v>
      </c>
      <c r="Y23">
        <f>AND(IF(metadata!F23="",FALSE,TRUE),exact(metadata!F23,"animal corpus"))</f>
        <v>0</v>
      </c>
      <c r="Z23">
        <f>AND(IF(metadata!G23="",FALSE,TRUE),exact(metadata!G23,"urine"))</f>
        <v>0</v>
      </c>
      <c r="AA23">
        <f>AND(IF(metadata!H23="",FALSE,TRUE),exact(metadata!H23,"urine"))</f>
        <v>0</v>
      </c>
      <c r="AB23">
        <f>AND(IF(metadata!I23="",FALSE,TRUE),exact(metadata!I23,"urine metagenome"))</f>
        <v>0</v>
      </c>
      <c r="AC23">
        <f>AND(IF(metadata!J23="",FALSE,TRUE),exact(metadata!J23,"1346744"))</f>
        <v>0</v>
      </c>
    </row>
    <row r="24" spans="1:29">
      <c r="A24" s="4">
        <f>IF(B24=" "," ",HYPERLINK(CONCATENATE("#metadata!",ADDRESS(INDEX($P$2:$P$1001,MATCH(ROWS($N$2:N24),$N$2:$N$1001,0),0),1)),INDEX($S$2:$S$1001,MATCH(ROWS($N$2:N24),$N$2:$N$1001,0),0)))</f>
        <v>0</v>
      </c>
      <c r="B24" s="3">
        <f>IF(OR(INDEX($O$2:$O$1001,MATCH(ROWS($N$2:N24),$N$2:$N$1001,0),1)&gt;=100000,INDEX($U$1005:$AC$1005,1,MATCH(COLUMNS($U$1006:U1006),$U$1006:$AC$1006,0))&gt;=100000), " ",IF(INDEX($U$2:$AC$1001,MATCH(ROWS($N$2:N24),$N$2:$N$1001,0),MATCH(COLUMNS($U$1006:U1006),$U$1006:$AC$1006,0)), HYPERLINK("#",""), HYPERLINK(CONCATENATE("#metadata!", ADDRESS(INDEX($P$2:$P$1001,MATCH(ROWS($N$2:N24),$N$2:$N$1001,0),0), INDEX($U$1004:$AC$1004,1,MATCH(COLUMNS($U$1006:U1006),$U$1006:$AC$1006,0)))),"Fix")))</f>
        <v>0</v>
      </c>
      <c r="C24" s="3">
        <f>IF(OR(INDEX($O$2:$O$1001,MATCH(ROWS($N$2:N24),$N$2:$N$1001,0),1)&gt;=100000,INDEX($U$1005:$AC$1005,1,MATCH(COLUMNS($U$1006:V1006),$U$1006:$AC$1006,0))&gt;=100000), " ",IF(INDEX($U$2:$AC$1001,MATCH(ROWS($N$2:N24),$N$2:$N$1001,0),MATCH(COLUMNS($U$1006:V1006),$U$1006:$AC$1006,0)), HYPERLINK("#",""), HYPERLINK(CONCATENATE("#metadata!", ADDRESS(INDEX($P$2:$P$1001,MATCH(ROWS($N$2:N24),$N$2:$N$1001,0),0), INDEX($U$1004:$AC$1004,1,MATCH(COLUMNS($U$1006:V1006),$U$1006:$AC$1006,0)))),"Fix")))</f>
        <v>0</v>
      </c>
      <c r="D24" s="3">
        <f>IF(OR(INDEX($O$2:$O$1001,MATCH(ROWS($N$2:N24),$N$2:$N$1001,0),1)&gt;=100000,INDEX($U$1005:$AC$1005,1,MATCH(COLUMNS($U$1006:W1006),$U$1006:$AC$1006,0))&gt;=100000), " ",IF(INDEX($U$2:$AC$1001,MATCH(ROWS($N$2:N24),$N$2:$N$1001,0),MATCH(COLUMNS($U$1006:W1006),$U$1006:$AC$1006,0)), HYPERLINK("#",""), HYPERLINK(CONCATENATE("#metadata!", ADDRESS(INDEX($P$2:$P$1001,MATCH(ROWS($N$2:N24),$N$2:$N$1001,0),0), INDEX($U$1004:$AC$1004,1,MATCH(COLUMNS($U$1006:W1006),$U$1006:$AC$1006,0)))),"Fix")))</f>
        <v>0</v>
      </c>
      <c r="E24" s="3">
        <f>IF(OR(INDEX($O$2:$O$1001,MATCH(ROWS($N$2:N24),$N$2:$N$1001,0),1)&gt;=100000,INDEX($U$1005:$AC$1005,1,MATCH(COLUMNS($U$1006:X1006),$U$1006:$AC$1006,0))&gt;=100000), " ",IF(INDEX($U$2:$AC$1001,MATCH(ROWS($N$2:N24),$N$2:$N$1001,0),MATCH(COLUMNS($U$1006:X1006),$U$1006:$AC$1006,0)), HYPERLINK("#",""), HYPERLINK(CONCATENATE("#metadata!", ADDRESS(INDEX($P$2:$P$1001,MATCH(ROWS($N$2:N24),$N$2:$N$1001,0),0), INDEX($U$1004:$AC$1004,1,MATCH(COLUMNS($U$1006:X1006),$U$1006:$AC$1006,0)))),"Fix")))</f>
        <v>0</v>
      </c>
      <c r="F24" s="3">
        <f>IF(OR(INDEX($O$2:$O$1001,MATCH(ROWS($N$2:N24),$N$2:$N$1001,0),1)&gt;=100000,INDEX($U$1005:$AC$1005,1,MATCH(COLUMNS($U$1006:Y1006),$U$1006:$AC$1006,0))&gt;=100000), " ",IF(INDEX($U$2:$AC$1001,MATCH(ROWS($N$2:N24),$N$2:$N$1001,0),MATCH(COLUMNS($U$1006:Y1006),$U$1006:$AC$1006,0)), HYPERLINK("#",""), HYPERLINK(CONCATENATE("#metadata!", ADDRESS(INDEX($P$2:$P$1001,MATCH(ROWS($N$2:N24),$N$2:$N$1001,0),0), INDEX($U$1004:$AC$1004,1,MATCH(COLUMNS($U$1006:Y1006),$U$1006:$AC$1006,0)))),"Fix")))</f>
        <v>0</v>
      </c>
      <c r="G24" s="3">
        <f>IF(OR(INDEX($O$2:$O$1001,MATCH(ROWS($N$2:N24),$N$2:$N$1001,0),1)&gt;=100000,INDEX($U$1005:$AC$1005,1,MATCH(COLUMNS($U$1006:Z1006),$U$1006:$AC$1006,0))&gt;=100000), " ",IF(INDEX($U$2:$AC$1001,MATCH(ROWS($N$2:N24),$N$2:$N$1001,0),MATCH(COLUMNS($U$1006:Z1006),$U$1006:$AC$1006,0)), HYPERLINK("#",""), HYPERLINK(CONCATENATE("#metadata!", ADDRESS(INDEX($P$2:$P$1001,MATCH(ROWS($N$2:N24),$N$2:$N$1001,0),0), INDEX($U$1004:$AC$1004,1,MATCH(COLUMNS($U$1006:Z1006),$U$1006:$AC$1006,0)))),"Fix")))</f>
        <v>0</v>
      </c>
      <c r="H24" s="3">
        <f>IF(OR(INDEX($O$2:$O$1001,MATCH(ROWS($N$2:N24),$N$2:$N$1001,0),1)&gt;=100000,INDEX($U$1005:$AC$1005,1,MATCH(COLUMNS($U$1006:AA1006),$U$1006:$AC$1006,0))&gt;=100000), " ",IF(INDEX($U$2:$AC$1001,MATCH(ROWS($N$2:N24),$N$2:$N$1001,0),MATCH(COLUMNS($U$1006:AA1006),$U$1006:$AC$1006,0)), HYPERLINK("#",""), HYPERLINK(CONCATENATE("#metadata!", ADDRESS(INDEX($P$2:$P$1001,MATCH(ROWS($N$2:N24),$N$2:$N$1001,0),0), INDEX($U$1004:$AC$1004,1,MATCH(COLUMNS($U$1006:AA1006),$U$1006:$AC$1006,0)))),"Fix")))</f>
        <v>0</v>
      </c>
      <c r="I24" s="3">
        <f>IF(OR(INDEX($O$2:$O$1001,MATCH(ROWS($N$2:N24),$N$2:$N$1001,0),1)&gt;=100000,INDEX($U$1005:$AC$1005,1,MATCH(COLUMNS($U$1006:AB1006),$U$1006:$AC$1006,0))&gt;=100000), " ",IF(INDEX($U$2:$AC$1001,MATCH(ROWS($N$2:N24),$N$2:$N$1001,0),MATCH(COLUMNS($U$1006:AB1006),$U$1006:$AC$1006,0)), HYPERLINK("#",""), HYPERLINK(CONCATENATE("#metadata!", ADDRESS(INDEX($P$2:$P$1001,MATCH(ROWS($N$2:N24),$N$2:$N$1001,0),0), INDEX($U$1004:$AC$1004,1,MATCH(COLUMNS($U$1006:AB1006),$U$1006:$AC$1006,0)))),"Fix")))</f>
        <v>0</v>
      </c>
      <c r="J24" s="3">
        <f>IF(OR(INDEX($O$2:$O$1001,MATCH(ROWS($N$2:N24),$N$2:$N$1001,0),1)&gt;=100000,INDEX($U$1005:$AC$1005,1,MATCH(COLUMNS($U$1006:AC1006),$U$1006:$AC$1006,0))&gt;=100000), " ",IF(INDEX($U$2:$AC$1001,MATCH(ROWS($N$2:N24),$N$2:$N$1001,0),MATCH(COLUMNS($U$1006:AC1006),$U$1006:$AC$1006,0)), HYPERLINK("#",""), HYPERLINK(CONCATENATE("#metadata!", ADDRESS(INDEX($P$2:$P$1001,MATCH(ROWS($N$2:N24),$N$2:$N$1001,0),0), INDEX($U$1004:$AC$1004,1,MATCH(COLUMNS($U$1006:AC1006),$U$1006:$AC$1006,0)))),"Fix")))</f>
        <v>0</v>
      </c>
      <c r="N24">
        <v>0</v>
      </c>
      <c r="O24">
        <v>0</v>
      </c>
      <c r="P24">
        <v>0</v>
      </c>
      <c r="Q24">
        <f>IF(R24,TRUE,AND(U24:AC24))</f>
        <v>0</v>
      </c>
      <c r="R24">
        <f>COUNTBLANK(metadata!B24:J24)=COLUMNS(metadata!B24:J24)</f>
        <v>0</v>
      </c>
      <c r="S24">
        <v>0</v>
      </c>
      <c r="U24">
        <f>AND(IF(metadata!B24="",FALSE,TRUE),COUNTIF(metadata!B:B, metadata!B24) = 1,NOT(ISERROR(SUMPRODUCT(SEARCH(MID(metadata!B24,ROW(INDIRECT("1:"&amp;LEN(metadata!B24))), 1),"0123456789abcdefghijklmnopqrstuvwxyzABCDEFGHIJKLMNOPQRSTUVWXYZ.")))))</f>
        <v>0</v>
      </c>
      <c r="V24">
        <f>AND(IF(metadata!C24="",FALSE,TRUE),exact(metadata!C24,"UBERON:genitourinary"))</f>
        <v>0</v>
      </c>
      <c r="W24">
        <f>AND(IF(metadata!D24="",FALSE,TRUE),exact(metadata!D24,"UBERON:urine"))</f>
        <v>0</v>
      </c>
      <c r="X24">
        <f>AND(IF(metadata!E24="",FALSE,TRUE),exact(metadata!E24,"UBERON:kidney"))</f>
        <v>0</v>
      </c>
      <c r="Y24">
        <f>AND(IF(metadata!F24="",FALSE,TRUE),exact(metadata!F24,"animal corpus"))</f>
        <v>0</v>
      </c>
      <c r="Z24">
        <f>AND(IF(metadata!G24="",FALSE,TRUE),exact(metadata!G24,"urine"))</f>
        <v>0</v>
      </c>
      <c r="AA24">
        <f>AND(IF(metadata!H24="",FALSE,TRUE),exact(metadata!H24,"urine"))</f>
        <v>0</v>
      </c>
      <c r="AB24">
        <f>AND(IF(metadata!I24="",FALSE,TRUE),exact(metadata!I24,"urine metagenome"))</f>
        <v>0</v>
      </c>
      <c r="AC24">
        <f>AND(IF(metadata!J24="",FALSE,TRUE),exact(metadata!J24,"1346744"))</f>
        <v>0</v>
      </c>
    </row>
    <row r="25" spans="1:29">
      <c r="A25" s="4">
        <f>IF(B25=" "," ",HYPERLINK(CONCATENATE("#metadata!",ADDRESS(INDEX($P$2:$P$1001,MATCH(ROWS($N$2:N25),$N$2:$N$1001,0),0),1)),INDEX($S$2:$S$1001,MATCH(ROWS($N$2:N25),$N$2:$N$1001,0),0)))</f>
        <v>0</v>
      </c>
      <c r="B25" s="3">
        <f>IF(OR(INDEX($O$2:$O$1001,MATCH(ROWS($N$2:N25),$N$2:$N$1001,0),1)&gt;=100000,INDEX($U$1005:$AC$1005,1,MATCH(COLUMNS($U$1006:U1006),$U$1006:$AC$1006,0))&gt;=100000), " ",IF(INDEX($U$2:$AC$1001,MATCH(ROWS($N$2:N25),$N$2:$N$1001,0),MATCH(COLUMNS($U$1006:U1006),$U$1006:$AC$1006,0)), HYPERLINK("#",""), HYPERLINK(CONCATENATE("#metadata!", ADDRESS(INDEX($P$2:$P$1001,MATCH(ROWS($N$2:N25),$N$2:$N$1001,0),0), INDEX($U$1004:$AC$1004,1,MATCH(COLUMNS($U$1006:U1006),$U$1006:$AC$1006,0)))),"Fix")))</f>
        <v>0</v>
      </c>
      <c r="C25" s="3">
        <f>IF(OR(INDEX($O$2:$O$1001,MATCH(ROWS($N$2:N25),$N$2:$N$1001,0),1)&gt;=100000,INDEX($U$1005:$AC$1005,1,MATCH(COLUMNS($U$1006:V1006),$U$1006:$AC$1006,0))&gt;=100000), " ",IF(INDEX($U$2:$AC$1001,MATCH(ROWS($N$2:N25),$N$2:$N$1001,0),MATCH(COLUMNS($U$1006:V1006),$U$1006:$AC$1006,0)), HYPERLINK("#",""), HYPERLINK(CONCATENATE("#metadata!", ADDRESS(INDEX($P$2:$P$1001,MATCH(ROWS($N$2:N25),$N$2:$N$1001,0),0), INDEX($U$1004:$AC$1004,1,MATCH(COLUMNS($U$1006:V1006),$U$1006:$AC$1006,0)))),"Fix")))</f>
        <v>0</v>
      </c>
      <c r="D25" s="3">
        <f>IF(OR(INDEX($O$2:$O$1001,MATCH(ROWS($N$2:N25),$N$2:$N$1001,0),1)&gt;=100000,INDEX($U$1005:$AC$1005,1,MATCH(COLUMNS($U$1006:W1006),$U$1006:$AC$1006,0))&gt;=100000), " ",IF(INDEX($U$2:$AC$1001,MATCH(ROWS($N$2:N25),$N$2:$N$1001,0),MATCH(COLUMNS($U$1006:W1006),$U$1006:$AC$1006,0)), HYPERLINK("#",""), HYPERLINK(CONCATENATE("#metadata!", ADDRESS(INDEX($P$2:$P$1001,MATCH(ROWS($N$2:N25),$N$2:$N$1001,0),0), INDEX($U$1004:$AC$1004,1,MATCH(COLUMNS($U$1006:W1006),$U$1006:$AC$1006,0)))),"Fix")))</f>
        <v>0</v>
      </c>
      <c r="E25" s="3">
        <f>IF(OR(INDEX($O$2:$O$1001,MATCH(ROWS($N$2:N25),$N$2:$N$1001,0),1)&gt;=100000,INDEX($U$1005:$AC$1005,1,MATCH(COLUMNS($U$1006:X1006),$U$1006:$AC$1006,0))&gt;=100000), " ",IF(INDEX($U$2:$AC$1001,MATCH(ROWS($N$2:N25),$N$2:$N$1001,0),MATCH(COLUMNS($U$1006:X1006),$U$1006:$AC$1006,0)), HYPERLINK("#",""), HYPERLINK(CONCATENATE("#metadata!", ADDRESS(INDEX($P$2:$P$1001,MATCH(ROWS($N$2:N25),$N$2:$N$1001,0),0), INDEX($U$1004:$AC$1004,1,MATCH(COLUMNS($U$1006:X1006),$U$1006:$AC$1006,0)))),"Fix")))</f>
        <v>0</v>
      </c>
      <c r="F25" s="3">
        <f>IF(OR(INDEX($O$2:$O$1001,MATCH(ROWS($N$2:N25),$N$2:$N$1001,0),1)&gt;=100000,INDEX($U$1005:$AC$1005,1,MATCH(COLUMNS($U$1006:Y1006),$U$1006:$AC$1006,0))&gt;=100000), " ",IF(INDEX($U$2:$AC$1001,MATCH(ROWS($N$2:N25),$N$2:$N$1001,0),MATCH(COLUMNS($U$1006:Y1006),$U$1006:$AC$1006,0)), HYPERLINK("#",""), HYPERLINK(CONCATENATE("#metadata!", ADDRESS(INDEX($P$2:$P$1001,MATCH(ROWS($N$2:N25),$N$2:$N$1001,0),0), INDEX($U$1004:$AC$1004,1,MATCH(COLUMNS($U$1006:Y1006),$U$1006:$AC$1006,0)))),"Fix")))</f>
        <v>0</v>
      </c>
      <c r="G25" s="3">
        <f>IF(OR(INDEX($O$2:$O$1001,MATCH(ROWS($N$2:N25),$N$2:$N$1001,0),1)&gt;=100000,INDEX($U$1005:$AC$1005,1,MATCH(COLUMNS($U$1006:Z1006),$U$1006:$AC$1006,0))&gt;=100000), " ",IF(INDEX($U$2:$AC$1001,MATCH(ROWS($N$2:N25),$N$2:$N$1001,0),MATCH(COLUMNS($U$1006:Z1006),$U$1006:$AC$1006,0)), HYPERLINK("#",""), HYPERLINK(CONCATENATE("#metadata!", ADDRESS(INDEX($P$2:$P$1001,MATCH(ROWS($N$2:N25),$N$2:$N$1001,0),0), INDEX($U$1004:$AC$1004,1,MATCH(COLUMNS($U$1006:Z1006),$U$1006:$AC$1006,0)))),"Fix")))</f>
        <v>0</v>
      </c>
      <c r="H25" s="3">
        <f>IF(OR(INDEX($O$2:$O$1001,MATCH(ROWS($N$2:N25),$N$2:$N$1001,0),1)&gt;=100000,INDEX($U$1005:$AC$1005,1,MATCH(COLUMNS($U$1006:AA1006),$U$1006:$AC$1006,0))&gt;=100000), " ",IF(INDEX($U$2:$AC$1001,MATCH(ROWS($N$2:N25),$N$2:$N$1001,0),MATCH(COLUMNS($U$1006:AA1006),$U$1006:$AC$1006,0)), HYPERLINK("#",""), HYPERLINK(CONCATENATE("#metadata!", ADDRESS(INDEX($P$2:$P$1001,MATCH(ROWS($N$2:N25),$N$2:$N$1001,0),0), INDEX($U$1004:$AC$1004,1,MATCH(COLUMNS($U$1006:AA1006),$U$1006:$AC$1006,0)))),"Fix")))</f>
        <v>0</v>
      </c>
      <c r="I25" s="3">
        <f>IF(OR(INDEX($O$2:$O$1001,MATCH(ROWS($N$2:N25),$N$2:$N$1001,0),1)&gt;=100000,INDEX($U$1005:$AC$1005,1,MATCH(COLUMNS($U$1006:AB1006),$U$1006:$AC$1006,0))&gt;=100000), " ",IF(INDEX($U$2:$AC$1001,MATCH(ROWS($N$2:N25),$N$2:$N$1001,0),MATCH(COLUMNS($U$1006:AB1006),$U$1006:$AC$1006,0)), HYPERLINK("#",""), HYPERLINK(CONCATENATE("#metadata!", ADDRESS(INDEX($P$2:$P$1001,MATCH(ROWS($N$2:N25),$N$2:$N$1001,0),0), INDEX($U$1004:$AC$1004,1,MATCH(COLUMNS($U$1006:AB1006),$U$1006:$AC$1006,0)))),"Fix")))</f>
        <v>0</v>
      </c>
      <c r="J25" s="3">
        <f>IF(OR(INDEX($O$2:$O$1001,MATCH(ROWS($N$2:N25),$N$2:$N$1001,0),1)&gt;=100000,INDEX($U$1005:$AC$1005,1,MATCH(COLUMNS($U$1006:AC1006),$U$1006:$AC$1006,0))&gt;=100000), " ",IF(INDEX($U$2:$AC$1001,MATCH(ROWS($N$2:N25),$N$2:$N$1001,0),MATCH(COLUMNS($U$1006:AC1006),$U$1006:$AC$1006,0)), HYPERLINK("#",""), HYPERLINK(CONCATENATE("#metadata!", ADDRESS(INDEX($P$2:$P$1001,MATCH(ROWS($N$2:N25),$N$2:$N$1001,0),0), INDEX($U$1004:$AC$1004,1,MATCH(COLUMNS($U$1006:AC1006),$U$1006:$AC$1006,0)))),"Fix")))</f>
        <v>0</v>
      </c>
      <c r="N25">
        <v>0</v>
      </c>
      <c r="O25">
        <v>0</v>
      </c>
      <c r="P25">
        <v>0</v>
      </c>
      <c r="Q25">
        <f>IF(R25,TRUE,AND(U25:AC25))</f>
        <v>0</v>
      </c>
      <c r="R25">
        <f>COUNTBLANK(metadata!B25:J25)=COLUMNS(metadata!B25:J25)</f>
        <v>0</v>
      </c>
      <c r="S25">
        <v>0</v>
      </c>
      <c r="U25">
        <f>AND(IF(metadata!B25="",FALSE,TRUE),COUNTIF(metadata!B:B, metadata!B25) = 1,NOT(ISERROR(SUMPRODUCT(SEARCH(MID(metadata!B25,ROW(INDIRECT("1:"&amp;LEN(metadata!B25))), 1),"0123456789abcdefghijklmnopqrstuvwxyzABCDEFGHIJKLMNOPQRSTUVWXYZ.")))))</f>
        <v>0</v>
      </c>
      <c r="V25">
        <f>AND(IF(metadata!C25="",FALSE,TRUE),exact(metadata!C25,"UBERON:genitourinary"))</f>
        <v>0</v>
      </c>
      <c r="W25">
        <f>AND(IF(metadata!D25="",FALSE,TRUE),exact(metadata!D25,"UBERON:urine"))</f>
        <v>0</v>
      </c>
      <c r="X25">
        <f>AND(IF(metadata!E25="",FALSE,TRUE),exact(metadata!E25,"UBERON:kidney"))</f>
        <v>0</v>
      </c>
      <c r="Y25">
        <f>AND(IF(metadata!F25="",FALSE,TRUE),exact(metadata!F25,"animal corpus"))</f>
        <v>0</v>
      </c>
      <c r="Z25">
        <f>AND(IF(metadata!G25="",FALSE,TRUE),exact(metadata!G25,"urine"))</f>
        <v>0</v>
      </c>
      <c r="AA25">
        <f>AND(IF(metadata!H25="",FALSE,TRUE),exact(metadata!H25,"urine"))</f>
        <v>0</v>
      </c>
      <c r="AB25">
        <f>AND(IF(metadata!I25="",FALSE,TRUE),exact(metadata!I25,"urine metagenome"))</f>
        <v>0</v>
      </c>
      <c r="AC25">
        <f>AND(IF(metadata!J25="",FALSE,TRUE),exact(metadata!J25,"1346744"))</f>
        <v>0</v>
      </c>
    </row>
    <row r="26" spans="1:29">
      <c r="A26" s="4">
        <f>IF(B26=" "," ",HYPERLINK(CONCATENATE("#metadata!",ADDRESS(INDEX($P$2:$P$1001,MATCH(ROWS($N$2:N26),$N$2:$N$1001,0),0),1)),INDEX($S$2:$S$1001,MATCH(ROWS($N$2:N26),$N$2:$N$1001,0),0)))</f>
        <v>0</v>
      </c>
      <c r="B26" s="3">
        <f>IF(OR(INDEX($O$2:$O$1001,MATCH(ROWS($N$2:N26),$N$2:$N$1001,0),1)&gt;=100000,INDEX($U$1005:$AC$1005,1,MATCH(COLUMNS($U$1006:U1006),$U$1006:$AC$1006,0))&gt;=100000), " ",IF(INDEX($U$2:$AC$1001,MATCH(ROWS($N$2:N26),$N$2:$N$1001,0),MATCH(COLUMNS($U$1006:U1006),$U$1006:$AC$1006,0)), HYPERLINK("#",""), HYPERLINK(CONCATENATE("#metadata!", ADDRESS(INDEX($P$2:$P$1001,MATCH(ROWS($N$2:N26),$N$2:$N$1001,0),0), INDEX($U$1004:$AC$1004,1,MATCH(COLUMNS($U$1006:U1006),$U$1006:$AC$1006,0)))),"Fix")))</f>
        <v>0</v>
      </c>
      <c r="C26" s="3">
        <f>IF(OR(INDEX($O$2:$O$1001,MATCH(ROWS($N$2:N26),$N$2:$N$1001,0),1)&gt;=100000,INDEX($U$1005:$AC$1005,1,MATCH(COLUMNS($U$1006:V1006),$U$1006:$AC$1006,0))&gt;=100000), " ",IF(INDEX($U$2:$AC$1001,MATCH(ROWS($N$2:N26),$N$2:$N$1001,0),MATCH(COLUMNS($U$1006:V1006),$U$1006:$AC$1006,0)), HYPERLINK("#",""), HYPERLINK(CONCATENATE("#metadata!", ADDRESS(INDEX($P$2:$P$1001,MATCH(ROWS($N$2:N26),$N$2:$N$1001,0),0), INDEX($U$1004:$AC$1004,1,MATCH(COLUMNS($U$1006:V1006),$U$1006:$AC$1006,0)))),"Fix")))</f>
        <v>0</v>
      </c>
      <c r="D26" s="3">
        <f>IF(OR(INDEX($O$2:$O$1001,MATCH(ROWS($N$2:N26),$N$2:$N$1001,0),1)&gt;=100000,INDEX($U$1005:$AC$1005,1,MATCH(COLUMNS($U$1006:W1006),$U$1006:$AC$1006,0))&gt;=100000), " ",IF(INDEX($U$2:$AC$1001,MATCH(ROWS($N$2:N26),$N$2:$N$1001,0),MATCH(COLUMNS($U$1006:W1006),$U$1006:$AC$1006,0)), HYPERLINK("#",""), HYPERLINK(CONCATENATE("#metadata!", ADDRESS(INDEX($P$2:$P$1001,MATCH(ROWS($N$2:N26),$N$2:$N$1001,0),0), INDEX($U$1004:$AC$1004,1,MATCH(COLUMNS($U$1006:W1006),$U$1006:$AC$1006,0)))),"Fix")))</f>
        <v>0</v>
      </c>
      <c r="E26" s="3">
        <f>IF(OR(INDEX($O$2:$O$1001,MATCH(ROWS($N$2:N26),$N$2:$N$1001,0),1)&gt;=100000,INDEX($U$1005:$AC$1005,1,MATCH(COLUMNS($U$1006:X1006),$U$1006:$AC$1006,0))&gt;=100000), " ",IF(INDEX($U$2:$AC$1001,MATCH(ROWS($N$2:N26),$N$2:$N$1001,0),MATCH(COLUMNS($U$1006:X1006),$U$1006:$AC$1006,0)), HYPERLINK("#",""), HYPERLINK(CONCATENATE("#metadata!", ADDRESS(INDEX($P$2:$P$1001,MATCH(ROWS($N$2:N26),$N$2:$N$1001,0),0), INDEX($U$1004:$AC$1004,1,MATCH(COLUMNS($U$1006:X1006),$U$1006:$AC$1006,0)))),"Fix")))</f>
        <v>0</v>
      </c>
      <c r="F26" s="3">
        <f>IF(OR(INDEX($O$2:$O$1001,MATCH(ROWS($N$2:N26),$N$2:$N$1001,0),1)&gt;=100000,INDEX($U$1005:$AC$1005,1,MATCH(COLUMNS($U$1006:Y1006),$U$1006:$AC$1006,0))&gt;=100000), " ",IF(INDEX($U$2:$AC$1001,MATCH(ROWS($N$2:N26),$N$2:$N$1001,0),MATCH(COLUMNS($U$1006:Y1006),$U$1006:$AC$1006,0)), HYPERLINK("#",""), HYPERLINK(CONCATENATE("#metadata!", ADDRESS(INDEX($P$2:$P$1001,MATCH(ROWS($N$2:N26),$N$2:$N$1001,0),0), INDEX($U$1004:$AC$1004,1,MATCH(COLUMNS($U$1006:Y1006),$U$1006:$AC$1006,0)))),"Fix")))</f>
        <v>0</v>
      </c>
      <c r="G26" s="3">
        <f>IF(OR(INDEX($O$2:$O$1001,MATCH(ROWS($N$2:N26),$N$2:$N$1001,0),1)&gt;=100000,INDEX($U$1005:$AC$1005,1,MATCH(COLUMNS($U$1006:Z1006),$U$1006:$AC$1006,0))&gt;=100000), " ",IF(INDEX($U$2:$AC$1001,MATCH(ROWS($N$2:N26),$N$2:$N$1001,0),MATCH(COLUMNS($U$1006:Z1006),$U$1006:$AC$1006,0)), HYPERLINK("#",""), HYPERLINK(CONCATENATE("#metadata!", ADDRESS(INDEX($P$2:$P$1001,MATCH(ROWS($N$2:N26),$N$2:$N$1001,0),0), INDEX($U$1004:$AC$1004,1,MATCH(COLUMNS($U$1006:Z1006),$U$1006:$AC$1006,0)))),"Fix")))</f>
        <v>0</v>
      </c>
      <c r="H26" s="3">
        <f>IF(OR(INDEX($O$2:$O$1001,MATCH(ROWS($N$2:N26),$N$2:$N$1001,0),1)&gt;=100000,INDEX($U$1005:$AC$1005,1,MATCH(COLUMNS($U$1006:AA1006),$U$1006:$AC$1006,0))&gt;=100000), " ",IF(INDEX($U$2:$AC$1001,MATCH(ROWS($N$2:N26),$N$2:$N$1001,0),MATCH(COLUMNS($U$1006:AA1006),$U$1006:$AC$1006,0)), HYPERLINK("#",""), HYPERLINK(CONCATENATE("#metadata!", ADDRESS(INDEX($P$2:$P$1001,MATCH(ROWS($N$2:N26),$N$2:$N$1001,0),0), INDEX($U$1004:$AC$1004,1,MATCH(COLUMNS($U$1006:AA1006),$U$1006:$AC$1006,0)))),"Fix")))</f>
        <v>0</v>
      </c>
      <c r="I26" s="3">
        <f>IF(OR(INDEX($O$2:$O$1001,MATCH(ROWS($N$2:N26),$N$2:$N$1001,0),1)&gt;=100000,INDEX($U$1005:$AC$1005,1,MATCH(COLUMNS($U$1006:AB1006),$U$1006:$AC$1006,0))&gt;=100000), " ",IF(INDEX($U$2:$AC$1001,MATCH(ROWS($N$2:N26),$N$2:$N$1001,0),MATCH(COLUMNS($U$1006:AB1006),$U$1006:$AC$1006,0)), HYPERLINK("#",""), HYPERLINK(CONCATENATE("#metadata!", ADDRESS(INDEX($P$2:$P$1001,MATCH(ROWS($N$2:N26),$N$2:$N$1001,0),0), INDEX($U$1004:$AC$1004,1,MATCH(COLUMNS($U$1006:AB1006),$U$1006:$AC$1006,0)))),"Fix")))</f>
        <v>0</v>
      </c>
      <c r="J26" s="3">
        <f>IF(OR(INDEX($O$2:$O$1001,MATCH(ROWS($N$2:N26),$N$2:$N$1001,0),1)&gt;=100000,INDEX($U$1005:$AC$1005,1,MATCH(COLUMNS($U$1006:AC1006),$U$1006:$AC$1006,0))&gt;=100000), " ",IF(INDEX($U$2:$AC$1001,MATCH(ROWS($N$2:N26),$N$2:$N$1001,0),MATCH(COLUMNS($U$1006:AC1006),$U$1006:$AC$1006,0)), HYPERLINK("#",""), HYPERLINK(CONCATENATE("#metadata!", ADDRESS(INDEX($P$2:$P$1001,MATCH(ROWS($N$2:N26),$N$2:$N$1001,0),0), INDEX($U$1004:$AC$1004,1,MATCH(COLUMNS($U$1006:AC1006),$U$1006:$AC$1006,0)))),"Fix")))</f>
        <v>0</v>
      </c>
      <c r="N26">
        <v>0</v>
      </c>
      <c r="O26">
        <v>0</v>
      </c>
      <c r="P26">
        <v>0</v>
      </c>
      <c r="Q26">
        <f>IF(R26,TRUE,AND(U26:AC26))</f>
        <v>0</v>
      </c>
      <c r="R26">
        <f>COUNTBLANK(metadata!B26:J26)=COLUMNS(metadata!B26:J26)</f>
        <v>0</v>
      </c>
      <c r="S26">
        <v>0</v>
      </c>
      <c r="U26">
        <f>AND(IF(metadata!B26="",FALSE,TRUE),COUNTIF(metadata!B:B, metadata!B26) = 1,NOT(ISERROR(SUMPRODUCT(SEARCH(MID(metadata!B26,ROW(INDIRECT("1:"&amp;LEN(metadata!B26))), 1),"0123456789abcdefghijklmnopqrstuvwxyzABCDEFGHIJKLMNOPQRSTUVWXYZ.")))))</f>
        <v>0</v>
      </c>
      <c r="V26">
        <f>AND(IF(metadata!C26="",FALSE,TRUE),exact(metadata!C26,"UBERON:genitourinary"))</f>
        <v>0</v>
      </c>
      <c r="W26">
        <f>AND(IF(metadata!D26="",FALSE,TRUE),exact(metadata!D26,"UBERON:urine"))</f>
        <v>0</v>
      </c>
      <c r="X26">
        <f>AND(IF(metadata!E26="",FALSE,TRUE),exact(metadata!E26,"UBERON:kidney"))</f>
        <v>0</v>
      </c>
      <c r="Y26">
        <f>AND(IF(metadata!F26="",FALSE,TRUE),exact(metadata!F26,"animal corpus"))</f>
        <v>0</v>
      </c>
      <c r="Z26">
        <f>AND(IF(metadata!G26="",FALSE,TRUE),exact(metadata!G26,"urine"))</f>
        <v>0</v>
      </c>
      <c r="AA26">
        <f>AND(IF(metadata!H26="",FALSE,TRUE),exact(metadata!H26,"urine"))</f>
        <v>0</v>
      </c>
      <c r="AB26">
        <f>AND(IF(metadata!I26="",FALSE,TRUE),exact(metadata!I26,"urine metagenome"))</f>
        <v>0</v>
      </c>
      <c r="AC26">
        <f>AND(IF(metadata!J26="",FALSE,TRUE),exact(metadata!J26,"1346744"))</f>
        <v>0</v>
      </c>
    </row>
    <row r="27" spans="1:29">
      <c r="A27" s="4">
        <f>IF(B27=" "," ",HYPERLINK(CONCATENATE("#metadata!",ADDRESS(INDEX($P$2:$P$1001,MATCH(ROWS($N$2:N27),$N$2:$N$1001,0),0),1)),INDEX($S$2:$S$1001,MATCH(ROWS($N$2:N27),$N$2:$N$1001,0),0)))</f>
        <v>0</v>
      </c>
      <c r="B27" s="3">
        <f>IF(OR(INDEX($O$2:$O$1001,MATCH(ROWS($N$2:N27),$N$2:$N$1001,0),1)&gt;=100000,INDEX($U$1005:$AC$1005,1,MATCH(COLUMNS($U$1006:U1006),$U$1006:$AC$1006,0))&gt;=100000), " ",IF(INDEX($U$2:$AC$1001,MATCH(ROWS($N$2:N27),$N$2:$N$1001,0),MATCH(COLUMNS($U$1006:U1006),$U$1006:$AC$1006,0)), HYPERLINK("#",""), HYPERLINK(CONCATENATE("#metadata!", ADDRESS(INDEX($P$2:$P$1001,MATCH(ROWS($N$2:N27),$N$2:$N$1001,0),0), INDEX($U$1004:$AC$1004,1,MATCH(COLUMNS($U$1006:U1006),$U$1006:$AC$1006,0)))),"Fix")))</f>
        <v>0</v>
      </c>
      <c r="C27" s="3">
        <f>IF(OR(INDEX($O$2:$O$1001,MATCH(ROWS($N$2:N27),$N$2:$N$1001,0),1)&gt;=100000,INDEX($U$1005:$AC$1005,1,MATCH(COLUMNS($U$1006:V1006),$U$1006:$AC$1006,0))&gt;=100000), " ",IF(INDEX($U$2:$AC$1001,MATCH(ROWS($N$2:N27),$N$2:$N$1001,0),MATCH(COLUMNS($U$1006:V1006),$U$1006:$AC$1006,0)), HYPERLINK("#",""), HYPERLINK(CONCATENATE("#metadata!", ADDRESS(INDEX($P$2:$P$1001,MATCH(ROWS($N$2:N27),$N$2:$N$1001,0),0), INDEX($U$1004:$AC$1004,1,MATCH(COLUMNS($U$1006:V1006),$U$1006:$AC$1006,0)))),"Fix")))</f>
        <v>0</v>
      </c>
      <c r="D27" s="3">
        <f>IF(OR(INDEX($O$2:$O$1001,MATCH(ROWS($N$2:N27),$N$2:$N$1001,0),1)&gt;=100000,INDEX($U$1005:$AC$1005,1,MATCH(COLUMNS($U$1006:W1006),$U$1006:$AC$1006,0))&gt;=100000), " ",IF(INDEX($U$2:$AC$1001,MATCH(ROWS($N$2:N27),$N$2:$N$1001,0),MATCH(COLUMNS($U$1006:W1006),$U$1006:$AC$1006,0)), HYPERLINK("#",""), HYPERLINK(CONCATENATE("#metadata!", ADDRESS(INDEX($P$2:$P$1001,MATCH(ROWS($N$2:N27),$N$2:$N$1001,0),0), INDEX($U$1004:$AC$1004,1,MATCH(COLUMNS($U$1006:W1006),$U$1006:$AC$1006,0)))),"Fix")))</f>
        <v>0</v>
      </c>
      <c r="E27" s="3">
        <f>IF(OR(INDEX($O$2:$O$1001,MATCH(ROWS($N$2:N27),$N$2:$N$1001,0),1)&gt;=100000,INDEX($U$1005:$AC$1005,1,MATCH(COLUMNS($U$1006:X1006),$U$1006:$AC$1006,0))&gt;=100000), " ",IF(INDEX($U$2:$AC$1001,MATCH(ROWS($N$2:N27),$N$2:$N$1001,0),MATCH(COLUMNS($U$1006:X1006),$U$1006:$AC$1006,0)), HYPERLINK("#",""), HYPERLINK(CONCATENATE("#metadata!", ADDRESS(INDEX($P$2:$P$1001,MATCH(ROWS($N$2:N27),$N$2:$N$1001,0),0), INDEX($U$1004:$AC$1004,1,MATCH(COLUMNS($U$1006:X1006),$U$1006:$AC$1006,0)))),"Fix")))</f>
        <v>0</v>
      </c>
      <c r="F27" s="3">
        <f>IF(OR(INDEX($O$2:$O$1001,MATCH(ROWS($N$2:N27),$N$2:$N$1001,0),1)&gt;=100000,INDEX($U$1005:$AC$1005,1,MATCH(COLUMNS($U$1006:Y1006),$U$1006:$AC$1006,0))&gt;=100000), " ",IF(INDEX($U$2:$AC$1001,MATCH(ROWS($N$2:N27),$N$2:$N$1001,0),MATCH(COLUMNS($U$1006:Y1006),$U$1006:$AC$1006,0)), HYPERLINK("#",""), HYPERLINK(CONCATENATE("#metadata!", ADDRESS(INDEX($P$2:$P$1001,MATCH(ROWS($N$2:N27),$N$2:$N$1001,0),0), INDEX($U$1004:$AC$1004,1,MATCH(COLUMNS($U$1006:Y1006),$U$1006:$AC$1006,0)))),"Fix")))</f>
        <v>0</v>
      </c>
      <c r="G27" s="3">
        <f>IF(OR(INDEX($O$2:$O$1001,MATCH(ROWS($N$2:N27),$N$2:$N$1001,0),1)&gt;=100000,INDEX($U$1005:$AC$1005,1,MATCH(COLUMNS($U$1006:Z1006),$U$1006:$AC$1006,0))&gt;=100000), " ",IF(INDEX($U$2:$AC$1001,MATCH(ROWS($N$2:N27),$N$2:$N$1001,0),MATCH(COLUMNS($U$1006:Z1006),$U$1006:$AC$1006,0)), HYPERLINK("#",""), HYPERLINK(CONCATENATE("#metadata!", ADDRESS(INDEX($P$2:$P$1001,MATCH(ROWS($N$2:N27),$N$2:$N$1001,0),0), INDEX($U$1004:$AC$1004,1,MATCH(COLUMNS($U$1006:Z1006),$U$1006:$AC$1006,0)))),"Fix")))</f>
        <v>0</v>
      </c>
      <c r="H27" s="3">
        <f>IF(OR(INDEX($O$2:$O$1001,MATCH(ROWS($N$2:N27),$N$2:$N$1001,0),1)&gt;=100000,INDEX($U$1005:$AC$1005,1,MATCH(COLUMNS($U$1006:AA1006),$U$1006:$AC$1006,0))&gt;=100000), " ",IF(INDEX($U$2:$AC$1001,MATCH(ROWS($N$2:N27),$N$2:$N$1001,0),MATCH(COLUMNS($U$1006:AA1006),$U$1006:$AC$1006,0)), HYPERLINK("#",""), HYPERLINK(CONCATENATE("#metadata!", ADDRESS(INDEX($P$2:$P$1001,MATCH(ROWS($N$2:N27),$N$2:$N$1001,0),0), INDEX($U$1004:$AC$1004,1,MATCH(COLUMNS($U$1006:AA1006),$U$1006:$AC$1006,0)))),"Fix")))</f>
        <v>0</v>
      </c>
      <c r="I27" s="3">
        <f>IF(OR(INDEX($O$2:$O$1001,MATCH(ROWS($N$2:N27),$N$2:$N$1001,0),1)&gt;=100000,INDEX($U$1005:$AC$1005,1,MATCH(COLUMNS($U$1006:AB1006),$U$1006:$AC$1006,0))&gt;=100000), " ",IF(INDEX($U$2:$AC$1001,MATCH(ROWS($N$2:N27),$N$2:$N$1001,0),MATCH(COLUMNS($U$1006:AB1006),$U$1006:$AC$1006,0)), HYPERLINK("#",""), HYPERLINK(CONCATENATE("#metadata!", ADDRESS(INDEX($P$2:$P$1001,MATCH(ROWS($N$2:N27),$N$2:$N$1001,0),0), INDEX($U$1004:$AC$1004,1,MATCH(COLUMNS($U$1006:AB1006),$U$1006:$AC$1006,0)))),"Fix")))</f>
        <v>0</v>
      </c>
      <c r="J27" s="3">
        <f>IF(OR(INDEX($O$2:$O$1001,MATCH(ROWS($N$2:N27),$N$2:$N$1001,0),1)&gt;=100000,INDEX($U$1005:$AC$1005,1,MATCH(COLUMNS($U$1006:AC1006),$U$1006:$AC$1006,0))&gt;=100000), " ",IF(INDEX($U$2:$AC$1001,MATCH(ROWS($N$2:N27),$N$2:$N$1001,0),MATCH(COLUMNS($U$1006:AC1006),$U$1006:$AC$1006,0)), HYPERLINK("#",""), HYPERLINK(CONCATENATE("#metadata!", ADDRESS(INDEX($P$2:$P$1001,MATCH(ROWS($N$2:N27),$N$2:$N$1001,0),0), INDEX($U$1004:$AC$1004,1,MATCH(COLUMNS($U$1006:AC1006),$U$1006:$AC$1006,0)))),"Fix")))</f>
        <v>0</v>
      </c>
      <c r="N27">
        <v>0</v>
      </c>
      <c r="O27">
        <v>0</v>
      </c>
      <c r="P27">
        <v>0</v>
      </c>
      <c r="Q27">
        <f>IF(R27,TRUE,AND(U27:AC27))</f>
        <v>0</v>
      </c>
      <c r="R27">
        <f>COUNTBLANK(metadata!B27:J27)=COLUMNS(metadata!B27:J27)</f>
        <v>0</v>
      </c>
      <c r="S27">
        <v>0</v>
      </c>
      <c r="U27">
        <f>AND(IF(metadata!B27="",FALSE,TRUE),COUNTIF(metadata!B:B, metadata!B27) = 1,NOT(ISERROR(SUMPRODUCT(SEARCH(MID(metadata!B27,ROW(INDIRECT("1:"&amp;LEN(metadata!B27))), 1),"0123456789abcdefghijklmnopqrstuvwxyzABCDEFGHIJKLMNOPQRSTUVWXYZ.")))))</f>
        <v>0</v>
      </c>
      <c r="V27">
        <f>AND(IF(metadata!C27="",FALSE,TRUE),exact(metadata!C27,"UBERON:genitourinary"))</f>
        <v>0</v>
      </c>
      <c r="W27">
        <f>AND(IF(metadata!D27="",FALSE,TRUE),exact(metadata!D27,"UBERON:urine"))</f>
        <v>0</v>
      </c>
      <c r="X27">
        <f>AND(IF(metadata!E27="",FALSE,TRUE),exact(metadata!E27,"UBERON:kidney"))</f>
        <v>0</v>
      </c>
      <c r="Y27">
        <f>AND(IF(metadata!F27="",FALSE,TRUE),exact(metadata!F27,"animal corpus"))</f>
        <v>0</v>
      </c>
      <c r="Z27">
        <f>AND(IF(metadata!G27="",FALSE,TRUE),exact(metadata!G27,"urine"))</f>
        <v>0</v>
      </c>
      <c r="AA27">
        <f>AND(IF(metadata!H27="",FALSE,TRUE),exact(metadata!H27,"urine"))</f>
        <v>0</v>
      </c>
      <c r="AB27">
        <f>AND(IF(metadata!I27="",FALSE,TRUE),exact(metadata!I27,"urine metagenome"))</f>
        <v>0</v>
      </c>
      <c r="AC27">
        <f>AND(IF(metadata!J27="",FALSE,TRUE),exact(metadata!J27,"1346744"))</f>
        <v>0</v>
      </c>
    </row>
    <row r="28" spans="1:29">
      <c r="A28" s="4">
        <f>IF(B28=" "," ",HYPERLINK(CONCATENATE("#metadata!",ADDRESS(INDEX($P$2:$P$1001,MATCH(ROWS($N$2:N28),$N$2:$N$1001,0),0),1)),INDEX($S$2:$S$1001,MATCH(ROWS($N$2:N28),$N$2:$N$1001,0),0)))</f>
        <v>0</v>
      </c>
      <c r="B28" s="3">
        <f>IF(OR(INDEX($O$2:$O$1001,MATCH(ROWS($N$2:N28),$N$2:$N$1001,0),1)&gt;=100000,INDEX($U$1005:$AC$1005,1,MATCH(COLUMNS($U$1006:U1006),$U$1006:$AC$1006,0))&gt;=100000), " ",IF(INDEX($U$2:$AC$1001,MATCH(ROWS($N$2:N28),$N$2:$N$1001,0),MATCH(COLUMNS($U$1006:U1006),$U$1006:$AC$1006,0)), HYPERLINK("#",""), HYPERLINK(CONCATENATE("#metadata!", ADDRESS(INDEX($P$2:$P$1001,MATCH(ROWS($N$2:N28),$N$2:$N$1001,0),0), INDEX($U$1004:$AC$1004,1,MATCH(COLUMNS($U$1006:U1006),$U$1006:$AC$1006,0)))),"Fix")))</f>
        <v>0</v>
      </c>
      <c r="C28" s="3">
        <f>IF(OR(INDEX($O$2:$O$1001,MATCH(ROWS($N$2:N28),$N$2:$N$1001,0),1)&gt;=100000,INDEX($U$1005:$AC$1005,1,MATCH(COLUMNS($U$1006:V1006),$U$1006:$AC$1006,0))&gt;=100000), " ",IF(INDEX($U$2:$AC$1001,MATCH(ROWS($N$2:N28),$N$2:$N$1001,0),MATCH(COLUMNS($U$1006:V1006),$U$1006:$AC$1006,0)), HYPERLINK("#",""), HYPERLINK(CONCATENATE("#metadata!", ADDRESS(INDEX($P$2:$P$1001,MATCH(ROWS($N$2:N28),$N$2:$N$1001,0),0), INDEX($U$1004:$AC$1004,1,MATCH(COLUMNS($U$1006:V1006),$U$1006:$AC$1006,0)))),"Fix")))</f>
        <v>0</v>
      </c>
      <c r="D28" s="3">
        <f>IF(OR(INDEX($O$2:$O$1001,MATCH(ROWS($N$2:N28),$N$2:$N$1001,0),1)&gt;=100000,INDEX($U$1005:$AC$1005,1,MATCH(COLUMNS($U$1006:W1006),$U$1006:$AC$1006,0))&gt;=100000), " ",IF(INDEX($U$2:$AC$1001,MATCH(ROWS($N$2:N28),$N$2:$N$1001,0),MATCH(COLUMNS($U$1006:W1006),$U$1006:$AC$1006,0)), HYPERLINK("#",""), HYPERLINK(CONCATENATE("#metadata!", ADDRESS(INDEX($P$2:$P$1001,MATCH(ROWS($N$2:N28),$N$2:$N$1001,0),0), INDEX($U$1004:$AC$1004,1,MATCH(COLUMNS($U$1006:W1006),$U$1006:$AC$1006,0)))),"Fix")))</f>
        <v>0</v>
      </c>
      <c r="E28" s="3">
        <f>IF(OR(INDEX($O$2:$O$1001,MATCH(ROWS($N$2:N28),$N$2:$N$1001,0),1)&gt;=100000,INDEX($U$1005:$AC$1005,1,MATCH(COLUMNS($U$1006:X1006),$U$1006:$AC$1006,0))&gt;=100000), " ",IF(INDEX($U$2:$AC$1001,MATCH(ROWS($N$2:N28),$N$2:$N$1001,0),MATCH(COLUMNS($U$1006:X1006),$U$1006:$AC$1006,0)), HYPERLINK("#",""), HYPERLINK(CONCATENATE("#metadata!", ADDRESS(INDEX($P$2:$P$1001,MATCH(ROWS($N$2:N28),$N$2:$N$1001,0),0), INDEX($U$1004:$AC$1004,1,MATCH(COLUMNS($U$1006:X1006),$U$1006:$AC$1006,0)))),"Fix")))</f>
        <v>0</v>
      </c>
      <c r="F28" s="3">
        <f>IF(OR(INDEX($O$2:$O$1001,MATCH(ROWS($N$2:N28),$N$2:$N$1001,0),1)&gt;=100000,INDEX($U$1005:$AC$1005,1,MATCH(COLUMNS($U$1006:Y1006),$U$1006:$AC$1006,0))&gt;=100000), " ",IF(INDEX($U$2:$AC$1001,MATCH(ROWS($N$2:N28),$N$2:$N$1001,0),MATCH(COLUMNS($U$1006:Y1006),$U$1006:$AC$1006,0)), HYPERLINK("#",""), HYPERLINK(CONCATENATE("#metadata!", ADDRESS(INDEX($P$2:$P$1001,MATCH(ROWS($N$2:N28),$N$2:$N$1001,0),0), INDEX($U$1004:$AC$1004,1,MATCH(COLUMNS($U$1006:Y1006),$U$1006:$AC$1006,0)))),"Fix")))</f>
        <v>0</v>
      </c>
      <c r="G28" s="3">
        <f>IF(OR(INDEX($O$2:$O$1001,MATCH(ROWS($N$2:N28),$N$2:$N$1001,0),1)&gt;=100000,INDEX($U$1005:$AC$1005,1,MATCH(COLUMNS($U$1006:Z1006),$U$1006:$AC$1006,0))&gt;=100000), " ",IF(INDEX($U$2:$AC$1001,MATCH(ROWS($N$2:N28),$N$2:$N$1001,0),MATCH(COLUMNS($U$1006:Z1006),$U$1006:$AC$1006,0)), HYPERLINK("#",""), HYPERLINK(CONCATENATE("#metadata!", ADDRESS(INDEX($P$2:$P$1001,MATCH(ROWS($N$2:N28),$N$2:$N$1001,0),0), INDEX($U$1004:$AC$1004,1,MATCH(COLUMNS($U$1006:Z1006),$U$1006:$AC$1006,0)))),"Fix")))</f>
        <v>0</v>
      </c>
      <c r="H28" s="3">
        <f>IF(OR(INDEX($O$2:$O$1001,MATCH(ROWS($N$2:N28),$N$2:$N$1001,0),1)&gt;=100000,INDEX($U$1005:$AC$1005,1,MATCH(COLUMNS($U$1006:AA1006),$U$1006:$AC$1006,0))&gt;=100000), " ",IF(INDEX($U$2:$AC$1001,MATCH(ROWS($N$2:N28),$N$2:$N$1001,0),MATCH(COLUMNS($U$1006:AA1006),$U$1006:$AC$1006,0)), HYPERLINK("#",""), HYPERLINK(CONCATENATE("#metadata!", ADDRESS(INDEX($P$2:$P$1001,MATCH(ROWS($N$2:N28),$N$2:$N$1001,0),0), INDEX($U$1004:$AC$1004,1,MATCH(COLUMNS($U$1006:AA1006),$U$1006:$AC$1006,0)))),"Fix")))</f>
        <v>0</v>
      </c>
      <c r="I28" s="3">
        <f>IF(OR(INDEX($O$2:$O$1001,MATCH(ROWS($N$2:N28),$N$2:$N$1001,0),1)&gt;=100000,INDEX($U$1005:$AC$1005,1,MATCH(COLUMNS($U$1006:AB1006),$U$1006:$AC$1006,0))&gt;=100000), " ",IF(INDEX($U$2:$AC$1001,MATCH(ROWS($N$2:N28),$N$2:$N$1001,0),MATCH(COLUMNS($U$1006:AB1006),$U$1006:$AC$1006,0)), HYPERLINK("#",""), HYPERLINK(CONCATENATE("#metadata!", ADDRESS(INDEX($P$2:$P$1001,MATCH(ROWS($N$2:N28),$N$2:$N$1001,0),0), INDEX($U$1004:$AC$1004,1,MATCH(COLUMNS($U$1006:AB1006),$U$1006:$AC$1006,0)))),"Fix")))</f>
        <v>0</v>
      </c>
      <c r="J28" s="3">
        <f>IF(OR(INDEX($O$2:$O$1001,MATCH(ROWS($N$2:N28),$N$2:$N$1001,0),1)&gt;=100000,INDEX($U$1005:$AC$1005,1,MATCH(COLUMNS($U$1006:AC1006),$U$1006:$AC$1006,0))&gt;=100000), " ",IF(INDEX($U$2:$AC$1001,MATCH(ROWS($N$2:N28),$N$2:$N$1001,0),MATCH(COLUMNS($U$1006:AC1006),$U$1006:$AC$1006,0)), HYPERLINK("#",""), HYPERLINK(CONCATENATE("#metadata!", ADDRESS(INDEX($P$2:$P$1001,MATCH(ROWS($N$2:N28),$N$2:$N$1001,0),0), INDEX($U$1004:$AC$1004,1,MATCH(COLUMNS($U$1006:AC1006),$U$1006:$AC$1006,0)))),"Fix")))</f>
        <v>0</v>
      </c>
      <c r="N28">
        <v>0</v>
      </c>
      <c r="O28">
        <v>0</v>
      </c>
      <c r="P28">
        <v>0</v>
      </c>
      <c r="Q28">
        <f>IF(R28,TRUE,AND(U28:AC28))</f>
        <v>0</v>
      </c>
      <c r="R28">
        <f>COUNTBLANK(metadata!B28:J28)=COLUMNS(metadata!B28:J28)</f>
        <v>0</v>
      </c>
      <c r="S28">
        <v>0</v>
      </c>
      <c r="U28">
        <f>AND(IF(metadata!B28="",FALSE,TRUE),COUNTIF(metadata!B:B, metadata!B28) = 1,NOT(ISERROR(SUMPRODUCT(SEARCH(MID(metadata!B28,ROW(INDIRECT("1:"&amp;LEN(metadata!B28))), 1),"0123456789abcdefghijklmnopqrstuvwxyzABCDEFGHIJKLMNOPQRSTUVWXYZ.")))))</f>
        <v>0</v>
      </c>
      <c r="V28">
        <f>AND(IF(metadata!C28="",FALSE,TRUE),exact(metadata!C28,"UBERON:genitourinary"))</f>
        <v>0</v>
      </c>
      <c r="W28">
        <f>AND(IF(metadata!D28="",FALSE,TRUE),exact(metadata!D28,"UBERON:urine"))</f>
        <v>0</v>
      </c>
      <c r="X28">
        <f>AND(IF(metadata!E28="",FALSE,TRUE),exact(metadata!E28,"UBERON:kidney"))</f>
        <v>0</v>
      </c>
      <c r="Y28">
        <f>AND(IF(metadata!F28="",FALSE,TRUE),exact(metadata!F28,"animal corpus"))</f>
        <v>0</v>
      </c>
      <c r="Z28">
        <f>AND(IF(metadata!G28="",FALSE,TRUE),exact(metadata!G28,"urine"))</f>
        <v>0</v>
      </c>
      <c r="AA28">
        <f>AND(IF(metadata!H28="",FALSE,TRUE),exact(metadata!H28,"urine"))</f>
        <v>0</v>
      </c>
      <c r="AB28">
        <f>AND(IF(metadata!I28="",FALSE,TRUE),exact(metadata!I28,"urine metagenome"))</f>
        <v>0</v>
      </c>
      <c r="AC28">
        <f>AND(IF(metadata!J28="",FALSE,TRUE),exact(metadata!J28,"1346744"))</f>
        <v>0</v>
      </c>
    </row>
    <row r="29" spans="1:29">
      <c r="A29" s="4">
        <f>IF(B29=" "," ",HYPERLINK(CONCATENATE("#metadata!",ADDRESS(INDEX($P$2:$P$1001,MATCH(ROWS($N$2:N29),$N$2:$N$1001,0),0),1)),INDEX($S$2:$S$1001,MATCH(ROWS($N$2:N29),$N$2:$N$1001,0),0)))</f>
        <v>0</v>
      </c>
      <c r="B29" s="3">
        <f>IF(OR(INDEX($O$2:$O$1001,MATCH(ROWS($N$2:N29),$N$2:$N$1001,0),1)&gt;=100000,INDEX($U$1005:$AC$1005,1,MATCH(COLUMNS($U$1006:U1006),$U$1006:$AC$1006,0))&gt;=100000), " ",IF(INDEX($U$2:$AC$1001,MATCH(ROWS($N$2:N29),$N$2:$N$1001,0),MATCH(COLUMNS($U$1006:U1006),$U$1006:$AC$1006,0)), HYPERLINK("#",""), HYPERLINK(CONCATENATE("#metadata!", ADDRESS(INDEX($P$2:$P$1001,MATCH(ROWS($N$2:N29),$N$2:$N$1001,0),0), INDEX($U$1004:$AC$1004,1,MATCH(COLUMNS($U$1006:U1006),$U$1006:$AC$1006,0)))),"Fix")))</f>
        <v>0</v>
      </c>
      <c r="C29" s="3">
        <f>IF(OR(INDEX($O$2:$O$1001,MATCH(ROWS($N$2:N29),$N$2:$N$1001,0),1)&gt;=100000,INDEX($U$1005:$AC$1005,1,MATCH(COLUMNS($U$1006:V1006),$U$1006:$AC$1006,0))&gt;=100000), " ",IF(INDEX($U$2:$AC$1001,MATCH(ROWS($N$2:N29),$N$2:$N$1001,0),MATCH(COLUMNS($U$1006:V1006),$U$1006:$AC$1006,0)), HYPERLINK("#",""), HYPERLINK(CONCATENATE("#metadata!", ADDRESS(INDEX($P$2:$P$1001,MATCH(ROWS($N$2:N29),$N$2:$N$1001,0),0), INDEX($U$1004:$AC$1004,1,MATCH(COLUMNS($U$1006:V1006),$U$1006:$AC$1006,0)))),"Fix")))</f>
        <v>0</v>
      </c>
      <c r="D29" s="3">
        <f>IF(OR(INDEX($O$2:$O$1001,MATCH(ROWS($N$2:N29),$N$2:$N$1001,0),1)&gt;=100000,INDEX($U$1005:$AC$1005,1,MATCH(COLUMNS($U$1006:W1006),$U$1006:$AC$1006,0))&gt;=100000), " ",IF(INDEX($U$2:$AC$1001,MATCH(ROWS($N$2:N29),$N$2:$N$1001,0),MATCH(COLUMNS($U$1006:W1006),$U$1006:$AC$1006,0)), HYPERLINK("#",""), HYPERLINK(CONCATENATE("#metadata!", ADDRESS(INDEX($P$2:$P$1001,MATCH(ROWS($N$2:N29),$N$2:$N$1001,0),0), INDEX($U$1004:$AC$1004,1,MATCH(COLUMNS($U$1006:W1006),$U$1006:$AC$1006,0)))),"Fix")))</f>
        <v>0</v>
      </c>
      <c r="E29" s="3">
        <f>IF(OR(INDEX($O$2:$O$1001,MATCH(ROWS($N$2:N29),$N$2:$N$1001,0),1)&gt;=100000,INDEX($U$1005:$AC$1005,1,MATCH(COLUMNS($U$1006:X1006),$U$1006:$AC$1006,0))&gt;=100000), " ",IF(INDEX($U$2:$AC$1001,MATCH(ROWS($N$2:N29),$N$2:$N$1001,0),MATCH(COLUMNS($U$1006:X1006),$U$1006:$AC$1006,0)), HYPERLINK("#",""), HYPERLINK(CONCATENATE("#metadata!", ADDRESS(INDEX($P$2:$P$1001,MATCH(ROWS($N$2:N29),$N$2:$N$1001,0),0), INDEX($U$1004:$AC$1004,1,MATCH(COLUMNS($U$1006:X1006),$U$1006:$AC$1006,0)))),"Fix")))</f>
        <v>0</v>
      </c>
      <c r="F29" s="3">
        <f>IF(OR(INDEX($O$2:$O$1001,MATCH(ROWS($N$2:N29),$N$2:$N$1001,0),1)&gt;=100000,INDEX($U$1005:$AC$1005,1,MATCH(COLUMNS($U$1006:Y1006),$U$1006:$AC$1006,0))&gt;=100000), " ",IF(INDEX($U$2:$AC$1001,MATCH(ROWS($N$2:N29),$N$2:$N$1001,0),MATCH(COLUMNS($U$1006:Y1006),$U$1006:$AC$1006,0)), HYPERLINK("#",""), HYPERLINK(CONCATENATE("#metadata!", ADDRESS(INDEX($P$2:$P$1001,MATCH(ROWS($N$2:N29),$N$2:$N$1001,0),0), INDEX($U$1004:$AC$1004,1,MATCH(COLUMNS($U$1006:Y1006),$U$1006:$AC$1006,0)))),"Fix")))</f>
        <v>0</v>
      </c>
      <c r="G29" s="3">
        <f>IF(OR(INDEX($O$2:$O$1001,MATCH(ROWS($N$2:N29),$N$2:$N$1001,0),1)&gt;=100000,INDEX($U$1005:$AC$1005,1,MATCH(COLUMNS($U$1006:Z1006),$U$1006:$AC$1006,0))&gt;=100000), " ",IF(INDEX($U$2:$AC$1001,MATCH(ROWS($N$2:N29),$N$2:$N$1001,0),MATCH(COLUMNS($U$1006:Z1006),$U$1006:$AC$1006,0)), HYPERLINK("#",""), HYPERLINK(CONCATENATE("#metadata!", ADDRESS(INDEX($P$2:$P$1001,MATCH(ROWS($N$2:N29),$N$2:$N$1001,0),0), INDEX($U$1004:$AC$1004,1,MATCH(COLUMNS($U$1006:Z1006),$U$1006:$AC$1006,0)))),"Fix")))</f>
        <v>0</v>
      </c>
      <c r="H29" s="3">
        <f>IF(OR(INDEX($O$2:$O$1001,MATCH(ROWS($N$2:N29),$N$2:$N$1001,0),1)&gt;=100000,INDEX($U$1005:$AC$1005,1,MATCH(COLUMNS($U$1006:AA1006),$U$1006:$AC$1006,0))&gt;=100000), " ",IF(INDEX($U$2:$AC$1001,MATCH(ROWS($N$2:N29),$N$2:$N$1001,0),MATCH(COLUMNS($U$1006:AA1006),$U$1006:$AC$1006,0)), HYPERLINK("#",""), HYPERLINK(CONCATENATE("#metadata!", ADDRESS(INDEX($P$2:$P$1001,MATCH(ROWS($N$2:N29),$N$2:$N$1001,0),0), INDEX($U$1004:$AC$1004,1,MATCH(COLUMNS($U$1006:AA1006),$U$1006:$AC$1006,0)))),"Fix")))</f>
        <v>0</v>
      </c>
      <c r="I29" s="3">
        <f>IF(OR(INDEX($O$2:$O$1001,MATCH(ROWS($N$2:N29),$N$2:$N$1001,0),1)&gt;=100000,INDEX($U$1005:$AC$1005,1,MATCH(COLUMNS($U$1006:AB1006),$U$1006:$AC$1006,0))&gt;=100000), " ",IF(INDEX($U$2:$AC$1001,MATCH(ROWS($N$2:N29),$N$2:$N$1001,0),MATCH(COLUMNS($U$1006:AB1006),$U$1006:$AC$1006,0)), HYPERLINK("#",""), HYPERLINK(CONCATENATE("#metadata!", ADDRESS(INDEX($P$2:$P$1001,MATCH(ROWS($N$2:N29),$N$2:$N$1001,0),0), INDEX($U$1004:$AC$1004,1,MATCH(COLUMNS($U$1006:AB1006),$U$1006:$AC$1006,0)))),"Fix")))</f>
        <v>0</v>
      </c>
      <c r="J29" s="3">
        <f>IF(OR(INDEX($O$2:$O$1001,MATCH(ROWS($N$2:N29),$N$2:$N$1001,0),1)&gt;=100000,INDEX($U$1005:$AC$1005,1,MATCH(COLUMNS($U$1006:AC1006),$U$1006:$AC$1006,0))&gt;=100000), " ",IF(INDEX($U$2:$AC$1001,MATCH(ROWS($N$2:N29),$N$2:$N$1001,0),MATCH(COLUMNS($U$1006:AC1006),$U$1006:$AC$1006,0)), HYPERLINK("#",""), HYPERLINK(CONCATENATE("#metadata!", ADDRESS(INDEX($P$2:$P$1001,MATCH(ROWS($N$2:N29),$N$2:$N$1001,0),0), INDEX($U$1004:$AC$1004,1,MATCH(COLUMNS($U$1006:AC1006),$U$1006:$AC$1006,0)))),"Fix")))</f>
        <v>0</v>
      </c>
      <c r="N29">
        <v>0</v>
      </c>
      <c r="O29">
        <v>0</v>
      </c>
      <c r="P29">
        <v>0</v>
      </c>
      <c r="Q29">
        <f>IF(R29,TRUE,AND(U29:AC29))</f>
        <v>0</v>
      </c>
      <c r="R29">
        <f>COUNTBLANK(metadata!B29:J29)=COLUMNS(metadata!B29:J29)</f>
        <v>0</v>
      </c>
      <c r="S29">
        <v>0</v>
      </c>
      <c r="U29">
        <f>AND(IF(metadata!B29="",FALSE,TRUE),COUNTIF(metadata!B:B, metadata!B29) = 1,NOT(ISERROR(SUMPRODUCT(SEARCH(MID(metadata!B29,ROW(INDIRECT("1:"&amp;LEN(metadata!B29))), 1),"0123456789abcdefghijklmnopqrstuvwxyzABCDEFGHIJKLMNOPQRSTUVWXYZ.")))))</f>
        <v>0</v>
      </c>
      <c r="V29">
        <f>AND(IF(metadata!C29="",FALSE,TRUE),exact(metadata!C29,"UBERON:genitourinary"))</f>
        <v>0</v>
      </c>
      <c r="W29">
        <f>AND(IF(metadata!D29="",FALSE,TRUE),exact(metadata!D29,"UBERON:urine"))</f>
        <v>0</v>
      </c>
      <c r="X29">
        <f>AND(IF(metadata!E29="",FALSE,TRUE),exact(metadata!E29,"UBERON:kidney"))</f>
        <v>0</v>
      </c>
      <c r="Y29">
        <f>AND(IF(metadata!F29="",FALSE,TRUE),exact(metadata!F29,"animal corpus"))</f>
        <v>0</v>
      </c>
      <c r="Z29">
        <f>AND(IF(metadata!G29="",FALSE,TRUE),exact(metadata!G29,"urine"))</f>
        <v>0</v>
      </c>
      <c r="AA29">
        <f>AND(IF(metadata!H29="",FALSE,TRUE),exact(metadata!H29,"urine"))</f>
        <v>0</v>
      </c>
      <c r="AB29">
        <f>AND(IF(metadata!I29="",FALSE,TRUE),exact(metadata!I29,"urine metagenome"))</f>
        <v>0</v>
      </c>
      <c r="AC29">
        <f>AND(IF(metadata!J29="",FALSE,TRUE),exact(metadata!J29,"1346744"))</f>
        <v>0</v>
      </c>
    </row>
    <row r="30" spans="1:29">
      <c r="A30" s="4">
        <f>IF(B30=" "," ",HYPERLINK(CONCATENATE("#metadata!",ADDRESS(INDEX($P$2:$P$1001,MATCH(ROWS($N$2:N30),$N$2:$N$1001,0),0),1)),INDEX($S$2:$S$1001,MATCH(ROWS($N$2:N30),$N$2:$N$1001,0),0)))</f>
        <v>0</v>
      </c>
      <c r="B30" s="3">
        <f>IF(OR(INDEX($O$2:$O$1001,MATCH(ROWS($N$2:N30),$N$2:$N$1001,0),1)&gt;=100000,INDEX($U$1005:$AC$1005,1,MATCH(COLUMNS($U$1006:U1006),$U$1006:$AC$1006,0))&gt;=100000), " ",IF(INDEX($U$2:$AC$1001,MATCH(ROWS($N$2:N30),$N$2:$N$1001,0),MATCH(COLUMNS($U$1006:U1006),$U$1006:$AC$1006,0)), HYPERLINK("#",""), HYPERLINK(CONCATENATE("#metadata!", ADDRESS(INDEX($P$2:$P$1001,MATCH(ROWS($N$2:N30),$N$2:$N$1001,0),0), INDEX($U$1004:$AC$1004,1,MATCH(COLUMNS($U$1006:U1006),$U$1006:$AC$1006,0)))),"Fix")))</f>
        <v>0</v>
      </c>
      <c r="C30" s="3">
        <f>IF(OR(INDEX($O$2:$O$1001,MATCH(ROWS($N$2:N30),$N$2:$N$1001,0),1)&gt;=100000,INDEX($U$1005:$AC$1005,1,MATCH(COLUMNS($U$1006:V1006),$U$1006:$AC$1006,0))&gt;=100000), " ",IF(INDEX($U$2:$AC$1001,MATCH(ROWS($N$2:N30),$N$2:$N$1001,0),MATCH(COLUMNS($U$1006:V1006),$U$1006:$AC$1006,0)), HYPERLINK("#",""), HYPERLINK(CONCATENATE("#metadata!", ADDRESS(INDEX($P$2:$P$1001,MATCH(ROWS($N$2:N30),$N$2:$N$1001,0),0), INDEX($U$1004:$AC$1004,1,MATCH(COLUMNS($U$1006:V1006),$U$1006:$AC$1006,0)))),"Fix")))</f>
        <v>0</v>
      </c>
      <c r="D30" s="3">
        <f>IF(OR(INDEX($O$2:$O$1001,MATCH(ROWS($N$2:N30),$N$2:$N$1001,0),1)&gt;=100000,INDEX($U$1005:$AC$1005,1,MATCH(COLUMNS($U$1006:W1006),$U$1006:$AC$1006,0))&gt;=100000), " ",IF(INDEX($U$2:$AC$1001,MATCH(ROWS($N$2:N30),$N$2:$N$1001,0),MATCH(COLUMNS($U$1006:W1006),$U$1006:$AC$1006,0)), HYPERLINK("#",""), HYPERLINK(CONCATENATE("#metadata!", ADDRESS(INDEX($P$2:$P$1001,MATCH(ROWS($N$2:N30),$N$2:$N$1001,0),0), INDEX($U$1004:$AC$1004,1,MATCH(COLUMNS($U$1006:W1006),$U$1006:$AC$1006,0)))),"Fix")))</f>
        <v>0</v>
      </c>
      <c r="E30" s="3">
        <f>IF(OR(INDEX($O$2:$O$1001,MATCH(ROWS($N$2:N30),$N$2:$N$1001,0),1)&gt;=100000,INDEX($U$1005:$AC$1005,1,MATCH(COLUMNS($U$1006:X1006),$U$1006:$AC$1006,0))&gt;=100000), " ",IF(INDEX($U$2:$AC$1001,MATCH(ROWS($N$2:N30),$N$2:$N$1001,0),MATCH(COLUMNS($U$1006:X1006),$U$1006:$AC$1006,0)), HYPERLINK("#",""), HYPERLINK(CONCATENATE("#metadata!", ADDRESS(INDEX($P$2:$P$1001,MATCH(ROWS($N$2:N30),$N$2:$N$1001,0),0), INDEX($U$1004:$AC$1004,1,MATCH(COLUMNS($U$1006:X1006),$U$1006:$AC$1006,0)))),"Fix")))</f>
        <v>0</v>
      </c>
      <c r="F30" s="3">
        <f>IF(OR(INDEX($O$2:$O$1001,MATCH(ROWS($N$2:N30),$N$2:$N$1001,0),1)&gt;=100000,INDEX($U$1005:$AC$1005,1,MATCH(COLUMNS($U$1006:Y1006),$U$1006:$AC$1006,0))&gt;=100000), " ",IF(INDEX($U$2:$AC$1001,MATCH(ROWS($N$2:N30),$N$2:$N$1001,0),MATCH(COLUMNS($U$1006:Y1006),$U$1006:$AC$1006,0)), HYPERLINK("#",""), HYPERLINK(CONCATENATE("#metadata!", ADDRESS(INDEX($P$2:$P$1001,MATCH(ROWS($N$2:N30),$N$2:$N$1001,0),0), INDEX($U$1004:$AC$1004,1,MATCH(COLUMNS($U$1006:Y1006),$U$1006:$AC$1006,0)))),"Fix")))</f>
        <v>0</v>
      </c>
      <c r="G30" s="3">
        <f>IF(OR(INDEX($O$2:$O$1001,MATCH(ROWS($N$2:N30),$N$2:$N$1001,0),1)&gt;=100000,INDEX($U$1005:$AC$1005,1,MATCH(COLUMNS($U$1006:Z1006),$U$1006:$AC$1006,0))&gt;=100000), " ",IF(INDEX($U$2:$AC$1001,MATCH(ROWS($N$2:N30),$N$2:$N$1001,0),MATCH(COLUMNS($U$1006:Z1006),$U$1006:$AC$1006,0)), HYPERLINK("#",""), HYPERLINK(CONCATENATE("#metadata!", ADDRESS(INDEX($P$2:$P$1001,MATCH(ROWS($N$2:N30),$N$2:$N$1001,0),0), INDEX($U$1004:$AC$1004,1,MATCH(COLUMNS($U$1006:Z1006),$U$1006:$AC$1006,0)))),"Fix")))</f>
        <v>0</v>
      </c>
      <c r="H30" s="3">
        <f>IF(OR(INDEX($O$2:$O$1001,MATCH(ROWS($N$2:N30),$N$2:$N$1001,0),1)&gt;=100000,INDEX($U$1005:$AC$1005,1,MATCH(COLUMNS($U$1006:AA1006),$U$1006:$AC$1006,0))&gt;=100000), " ",IF(INDEX($U$2:$AC$1001,MATCH(ROWS($N$2:N30),$N$2:$N$1001,0),MATCH(COLUMNS($U$1006:AA1006),$U$1006:$AC$1006,0)), HYPERLINK("#",""), HYPERLINK(CONCATENATE("#metadata!", ADDRESS(INDEX($P$2:$P$1001,MATCH(ROWS($N$2:N30),$N$2:$N$1001,0),0), INDEX($U$1004:$AC$1004,1,MATCH(COLUMNS($U$1006:AA1006),$U$1006:$AC$1006,0)))),"Fix")))</f>
        <v>0</v>
      </c>
      <c r="I30" s="3">
        <f>IF(OR(INDEX($O$2:$O$1001,MATCH(ROWS($N$2:N30),$N$2:$N$1001,0),1)&gt;=100000,INDEX($U$1005:$AC$1005,1,MATCH(COLUMNS($U$1006:AB1006),$U$1006:$AC$1006,0))&gt;=100000), " ",IF(INDEX($U$2:$AC$1001,MATCH(ROWS($N$2:N30),$N$2:$N$1001,0),MATCH(COLUMNS($U$1006:AB1006),$U$1006:$AC$1006,0)), HYPERLINK("#",""), HYPERLINK(CONCATENATE("#metadata!", ADDRESS(INDEX($P$2:$P$1001,MATCH(ROWS($N$2:N30),$N$2:$N$1001,0),0), INDEX($U$1004:$AC$1004,1,MATCH(COLUMNS($U$1006:AB1006),$U$1006:$AC$1006,0)))),"Fix")))</f>
        <v>0</v>
      </c>
      <c r="J30" s="3">
        <f>IF(OR(INDEX($O$2:$O$1001,MATCH(ROWS($N$2:N30),$N$2:$N$1001,0),1)&gt;=100000,INDEX($U$1005:$AC$1005,1,MATCH(COLUMNS($U$1006:AC1006),$U$1006:$AC$1006,0))&gt;=100000), " ",IF(INDEX($U$2:$AC$1001,MATCH(ROWS($N$2:N30),$N$2:$N$1001,0),MATCH(COLUMNS($U$1006:AC1006),$U$1006:$AC$1006,0)), HYPERLINK("#",""), HYPERLINK(CONCATENATE("#metadata!", ADDRESS(INDEX($P$2:$P$1001,MATCH(ROWS($N$2:N30),$N$2:$N$1001,0),0), INDEX($U$1004:$AC$1004,1,MATCH(COLUMNS($U$1006:AC1006),$U$1006:$AC$1006,0)))),"Fix")))</f>
        <v>0</v>
      </c>
      <c r="N30">
        <v>0</v>
      </c>
      <c r="O30">
        <v>0</v>
      </c>
      <c r="P30">
        <v>0</v>
      </c>
      <c r="Q30">
        <f>IF(R30,TRUE,AND(U30:AC30))</f>
        <v>0</v>
      </c>
      <c r="R30">
        <f>COUNTBLANK(metadata!B30:J30)=COLUMNS(metadata!B30:J30)</f>
        <v>0</v>
      </c>
      <c r="S30">
        <v>0</v>
      </c>
      <c r="U30">
        <f>AND(IF(metadata!B30="",FALSE,TRUE),COUNTIF(metadata!B:B, metadata!B30) = 1,NOT(ISERROR(SUMPRODUCT(SEARCH(MID(metadata!B30,ROW(INDIRECT("1:"&amp;LEN(metadata!B30))), 1),"0123456789abcdefghijklmnopqrstuvwxyzABCDEFGHIJKLMNOPQRSTUVWXYZ.")))))</f>
        <v>0</v>
      </c>
      <c r="V30">
        <f>AND(IF(metadata!C30="",FALSE,TRUE),exact(metadata!C30,"UBERON:genitourinary"))</f>
        <v>0</v>
      </c>
      <c r="W30">
        <f>AND(IF(metadata!D30="",FALSE,TRUE),exact(metadata!D30,"UBERON:urine"))</f>
        <v>0</v>
      </c>
      <c r="X30">
        <f>AND(IF(metadata!E30="",FALSE,TRUE),exact(metadata!E30,"UBERON:kidney"))</f>
        <v>0</v>
      </c>
      <c r="Y30">
        <f>AND(IF(metadata!F30="",FALSE,TRUE),exact(metadata!F30,"animal corpus"))</f>
        <v>0</v>
      </c>
      <c r="Z30">
        <f>AND(IF(metadata!G30="",FALSE,TRUE),exact(metadata!G30,"urine"))</f>
        <v>0</v>
      </c>
      <c r="AA30">
        <f>AND(IF(metadata!H30="",FALSE,TRUE),exact(metadata!H30,"urine"))</f>
        <v>0</v>
      </c>
      <c r="AB30">
        <f>AND(IF(metadata!I30="",FALSE,TRUE),exact(metadata!I30,"urine metagenome"))</f>
        <v>0</v>
      </c>
      <c r="AC30">
        <f>AND(IF(metadata!J30="",FALSE,TRUE),exact(metadata!J30,"1346744"))</f>
        <v>0</v>
      </c>
    </row>
    <row r="31" spans="1:29">
      <c r="A31" s="4">
        <f>IF(B31=" "," ",HYPERLINK(CONCATENATE("#metadata!",ADDRESS(INDEX($P$2:$P$1001,MATCH(ROWS($N$2:N31),$N$2:$N$1001,0),0),1)),INDEX($S$2:$S$1001,MATCH(ROWS($N$2:N31),$N$2:$N$1001,0),0)))</f>
        <v>0</v>
      </c>
      <c r="B31" s="3">
        <f>IF(OR(INDEX($O$2:$O$1001,MATCH(ROWS($N$2:N31),$N$2:$N$1001,0),1)&gt;=100000,INDEX($U$1005:$AC$1005,1,MATCH(COLUMNS($U$1006:U1006),$U$1006:$AC$1006,0))&gt;=100000), " ",IF(INDEX($U$2:$AC$1001,MATCH(ROWS($N$2:N31),$N$2:$N$1001,0),MATCH(COLUMNS($U$1006:U1006),$U$1006:$AC$1006,0)), HYPERLINK("#",""), HYPERLINK(CONCATENATE("#metadata!", ADDRESS(INDEX($P$2:$P$1001,MATCH(ROWS($N$2:N31),$N$2:$N$1001,0),0), INDEX($U$1004:$AC$1004,1,MATCH(COLUMNS($U$1006:U1006),$U$1006:$AC$1006,0)))),"Fix")))</f>
        <v>0</v>
      </c>
      <c r="C31" s="3">
        <f>IF(OR(INDEX($O$2:$O$1001,MATCH(ROWS($N$2:N31),$N$2:$N$1001,0),1)&gt;=100000,INDEX($U$1005:$AC$1005,1,MATCH(COLUMNS($U$1006:V1006),$U$1006:$AC$1006,0))&gt;=100000), " ",IF(INDEX($U$2:$AC$1001,MATCH(ROWS($N$2:N31),$N$2:$N$1001,0),MATCH(COLUMNS($U$1006:V1006),$U$1006:$AC$1006,0)), HYPERLINK("#",""), HYPERLINK(CONCATENATE("#metadata!", ADDRESS(INDEX($P$2:$P$1001,MATCH(ROWS($N$2:N31),$N$2:$N$1001,0),0), INDEX($U$1004:$AC$1004,1,MATCH(COLUMNS($U$1006:V1006),$U$1006:$AC$1006,0)))),"Fix")))</f>
        <v>0</v>
      </c>
      <c r="D31" s="3">
        <f>IF(OR(INDEX($O$2:$O$1001,MATCH(ROWS($N$2:N31),$N$2:$N$1001,0),1)&gt;=100000,INDEX($U$1005:$AC$1005,1,MATCH(COLUMNS($U$1006:W1006),$U$1006:$AC$1006,0))&gt;=100000), " ",IF(INDEX($U$2:$AC$1001,MATCH(ROWS($N$2:N31),$N$2:$N$1001,0),MATCH(COLUMNS($U$1006:W1006),$U$1006:$AC$1006,0)), HYPERLINK("#",""), HYPERLINK(CONCATENATE("#metadata!", ADDRESS(INDEX($P$2:$P$1001,MATCH(ROWS($N$2:N31),$N$2:$N$1001,0),0), INDEX($U$1004:$AC$1004,1,MATCH(COLUMNS($U$1006:W1006),$U$1006:$AC$1006,0)))),"Fix")))</f>
        <v>0</v>
      </c>
      <c r="E31" s="3">
        <f>IF(OR(INDEX($O$2:$O$1001,MATCH(ROWS($N$2:N31),$N$2:$N$1001,0),1)&gt;=100000,INDEX($U$1005:$AC$1005,1,MATCH(COLUMNS($U$1006:X1006),$U$1006:$AC$1006,0))&gt;=100000), " ",IF(INDEX($U$2:$AC$1001,MATCH(ROWS($N$2:N31),$N$2:$N$1001,0),MATCH(COLUMNS($U$1006:X1006),$U$1006:$AC$1006,0)), HYPERLINK("#",""), HYPERLINK(CONCATENATE("#metadata!", ADDRESS(INDEX($P$2:$P$1001,MATCH(ROWS($N$2:N31),$N$2:$N$1001,0),0), INDEX($U$1004:$AC$1004,1,MATCH(COLUMNS($U$1006:X1006),$U$1006:$AC$1006,0)))),"Fix")))</f>
        <v>0</v>
      </c>
      <c r="F31" s="3">
        <f>IF(OR(INDEX($O$2:$O$1001,MATCH(ROWS($N$2:N31),$N$2:$N$1001,0),1)&gt;=100000,INDEX($U$1005:$AC$1005,1,MATCH(COLUMNS($U$1006:Y1006),$U$1006:$AC$1006,0))&gt;=100000), " ",IF(INDEX($U$2:$AC$1001,MATCH(ROWS($N$2:N31),$N$2:$N$1001,0),MATCH(COLUMNS($U$1006:Y1006),$U$1006:$AC$1006,0)), HYPERLINK("#",""), HYPERLINK(CONCATENATE("#metadata!", ADDRESS(INDEX($P$2:$P$1001,MATCH(ROWS($N$2:N31),$N$2:$N$1001,0),0), INDEX($U$1004:$AC$1004,1,MATCH(COLUMNS($U$1006:Y1006),$U$1006:$AC$1006,0)))),"Fix")))</f>
        <v>0</v>
      </c>
      <c r="G31" s="3">
        <f>IF(OR(INDEX($O$2:$O$1001,MATCH(ROWS($N$2:N31),$N$2:$N$1001,0),1)&gt;=100000,INDEX($U$1005:$AC$1005,1,MATCH(COLUMNS($U$1006:Z1006),$U$1006:$AC$1006,0))&gt;=100000), " ",IF(INDEX($U$2:$AC$1001,MATCH(ROWS($N$2:N31),$N$2:$N$1001,0),MATCH(COLUMNS($U$1006:Z1006),$U$1006:$AC$1006,0)), HYPERLINK("#",""), HYPERLINK(CONCATENATE("#metadata!", ADDRESS(INDEX($P$2:$P$1001,MATCH(ROWS($N$2:N31),$N$2:$N$1001,0),0), INDEX($U$1004:$AC$1004,1,MATCH(COLUMNS($U$1006:Z1006),$U$1006:$AC$1006,0)))),"Fix")))</f>
        <v>0</v>
      </c>
      <c r="H31" s="3">
        <f>IF(OR(INDEX($O$2:$O$1001,MATCH(ROWS($N$2:N31),$N$2:$N$1001,0),1)&gt;=100000,INDEX($U$1005:$AC$1005,1,MATCH(COLUMNS($U$1006:AA1006),$U$1006:$AC$1006,0))&gt;=100000), " ",IF(INDEX($U$2:$AC$1001,MATCH(ROWS($N$2:N31),$N$2:$N$1001,0),MATCH(COLUMNS($U$1006:AA1006),$U$1006:$AC$1006,0)), HYPERLINK("#",""), HYPERLINK(CONCATENATE("#metadata!", ADDRESS(INDEX($P$2:$P$1001,MATCH(ROWS($N$2:N31),$N$2:$N$1001,0),0), INDEX($U$1004:$AC$1004,1,MATCH(COLUMNS($U$1006:AA1006),$U$1006:$AC$1006,0)))),"Fix")))</f>
        <v>0</v>
      </c>
      <c r="I31" s="3">
        <f>IF(OR(INDEX($O$2:$O$1001,MATCH(ROWS($N$2:N31),$N$2:$N$1001,0),1)&gt;=100000,INDEX($U$1005:$AC$1005,1,MATCH(COLUMNS($U$1006:AB1006),$U$1006:$AC$1006,0))&gt;=100000), " ",IF(INDEX($U$2:$AC$1001,MATCH(ROWS($N$2:N31),$N$2:$N$1001,0),MATCH(COLUMNS($U$1006:AB1006),$U$1006:$AC$1006,0)), HYPERLINK("#",""), HYPERLINK(CONCATENATE("#metadata!", ADDRESS(INDEX($P$2:$P$1001,MATCH(ROWS($N$2:N31),$N$2:$N$1001,0),0), INDEX($U$1004:$AC$1004,1,MATCH(COLUMNS($U$1006:AB1006),$U$1006:$AC$1006,0)))),"Fix")))</f>
        <v>0</v>
      </c>
      <c r="J31" s="3">
        <f>IF(OR(INDEX($O$2:$O$1001,MATCH(ROWS($N$2:N31),$N$2:$N$1001,0),1)&gt;=100000,INDEX($U$1005:$AC$1005,1,MATCH(COLUMNS($U$1006:AC1006),$U$1006:$AC$1006,0))&gt;=100000), " ",IF(INDEX($U$2:$AC$1001,MATCH(ROWS($N$2:N31),$N$2:$N$1001,0),MATCH(COLUMNS($U$1006:AC1006),$U$1006:$AC$1006,0)), HYPERLINK("#",""), HYPERLINK(CONCATENATE("#metadata!", ADDRESS(INDEX($P$2:$P$1001,MATCH(ROWS($N$2:N31),$N$2:$N$1001,0),0), INDEX($U$1004:$AC$1004,1,MATCH(COLUMNS($U$1006:AC1006),$U$1006:$AC$1006,0)))),"Fix")))</f>
        <v>0</v>
      </c>
      <c r="N31">
        <v>0</v>
      </c>
      <c r="O31">
        <v>0</v>
      </c>
      <c r="P31">
        <v>0</v>
      </c>
      <c r="Q31">
        <f>IF(R31,TRUE,AND(U31:AC31))</f>
        <v>0</v>
      </c>
      <c r="R31">
        <f>COUNTBLANK(metadata!B31:J31)=COLUMNS(metadata!B31:J31)</f>
        <v>0</v>
      </c>
      <c r="S31">
        <v>0</v>
      </c>
      <c r="U31">
        <f>AND(IF(metadata!B31="",FALSE,TRUE),COUNTIF(metadata!B:B, metadata!B31) = 1,NOT(ISERROR(SUMPRODUCT(SEARCH(MID(metadata!B31,ROW(INDIRECT("1:"&amp;LEN(metadata!B31))), 1),"0123456789abcdefghijklmnopqrstuvwxyzABCDEFGHIJKLMNOPQRSTUVWXYZ.")))))</f>
        <v>0</v>
      </c>
      <c r="V31">
        <f>AND(IF(metadata!C31="",FALSE,TRUE),exact(metadata!C31,"UBERON:genitourinary"))</f>
        <v>0</v>
      </c>
      <c r="W31">
        <f>AND(IF(metadata!D31="",FALSE,TRUE),exact(metadata!D31,"UBERON:urine"))</f>
        <v>0</v>
      </c>
      <c r="X31">
        <f>AND(IF(metadata!E31="",FALSE,TRUE),exact(metadata!E31,"UBERON:kidney"))</f>
        <v>0</v>
      </c>
      <c r="Y31">
        <f>AND(IF(metadata!F31="",FALSE,TRUE),exact(metadata!F31,"animal corpus"))</f>
        <v>0</v>
      </c>
      <c r="Z31">
        <f>AND(IF(metadata!G31="",FALSE,TRUE),exact(metadata!G31,"urine"))</f>
        <v>0</v>
      </c>
      <c r="AA31">
        <f>AND(IF(metadata!H31="",FALSE,TRUE),exact(metadata!H31,"urine"))</f>
        <v>0</v>
      </c>
      <c r="AB31">
        <f>AND(IF(metadata!I31="",FALSE,TRUE),exact(metadata!I31,"urine metagenome"))</f>
        <v>0</v>
      </c>
      <c r="AC31">
        <f>AND(IF(metadata!J31="",FALSE,TRUE),exact(metadata!J31,"1346744"))</f>
        <v>0</v>
      </c>
    </row>
    <row r="32" spans="1:29">
      <c r="A32" s="4">
        <f>IF(B32=" "," ",HYPERLINK(CONCATENATE("#metadata!",ADDRESS(INDEX($P$2:$P$1001,MATCH(ROWS($N$2:N32),$N$2:$N$1001,0),0),1)),INDEX($S$2:$S$1001,MATCH(ROWS($N$2:N32),$N$2:$N$1001,0),0)))</f>
        <v>0</v>
      </c>
      <c r="B32" s="3">
        <f>IF(OR(INDEX($O$2:$O$1001,MATCH(ROWS($N$2:N32),$N$2:$N$1001,0),1)&gt;=100000,INDEX($U$1005:$AC$1005,1,MATCH(COLUMNS($U$1006:U1006),$U$1006:$AC$1006,0))&gt;=100000), " ",IF(INDEX($U$2:$AC$1001,MATCH(ROWS($N$2:N32),$N$2:$N$1001,0),MATCH(COLUMNS($U$1006:U1006),$U$1006:$AC$1006,0)), HYPERLINK("#",""), HYPERLINK(CONCATENATE("#metadata!", ADDRESS(INDEX($P$2:$P$1001,MATCH(ROWS($N$2:N32),$N$2:$N$1001,0),0), INDEX($U$1004:$AC$1004,1,MATCH(COLUMNS($U$1006:U1006),$U$1006:$AC$1006,0)))),"Fix")))</f>
        <v>0</v>
      </c>
      <c r="C32" s="3">
        <f>IF(OR(INDEX($O$2:$O$1001,MATCH(ROWS($N$2:N32),$N$2:$N$1001,0),1)&gt;=100000,INDEX($U$1005:$AC$1005,1,MATCH(COLUMNS($U$1006:V1006),$U$1006:$AC$1006,0))&gt;=100000), " ",IF(INDEX($U$2:$AC$1001,MATCH(ROWS($N$2:N32),$N$2:$N$1001,0),MATCH(COLUMNS($U$1006:V1006),$U$1006:$AC$1006,0)), HYPERLINK("#",""), HYPERLINK(CONCATENATE("#metadata!", ADDRESS(INDEX($P$2:$P$1001,MATCH(ROWS($N$2:N32),$N$2:$N$1001,0),0), INDEX($U$1004:$AC$1004,1,MATCH(COLUMNS($U$1006:V1006),$U$1006:$AC$1006,0)))),"Fix")))</f>
        <v>0</v>
      </c>
      <c r="D32" s="3">
        <f>IF(OR(INDEX($O$2:$O$1001,MATCH(ROWS($N$2:N32),$N$2:$N$1001,0),1)&gt;=100000,INDEX($U$1005:$AC$1005,1,MATCH(COLUMNS($U$1006:W1006),$U$1006:$AC$1006,0))&gt;=100000), " ",IF(INDEX($U$2:$AC$1001,MATCH(ROWS($N$2:N32),$N$2:$N$1001,0),MATCH(COLUMNS($U$1006:W1006),$U$1006:$AC$1006,0)), HYPERLINK("#",""), HYPERLINK(CONCATENATE("#metadata!", ADDRESS(INDEX($P$2:$P$1001,MATCH(ROWS($N$2:N32),$N$2:$N$1001,0),0), INDEX($U$1004:$AC$1004,1,MATCH(COLUMNS($U$1006:W1006),$U$1006:$AC$1006,0)))),"Fix")))</f>
        <v>0</v>
      </c>
      <c r="E32" s="3">
        <f>IF(OR(INDEX($O$2:$O$1001,MATCH(ROWS($N$2:N32),$N$2:$N$1001,0),1)&gt;=100000,INDEX($U$1005:$AC$1005,1,MATCH(COLUMNS($U$1006:X1006),$U$1006:$AC$1006,0))&gt;=100000), " ",IF(INDEX($U$2:$AC$1001,MATCH(ROWS($N$2:N32),$N$2:$N$1001,0),MATCH(COLUMNS($U$1006:X1006),$U$1006:$AC$1006,0)), HYPERLINK("#",""), HYPERLINK(CONCATENATE("#metadata!", ADDRESS(INDEX($P$2:$P$1001,MATCH(ROWS($N$2:N32),$N$2:$N$1001,0),0), INDEX($U$1004:$AC$1004,1,MATCH(COLUMNS($U$1006:X1006),$U$1006:$AC$1006,0)))),"Fix")))</f>
        <v>0</v>
      </c>
      <c r="F32" s="3">
        <f>IF(OR(INDEX($O$2:$O$1001,MATCH(ROWS($N$2:N32),$N$2:$N$1001,0),1)&gt;=100000,INDEX($U$1005:$AC$1005,1,MATCH(COLUMNS($U$1006:Y1006),$U$1006:$AC$1006,0))&gt;=100000), " ",IF(INDEX($U$2:$AC$1001,MATCH(ROWS($N$2:N32),$N$2:$N$1001,0),MATCH(COLUMNS($U$1006:Y1006),$U$1006:$AC$1006,0)), HYPERLINK("#",""), HYPERLINK(CONCATENATE("#metadata!", ADDRESS(INDEX($P$2:$P$1001,MATCH(ROWS($N$2:N32),$N$2:$N$1001,0),0), INDEX($U$1004:$AC$1004,1,MATCH(COLUMNS($U$1006:Y1006),$U$1006:$AC$1006,0)))),"Fix")))</f>
        <v>0</v>
      </c>
      <c r="G32" s="3">
        <f>IF(OR(INDEX($O$2:$O$1001,MATCH(ROWS($N$2:N32),$N$2:$N$1001,0),1)&gt;=100000,INDEX($U$1005:$AC$1005,1,MATCH(COLUMNS($U$1006:Z1006),$U$1006:$AC$1006,0))&gt;=100000), " ",IF(INDEX($U$2:$AC$1001,MATCH(ROWS($N$2:N32),$N$2:$N$1001,0),MATCH(COLUMNS($U$1006:Z1006),$U$1006:$AC$1006,0)), HYPERLINK("#",""), HYPERLINK(CONCATENATE("#metadata!", ADDRESS(INDEX($P$2:$P$1001,MATCH(ROWS($N$2:N32),$N$2:$N$1001,0),0), INDEX($U$1004:$AC$1004,1,MATCH(COLUMNS($U$1006:Z1006),$U$1006:$AC$1006,0)))),"Fix")))</f>
        <v>0</v>
      </c>
      <c r="H32" s="3">
        <f>IF(OR(INDEX($O$2:$O$1001,MATCH(ROWS($N$2:N32),$N$2:$N$1001,0),1)&gt;=100000,INDEX($U$1005:$AC$1005,1,MATCH(COLUMNS($U$1006:AA1006),$U$1006:$AC$1006,0))&gt;=100000), " ",IF(INDEX($U$2:$AC$1001,MATCH(ROWS($N$2:N32),$N$2:$N$1001,0),MATCH(COLUMNS($U$1006:AA1006),$U$1006:$AC$1006,0)), HYPERLINK("#",""), HYPERLINK(CONCATENATE("#metadata!", ADDRESS(INDEX($P$2:$P$1001,MATCH(ROWS($N$2:N32),$N$2:$N$1001,0),0), INDEX($U$1004:$AC$1004,1,MATCH(COLUMNS($U$1006:AA1006),$U$1006:$AC$1006,0)))),"Fix")))</f>
        <v>0</v>
      </c>
      <c r="I32" s="3">
        <f>IF(OR(INDEX($O$2:$O$1001,MATCH(ROWS($N$2:N32),$N$2:$N$1001,0),1)&gt;=100000,INDEX($U$1005:$AC$1005,1,MATCH(COLUMNS($U$1006:AB1006),$U$1006:$AC$1006,0))&gt;=100000), " ",IF(INDEX($U$2:$AC$1001,MATCH(ROWS($N$2:N32),$N$2:$N$1001,0),MATCH(COLUMNS($U$1006:AB1006),$U$1006:$AC$1006,0)), HYPERLINK("#",""), HYPERLINK(CONCATENATE("#metadata!", ADDRESS(INDEX($P$2:$P$1001,MATCH(ROWS($N$2:N32),$N$2:$N$1001,0),0), INDEX($U$1004:$AC$1004,1,MATCH(COLUMNS($U$1006:AB1006),$U$1006:$AC$1006,0)))),"Fix")))</f>
        <v>0</v>
      </c>
      <c r="J32" s="3">
        <f>IF(OR(INDEX($O$2:$O$1001,MATCH(ROWS($N$2:N32),$N$2:$N$1001,0),1)&gt;=100000,INDEX($U$1005:$AC$1005,1,MATCH(COLUMNS($U$1006:AC1006),$U$1006:$AC$1006,0))&gt;=100000), " ",IF(INDEX($U$2:$AC$1001,MATCH(ROWS($N$2:N32),$N$2:$N$1001,0),MATCH(COLUMNS($U$1006:AC1006),$U$1006:$AC$1006,0)), HYPERLINK("#",""), HYPERLINK(CONCATENATE("#metadata!", ADDRESS(INDEX($P$2:$P$1001,MATCH(ROWS($N$2:N32),$N$2:$N$1001,0),0), INDEX($U$1004:$AC$1004,1,MATCH(COLUMNS($U$1006:AC1006),$U$1006:$AC$1006,0)))),"Fix")))</f>
        <v>0</v>
      </c>
      <c r="N32">
        <v>0</v>
      </c>
      <c r="O32">
        <v>0</v>
      </c>
      <c r="P32">
        <v>0</v>
      </c>
      <c r="Q32">
        <f>IF(R32,TRUE,AND(U32:AC32))</f>
        <v>0</v>
      </c>
      <c r="R32">
        <f>COUNTBLANK(metadata!B32:J32)=COLUMNS(metadata!B32:J32)</f>
        <v>0</v>
      </c>
      <c r="S32">
        <v>0</v>
      </c>
      <c r="U32">
        <f>AND(IF(metadata!B32="",FALSE,TRUE),COUNTIF(metadata!B:B, metadata!B32) = 1,NOT(ISERROR(SUMPRODUCT(SEARCH(MID(metadata!B32,ROW(INDIRECT("1:"&amp;LEN(metadata!B32))), 1),"0123456789abcdefghijklmnopqrstuvwxyzABCDEFGHIJKLMNOPQRSTUVWXYZ.")))))</f>
        <v>0</v>
      </c>
      <c r="V32">
        <f>AND(IF(metadata!C32="",FALSE,TRUE),exact(metadata!C32,"UBERON:genitourinary"))</f>
        <v>0</v>
      </c>
      <c r="W32">
        <f>AND(IF(metadata!D32="",FALSE,TRUE),exact(metadata!D32,"UBERON:urine"))</f>
        <v>0</v>
      </c>
      <c r="X32">
        <f>AND(IF(metadata!E32="",FALSE,TRUE),exact(metadata!E32,"UBERON:kidney"))</f>
        <v>0</v>
      </c>
      <c r="Y32">
        <f>AND(IF(metadata!F32="",FALSE,TRUE),exact(metadata!F32,"animal corpus"))</f>
        <v>0</v>
      </c>
      <c r="Z32">
        <f>AND(IF(metadata!G32="",FALSE,TRUE),exact(metadata!G32,"urine"))</f>
        <v>0</v>
      </c>
      <c r="AA32">
        <f>AND(IF(metadata!H32="",FALSE,TRUE),exact(metadata!H32,"urine"))</f>
        <v>0</v>
      </c>
      <c r="AB32">
        <f>AND(IF(metadata!I32="",FALSE,TRUE),exact(metadata!I32,"urine metagenome"))</f>
        <v>0</v>
      </c>
      <c r="AC32">
        <f>AND(IF(metadata!J32="",FALSE,TRUE),exact(metadata!J32,"1346744"))</f>
        <v>0</v>
      </c>
    </row>
    <row r="33" spans="1:29">
      <c r="A33" s="4">
        <f>IF(B33=" "," ",HYPERLINK(CONCATENATE("#metadata!",ADDRESS(INDEX($P$2:$P$1001,MATCH(ROWS($N$2:N33),$N$2:$N$1001,0),0),1)),INDEX($S$2:$S$1001,MATCH(ROWS($N$2:N33),$N$2:$N$1001,0),0)))</f>
        <v>0</v>
      </c>
      <c r="B33" s="3">
        <f>IF(OR(INDEX($O$2:$O$1001,MATCH(ROWS($N$2:N33),$N$2:$N$1001,0),1)&gt;=100000,INDEX($U$1005:$AC$1005,1,MATCH(COLUMNS($U$1006:U1006),$U$1006:$AC$1006,0))&gt;=100000), " ",IF(INDEX($U$2:$AC$1001,MATCH(ROWS($N$2:N33),$N$2:$N$1001,0),MATCH(COLUMNS($U$1006:U1006),$U$1006:$AC$1006,0)), HYPERLINK("#",""), HYPERLINK(CONCATENATE("#metadata!", ADDRESS(INDEX($P$2:$P$1001,MATCH(ROWS($N$2:N33),$N$2:$N$1001,0),0), INDEX($U$1004:$AC$1004,1,MATCH(COLUMNS($U$1006:U1006),$U$1006:$AC$1006,0)))),"Fix")))</f>
        <v>0</v>
      </c>
      <c r="C33" s="3">
        <f>IF(OR(INDEX($O$2:$O$1001,MATCH(ROWS($N$2:N33),$N$2:$N$1001,0),1)&gt;=100000,INDEX($U$1005:$AC$1005,1,MATCH(COLUMNS($U$1006:V1006),$U$1006:$AC$1006,0))&gt;=100000), " ",IF(INDEX($U$2:$AC$1001,MATCH(ROWS($N$2:N33),$N$2:$N$1001,0),MATCH(COLUMNS($U$1006:V1006),$U$1006:$AC$1006,0)), HYPERLINK("#",""), HYPERLINK(CONCATENATE("#metadata!", ADDRESS(INDEX($P$2:$P$1001,MATCH(ROWS($N$2:N33),$N$2:$N$1001,0),0), INDEX($U$1004:$AC$1004,1,MATCH(COLUMNS($U$1006:V1006),$U$1006:$AC$1006,0)))),"Fix")))</f>
        <v>0</v>
      </c>
      <c r="D33" s="3">
        <f>IF(OR(INDEX($O$2:$O$1001,MATCH(ROWS($N$2:N33),$N$2:$N$1001,0),1)&gt;=100000,INDEX($U$1005:$AC$1005,1,MATCH(COLUMNS($U$1006:W1006),$U$1006:$AC$1006,0))&gt;=100000), " ",IF(INDEX($U$2:$AC$1001,MATCH(ROWS($N$2:N33),$N$2:$N$1001,0),MATCH(COLUMNS($U$1006:W1006),$U$1006:$AC$1006,0)), HYPERLINK("#",""), HYPERLINK(CONCATENATE("#metadata!", ADDRESS(INDEX($P$2:$P$1001,MATCH(ROWS($N$2:N33),$N$2:$N$1001,0),0), INDEX($U$1004:$AC$1004,1,MATCH(COLUMNS($U$1006:W1006),$U$1006:$AC$1006,0)))),"Fix")))</f>
        <v>0</v>
      </c>
      <c r="E33" s="3">
        <f>IF(OR(INDEX($O$2:$O$1001,MATCH(ROWS($N$2:N33),$N$2:$N$1001,0),1)&gt;=100000,INDEX($U$1005:$AC$1005,1,MATCH(COLUMNS($U$1006:X1006),$U$1006:$AC$1006,0))&gt;=100000), " ",IF(INDEX($U$2:$AC$1001,MATCH(ROWS($N$2:N33),$N$2:$N$1001,0),MATCH(COLUMNS($U$1006:X1006),$U$1006:$AC$1006,0)), HYPERLINK("#",""), HYPERLINK(CONCATENATE("#metadata!", ADDRESS(INDEX($P$2:$P$1001,MATCH(ROWS($N$2:N33),$N$2:$N$1001,0),0), INDEX($U$1004:$AC$1004,1,MATCH(COLUMNS($U$1006:X1006),$U$1006:$AC$1006,0)))),"Fix")))</f>
        <v>0</v>
      </c>
      <c r="F33" s="3">
        <f>IF(OR(INDEX($O$2:$O$1001,MATCH(ROWS($N$2:N33),$N$2:$N$1001,0),1)&gt;=100000,INDEX($U$1005:$AC$1005,1,MATCH(COLUMNS($U$1006:Y1006),$U$1006:$AC$1006,0))&gt;=100000), " ",IF(INDEX($U$2:$AC$1001,MATCH(ROWS($N$2:N33),$N$2:$N$1001,0),MATCH(COLUMNS($U$1006:Y1006),$U$1006:$AC$1006,0)), HYPERLINK("#",""), HYPERLINK(CONCATENATE("#metadata!", ADDRESS(INDEX($P$2:$P$1001,MATCH(ROWS($N$2:N33),$N$2:$N$1001,0),0), INDEX($U$1004:$AC$1004,1,MATCH(COLUMNS($U$1006:Y1006),$U$1006:$AC$1006,0)))),"Fix")))</f>
        <v>0</v>
      </c>
      <c r="G33" s="3">
        <f>IF(OR(INDEX($O$2:$O$1001,MATCH(ROWS($N$2:N33),$N$2:$N$1001,0),1)&gt;=100000,INDEX($U$1005:$AC$1005,1,MATCH(COLUMNS($U$1006:Z1006),$U$1006:$AC$1006,0))&gt;=100000), " ",IF(INDEX($U$2:$AC$1001,MATCH(ROWS($N$2:N33),$N$2:$N$1001,0),MATCH(COLUMNS($U$1006:Z1006),$U$1006:$AC$1006,0)), HYPERLINK("#",""), HYPERLINK(CONCATENATE("#metadata!", ADDRESS(INDEX($P$2:$P$1001,MATCH(ROWS($N$2:N33),$N$2:$N$1001,0),0), INDEX($U$1004:$AC$1004,1,MATCH(COLUMNS($U$1006:Z1006),$U$1006:$AC$1006,0)))),"Fix")))</f>
        <v>0</v>
      </c>
      <c r="H33" s="3">
        <f>IF(OR(INDEX($O$2:$O$1001,MATCH(ROWS($N$2:N33),$N$2:$N$1001,0),1)&gt;=100000,INDEX($U$1005:$AC$1005,1,MATCH(COLUMNS($U$1006:AA1006),$U$1006:$AC$1006,0))&gt;=100000), " ",IF(INDEX($U$2:$AC$1001,MATCH(ROWS($N$2:N33),$N$2:$N$1001,0),MATCH(COLUMNS($U$1006:AA1006),$U$1006:$AC$1006,0)), HYPERLINK("#",""), HYPERLINK(CONCATENATE("#metadata!", ADDRESS(INDEX($P$2:$P$1001,MATCH(ROWS($N$2:N33),$N$2:$N$1001,0),0), INDEX($U$1004:$AC$1004,1,MATCH(COLUMNS($U$1006:AA1006),$U$1006:$AC$1006,0)))),"Fix")))</f>
        <v>0</v>
      </c>
      <c r="I33" s="3">
        <f>IF(OR(INDEX($O$2:$O$1001,MATCH(ROWS($N$2:N33),$N$2:$N$1001,0),1)&gt;=100000,INDEX($U$1005:$AC$1005,1,MATCH(COLUMNS($U$1006:AB1006),$U$1006:$AC$1006,0))&gt;=100000), " ",IF(INDEX($U$2:$AC$1001,MATCH(ROWS($N$2:N33),$N$2:$N$1001,0),MATCH(COLUMNS($U$1006:AB1006),$U$1006:$AC$1006,0)), HYPERLINK("#",""), HYPERLINK(CONCATENATE("#metadata!", ADDRESS(INDEX($P$2:$P$1001,MATCH(ROWS($N$2:N33),$N$2:$N$1001,0),0), INDEX($U$1004:$AC$1004,1,MATCH(COLUMNS($U$1006:AB1006),$U$1006:$AC$1006,0)))),"Fix")))</f>
        <v>0</v>
      </c>
      <c r="J33" s="3">
        <f>IF(OR(INDEX($O$2:$O$1001,MATCH(ROWS($N$2:N33),$N$2:$N$1001,0),1)&gt;=100000,INDEX($U$1005:$AC$1005,1,MATCH(COLUMNS($U$1006:AC1006),$U$1006:$AC$1006,0))&gt;=100000), " ",IF(INDEX($U$2:$AC$1001,MATCH(ROWS($N$2:N33),$N$2:$N$1001,0),MATCH(COLUMNS($U$1006:AC1006),$U$1006:$AC$1006,0)), HYPERLINK("#",""), HYPERLINK(CONCATENATE("#metadata!", ADDRESS(INDEX($P$2:$P$1001,MATCH(ROWS($N$2:N33),$N$2:$N$1001,0),0), INDEX($U$1004:$AC$1004,1,MATCH(COLUMNS($U$1006:AC1006),$U$1006:$AC$1006,0)))),"Fix")))</f>
        <v>0</v>
      </c>
      <c r="N33">
        <v>0</v>
      </c>
      <c r="O33">
        <v>0</v>
      </c>
      <c r="P33">
        <v>0</v>
      </c>
      <c r="Q33">
        <f>IF(R33,TRUE,AND(U33:AC33))</f>
        <v>0</v>
      </c>
      <c r="R33">
        <f>COUNTBLANK(metadata!B33:J33)=COLUMNS(metadata!B33:J33)</f>
        <v>0</v>
      </c>
      <c r="S33">
        <v>0</v>
      </c>
      <c r="U33">
        <f>AND(IF(metadata!B33="",FALSE,TRUE),COUNTIF(metadata!B:B, metadata!B33) = 1,NOT(ISERROR(SUMPRODUCT(SEARCH(MID(metadata!B33,ROW(INDIRECT("1:"&amp;LEN(metadata!B33))), 1),"0123456789abcdefghijklmnopqrstuvwxyzABCDEFGHIJKLMNOPQRSTUVWXYZ.")))))</f>
        <v>0</v>
      </c>
      <c r="V33">
        <f>AND(IF(metadata!C33="",FALSE,TRUE),exact(metadata!C33,"UBERON:genitourinary"))</f>
        <v>0</v>
      </c>
      <c r="W33">
        <f>AND(IF(metadata!D33="",FALSE,TRUE),exact(metadata!D33,"UBERON:urine"))</f>
        <v>0</v>
      </c>
      <c r="X33">
        <f>AND(IF(metadata!E33="",FALSE,TRUE),exact(metadata!E33,"UBERON:kidney"))</f>
        <v>0</v>
      </c>
      <c r="Y33">
        <f>AND(IF(metadata!F33="",FALSE,TRUE),exact(metadata!F33,"animal corpus"))</f>
        <v>0</v>
      </c>
      <c r="Z33">
        <f>AND(IF(metadata!G33="",FALSE,TRUE),exact(metadata!G33,"urine"))</f>
        <v>0</v>
      </c>
      <c r="AA33">
        <f>AND(IF(metadata!H33="",FALSE,TRUE),exact(metadata!H33,"urine"))</f>
        <v>0</v>
      </c>
      <c r="AB33">
        <f>AND(IF(metadata!I33="",FALSE,TRUE),exact(metadata!I33,"urine metagenome"))</f>
        <v>0</v>
      </c>
      <c r="AC33">
        <f>AND(IF(metadata!J33="",FALSE,TRUE),exact(metadata!J33,"1346744"))</f>
        <v>0</v>
      </c>
    </row>
    <row r="34" spans="1:29">
      <c r="A34" s="4">
        <f>IF(B34=" "," ",HYPERLINK(CONCATENATE("#metadata!",ADDRESS(INDEX($P$2:$P$1001,MATCH(ROWS($N$2:N34),$N$2:$N$1001,0),0),1)),INDEX($S$2:$S$1001,MATCH(ROWS($N$2:N34),$N$2:$N$1001,0),0)))</f>
        <v>0</v>
      </c>
      <c r="B34" s="3">
        <f>IF(OR(INDEX($O$2:$O$1001,MATCH(ROWS($N$2:N34),$N$2:$N$1001,0),1)&gt;=100000,INDEX($U$1005:$AC$1005,1,MATCH(COLUMNS($U$1006:U1006),$U$1006:$AC$1006,0))&gt;=100000), " ",IF(INDEX($U$2:$AC$1001,MATCH(ROWS($N$2:N34),$N$2:$N$1001,0),MATCH(COLUMNS($U$1006:U1006),$U$1006:$AC$1006,0)), HYPERLINK("#",""), HYPERLINK(CONCATENATE("#metadata!", ADDRESS(INDEX($P$2:$P$1001,MATCH(ROWS($N$2:N34),$N$2:$N$1001,0),0), INDEX($U$1004:$AC$1004,1,MATCH(COLUMNS($U$1006:U1006),$U$1006:$AC$1006,0)))),"Fix")))</f>
        <v>0</v>
      </c>
      <c r="C34" s="3">
        <f>IF(OR(INDEX($O$2:$O$1001,MATCH(ROWS($N$2:N34),$N$2:$N$1001,0),1)&gt;=100000,INDEX($U$1005:$AC$1005,1,MATCH(COLUMNS($U$1006:V1006),$U$1006:$AC$1006,0))&gt;=100000), " ",IF(INDEX($U$2:$AC$1001,MATCH(ROWS($N$2:N34),$N$2:$N$1001,0),MATCH(COLUMNS($U$1006:V1006),$U$1006:$AC$1006,0)), HYPERLINK("#",""), HYPERLINK(CONCATENATE("#metadata!", ADDRESS(INDEX($P$2:$P$1001,MATCH(ROWS($N$2:N34),$N$2:$N$1001,0),0), INDEX($U$1004:$AC$1004,1,MATCH(COLUMNS($U$1006:V1006),$U$1006:$AC$1006,0)))),"Fix")))</f>
        <v>0</v>
      </c>
      <c r="D34" s="3">
        <f>IF(OR(INDEX($O$2:$O$1001,MATCH(ROWS($N$2:N34),$N$2:$N$1001,0),1)&gt;=100000,INDEX($U$1005:$AC$1005,1,MATCH(COLUMNS($U$1006:W1006),$U$1006:$AC$1006,0))&gt;=100000), " ",IF(INDEX($U$2:$AC$1001,MATCH(ROWS($N$2:N34),$N$2:$N$1001,0),MATCH(COLUMNS($U$1006:W1006),$U$1006:$AC$1006,0)), HYPERLINK("#",""), HYPERLINK(CONCATENATE("#metadata!", ADDRESS(INDEX($P$2:$P$1001,MATCH(ROWS($N$2:N34),$N$2:$N$1001,0),0), INDEX($U$1004:$AC$1004,1,MATCH(COLUMNS($U$1006:W1006),$U$1006:$AC$1006,0)))),"Fix")))</f>
        <v>0</v>
      </c>
      <c r="E34" s="3">
        <f>IF(OR(INDEX($O$2:$O$1001,MATCH(ROWS($N$2:N34),$N$2:$N$1001,0),1)&gt;=100000,INDEX($U$1005:$AC$1005,1,MATCH(COLUMNS($U$1006:X1006),$U$1006:$AC$1006,0))&gt;=100000), " ",IF(INDEX($U$2:$AC$1001,MATCH(ROWS($N$2:N34),$N$2:$N$1001,0),MATCH(COLUMNS($U$1006:X1006),$U$1006:$AC$1006,0)), HYPERLINK("#",""), HYPERLINK(CONCATENATE("#metadata!", ADDRESS(INDEX($P$2:$P$1001,MATCH(ROWS($N$2:N34),$N$2:$N$1001,0),0), INDEX($U$1004:$AC$1004,1,MATCH(COLUMNS($U$1006:X1006),$U$1006:$AC$1006,0)))),"Fix")))</f>
        <v>0</v>
      </c>
      <c r="F34" s="3">
        <f>IF(OR(INDEX($O$2:$O$1001,MATCH(ROWS($N$2:N34),$N$2:$N$1001,0),1)&gt;=100000,INDEX($U$1005:$AC$1005,1,MATCH(COLUMNS($U$1006:Y1006),$U$1006:$AC$1006,0))&gt;=100000), " ",IF(INDEX($U$2:$AC$1001,MATCH(ROWS($N$2:N34),$N$2:$N$1001,0),MATCH(COLUMNS($U$1006:Y1006),$U$1006:$AC$1006,0)), HYPERLINK("#",""), HYPERLINK(CONCATENATE("#metadata!", ADDRESS(INDEX($P$2:$P$1001,MATCH(ROWS($N$2:N34),$N$2:$N$1001,0),0), INDEX($U$1004:$AC$1004,1,MATCH(COLUMNS($U$1006:Y1006),$U$1006:$AC$1006,0)))),"Fix")))</f>
        <v>0</v>
      </c>
      <c r="G34" s="3">
        <f>IF(OR(INDEX($O$2:$O$1001,MATCH(ROWS($N$2:N34),$N$2:$N$1001,0),1)&gt;=100000,INDEX($U$1005:$AC$1005,1,MATCH(COLUMNS($U$1006:Z1006),$U$1006:$AC$1006,0))&gt;=100000), " ",IF(INDEX($U$2:$AC$1001,MATCH(ROWS($N$2:N34),$N$2:$N$1001,0),MATCH(COLUMNS($U$1006:Z1006),$U$1006:$AC$1006,0)), HYPERLINK("#",""), HYPERLINK(CONCATENATE("#metadata!", ADDRESS(INDEX($P$2:$P$1001,MATCH(ROWS($N$2:N34),$N$2:$N$1001,0),0), INDEX($U$1004:$AC$1004,1,MATCH(COLUMNS($U$1006:Z1006),$U$1006:$AC$1006,0)))),"Fix")))</f>
        <v>0</v>
      </c>
      <c r="H34" s="3">
        <f>IF(OR(INDEX($O$2:$O$1001,MATCH(ROWS($N$2:N34),$N$2:$N$1001,0),1)&gt;=100000,INDEX($U$1005:$AC$1005,1,MATCH(COLUMNS($U$1006:AA1006),$U$1006:$AC$1006,0))&gt;=100000), " ",IF(INDEX($U$2:$AC$1001,MATCH(ROWS($N$2:N34),$N$2:$N$1001,0),MATCH(COLUMNS($U$1006:AA1006),$U$1006:$AC$1006,0)), HYPERLINK("#",""), HYPERLINK(CONCATENATE("#metadata!", ADDRESS(INDEX($P$2:$P$1001,MATCH(ROWS($N$2:N34),$N$2:$N$1001,0),0), INDEX($U$1004:$AC$1004,1,MATCH(COLUMNS($U$1006:AA1006),$U$1006:$AC$1006,0)))),"Fix")))</f>
        <v>0</v>
      </c>
      <c r="I34" s="3">
        <f>IF(OR(INDEX($O$2:$O$1001,MATCH(ROWS($N$2:N34),$N$2:$N$1001,0),1)&gt;=100000,INDEX($U$1005:$AC$1005,1,MATCH(COLUMNS($U$1006:AB1006),$U$1006:$AC$1006,0))&gt;=100000), " ",IF(INDEX($U$2:$AC$1001,MATCH(ROWS($N$2:N34),$N$2:$N$1001,0),MATCH(COLUMNS($U$1006:AB1006),$U$1006:$AC$1006,0)), HYPERLINK("#",""), HYPERLINK(CONCATENATE("#metadata!", ADDRESS(INDEX($P$2:$P$1001,MATCH(ROWS($N$2:N34),$N$2:$N$1001,0),0), INDEX($U$1004:$AC$1004,1,MATCH(COLUMNS($U$1006:AB1006),$U$1006:$AC$1006,0)))),"Fix")))</f>
        <v>0</v>
      </c>
      <c r="J34" s="3">
        <f>IF(OR(INDEX($O$2:$O$1001,MATCH(ROWS($N$2:N34),$N$2:$N$1001,0),1)&gt;=100000,INDEX($U$1005:$AC$1005,1,MATCH(COLUMNS($U$1006:AC1006),$U$1006:$AC$1006,0))&gt;=100000), " ",IF(INDEX($U$2:$AC$1001,MATCH(ROWS($N$2:N34),$N$2:$N$1001,0),MATCH(COLUMNS($U$1006:AC1006),$U$1006:$AC$1006,0)), HYPERLINK("#",""), HYPERLINK(CONCATENATE("#metadata!", ADDRESS(INDEX($P$2:$P$1001,MATCH(ROWS($N$2:N34),$N$2:$N$1001,0),0), INDEX($U$1004:$AC$1004,1,MATCH(COLUMNS($U$1006:AC1006),$U$1006:$AC$1006,0)))),"Fix")))</f>
        <v>0</v>
      </c>
      <c r="N34">
        <v>0</v>
      </c>
      <c r="O34">
        <v>0</v>
      </c>
      <c r="P34">
        <v>0</v>
      </c>
      <c r="Q34">
        <f>IF(R34,TRUE,AND(U34:AC34))</f>
        <v>0</v>
      </c>
      <c r="R34">
        <f>COUNTBLANK(metadata!B34:J34)=COLUMNS(metadata!B34:J34)</f>
        <v>0</v>
      </c>
      <c r="S34">
        <v>0</v>
      </c>
      <c r="U34">
        <f>AND(IF(metadata!B34="",FALSE,TRUE),COUNTIF(metadata!B:B, metadata!B34) = 1,NOT(ISERROR(SUMPRODUCT(SEARCH(MID(metadata!B34,ROW(INDIRECT("1:"&amp;LEN(metadata!B34))), 1),"0123456789abcdefghijklmnopqrstuvwxyzABCDEFGHIJKLMNOPQRSTUVWXYZ.")))))</f>
        <v>0</v>
      </c>
      <c r="V34">
        <f>AND(IF(metadata!C34="",FALSE,TRUE),exact(metadata!C34,"UBERON:genitourinary"))</f>
        <v>0</v>
      </c>
      <c r="W34">
        <f>AND(IF(metadata!D34="",FALSE,TRUE),exact(metadata!D34,"UBERON:urine"))</f>
        <v>0</v>
      </c>
      <c r="X34">
        <f>AND(IF(metadata!E34="",FALSE,TRUE),exact(metadata!E34,"UBERON:kidney"))</f>
        <v>0</v>
      </c>
      <c r="Y34">
        <f>AND(IF(metadata!F34="",FALSE,TRUE),exact(metadata!F34,"animal corpus"))</f>
        <v>0</v>
      </c>
      <c r="Z34">
        <f>AND(IF(metadata!G34="",FALSE,TRUE),exact(metadata!G34,"urine"))</f>
        <v>0</v>
      </c>
      <c r="AA34">
        <f>AND(IF(metadata!H34="",FALSE,TRUE),exact(metadata!H34,"urine"))</f>
        <v>0</v>
      </c>
      <c r="AB34">
        <f>AND(IF(metadata!I34="",FALSE,TRUE),exact(metadata!I34,"urine metagenome"))</f>
        <v>0</v>
      </c>
      <c r="AC34">
        <f>AND(IF(metadata!J34="",FALSE,TRUE),exact(metadata!J34,"1346744"))</f>
        <v>0</v>
      </c>
    </row>
    <row r="35" spans="1:29">
      <c r="A35" s="4">
        <f>IF(B35=" "," ",HYPERLINK(CONCATENATE("#metadata!",ADDRESS(INDEX($P$2:$P$1001,MATCH(ROWS($N$2:N35),$N$2:$N$1001,0),0),1)),INDEX($S$2:$S$1001,MATCH(ROWS($N$2:N35),$N$2:$N$1001,0),0)))</f>
        <v>0</v>
      </c>
      <c r="B35" s="3">
        <f>IF(OR(INDEX($O$2:$O$1001,MATCH(ROWS($N$2:N35),$N$2:$N$1001,0),1)&gt;=100000,INDEX($U$1005:$AC$1005,1,MATCH(COLUMNS($U$1006:U1006),$U$1006:$AC$1006,0))&gt;=100000), " ",IF(INDEX($U$2:$AC$1001,MATCH(ROWS($N$2:N35),$N$2:$N$1001,0),MATCH(COLUMNS($U$1006:U1006),$U$1006:$AC$1006,0)), HYPERLINK("#",""), HYPERLINK(CONCATENATE("#metadata!", ADDRESS(INDEX($P$2:$P$1001,MATCH(ROWS($N$2:N35),$N$2:$N$1001,0),0), INDEX($U$1004:$AC$1004,1,MATCH(COLUMNS($U$1006:U1006),$U$1006:$AC$1006,0)))),"Fix")))</f>
        <v>0</v>
      </c>
      <c r="C35" s="3">
        <f>IF(OR(INDEX($O$2:$O$1001,MATCH(ROWS($N$2:N35),$N$2:$N$1001,0),1)&gt;=100000,INDEX($U$1005:$AC$1005,1,MATCH(COLUMNS($U$1006:V1006),$U$1006:$AC$1006,0))&gt;=100000), " ",IF(INDEX($U$2:$AC$1001,MATCH(ROWS($N$2:N35),$N$2:$N$1001,0),MATCH(COLUMNS($U$1006:V1006),$U$1006:$AC$1006,0)), HYPERLINK("#",""), HYPERLINK(CONCATENATE("#metadata!", ADDRESS(INDEX($P$2:$P$1001,MATCH(ROWS($N$2:N35),$N$2:$N$1001,0),0), INDEX($U$1004:$AC$1004,1,MATCH(COLUMNS($U$1006:V1006),$U$1006:$AC$1006,0)))),"Fix")))</f>
        <v>0</v>
      </c>
      <c r="D35" s="3">
        <f>IF(OR(INDEX($O$2:$O$1001,MATCH(ROWS($N$2:N35),$N$2:$N$1001,0),1)&gt;=100000,INDEX($U$1005:$AC$1005,1,MATCH(COLUMNS($U$1006:W1006),$U$1006:$AC$1006,0))&gt;=100000), " ",IF(INDEX($U$2:$AC$1001,MATCH(ROWS($N$2:N35),$N$2:$N$1001,0),MATCH(COLUMNS($U$1006:W1006),$U$1006:$AC$1006,0)), HYPERLINK("#",""), HYPERLINK(CONCATENATE("#metadata!", ADDRESS(INDEX($P$2:$P$1001,MATCH(ROWS($N$2:N35),$N$2:$N$1001,0),0), INDEX($U$1004:$AC$1004,1,MATCH(COLUMNS($U$1006:W1006),$U$1006:$AC$1006,0)))),"Fix")))</f>
        <v>0</v>
      </c>
      <c r="E35" s="3">
        <f>IF(OR(INDEX($O$2:$O$1001,MATCH(ROWS($N$2:N35),$N$2:$N$1001,0),1)&gt;=100000,INDEX($U$1005:$AC$1005,1,MATCH(COLUMNS($U$1006:X1006),$U$1006:$AC$1006,0))&gt;=100000), " ",IF(INDEX($U$2:$AC$1001,MATCH(ROWS($N$2:N35),$N$2:$N$1001,0),MATCH(COLUMNS($U$1006:X1006),$U$1006:$AC$1006,0)), HYPERLINK("#",""), HYPERLINK(CONCATENATE("#metadata!", ADDRESS(INDEX($P$2:$P$1001,MATCH(ROWS($N$2:N35),$N$2:$N$1001,0),0), INDEX($U$1004:$AC$1004,1,MATCH(COLUMNS($U$1006:X1006),$U$1006:$AC$1006,0)))),"Fix")))</f>
        <v>0</v>
      </c>
      <c r="F35" s="3">
        <f>IF(OR(INDEX($O$2:$O$1001,MATCH(ROWS($N$2:N35),$N$2:$N$1001,0),1)&gt;=100000,INDEX($U$1005:$AC$1005,1,MATCH(COLUMNS($U$1006:Y1006),$U$1006:$AC$1006,0))&gt;=100000), " ",IF(INDEX($U$2:$AC$1001,MATCH(ROWS($N$2:N35),$N$2:$N$1001,0),MATCH(COLUMNS($U$1006:Y1006),$U$1006:$AC$1006,0)), HYPERLINK("#",""), HYPERLINK(CONCATENATE("#metadata!", ADDRESS(INDEX($P$2:$P$1001,MATCH(ROWS($N$2:N35),$N$2:$N$1001,0),0), INDEX($U$1004:$AC$1004,1,MATCH(COLUMNS($U$1006:Y1006),$U$1006:$AC$1006,0)))),"Fix")))</f>
        <v>0</v>
      </c>
      <c r="G35" s="3">
        <f>IF(OR(INDEX($O$2:$O$1001,MATCH(ROWS($N$2:N35),$N$2:$N$1001,0),1)&gt;=100000,INDEX($U$1005:$AC$1005,1,MATCH(COLUMNS($U$1006:Z1006),$U$1006:$AC$1006,0))&gt;=100000), " ",IF(INDEX($U$2:$AC$1001,MATCH(ROWS($N$2:N35),$N$2:$N$1001,0),MATCH(COLUMNS($U$1006:Z1006),$U$1006:$AC$1006,0)), HYPERLINK("#",""), HYPERLINK(CONCATENATE("#metadata!", ADDRESS(INDEX($P$2:$P$1001,MATCH(ROWS($N$2:N35),$N$2:$N$1001,0),0), INDEX($U$1004:$AC$1004,1,MATCH(COLUMNS($U$1006:Z1006),$U$1006:$AC$1006,0)))),"Fix")))</f>
        <v>0</v>
      </c>
      <c r="H35" s="3">
        <f>IF(OR(INDEX($O$2:$O$1001,MATCH(ROWS($N$2:N35),$N$2:$N$1001,0),1)&gt;=100000,INDEX($U$1005:$AC$1005,1,MATCH(COLUMNS($U$1006:AA1006),$U$1006:$AC$1006,0))&gt;=100000), " ",IF(INDEX($U$2:$AC$1001,MATCH(ROWS($N$2:N35),$N$2:$N$1001,0),MATCH(COLUMNS($U$1006:AA1006),$U$1006:$AC$1006,0)), HYPERLINK("#",""), HYPERLINK(CONCATENATE("#metadata!", ADDRESS(INDEX($P$2:$P$1001,MATCH(ROWS($N$2:N35),$N$2:$N$1001,0),0), INDEX($U$1004:$AC$1004,1,MATCH(COLUMNS($U$1006:AA1006),$U$1006:$AC$1006,0)))),"Fix")))</f>
        <v>0</v>
      </c>
      <c r="I35" s="3">
        <f>IF(OR(INDEX($O$2:$O$1001,MATCH(ROWS($N$2:N35),$N$2:$N$1001,0),1)&gt;=100000,INDEX($U$1005:$AC$1005,1,MATCH(COLUMNS($U$1006:AB1006),$U$1006:$AC$1006,0))&gt;=100000), " ",IF(INDEX($U$2:$AC$1001,MATCH(ROWS($N$2:N35),$N$2:$N$1001,0),MATCH(COLUMNS($U$1006:AB1006),$U$1006:$AC$1006,0)), HYPERLINK("#",""), HYPERLINK(CONCATENATE("#metadata!", ADDRESS(INDEX($P$2:$P$1001,MATCH(ROWS($N$2:N35),$N$2:$N$1001,0),0), INDEX($U$1004:$AC$1004,1,MATCH(COLUMNS($U$1006:AB1006),$U$1006:$AC$1006,0)))),"Fix")))</f>
        <v>0</v>
      </c>
      <c r="J35" s="3">
        <f>IF(OR(INDEX($O$2:$O$1001,MATCH(ROWS($N$2:N35),$N$2:$N$1001,0),1)&gt;=100000,INDEX($U$1005:$AC$1005,1,MATCH(COLUMNS($U$1006:AC1006),$U$1006:$AC$1006,0))&gt;=100000), " ",IF(INDEX($U$2:$AC$1001,MATCH(ROWS($N$2:N35),$N$2:$N$1001,0),MATCH(COLUMNS($U$1006:AC1006),$U$1006:$AC$1006,0)), HYPERLINK("#",""), HYPERLINK(CONCATENATE("#metadata!", ADDRESS(INDEX($P$2:$P$1001,MATCH(ROWS($N$2:N35),$N$2:$N$1001,0),0), INDEX($U$1004:$AC$1004,1,MATCH(COLUMNS($U$1006:AC1006),$U$1006:$AC$1006,0)))),"Fix")))</f>
        <v>0</v>
      </c>
      <c r="N35">
        <v>0</v>
      </c>
      <c r="O35">
        <v>0</v>
      </c>
      <c r="P35">
        <v>0</v>
      </c>
      <c r="Q35">
        <f>IF(R35,TRUE,AND(U35:AC35))</f>
        <v>0</v>
      </c>
      <c r="R35">
        <f>COUNTBLANK(metadata!B35:J35)=COLUMNS(metadata!B35:J35)</f>
        <v>0</v>
      </c>
      <c r="S35">
        <v>0</v>
      </c>
      <c r="U35">
        <f>AND(IF(metadata!B35="",FALSE,TRUE),COUNTIF(metadata!B:B, metadata!B35) = 1,NOT(ISERROR(SUMPRODUCT(SEARCH(MID(metadata!B35,ROW(INDIRECT("1:"&amp;LEN(metadata!B35))), 1),"0123456789abcdefghijklmnopqrstuvwxyzABCDEFGHIJKLMNOPQRSTUVWXYZ.")))))</f>
        <v>0</v>
      </c>
      <c r="V35">
        <f>AND(IF(metadata!C35="",FALSE,TRUE),exact(metadata!C35,"UBERON:genitourinary"))</f>
        <v>0</v>
      </c>
      <c r="W35">
        <f>AND(IF(metadata!D35="",FALSE,TRUE),exact(metadata!D35,"UBERON:urine"))</f>
        <v>0</v>
      </c>
      <c r="X35">
        <f>AND(IF(metadata!E35="",FALSE,TRUE),exact(metadata!E35,"UBERON:kidney"))</f>
        <v>0</v>
      </c>
      <c r="Y35">
        <f>AND(IF(metadata!F35="",FALSE,TRUE),exact(metadata!F35,"animal corpus"))</f>
        <v>0</v>
      </c>
      <c r="Z35">
        <f>AND(IF(metadata!G35="",FALSE,TRUE),exact(metadata!G35,"urine"))</f>
        <v>0</v>
      </c>
      <c r="AA35">
        <f>AND(IF(metadata!H35="",FALSE,TRUE),exact(metadata!H35,"urine"))</f>
        <v>0</v>
      </c>
      <c r="AB35">
        <f>AND(IF(metadata!I35="",FALSE,TRUE),exact(metadata!I35,"urine metagenome"))</f>
        <v>0</v>
      </c>
      <c r="AC35">
        <f>AND(IF(metadata!J35="",FALSE,TRUE),exact(metadata!J35,"1346744"))</f>
        <v>0</v>
      </c>
    </row>
    <row r="36" spans="1:29">
      <c r="A36" s="4">
        <f>IF(B36=" "," ",HYPERLINK(CONCATENATE("#metadata!",ADDRESS(INDEX($P$2:$P$1001,MATCH(ROWS($N$2:N36),$N$2:$N$1001,0),0),1)),INDEX($S$2:$S$1001,MATCH(ROWS($N$2:N36),$N$2:$N$1001,0),0)))</f>
        <v>0</v>
      </c>
      <c r="B36" s="3">
        <f>IF(OR(INDEX($O$2:$O$1001,MATCH(ROWS($N$2:N36),$N$2:$N$1001,0),1)&gt;=100000,INDEX($U$1005:$AC$1005,1,MATCH(COLUMNS($U$1006:U1006),$U$1006:$AC$1006,0))&gt;=100000), " ",IF(INDEX($U$2:$AC$1001,MATCH(ROWS($N$2:N36),$N$2:$N$1001,0),MATCH(COLUMNS($U$1006:U1006),$U$1006:$AC$1006,0)), HYPERLINK("#",""), HYPERLINK(CONCATENATE("#metadata!", ADDRESS(INDEX($P$2:$P$1001,MATCH(ROWS($N$2:N36),$N$2:$N$1001,0),0), INDEX($U$1004:$AC$1004,1,MATCH(COLUMNS($U$1006:U1006),$U$1006:$AC$1006,0)))),"Fix")))</f>
        <v>0</v>
      </c>
      <c r="C36" s="3">
        <f>IF(OR(INDEX($O$2:$O$1001,MATCH(ROWS($N$2:N36),$N$2:$N$1001,0),1)&gt;=100000,INDEX($U$1005:$AC$1005,1,MATCH(COLUMNS($U$1006:V1006),$U$1006:$AC$1006,0))&gt;=100000), " ",IF(INDEX($U$2:$AC$1001,MATCH(ROWS($N$2:N36),$N$2:$N$1001,0),MATCH(COLUMNS($U$1006:V1006),$U$1006:$AC$1006,0)), HYPERLINK("#",""), HYPERLINK(CONCATENATE("#metadata!", ADDRESS(INDEX($P$2:$P$1001,MATCH(ROWS($N$2:N36),$N$2:$N$1001,0),0), INDEX($U$1004:$AC$1004,1,MATCH(COLUMNS($U$1006:V1006),$U$1006:$AC$1006,0)))),"Fix")))</f>
        <v>0</v>
      </c>
      <c r="D36" s="3">
        <f>IF(OR(INDEX($O$2:$O$1001,MATCH(ROWS($N$2:N36),$N$2:$N$1001,0),1)&gt;=100000,INDEX($U$1005:$AC$1005,1,MATCH(COLUMNS($U$1006:W1006),$U$1006:$AC$1006,0))&gt;=100000), " ",IF(INDEX($U$2:$AC$1001,MATCH(ROWS($N$2:N36),$N$2:$N$1001,0),MATCH(COLUMNS($U$1006:W1006),$U$1006:$AC$1006,0)), HYPERLINK("#",""), HYPERLINK(CONCATENATE("#metadata!", ADDRESS(INDEX($P$2:$P$1001,MATCH(ROWS($N$2:N36),$N$2:$N$1001,0),0), INDEX($U$1004:$AC$1004,1,MATCH(COLUMNS($U$1006:W1006),$U$1006:$AC$1006,0)))),"Fix")))</f>
        <v>0</v>
      </c>
      <c r="E36" s="3">
        <f>IF(OR(INDEX($O$2:$O$1001,MATCH(ROWS($N$2:N36),$N$2:$N$1001,0),1)&gt;=100000,INDEX($U$1005:$AC$1005,1,MATCH(COLUMNS($U$1006:X1006),$U$1006:$AC$1006,0))&gt;=100000), " ",IF(INDEX($U$2:$AC$1001,MATCH(ROWS($N$2:N36),$N$2:$N$1001,0),MATCH(COLUMNS($U$1006:X1006),$U$1006:$AC$1006,0)), HYPERLINK("#",""), HYPERLINK(CONCATENATE("#metadata!", ADDRESS(INDEX($P$2:$P$1001,MATCH(ROWS($N$2:N36),$N$2:$N$1001,0),0), INDEX($U$1004:$AC$1004,1,MATCH(COLUMNS($U$1006:X1006),$U$1006:$AC$1006,0)))),"Fix")))</f>
        <v>0</v>
      </c>
      <c r="F36" s="3">
        <f>IF(OR(INDEX($O$2:$O$1001,MATCH(ROWS($N$2:N36),$N$2:$N$1001,0),1)&gt;=100000,INDEX($U$1005:$AC$1005,1,MATCH(COLUMNS($U$1006:Y1006),$U$1006:$AC$1006,0))&gt;=100000), " ",IF(INDEX($U$2:$AC$1001,MATCH(ROWS($N$2:N36),$N$2:$N$1001,0),MATCH(COLUMNS($U$1006:Y1006),$U$1006:$AC$1006,0)), HYPERLINK("#",""), HYPERLINK(CONCATENATE("#metadata!", ADDRESS(INDEX($P$2:$P$1001,MATCH(ROWS($N$2:N36),$N$2:$N$1001,0),0), INDEX($U$1004:$AC$1004,1,MATCH(COLUMNS($U$1006:Y1006),$U$1006:$AC$1006,0)))),"Fix")))</f>
        <v>0</v>
      </c>
      <c r="G36" s="3">
        <f>IF(OR(INDEX($O$2:$O$1001,MATCH(ROWS($N$2:N36),$N$2:$N$1001,0),1)&gt;=100000,INDEX($U$1005:$AC$1005,1,MATCH(COLUMNS($U$1006:Z1006),$U$1006:$AC$1006,0))&gt;=100000), " ",IF(INDEX($U$2:$AC$1001,MATCH(ROWS($N$2:N36),$N$2:$N$1001,0),MATCH(COLUMNS($U$1006:Z1006),$U$1006:$AC$1006,0)), HYPERLINK("#",""), HYPERLINK(CONCATENATE("#metadata!", ADDRESS(INDEX($P$2:$P$1001,MATCH(ROWS($N$2:N36),$N$2:$N$1001,0),0), INDEX($U$1004:$AC$1004,1,MATCH(COLUMNS($U$1006:Z1006),$U$1006:$AC$1006,0)))),"Fix")))</f>
        <v>0</v>
      </c>
      <c r="H36" s="3">
        <f>IF(OR(INDEX($O$2:$O$1001,MATCH(ROWS($N$2:N36),$N$2:$N$1001,0),1)&gt;=100000,INDEX($U$1005:$AC$1005,1,MATCH(COLUMNS($U$1006:AA1006),$U$1006:$AC$1006,0))&gt;=100000), " ",IF(INDEX($U$2:$AC$1001,MATCH(ROWS($N$2:N36),$N$2:$N$1001,0),MATCH(COLUMNS($U$1006:AA1006),$U$1006:$AC$1006,0)), HYPERLINK("#",""), HYPERLINK(CONCATENATE("#metadata!", ADDRESS(INDEX($P$2:$P$1001,MATCH(ROWS($N$2:N36),$N$2:$N$1001,0),0), INDEX($U$1004:$AC$1004,1,MATCH(COLUMNS($U$1006:AA1006),$U$1006:$AC$1006,0)))),"Fix")))</f>
        <v>0</v>
      </c>
      <c r="I36" s="3">
        <f>IF(OR(INDEX($O$2:$O$1001,MATCH(ROWS($N$2:N36),$N$2:$N$1001,0),1)&gt;=100000,INDEX($U$1005:$AC$1005,1,MATCH(COLUMNS($U$1006:AB1006),$U$1006:$AC$1006,0))&gt;=100000), " ",IF(INDEX($U$2:$AC$1001,MATCH(ROWS($N$2:N36),$N$2:$N$1001,0),MATCH(COLUMNS($U$1006:AB1006),$U$1006:$AC$1006,0)), HYPERLINK("#",""), HYPERLINK(CONCATENATE("#metadata!", ADDRESS(INDEX($P$2:$P$1001,MATCH(ROWS($N$2:N36),$N$2:$N$1001,0),0), INDEX($U$1004:$AC$1004,1,MATCH(COLUMNS($U$1006:AB1006),$U$1006:$AC$1006,0)))),"Fix")))</f>
        <v>0</v>
      </c>
      <c r="J36" s="3">
        <f>IF(OR(INDEX($O$2:$O$1001,MATCH(ROWS($N$2:N36),$N$2:$N$1001,0),1)&gt;=100000,INDEX($U$1005:$AC$1005,1,MATCH(COLUMNS($U$1006:AC1006),$U$1006:$AC$1006,0))&gt;=100000), " ",IF(INDEX($U$2:$AC$1001,MATCH(ROWS($N$2:N36),$N$2:$N$1001,0),MATCH(COLUMNS($U$1006:AC1006),$U$1006:$AC$1006,0)), HYPERLINK("#",""), HYPERLINK(CONCATENATE("#metadata!", ADDRESS(INDEX($P$2:$P$1001,MATCH(ROWS($N$2:N36),$N$2:$N$1001,0),0), INDEX($U$1004:$AC$1004,1,MATCH(COLUMNS($U$1006:AC1006),$U$1006:$AC$1006,0)))),"Fix")))</f>
        <v>0</v>
      </c>
      <c r="N36">
        <v>0</v>
      </c>
      <c r="O36">
        <v>0</v>
      </c>
      <c r="P36">
        <v>0</v>
      </c>
      <c r="Q36">
        <f>IF(R36,TRUE,AND(U36:AC36))</f>
        <v>0</v>
      </c>
      <c r="R36">
        <f>COUNTBLANK(metadata!B36:J36)=COLUMNS(metadata!B36:J36)</f>
        <v>0</v>
      </c>
      <c r="S36">
        <v>0</v>
      </c>
      <c r="U36">
        <f>AND(IF(metadata!B36="",FALSE,TRUE),COUNTIF(metadata!B:B, metadata!B36) = 1,NOT(ISERROR(SUMPRODUCT(SEARCH(MID(metadata!B36,ROW(INDIRECT("1:"&amp;LEN(metadata!B36))), 1),"0123456789abcdefghijklmnopqrstuvwxyzABCDEFGHIJKLMNOPQRSTUVWXYZ.")))))</f>
        <v>0</v>
      </c>
      <c r="V36">
        <f>AND(IF(metadata!C36="",FALSE,TRUE),exact(metadata!C36,"UBERON:genitourinary"))</f>
        <v>0</v>
      </c>
      <c r="W36">
        <f>AND(IF(metadata!D36="",FALSE,TRUE),exact(metadata!D36,"UBERON:urine"))</f>
        <v>0</v>
      </c>
      <c r="X36">
        <f>AND(IF(metadata!E36="",FALSE,TRUE),exact(metadata!E36,"UBERON:kidney"))</f>
        <v>0</v>
      </c>
      <c r="Y36">
        <f>AND(IF(metadata!F36="",FALSE,TRUE),exact(metadata!F36,"animal corpus"))</f>
        <v>0</v>
      </c>
      <c r="Z36">
        <f>AND(IF(metadata!G36="",FALSE,TRUE),exact(metadata!G36,"urine"))</f>
        <v>0</v>
      </c>
      <c r="AA36">
        <f>AND(IF(metadata!H36="",FALSE,TRUE),exact(metadata!H36,"urine"))</f>
        <v>0</v>
      </c>
      <c r="AB36">
        <f>AND(IF(metadata!I36="",FALSE,TRUE),exact(metadata!I36,"urine metagenome"))</f>
        <v>0</v>
      </c>
      <c r="AC36">
        <f>AND(IF(metadata!J36="",FALSE,TRUE),exact(metadata!J36,"1346744"))</f>
        <v>0</v>
      </c>
    </row>
    <row r="37" spans="1:29">
      <c r="A37" s="4">
        <f>IF(B37=" "," ",HYPERLINK(CONCATENATE("#metadata!",ADDRESS(INDEX($P$2:$P$1001,MATCH(ROWS($N$2:N37),$N$2:$N$1001,0),0),1)),INDEX($S$2:$S$1001,MATCH(ROWS($N$2:N37),$N$2:$N$1001,0),0)))</f>
        <v>0</v>
      </c>
      <c r="B37" s="3">
        <f>IF(OR(INDEX($O$2:$O$1001,MATCH(ROWS($N$2:N37),$N$2:$N$1001,0),1)&gt;=100000,INDEX($U$1005:$AC$1005,1,MATCH(COLUMNS($U$1006:U1006),$U$1006:$AC$1006,0))&gt;=100000), " ",IF(INDEX($U$2:$AC$1001,MATCH(ROWS($N$2:N37),$N$2:$N$1001,0),MATCH(COLUMNS($U$1006:U1006),$U$1006:$AC$1006,0)), HYPERLINK("#",""), HYPERLINK(CONCATENATE("#metadata!", ADDRESS(INDEX($P$2:$P$1001,MATCH(ROWS($N$2:N37),$N$2:$N$1001,0),0), INDEX($U$1004:$AC$1004,1,MATCH(COLUMNS($U$1006:U1006),$U$1006:$AC$1006,0)))),"Fix")))</f>
        <v>0</v>
      </c>
      <c r="C37" s="3">
        <f>IF(OR(INDEX($O$2:$O$1001,MATCH(ROWS($N$2:N37),$N$2:$N$1001,0),1)&gt;=100000,INDEX($U$1005:$AC$1005,1,MATCH(COLUMNS($U$1006:V1006),$U$1006:$AC$1006,0))&gt;=100000), " ",IF(INDEX($U$2:$AC$1001,MATCH(ROWS($N$2:N37),$N$2:$N$1001,0),MATCH(COLUMNS($U$1006:V1006),$U$1006:$AC$1006,0)), HYPERLINK("#",""), HYPERLINK(CONCATENATE("#metadata!", ADDRESS(INDEX($P$2:$P$1001,MATCH(ROWS($N$2:N37),$N$2:$N$1001,0),0), INDEX($U$1004:$AC$1004,1,MATCH(COLUMNS($U$1006:V1006),$U$1006:$AC$1006,0)))),"Fix")))</f>
        <v>0</v>
      </c>
      <c r="D37" s="3">
        <f>IF(OR(INDEX($O$2:$O$1001,MATCH(ROWS($N$2:N37),$N$2:$N$1001,0),1)&gt;=100000,INDEX($U$1005:$AC$1005,1,MATCH(COLUMNS($U$1006:W1006),$U$1006:$AC$1006,0))&gt;=100000), " ",IF(INDEX($U$2:$AC$1001,MATCH(ROWS($N$2:N37),$N$2:$N$1001,0),MATCH(COLUMNS($U$1006:W1006),$U$1006:$AC$1006,0)), HYPERLINK("#",""), HYPERLINK(CONCATENATE("#metadata!", ADDRESS(INDEX($P$2:$P$1001,MATCH(ROWS($N$2:N37),$N$2:$N$1001,0),0), INDEX($U$1004:$AC$1004,1,MATCH(COLUMNS($U$1006:W1006),$U$1006:$AC$1006,0)))),"Fix")))</f>
        <v>0</v>
      </c>
      <c r="E37" s="3">
        <f>IF(OR(INDEX($O$2:$O$1001,MATCH(ROWS($N$2:N37),$N$2:$N$1001,0),1)&gt;=100000,INDEX($U$1005:$AC$1005,1,MATCH(COLUMNS($U$1006:X1006),$U$1006:$AC$1006,0))&gt;=100000), " ",IF(INDEX($U$2:$AC$1001,MATCH(ROWS($N$2:N37),$N$2:$N$1001,0),MATCH(COLUMNS($U$1006:X1006),$U$1006:$AC$1006,0)), HYPERLINK("#",""), HYPERLINK(CONCATENATE("#metadata!", ADDRESS(INDEX($P$2:$P$1001,MATCH(ROWS($N$2:N37),$N$2:$N$1001,0),0), INDEX($U$1004:$AC$1004,1,MATCH(COLUMNS($U$1006:X1006),$U$1006:$AC$1006,0)))),"Fix")))</f>
        <v>0</v>
      </c>
      <c r="F37" s="3">
        <f>IF(OR(INDEX($O$2:$O$1001,MATCH(ROWS($N$2:N37),$N$2:$N$1001,0),1)&gt;=100000,INDEX($U$1005:$AC$1005,1,MATCH(COLUMNS($U$1006:Y1006),$U$1006:$AC$1006,0))&gt;=100000), " ",IF(INDEX($U$2:$AC$1001,MATCH(ROWS($N$2:N37),$N$2:$N$1001,0),MATCH(COLUMNS($U$1006:Y1006),$U$1006:$AC$1006,0)), HYPERLINK("#",""), HYPERLINK(CONCATENATE("#metadata!", ADDRESS(INDEX($P$2:$P$1001,MATCH(ROWS($N$2:N37),$N$2:$N$1001,0),0), INDEX($U$1004:$AC$1004,1,MATCH(COLUMNS($U$1006:Y1006),$U$1006:$AC$1006,0)))),"Fix")))</f>
        <v>0</v>
      </c>
      <c r="G37" s="3">
        <f>IF(OR(INDEX($O$2:$O$1001,MATCH(ROWS($N$2:N37),$N$2:$N$1001,0),1)&gt;=100000,INDEX($U$1005:$AC$1005,1,MATCH(COLUMNS($U$1006:Z1006),$U$1006:$AC$1006,0))&gt;=100000), " ",IF(INDEX($U$2:$AC$1001,MATCH(ROWS($N$2:N37),$N$2:$N$1001,0),MATCH(COLUMNS($U$1006:Z1006),$U$1006:$AC$1006,0)), HYPERLINK("#",""), HYPERLINK(CONCATENATE("#metadata!", ADDRESS(INDEX($P$2:$P$1001,MATCH(ROWS($N$2:N37),$N$2:$N$1001,0),0), INDEX($U$1004:$AC$1004,1,MATCH(COLUMNS($U$1006:Z1006),$U$1006:$AC$1006,0)))),"Fix")))</f>
        <v>0</v>
      </c>
      <c r="H37" s="3">
        <f>IF(OR(INDEX($O$2:$O$1001,MATCH(ROWS($N$2:N37),$N$2:$N$1001,0),1)&gt;=100000,INDEX($U$1005:$AC$1005,1,MATCH(COLUMNS($U$1006:AA1006),$U$1006:$AC$1006,0))&gt;=100000), " ",IF(INDEX($U$2:$AC$1001,MATCH(ROWS($N$2:N37),$N$2:$N$1001,0),MATCH(COLUMNS($U$1006:AA1006),$U$1006:$AC$1006,0)), HYPERLINK("#",""), HYPERLINK(CONCATENATE("#metadata!", ADDRESS(INDEX($P$2:$P$1001,MATCH(ROWS($N$2:N37),$N$2:$N$1001,0),0), INDEX($U$1004:$AC$1004,1,MATCH(COLUMNS($U$1006:AA1006),$U$1006:$AC$1006,0)))),"Fix")))</f>
        <v>0</v>
      </c>
      <c r="I37" s="3">
        <f>IF(OR(INDEX($O$2:$O$1001,MATCH(ROWS($N$2:N37),$N$2:$N$1001,0),1)&gt;=100000,INDEX($U$1005:$AC$1005,1,MATCH(COLUMNS($U$1006:AB1006),$U$1006:$AC$1006,0))&gt;=100000), " ",IF(INDEX($U$2:$AC$1001,MATCH(ROWS($N$2:N37),$N$2:$N$1001,0),MATCH(COLUMNS($U$1006:AB1006),$U$1006:$AC$1006,0)), HYPERLINK("#",""), HYPERLINK(CONCATENATE("#metadata!", ADDRESS(INDEX($P$2:$P$1001,MATCH(ROWS($N$2:N37),$N$2:$N$1001,0),0), INDEX($U$1004:$AC$1004,1,MATCH(COLUMNS($U$1006:AB1006),$U$1006:$AC$1006,0)))),"Fix")))</f>
        <v>0</v>
      </c>
      <c r="J37" s="3">
        <f>IF(OR(INDEX($O$2:$O$1001,MATCH(ROWS($N$2:N37),$N$2:$N$1001,0),1)&gt;=100000,INDEX($U$1005:$AC$1005,1,MATCH(COLUMNS($U$1006:AC1006),$U$1006:$AC$1006,0))&gt;=100000), " ",IF(INDEX($U$2:$AC$1001,MATCH(ROWS($N$2:N37),$N$2:$N$1001,0),MATCH(COLUMNS($U$1006:AC1006),$U$1006:$AC$1006,0)), HYPERLINK("#",""), HYPERLINK(CONCATENATE("#metadata!", ADDRESS(INDEX($P$2:$P$1001,MATCH(ROWS($N$2:N37),$N$2:$N$1001,0),0), INDEX($U$1004:$AC$1004,1,MATCH(COLUMNS($U$1006:AC1006),$U$1006:$AC$1006,0)))),"Fix")))</f>
        <v>0</v>
      </c>
      <c r="N37">
        <v>0</v>
      </c>
      <c r="O37">
        <v>0</v>
      </c>
      <c r="P37">
        <v>0</v>
      </c>
      <c r="Q37">
        <f>IF(R37,TRUE,AND(U37:AC37))</f>
        <v>0</v>
      </c>
      <c r="R37">
        <f>COUNTBLANK(metadata!B37:J37)=COLUMNS(metadata!B37:J37)</f>
        <v>0</v>
      </c>
      <c r="S37">
        <v>0</v>
      </c>
      <c r="U37">
        <f>AND(IF(metadata!B37="",FALSE,TRUE),COUNTIF(metadata!B:B, metadata!B37) = 1,NOT(ISERROR(SUMPRODUCT(SEARCH(MID(metadata!B37,ROW(INDIRECT("1:"&amp;LEN(metadata!B37))), 1),"0123456789abcdefghijklmnopqrstuvwxyzABCDEFGHIJKLMNOPQRSTUVWXYZ.")))))</f>
        <v>0</v>
      </c>
      <c r="V37">
        <f>AND(IF(metadata!C37="",FALSE,TRUE),exact(metadata!C37,"UBERON:genitourinary"))</f>
        <v>0</v>
      </c>
      <c r="W37">
        <f>AND(IF(metadata!D37="",FALSE,TRUE),exact(metadata!D37,"UBERON:urine"))</f>
        <v>0</v>
      </c>
      <c r="X37">
        <f>AND(IF(metadata!E37="",FALSE,TRUE),exact(metadata!E37,"UBERON:kidney"))</f>
        <v>0</v>
      </c>
      <c r="Y37">
        <f>AND(IF(metadata!F37="",FALSE,TRUE),exact(metadata!F37,"animal corpus"))</f>
        <v>0</v>
      </c>
      <c r="Z37">
        <f>AND(IF(metadata!G37="",FALSE,TRUE),exact(metadata!G37,"urine"))</f>
        <v>0</v>
      </c>
      <c r="AA37">
        <f>AND(IF(metadata!H37="",FALSE,TRUE),exact(metadata!H37,"urine"))</f>
        <v>0</v>
      </c>
      <c r="AB37">
        <f>AND(IF(metadata!I37="",FALSE,TRUE),exact(metadata!I37,"urine metagenome"))</f>
        <v>0</v>
      </c>
      <c r="AC37">
        <f>AND(IF(metadata!J37="",FALSE,TRUE),exact(metadata!J37,"1346744"))</f>
        <v>0</v>
      </c>
    </row>
    <row r="38" spans="1:29">
      <c r="A38" s="4">
        <f>IF(B38=" "," ",HYPERLINK(CONCATENATE("#metadata!",ADDRESS(INDEX($P$2:$P$1001,MATCH(ROWS($N$2:N38),$N$2:$N$1001,0),0),1)),INDEX($S$2:$S$1001,MATCH(ROWS($N$2:N38),$N$2:$N$1001,0),0)))</f>
        <v>0</v>
      </c>
      <c r="B38" s="3">
        <f>IF(OR(INDEX($O$2:$O$1001,MATCH(ROWS($N$2:N38),$N$2:$N$1001,0),1)&gt;=100000,INDEX($U$1005:$AC$1005,1,MATCH(COLUMNS($U$1006:U1006),$U$1006:$AC$1006,0))&gt;=100000), " ",IF(INDEX($U$2:$AC$1001,MATCH(ROWS($N$2:N38),$N$2:$N$1001,0),MATCH(COLUMNS($U$1006:U1006),$U$1006:$AC$1006,0)), HYPERLINK("#",""), HYPERLINK(CONCATENATE("#metadata!", ADDRESS(INDEX($P$2:$P$1001,MATCH(ROWS($N$2:N38),$N$2:$N$1001,0),0), INDEX($U$1004:$AC$1004,1,MATCH(COLUMNS($U$1006:U1006),$U$1006:$AC$1006,0)))),"Fix")))</f>
        <v>0</v>
      </c>
      <c r="C38" s="3">
        <f>IF(OR(INDEX($O$2:$O$1001,MATCH(ROWS($N$2:N38),$N$2:$N$1001,0),1)&gt;=100000,INDEX($U$1005:$AC$1005,1,MATCH(COLUMNS($U$1006:V1006),$U$1006:$AC$1006,0))&gt;=100000), " ",IF(INDEX($U$2:$AC$1001,MATCH(ROWS($N$2:N38),$N$2:$N$1001,0),MATCH(COLUMNS($U$1006:V1006),$U$1006:$AC$1006,0)), HYPERLINK("#",""), HYPERLINK(CONCATENATE("#metadata!", ADDRESS(INDEX($P$2:$P$1001,MATCH(ROWS($N$2:N38),$N$2:$N$1001,0),0), INDEX($U$1004:$AC$1004,1,MATCH(COLUMNS($U$1006:V1006),$U$1006:$AC$1006,0)))),"Fix")))</f>
        <v>0</v>
      </c>
      <c r="D38" s="3">
        <f>IF(OR(INDEX($O$2:$O$1001,MATCH(ROWS($N$2:N38),$N$2:$N$1001,0),1)&gt;=100000,INDEX($U$1005:$AC$1005,1,MATCH(COLUMNS($U$1006:W1006),$U$1006:$AC$1006,0))&gt;=100000), " ",IF(INDEX($U$2:$AC$1001,MATCH(ROWS($N$2:N38),$N$2:$N$1001,0),MATCH(COLUMNS($U$1006:W1006),$U$1006:$AC$1006,0)), HYPERLINK("#",""), HYPERLINK(CONCATENATE("#metadata!", ADDRESS(INDEX($P$2:$P$1001,MATCH(ROWS($N$2:N38),$N$2:$N$1001,0),0), INDEX($U$1004:$AC$1004,1,MATCH(COLUMNS($U$1006:W1006),$U$1006:$AC$1006,0)))),"Fix")))</f>
        <v>0</v>
      </c>
      <c r="E38" s="3">
        <f>IF(OR(INDEX($O$2:$O$1001,MATCH(ROWS($N$2:N38),$N$2:$N$1001,0),1)&gt;=100000,INDEX($U$1005:$AC$1005,1,MATCH(COLUMNS($U$1006:X1006),$U$1006:$AC$1006,0))&gt;=100000), " ",IF(INDEX($U$2:$AC$1001,MATCH(ROWS($N$2:N38),$N$2:$N$1001,0),MATCH(COLUMNS($U$1006:X1006),$U$1006:$AC$1006,0)), HYPERLINK("#",""), HYPERLINK(CONCATENATE("#metadata!", ADDRESS(INDEX($P$2:$P$1001,MATCH(ROWS($N$2:N38),$N$2:$N$1001,0),0), INDEX($U$1004:$AC$1004,1,MATCH(COLUMNS($U$1006:X1006),$U$1006:$AC$1006,0)))),"Fix")))</f>
        <v>0</v>
      </c>
      <c r="F38" s="3">
        <f>IF(OR(INDEX($O$2:$O$1001,MATCH(ROWS($N$2:N38),$N$2:$N$1001,0),1)&gt;=100000,INDEX($U$1005:$AC$1005,1,MATCH(COLUMNS($U$1006:Y1006),$U$1006:$AC$1006,0))&gt;=100000), " ",IF(INDEX($U$2:$AC$1001,MATCH(ROWS($N$2:N38),$N$2:$N$1001,0),MATCH(COLUMNS($U$1006:Y1006),$U$1006:$AC$1006,0)), HYPERLINK("#",""), HYPERLINK(CONCATENATE("#metadata!", ADDRESS(INDEX($P$2:$P$1001,MATCH(ROWS($N$2:N38),$N$2:$N$1001,0),0), INDEX($U$1004:$AC$1004,1,MATCH(COLUMNS($U$1006:Y1006),$U$1006:$AC$1006,0)))),"Fix")))</f>
        <v>0</v>
      </c>
      <c r="G38" s="3">
        <f>IF(OR(INDEX($O$2:$O$1001,MATCH(ROWS($N$2:N38),$N$2:$N$1001,0),1)&gt;=100000,INDEX($U$1005:$AC$1005,1,MATCH(COLUMNS($U$1006:Z1006),$U$1006:$AC$1006,0))&gt;=100000), " ",IF(INDEX($U$2:$AC$1001,MATCH(ROWS($N$2:N38),$N$2:$N$1001,0),MATCH(COLUMNS($U$1006:Z1006),$U$1006:$AC$1006,0)), HYPERLINK("#",""), HYPERLINK(CONCATENATE("#metadata!", ADDRESS(INDEX($P$2:$P$1001,MATCH(ROWS($N$2:N38),$N$2:$N$1001,0),0), INDEX($U$1004:$AC$1004,1,MATCH(COLUMNS($U$1006:Z1006),$U$1006:$AC$1006,0)))),"Fix")))</f>
        <v>0</v>
      </c>
      <c r="H38" s="3">
        <f>IF(OR(INDEX($O$2:$O$1001,MATCH(ROWS($N$2:N38),$N$2:$N$1001,0),1)&gt;=100000,INDEX($U$1005:$AC$1005,1,MATCH(COLUMNS($U$1006:AA1006),$U$1006:$AC$1006,0))&gt;=100000), " ",IF(INDEX($U$2:$AC$1001,MATCH(ROWS($N$2:N38),$N$2:$N$1001,0),MATCH(COLUMNS($U$1006:AA1006),$U$1006:$AC$1006,0)), HYPERLINK("#",""), HYPERLINK(CONCATENATE("#metadata!", ADDRESS(INDEX($P$2:$P$1001,MATCH(ROWS($N$2:N38),$N$2:$N$1001,0),0), INDEX($U$1004:$AC$1004,1,MATCH(COLUMNS($U$1006:AA1006),$U$1006:$AC$1006,0)))),"Fix")))</f>
        <v>0</v>
      </c>
      <c r="I38" s="3">
        <f>IF(OR(INDEX($O$2:$O$1001,MATCH(ROWS($N$2:N38),$N$2:$N$1001,0),1)&gt;=100000,INDEX($U$1005:$AC$1005,1,MATCH(COLUMNS($U$1006:AB1006),$U$1006:$AC$1006,0))&gt;=100000), " ",IF(INDEX($U$2:$AC$1001,MATCH(ROWS($N$2:N38),$N$2:$N$1001,0),MATCH(COLUMNS($U$1006:AB1006),$U$1006:$AC$1006,0)), HYPERLINK("#",""), HYPERLINK(CONCATENATE("#metadata!", ADDRESS(INDEX($P$2:$P$1001,MATCH(ROWS($N$2:N38),$N$2:$N$1001,0),0), INDEX($U$1004:$AC$1004,1,MATCH(COLUMNS($U$1006:AB1006),$U$1006:$AC$1006,0)))),"Fix")))</f>
        <v>0</v>
      </c>
      <c r="J38" s="3">
        <f>IF(OR(INDEX($O$2:$O$1001,MATCH(ROWS($N$2:N38),$N$2:$N$1001,0),1)&gt;=100000,INDEX($U$1005:$AC$1005,1,MATCH(COLUMNS($U$1006:AC1006),$U$1006:$AC$1006,0))&gt;=100000), " ",IF(INDEX($U$2:$AC$1001,MATCH(ROWS($N$2:N38),$N$2:$N$1001,0),MATCH(COLUMNS($U$1006:AC1006),$U$1006:$AC$1006,0)), HYPERLINK("#",""), HYPERLINK(CONCATENATE("#metadata!", ADDRESS(INDEX($P$2:$P$1001,MATCH(ROWS($N$2:N38),$N$2:$N$1001,0),0), INDEX($U$1004:$AC$1004,1,MATCH(COLUMNS($U$1006:AC1006),$U$1006:$AC$1006,0)))),"Fix")))</f>
        <v>0</v>
      </c>
      <c r="N38">
        <v>0</v>
      </c>
      <c r="O38">
        <v>0</v>
      </c>
      <c r="P38">
        <v>0</v>
      </c>
      <c r="Q38">
        <f>IF(R38,TRUE,AND(U38:AC38))</f>
        <v>0</v>
      </c>
      <c r="R38">
        <f>COUNTBLANK(metadata!B38:J38)=COLUMNS(metadata!B38:J38)</f>
        <v>0</v>
      </c>
      <c r="S38">
        <v>0</v>
      </c>
      <c r="U38">
        <f>AND(IF(metadata!B38="",FALSE,TRUE),COUNTIF(metadata!B:B, metadata!B38) = 1,NOT(ISERROR(SUMPRODUCT(SEARCH(MID(metadata!B38,ROW(INDIRECT("1:"&amp;LEN(metadata!B38))), 1),"0123456789abcdefghijklmnopqrstuvwxyzABCDEFGHIJKLMNOPQRSTUVWXYZ.")))))</f>
        <v>0</v>
      </c>
      <c r="V38">
        <f>AND(IF(metadata!C38="",FALSE,TRUE),exact(metadata!C38,"UBERON:genitourinary"))</f>
        <v>0</v>
      </c>
      <c r="W38">
        <f>AND(IF(metadata!D38="",FALSE,TRUE),exact(metadata!D38,"UBERON:urine"))</f>
        <v>0</v>
      </c>
      <c r="X38">
        <f>AND(IF(metadata!E38="",FALSE,TRUE),exact(metadata!E38,"UBERON:kidney"))</f>
        <v>0</v>
      </c>
      <c r="Y38">
        <f>AND(IF(metadata!F38="",FALSE,TRUE),exact(metadata!F38,"animal corpus"))</f>
        <v>0</v>
      </c>
      <c r="Z38">
        <f>AND(IF(metadata!G38="",FALSE,TRUE),exact(metadata!G38,"urine"))</f>
        <v>0</v>
      </c>
      <c r="AA38">
        <f>AND(IF(metadata!H38="",FALSE,TRUE),exact(metadata!H38,"urine"))</f>
        <v>0</v>
      </c>
      <c r="AB38">
        <f>AND(IF(metadata!I38="",FALSE,TRUE),exact(metadata!I38,"urine metagenome"))</f>
        <v>0</v>
      </c>
      <c r="AC38">
        <f>AND(IF(metadata!J38="",FALSE,TRUE),exact(metadata!J38,"1346744"))</f>
        <v>0</v>
      </c>
    </row>
    <row r="39" spans="1:29">
      <c r="A39" s="4">
        <f>IF(B39=" "," ",HYPERLINK(CONCATENATE("#metadata!",ADDRESS(INDEX($P$2:$P$1001,MATCH(ROWS($N$2:N39),$N$2:$N$1001,0),0),1)),INDEX($S$2:$S$1001,MATCH(ROWS($N$2:N39),$N$2:$N$1001,0),0)))</f>
        <v>0</v>
      </c>
      <c r="B39" s="3">
        <f>IF(OR(INDEX($O$2:$O$1001,MATCH(ROWS($N$2:N39),$N$2:$N$1001,0),1)&gt;=100000,INDEX($U$1005:$AC$1005,1,MATCH(COLUMNS($U$1006:U1006),$U$1006:$AC$1006,0))&gt;=100000), " ",IF(INDEX($U$2:$AC$1001,MATCH(ROWS($N$2:N39),$N$2:$N$1001,0),MATCH(COLUMNS($U$1006:U1006),$U$1006:$AC$1006,0)), HYPERLINK("#",""), HYPERLINK(CONCATENATE("#metadata!", ADDRESS(INDEX($P$2:$P$1001,MATCH(ROWS($N$2:N39),$N$2:$N$1001,0),0), INDEX($U$1004:$AC$1004,1,MATCH(COLUMNS($U$1006:U1006),$U$1006:$AC$1006,0)))),"Fix")))</f>
        <v>0</v>
      </c>
      <c r="C39" s="3">
        <f>IF(OR(INDEX($O$2:$O$1001,MATCH(ROWS($N$2:N39),$N$2:$N$1001,0),1)&gt;=100000,INDEX($U$1005:$AC$1005,1,MATCH(COLUMNS($U$1006:V1006),$U$1006:$AC$1006,0))&gt;=100000), " ",IF(INDEX($U$2:$AC$1001,MATCH(ROWS($N$2:N39),$N$2:$N$1001,0),MATCH(COLUMNS($U$1006:V1006),$U$1006:$AC$1006,0)), HYPERLINK("#",""), HYPERLINK(CONCATENATE("#metadata!", ADDRESS(INDEX($P$2:$P$1001,MATCH(ROWS($N$2:N39),$N$2:$N$1001,0),0), INDEX($U$1004:$AC$1004,1,MATCH(COLUMNS($U$1006:V1006),$U$1006:$AC$1006,0)))),"Fix")))</f>
        <v>0</v>
      </c>
      <c r="D39" s="3">
        <f>IF(OR(INDEX($O$2:$O$1001,MATCH(ROWS($N$2:N39),$N$2:$N$1001,0),1)&gt;=100000,INDEX($U$1005:$AC$1005,1,MATCH(COLUMNS($U$1006:W1006),$U$1006:$AC$1006,0))&gt;=100000), " ",IF(INDEX($U$2:$AC$1001,MATCH(ROWS($N$2:N39),$N$2:$N$1001,0),MATCH(COLUMNS($U$1006:W1006),$U$1006:$AC$1006,0)), HYPERLINK("#",""), HYPERLINK(CONCATENATE("#metadata!", ADDRESS(INDEX($P$2:$P$1001,MATCH(ROWS($N$2:N39),$N$2:$N$1001,0),0), INDEX($U$1004:$AC$1004,1,MATCH(COLUMNS($U$1006:W1006),$U$1006:$AC$1006,0)))),"Fix")))</f>
        <v>0</v>
      </c>
      <c r="E39" s="3">
        <f>IF(OR(INDEX($O$2:$O$1001,MATCH(ROWS($N$2:N39),$N$2:$N$1001,0),1)&gt;=100000,INDEX($U$1005:$AC$1005,1,MATCH(COLUMNS($U$1006:X1006),$U$1006:$AC$1006,0))&gt;=100000), " ",IF(INDEX($U$2:$AC$1001,MATCH(ROWS($N$2:N39),$N$2:$N$1001,0),MATCH(COLUMNS($U$1006:X1006),$U$1006:$AC$1006,0)), HYPERLINK("#",""), HYPERLINK(CONCATENATE("#metadata!", ADDRESS(INDEX($P$2:$P$1001,MATCH(ROWS($N$2:N39),$N$2:$N$1001,0),0), INDEX($U$1004:$AC$1004,1,MATCH(COLUMNS($U$1006:X1006),$U$1006:$AC$1006,0)))),"Fix")))</f>
        <v>0</v>
      </c>
      <c r="F39" s="3">
        <f>IF(OR(INDEX($O$2:$O$1001,MATCH(ROWS($N$2:N39),$N$2:$N$1001,0),1)&gt;=100000,INDEX($U$1005:$AC$1005,1,MATCH(COLUMNS($U$1006:Y1006),$U$1006:$AC$1006,0))&gt;=100000), " ",IF(INDEX($U$2:$AC$1001,MATCH(ROWS($N$2:N39),$N$2:$N$1001,0),MATCH(COLUMNS($U$1006:Y1006),$U$1006:$AC$1006,0)), HYPERLINK("#",""), HYPERLINK(CONCATENATE("#metadata!", ADDRESS(INDEX($P$2:$P$1001,MATCH(ROWS($N$2:N39),$N$2:$N$1001,0),0), INDEX($U$1004:$AC$1004,1,MATCH(COLUMNS($U$1006:Y1006),$U$1006:$AC$1006,0)))),"Fix")))</f>
        <v>0</v>
      </c>
      <c r="G39" s="3">
        <f>IF(OR(INDEX($O$2:$O$1001,MATCH(ROWS($N$2:N39),$N$2:$N$1001,0),1)&gt;=100000,INDEX($U$1005:$AC$1005,1,MATCH(COLUMNS($U$1006:Z1006),$U$1006:$AC$1006,0))&gt;=100000), " ",IF(INDEX($U$2:$AC$1001,MATCH(ROWS($N$2:N39),$N$2:$N$1001,0),MATCH(COLUMNS($U$1006:Z1006),$U$1006:$AC$1006,0)), HYPERLINK("#",""), HYPERLINK(CONCATENATE("#metadata!", ADDRESS(INDEX($P$2:$P$1001,MATCH(ROWS($N$2:N39),$N$2:$N$1001,0),0), INDEX($U$1004:$AC$1004,1,MATCH(COLUMNS($U$1006:Z1006),$U$1006:$AC$1006,0)))),"Fix")))</f>
        <v>0</v>
      </c>
      <c r="H39" s="3">
        <f>IF(OR(INDEX($O$2:$O$1001,MATCH(ROWS($N$2:N39),$N$2:$N$1001,0),1)&gt;=100000,INDEX($U$1005:$AC$1005,1,MATCH(COLUMNS($U$1006:AA1006),$U$1006:$AC$1006,0))&gt;=100000), " ",IF(INDEX($U$2:$AC$1001,MATCH(ROWS($N$2:N39),$N$2:$N$1001,0),MATCH(COLUMNS($U$1006:AA1006),$U$1006:$AC$1006,0)), HYPERLINK("#",""), HYPERLINK(CONCATENATE("#metadata!", ADDRESS(INDEX($P$2:$P$1001,MATCH(ROWS($N$2:N39),$N$2:$N$1001,0),0), INDEX($U$1004:$AC$1004,1,MATCH(COLUMNS($U$1006:AA1006),$U$1006:$AC$1006,0)))),"Fix")))</f>
        <v>0</v>
      </c>
      <c r="I39" s="3">
        <f>IF(OR(INDEX($O$2:$O$1001,MATCH(ROWS($N$2:N39),$N$2:$N$1001,0),1)&gt;=100000,INDEX($U$1005:$AC$1005,1,MATCH(COLUMNS($U$1006:AB1006),$U$1006:$AC$1006,0))&gt;=100000), " ",IF(INDEX($U$2:$AC$1001,MATCH(ROWS($N$2:N39),$N$2:$N$1001,0),MATCH(COLUMNS($U$1006:AB1006),$U$1006:$AC$1006,0)), HYPERLINK("#",""), HYPERLINK(CONCATENATE("#metadata!", ADDRESS(INDEX($P$2:$P$1001,MATCH(ROWS($N$2:N39),$N$2:$N$1001,0),0), INDEX($U$1004:$AC$1004,1,MATCH(COLUMNS($U$1006:AB1006),$U$1006:$AC$1006,0)))),"Fix")))</f>
        <v>0</v>
      </c>
      <c r="J39" s="3">
        <f>IF(OR(INDEX($O$2:$O$1001,MATCH(ROWS($N$2:N39),$N$2:$N$1001,0),1)&gt;=100000,INDEX($U$1005:$AC$1005,1,MATCH(COLUMNS($U$1006:AC1006),$U$1006:$AC$1006,0))&gt;=100000), " ",IF(INDEX($U$2:$AC$1001,MATCH(ROWS($N$2:N39),$N$2:$N$1001,0),MATCH(COLUMNS($U$1006:AC1006),$U$1006:$AC$1006,0)), HYPERLINK("#",""), HYPERLINK(CONCATENATE("#metadata!", ADDRESS(INDEX($P$2:$P$1001,MATCH(ROWS($N$2:N39),$N$2:$N$1001,0),0), INDEX($U$1004:$AC$1004,1,MATCH(COLUMNS($U$1006:AC1006),$U$1006:$AC$1006,0)))),"Fix")))</f>
        <v>0</v>
      </c>
      <c r="N39">
        <v>0</v>
      </c>
      <c r="O39">
        <v>0</v>
      </c>
      <c r="P39">
        <v>0</v>
      </c>
      <c r="Q39">
        <f>IF(R39,TRUE,AND(U39:AC39))</f>
        <v>0</v>
      </c>
      <c r="R39">
        <f>COUNTBLANK(metadata!B39:J39)=COLUMNS(metadata!B39:J39)</f>
        <v>0</v>
      </c>
      <c r="S39">
        <v>0</v>
      </c>
      <c r="U39">
        <f>AND(IF(metadata!B39="",FALSE,TRUE),COUNTIF(metadata!B:B, metadata!B39) = 1,NOT(ISERROR(SUMPRODUCT(SEARCH(MID(metadata!B39,ROW(INDIRECT("1:"&amp;LEN(metadata!B39))), 1),"0123456789abcdefghijklmnopqrstuvwxyzABCDEFGHIJKLMNOPQRSTUVWXYZ.")))))</f>
        <v>0</v>
      </c>
      <c r="V39">
        <f>AND(IF(metadata!C39="",FALSE,TRUE),exact(metadata!C39,"UBERON:genitourinary"))</f>
        <v>0</v>
      </c>
      <c r="W39">
        <f>AND(IF(metadata!D39="",FALSE,TRUE),exact(metadata!D39,"UBERON:urine"))</f>
        <v>0</v>
      </c>
      <c r="X39">
        <f>AND(IF(metadata!E39="",FALSE,TRUE),exact(metadata!E39,"UBERON:kidney"))</f>
        <v>0</v>
      </c>
      <c r="Y39">
        <f>AND(IF(metadata!F39="",FALSE,TRUE),exact(metadata!F39,"animal corpus"))</f>
        <v>0</v>
      </c>
      <c r="Z39">
        <f>AND(IF(metadata!G39="",FALSE,TRUE),exact(metadata!G39,"urine"))</f>
        <v>0</v>
      </c>
      <c r="AA39">
        <f>AND(IF(metadata!H39="",FALSE,TRUE),exact(metadata!H39,"urine"))</f>
        <v>0</v>
      </c>
      <c r="AB39">
        <f>AND(IF(metadata!I39="",FALSE,TRUE),exact(metadata!I39,"urine metagenome"))</f>
        <v>0</v>
      </c>
      <c r="AC39">
        <f>AND(IF(metadata!J39="",FALSE,TRUE),exact(metadata!J39,"1346744"))</f>
        <v>0</v>
      </c>
    </row>
    <row r="40" spans="1:29">
      <c r="A40" s="4">
        <f>IF(B40=" "," ",HYPERLINK(CONCATENATE("#metadata!",ADDRESS(INDEX($P$2:$P$1001,MATCH(ROWS($N$2:N40),$N$2:$N$1001,0),0),1)),INDEX($S$2:$S$1001,MATCH(ROWS($N$2:N40),$N$2:$N$1001,0),0)))</f>
        <v>0</v>
      </c>
      <c r="B40" s="3">
        <f>IF(OR(INDEX($O$2:$O$1001,MATCH(ROWS($N$2:N40),$N$2:$N$1001,0),1)&gt;=100000,INDEX($U$1005:$AC$1005,1,MATCH(COLUMNS($U$1006:U1006),$U$1006:$AC$1006,0))&gt;=100000), " ",IF(INDEX($U$2:$AC$1001,MATCH(ROWS($N$2:N40),$N$2:$N$1001,0),MATCH(COLUMNS($U$1006:U1006),$U$1006:$AC$1006,0)), HYPERLINK("#",""), HYPERLINK(CONCATENATE("#metadata!", ADDRESS(INDEX($P$2:$P$1001,MATCH(ROWS($N$2:N40),$N$2:$N$1001,0),0), INDEX($U$1004:$AC$1004,1,MATCH(COLUMNS($U$1006:U1006),$U$1006:$AC$1006,0)))),"Fix")))</f>
        <v>0</v>
      </c>
      <c r="C40" s="3">
        <f>IF(OR(INDEX($O$2:$O$1001,MATCH(ROWS($N$2:N40),$N$2:$N$1001,0),1)&gt;=100000,INDEX($U$1005:$AC$1005,1,MATCH(COLUMNS($U$1006:V1006),$U$1006:$AC$1006,0))&gt;=100000), " ",IF(INDEX($U$2:$AC$1001,MATCH(ROWS($N$2:N40),$N$2:$N$1001,0),MATCH(COLUMNS($U$1006:V1006),$U$1006:$AC$1006,0)), HYPERLINK("#",""), HYPERLINK(CONCATENATE("#metadata!", ADDRESS(INDEX($P$2:$P$1001,MATCH(ROWS($N$2:N40),$N$2:$N$1001,0),0), INDEX($U$1004:$AC$1004,1,MATCH(COLUMNS($U$1006:V1006),$U$1006:$AC$1006,0)))),"Fix")))</f>
        <v>0</v>
      </c>
      <c r="D40" s="3">
        <f>IF(OR(INDEX($O$2:$O$1001,MATCH(ROWS($N$2:N40),$N$2:$N$1001,0),1)&gt;=100000,INDEX($U$1005:$AC$1005,1,MATCH(COLUMNS($U$1006:W1006),$U$1006:$AC$1006,0))&gt;=100000), " ",IF(INDEX($U$2:$AC$1001,MATCH(ROWS($N$2:N40),$N$2:$N$1001,0),MATCH(COLUMNS($U$1006:W1006),$U$1006:$AC$1006,0)), HYPERLINK("#",""), HYPERLINK(CONCATENATE("#metadata!", ADDRESS(INDEX($P$2:$P$1001,MATCH(ROWS($N$2:N40),$N$2:$N$1001,0),0), INDEX($U$1004:$AC$1004,1,MATCH(COLUMNS($U$1006:W1006),$U$1006:$AC$1006,0)))),"Fix")))</f>
        <v>0</v>
      </c>
      <c r="E40" s="3">
        <f>IF(OR(INDEX($O$2:$O$1001,MATCH(ROWS($N$2:N40),$N$2:$N$1001,0),1)&gt;=100000,INDEX($U$1005:$AC$1005,1,MATCH(COLUMNS($U$1006:X1006),$U$1006:$AC$1006,0))&gt;=100000), " ",IF(INDEX($U$2:$AC$1001,MATCH(ROWS($N$2:N40),$N$2:$N$1001,0),MATCH(COLUMNS($U$1006:X1006),$U$1006:$AC$1006,0)), HYPERLINK("#",""), HYPERLINK(CONCATENATE("#metadata!", ADDRESS(INDEX($P$2:$P$1001,MATCH(ROWS($N$2:N40),$N$2:$N$1001,0),0), INDEX($U$1004:$AC$1004,1,MATCH(COLUMNS($U$1006:X1006),$U$1006:$AC$1006,0)))),"Fix")))</f>
        <v>0</v>
      </c>
      <c r="F40" s="3">
        <f>IF(OR(INDEX($O$2:$O$1001,MATCH(ROWS($N$2:N40),$N$2:$N$1001,0),1)&gt;=100000,INDEX($U$1005:$AC$1005,1,MATCH(COLUMNS($U$1006:Y1006),$U$1006:$AC$1006,0))&gt;=100000), " ",IF(INDEX($U$2:$AC$1001,MATCH(ROWS($N$2:N40),$N$2:$N$1001,0),MATCH(COLUMNS($U$1006:Y1006),$U$1006:$AC$1006,0)), HYPERLINK("#",""), HYPERLINK(CONCATENATE("#metadata!", ADDRESS(INDEX($P$2:$P$1001,MATCH(ROWS($N$2:N40),$N$2:$N$1001,0),0), INDEX($U$1004:$AC$1004,1,MATCH(COLUMNS($U$1006:Y1006),$U$1006:$AC$1006,0)))),"Fix")))</f>
        <v>0</v>
      </c>
      <c r="G40" s="3">
        <f>IF(OR(INDEX($O$2:$O$1001,MATCH(ROWS($N$2:N40),$N$2:$N$1001,0),1)&gt;=100000,INDEX($U$1005:$AC$1005,1,MATCH(COLUMNS($U$1006:Z1006),$U$1006:$AC$1006,0))&gt;=100000), " ",IF(INDEX($U$2:$AC$1001,MATCH(ROWS($N$2:N40),$N$2:$N$1001,0),MATCH(COLUMNS($U$1006:Z1006),$U$1006:$AC$1006,0)), HYPERLINK("#",""), HYPERLINK(CONCATENATE("#metadata!", ADDRESS(INDEX($P$2:$P$1001,MATCH(ROWS($N$2:N40),$N$2:$N$1001,0),0), INDEX($U$1004:$AC$1004,1,MATCH(COLUMNS($U$1006:Z1006),$U$1006:$AC$1006,0)))),"Fix")))</f>
        <v>0</v>
      </c>
      <c r="H40" s="3">
        <f>IF(OR(INDEX($O$2:$O$1001,MATCH(ROWS($N$2:N40),$N$2:$N$1001,0),1)&gt;=100000,INDEX($U$1005:$AC$1005,1,MATCH(COLUMNS($U$1006:AA1006),$U$1006:$AC$1006,0))&gt;=100000), " ",IF(INDEX($U$2:$AC$1001,MATCH(ROWS($N$2:N40),$N$2:$N$1001,0),MATCH(COLUMNS($U$1006:AA1006),$U$1006:$AC$1006,0)), HYPERLINK("#",""), HYPERLINK(CONCATENATE("#metadata!", ADDRESS(INDEX($P$2:$P$1001,MATCH(ROWS($N$2:N40),$N$2:$N$1001,0),0), INDEX($U$1004:$AC$1004,1,MATCH(COLUMNS($U$1006:AA1006),$U$1006:$AC$1006,0)))),"Fix")))</f>
        <v>0</v>
      </c>
      <c r="I40" s="3">
        <f>IF(OR(INDEX($O$2:$O$1001,MATCH(ROWS($N$2:N40),$N$2:$N$1001,0),1)&gt;=100000,INDEX($U$1005:$AC$1005,1,MATCH(COLUMNS($U$1006:AB1006),$U$1006:$AC$1006,0))&gt;=100000), " ",IF(INDEX($U$2:$AC$1001,MATCH(ROWS($N$2:N40),$N$2:$N$1001,0),MATCH(COLUMNS($U$1006:AB1006),$U$1006:$AC$1006,0)), HYPERLINK("#",""), HYPERLINK(CONCATENATE("#metadata!", ADDRESS(INDEX($P$2:$P$1001,MATCH(ROWS($N$2:N40),$N$2:$N$1001,0),0), INDEX($U$1004:$AC$1004,1,MATCH(COLUMNS($U$1006:AB1006),$U$1006:$AC$1006,0)))),"Fix")))</f>
        <v>0</v>
      </c>
      <c r="J40" s="3">
        <f>IF(OR(INDEX($O$2:$O$1001,MATCH(ROWS($N$2:N40),$N$2:$N$1001,0),1)&gt;=100000,INDEX($U$1005:$AC$1005,1,MATCH(COLUMNS($U$1006:AC1006),$U$1006:$AC$1006,0))&gt;=100000), " ",IF(INDEX($U$2:$AC$1001,MATCH(ROWS($N$2:N40),$N$2:$N$1001,0),MATCH(COLUMNS($U$1006:AC1006),$U$1006:$AC$1006,0)), HYPERLINK("#",""), HYPERLINK(CONCATENATE("#metadata!", ADDRESS(INDEX($P$2:$P$1001,MATCH(ROWS($N$2:N40),$N$2:$N$1001,0),0), INDEX($U$1004:$AC$1004,1,MATCH(COLUMNS($U$1006:AC1006),$U$1006:$AC$1006,0)))),"Fix")))</f>
        <v>0</v>
      </c>
      <c r="N40">
        <v>0</v>
      </c>
      <c r="O40">
        <v>0</v>
      </c>
      <c r="P40">
        <v>0</v>
      </c>
      <c r="Q40">
        <f>IF(R40,TRUE,AND(U40:AC40))</f>
        <v>0</v>
      </c>
      <c r="R40">
        <f>COUNTBLANK(metadata!B40:J40)=COLUMNS(metadata!B40:J40)</f>
        <v>0</v>
      </c>
      <c r="S40">
        <v>0</v>
      </c>
      <c r="U40">
        <f>AND(IF(metadata!B40="",FALSE,TRUE),COUNTIF(metadata!B:B, metadata!B40) = 1,NOT(ISERROR(SUMPRODUCT(SEARCH(MID(metadata!B40,ROW(INDIRECT("1:"&amp;LEN(metadata!B40))), 1),"0123456789abcdefghijklmnopqrstuvwxyzABCDEFGHIJKLMNOPQRSTUVWXYZ.")))))</f>
        <v>0</v>
      </c>
      <c r="V40">
        <f>AND(IF(metadata!C40="",FALSE,TRUE),exact(metadata!C40,"UBERON:genitourinary"))</f>
        <v>0</v>
      </c>
      <c r="W40">
        <f>AND(IF(metadata!D40="",FALSE,TRUE),exact(metadata!D40,"UBERON:urine"))</f>
        <v>0</v>
      </c>
      <c r="X40">
        <f>AND(IF(metadata!E40="",FALSE,TRUE),exact(metadata!E40,"UBERON:kidney"))</f>
        <v>0</v>
      </c>
      <c r="Y40">
        <f>AND(IF(metadata!F40="",FALSE,TRUE),exact(metadata!F40,"animal corpus"))</f>
        <v>0</v>
      </c>
      <c r="Z40">
        <f>AND(IF(metadata!G40="",FALSE,TRUE),exact(metadata!G40,"urine"))</f>
        <v>0</v>
      </c>
      <c r="AA40">
        <f>AND(IF(metadata!H40="",FALSE,TRUE),exact(metadata!H40,"urine"))</f>
        <v>0</v>
      </c>
      <c r="AB40">
        <f>AND(IF(metadata!I40="",FALSE,TRUE),exact(metadata!I40,"urine metagenome"))</f>
        <v>0</v>
      </c>
      <c r="AC40">
        <f>AND(IF(metadata!J40="",FALSE,TRUE),exact(metadata!J40,"1346744"))</f>
        <v>0</v>
      </c>
    </row>
    <row r="41" spans="1:29">
      <c r="A41" s="4">
        <f>IF(B41=" "," ",HYPERLINK(CONCATENATE("#metadata!",ADDRESS(INDEX($P$2:$P$1001,MATCH(ROWS($N$2:N41),$N$2:$N$1001,0),0),1)),INDEX($S$2:$S$1001,MATCH(ROWS($N$2:N41),$N$2:$N$1001,0),0)))</f>
        <v>0</v>
      </c>
      <c r="B41" s="3">
        <f>IF(OR(INDEX($O$2:$O$1001,MATCH(ROWS($N$2:N41),$N$2:$N$1001,0),1)&gt;=100000,INDEX($U$1005:$AC$1005,1,MATCH(COLUMNS($U$1006:U1006),$U$1006:$AC$1006,0))&gt;=100000), " ",IF(INDEX($U$2:$AC$1001,MATCH(ROWS($N$2:N41),$N$2:$N$1001,0),MATCH(COLUMNS($U$1006:U1006),$U$1006:$AC$1006,0)), HYPERLINK("#",""), HYPERLINK(CONCATENATE("#metadata!", ADDRESS(INDEX($P$2:$P$1001,MATCH(ROWS($N$2:N41),$N$2:$N$1001,0),0), INDEX($U$1004:$AC$1004,1,MATCH(COLUMNS($U$1006:U1006),$U$1006:$AC$1006,0)))),"Fix")))</f>
        <v>0</v>
      </c>
      <c r="C41" s="3">
        <f>IF(OR(INDEX($O$2:$O$1001,MATCH(ROWS($N$2:N41),$N$2:$N$1001,0),1)&gt;=100000,INDEX($U$1005:$AC$1005,1,MATCH(COLUMNS($U$1006:V1006),$U$1006:$AC$1006,0))&gt;=100000), " ",IF(INDEX($U$2:$AC$1001,MATCH(ROWS($N$2:N41),$N$2:$N$1001,0),MATCH(COLUMNS($U$1006:V1006),$U$1006:$AC$1006,0)), HYPERLINK("#",""), HYPERLINK(CONCATENATE("#metadata!", ADDRESS(INDEX($P$2:$P$1001,MATCH(ROWS($N$2:N41),$N$2:$N$1001,0),0), INDEX($U$1004:$AC$1004,1,MATCH(COLUMNS($U$1006:V1006),$U$1006:$AC$1006,0)))),"Fix")))</f>
        <v>0</v>
      </c>
      <c r="D41" s="3">
        <f>IF(OR(INDEX($O$2:$O$1001,MATCH(ROWS($N$2:N41),$N$2:$N$1001,0),1)&gt;=100000,INDEX($U$1005:$AC$1005,1,MATCH(COLUMNS($U$1006:W1006),$U$1006:$AC$1006,0))&gt;=100000), " ",IF(INDEX($U$2:$AC$1001,MATCH(ROWS($N$2:N41),$N$2:$N$1001,0),MATCH(COLUMNS($U$1006:W1006),$U$1006:$AC$1006,0)), HYPERLINK("#",""), HYPERLINK(CONCATENATE("#metadata!", ADDRESS(INDEX($P$2:$P$1001,MATCH(ROWS($N$2:N41),$N$2:$N$1001,0),0), INDEX($U$1004:$AC$1004,1,MATCH(COLUMNS($U$1006:W1006),$U$1006:$AC$1006,0)))),"Fix")))</f>
        <v>0</v>
      </c>
      <c r="E41" s="3">
        <f>IF(OR(INDEX($O$2:$O$1001,MATCH(ROWS($N$2:N41),$N$2:$N$1001,0),1)&gt;=100000,INDEX($U$1005:$AC$1005,1,MATCH(COLUMNS($U$1006:X1006),$U$1006:$AC$1006,0))&gt;=100000), " ",IF(INDEX($U$2:$AC$1001,MATCH(ROWS($N$2:N41),$N$2:$N$1001,0),MATCH(COLUMNS($U$1006:X1006),$U$1006:$AC$1006,0)), HYPERLINK("#",""), HYPERLINK(CONCATENATE("#metadata!", ADDRESS(INDEX($P$2:$P$1001,MATCH(ROWS($N$2:N41),$N$2:$N$1001,0),0), INDEX($U$1004:$AC$1004,1,MATCH(COLUMNS($U$1006:X1006),$U$1006:$AC$1006,0)))),"Fix")))</f>
        <v>0</v>
      </c>
      <c r="F41" s="3">
        <f>IF(OR(INDEX($O$2:$O$1001,MATCH(ROWS($N$2:N41),$N$2:$N$1001,0),1)&gt;=100000,INDEX($U$1005:$AC$1005,1,MATCH(COLUMNS($U$1006:Y1006),$U$1006:$AC$1006,0))&gt;=100000), " ",IF(INDEX($U$2:$AC$1001,MATCH(ROWS($N$2:N41),$N$2:$N$1001,0),MATCH(COLUMNS($U$1006:Y1006),$U$1006:$AC$1006,0)), HYPERLINK("#",""), HYPERLINK(CONCATENATE("#metadata!", ADDRESS(INDEX($P$2:$P$1001,MATCH(ROWS($N$2:N41),$N$2:$N$1001,0),0), INDEX($U$1004:$AC$1004,1,MATCH(COLUMNS($U$1006:Y1006),$U$1006:$AC$1006,0)))),"Fix")))</f>
        <v>0</v>
      </c>
      <c r="G41" s="3">
        <f>IF(OR(INDEX($O$2:$O$1001,MATCH(ROWS($N$2:N41),$N$2:$N$1001,0),1)&gt;=100000,INDEX($U$1005:$AC$1005,1,MATCH(COLUMNS($U$1006:Z1006),$U$1006:$AC$1006,0))&gt;=100000), " ",IF(INDEX($U$2:$AC$1001,MATCH(ROWS($N$2:N41),$N$2:$N$1001,0),MATCH(COLUMNS($U$1006:Z1006),$U$1006:$AC$1006,0)), HYPERLINK("#",""), HYPERLINK(CONCATENATE("#metadata!", ADDRESS(INDEX($P$2:$P$1001,MATCH(ROWS($N$2:N41),$N$2:$N$1001,0),0), INDEX($U$1004:$AC$1004,1,MATCH(COLUMNS($U$1006:Z1006),$U$1006:$AC$1006,0)))),"Fix")))</f>
        <v>0</v>
      </c>
      <c r="H41" s="3">
        <f>IF(OR(INDEX($O$2:$O$1001,MATCH(ROWS($N$2:N41),$N$2:$N$1001,0),1)&gt;=100000,INDEX($U$1005:$AC$1005,1,MATCH(COLUMNS($U$1006:AA1006),$U$1006:$AC$1006,0))&gt;=100000), " ",IF(INDEX($U$2:$AC$1001,MATCH(ROWS($N$2:N41),$N$2:$N$1001,0),MATCH(COLUMNS($U$1006:AA1006),$U$1006:$AC$1006,0)), HYPERLINK("#",""), HYPERLINK(CONCATENATE("#metadata!", ADDRESS(INDEX($P$2:$P$1001,MATCH(ROWS($N$2:N41),$N$2:$N$1001,0),0), INDEX($U$1004:$AC$1004,1,MATCH(COLUMNS($U$1006:AA1006),$U$1006:$AC$1006,0)))),"Fix")))</f>
        <v>0</v>
      </c>
      <c r="I41" s="3">
        <f>IF(OR(INDEX($O$2:$O$1001,MATCH(ROWS($N$2:N41),$N$2:$N$1001,0),1)&gt;=100000,INDEX($U$1005:$AC$1005,1,MATCH(COLUMNS($U$1006:AB1006),$U$1006:$AC$1006,0))&gt;=100000), " ",IF(INDEX($U$2:$AC$1001,MATCH(ROWS($N$2:N41),$N$2:$N$1001,0),MATCH(COLUMNS($U$1006:AB1006),$U$1006:$AC$1006,0)), HYPERLINK("#",""), HYPERLINK(CONCATENATE("#metadata!", ADDRESS(INDEX($P$2:$P$1001,MATCH(ROWS($N$2:N41),$N$2:$N$1001,0),0), INDEX($U$1004:$AC$1004,1,MATCH(COLUMNS($U$1006:AB1006),$U$1006:$AC$1006,0)))),"Fix")))</f>
        <v>0</v>
      </c>
      <c r="J41" s="3">
        <f>IF(OR(INDEX($O$2:$O$1001,MATCH(ROWS($N$2:N41),$N$2:$N$1001,0),1)&gt;=100000,INDEX($U$1005:$AC$1005,1,MATCH(COLUMNS($U$1006:AC1006),$U$1006:$AC$1006,0))&gt;=100000), " ",IF(INDEX($U$2:$AC$1001,MATCH(ROWS($N$2:N41),$N$2:$N$1001,0),MATCH(COLUMNS($U$1006:AC1006),$U$1006:$AC$1006,0)), HYPERLINK("#",""), HYPERLINK(CONCATENATE("#metadata!", ADDRESS(INDEX($P$2:$P$1001,MATCH(ROWS($N$2:N41),$N$2:$N$1001,0),0), INDEX($U$1004:$AC$1004,1,MATCH(COLUMNS($U$1006:AC1006),$U$1006:$AC$1006,0)))),"Fix")))</f>
        <v>0</v>
      </c>
      <c r="N41">
        <v>0</v>
      </c>
      <c r="O41">
        <v>0</v>
      </c>
      <c r="P41">
        <v>0</v>
      </c>
      <c r="Q41">
        <f>IF(R41,TRUE,AND(U41:AC41))</f>
        <v>0</v>
      </c>
      <c r="R41">
        <f>COUNTBLANK(metadata!B41:J41)=COLUMNS(metadata!B41:J41)</f>
        <v>0</v>
      </c>
      <c r="S41">
        <v>0</v>
      </c>
      <c r="U41">
        <f>AND(IF(metadata!B41="",FALSE,TRUE),COUNTIF(metadata!B:B, metadata!B41) = 1,NOT(ISERROR(SUMPRODUCT(SEARCH(MID(metadata!B41,ROW(INDIRECT("1:"&amp;LEN(metadata!B41))), 1),"0123456789abcdefghijklmnopqrstuvwxyzABCDEFGHIJKLMNOPQRSTUVWXYZ.")))))</f>
        <v>0</v>
      </c>
      <c r="V41">
        <f>AND(IF(metadata!C41="",FALSE,TRUE),exact(metadata!C41,"UBERON:genitourinary"))</f>
        <v>0</v>
      </c>
      <c r="W41">
        <f>AND(IF(metadata!D41="",FALSE,TRUE),exact(metadata!D41,"UBERON:urine"))</f>
        <v>0</v>
      </c>
      <c r="X41">
        <f>AND(IF(metadata!E41="",FALSE,TRUE),exact(metadata!E41,"UBERON:kidney"))</f>
        <v>0</v>
      </c>
      <c r="Y41">
        <f>AND(IF(metadata!F41="",FALSE,TRUE),exact(metadata!F41,"animal corpus"))</f>
        <v>0</v>
      </c>
      <c r="Z41">
        <f>AND(IF(metadata!G41="",FALSE,TRUE),exact(metadata!G41,"urine"))</f>
        <v>0</v>
      </c>
      <c r="AA41">
        <f>AND(IF(metadata!H41="",FALSE,TRUE),exact(metadata!H41,"urine"))</f>
        <v>0</v>
      </c>
      <c r="AB41">
        <f>AND(IF(metadata!I41="",FALSE,TRUE),exact(metadata!I41,"urine metagenome"))</f>
        <v>0</v>
      </c>
      <c r="AC41">
        <f>AND(IF(metadata!J41="",FALSE,TRUE),exact(metadata!J41,"1346744"))</f>
        <v>0</v>
      </c>
    </row>
    <row r="42" spans="1:29">
      <c r="A42" s="4">
        <f>IF(B42=" "," ",HYPERLINK(CONCATENATE("#metadata!",ADDRESS(INDEX($P$2:$P$1001,MATCH(ROWS($N$2:N42),$N$2:$N$1001,0),0),1)),INDEX($S$2:$S$1001,MATCH(ROWS($N$2:N42),$N$2:$N$1001,0),0)))</f>
        <v>0</v>
      </c>
      <c r="B42" s="3">
        <f>IF(OR(INDEX($O$2:$O$1001,MATCH(ROWS($N$2:N42),$N$2:$N$1001,0),1)&gt;=100000,INDEX($U$1005:$AC$1005,1,MATCH(COLUMNS($U$1006:U1006),$U$1006:$AC$1006,0))&gt;=100000), " ",IF(INDEX($U$2:$AC$1001,MATCH(ROWS($N$2:N42),$N$2:$N$1001,0),MATCH(COLUMNS($U$1006:U1006),$U$1006:$AC$1006,0)), HYPERLINK("#",""), HYPERLINK(CONCATENATE("#metadata!", ADDRESS(INDEX($P$2:$P$1001,MATCH(ROWS($N$2:N42),$N$2:$N$1001,0),0), INDEX($U$1004:$AC$1004,1,MATCH(COLUMNS($U$1006:U1006),$U$1006:$AC$1006,0)))),"Fix")))</f>
        <v>0</v>
      </c>
      <c r="C42" s="3">
        <f>IF(OR(INDEX($O$2:$O$1001,MATCH(ROWS($N$2:N42),$N$2:$N$1001,0),1)&gt;=100000,INDEX($U$1005:$AC$1005,1,MATCH(COLUMNS($U$1006:V1006),$U$1006:$AC$1006,0))&gt;=100000), " ",IF(INDEX($U$2:$AC$1001,MATCH(ROWS($N$2:N42),$N$2:$N$1001,0),MATCH(COLUMNS($U$1006:V1006),$U$1006:$AC$1006,0)), HYPERLINK("#",""), HYPERLINK(CONCATENATE("#metadata!", ADDRESS(INDEX($P$2:$P$1001,MATCH(ROWS($N$2:N42),$N$2:$N$1001,0),0), INDEX($U$1004:$AC$1004,1,MATCH(COLUMNS($U$1006:V1006),$U$1006:$AC$1006,0)))),"Fix")))</f>
        <v>0</v>
      </c>
      <c r="D42" s="3">
        <f>IF(OR(INDEX($O$2:$O$1001,MATCH(ROWS($N$2:N42),$N$2:$N$1001,0),1)&gt;=100000,INDEX($U$1005:$AC$1005,1,MATCH(COLUMNS($U$1006:W1006),$U$1006:$AC$1006,0))&gt;=100000), " ",IF(INDEX($U$2:$AC$1001,MATCH(ROWS($N$2:N42),$N$2:$N$1001,0),MATCH(COLUMNS($U$1006:W1006),$U$1006:$AC$1006,0)), HYPERLINK("#",""), HYPERLINK(CONCATENATE("#metadata!", ADDRESS(INDEX($P$2:$P$1001,MATCH(ROWS($N$2:N42),$N$2:$N$1001,0),0), INDEX($U$1004:$AC$1004,1,MATCH(COLUMNS($U$1006:W1006),$U$1006:$AC$1006,0)))),"Fix")))</f>
        <v>0</v>
      </c>
      <c r="E42" s="3">
        <f>IF(OR(INDEX($O$2:$O$1001,MATCH(ROWS($N$2:N42),$N$2:$N$1001,0),1)&gt;=100000,INDEX($U$1005:$AC$1005,1,MATCH(COLUMNS($U$1006:X1006),$U$1006:$AC$1006,0))&gt;=100000), " ",IF(INDEX($U$2:$AC$1001,MATCH(ROWS($N$2:N42),$N$2:$N$1001,0),MATCH(COLUMNS($U$1006:X1006),$U$1006:$AC$1006,0)), HYPERLINK("#",""), HYPERLINK(CONCATENATE("#metadata!", ADDRESS(INDEX($P$2:$P$1001,MATCH(ROWS($N$2:N42),$N$2:$N$1001,0),0), INDEX($U$1004:$AC$1004,1,MATCH(COLUMNS($U$1006:X1006),$U$1006:$AC$1006,0)))),"Fix")))</f>
        <v>0</v>
      </c>
      <c r="F42" s="3">
        <f>IF(OR(INDEX($O$2:$O$1001,MATCH(ROWS($N$2:N42),$N$2:$N$1001,0),1)&gt;=100000,INDEX($U$1005:$AC$1005,1,MATCH(COLUMNS($U$1006:Y1006),$U$1006:$AC$1006,0))&gt;=100000), " ",IF(INDEX($U$2:$AC$1001,MATCH(ROWS($N$2:N42),$N$2:$N$1001,0),MATCH(COLUMNS($U$1006:Y1006),$U$1006:$AC$1006,0)), HYPERLINK("#",""), HYPERLINK(CONCATENATE("#metadata!", ADDRESS(INDEX($P$2:$P$1001,MATCH(ROWS($N$2:N42),$N$2:$N$1001,0),0), INDEX($U$1004:$AC$1004,1,MATCH(COLUMNS($U$1006:Y1006),$U$1006:$AC$1006,0)))),"Fix")))</f>
        <v>0</v>
      </c>
      <c r="G42" s="3">
        <f>IF(OR(INDEX($O$2:$O$1001,MATCH(ROWS($N$2:N42),$N$2:$N$1001,0),1)&gt;=100000,INDEX($U$1005:$AC$1005,1,MATCH(COLUMNS($U$1006:Z1006),$U$1006:$AC$1006,0))&gt;=100000), " ",IF(INDEX($U$2:$AC$1001,MATCH(ROWS($N$2:N42),$N$2:$N$1001,0),MATCH(COLUMNS($U$1006:Z1006),$U$1006:$AC$1006,0)), HYPERLINK("#",""), HYPERLINK(CONCATENATE("#metadata!", ADDRESS(INDEX($P$2:$P$1001,MATCH(ROWS($N$2:N42),$N$2:$N$1001,0),0), INDEX($U$1004:$AC$1004,1,MATCH(COLUMNS($U$1006:Z1006),$U$1006:$AC$1006,0)))),"Fix")))</f>
        <v>0</v>
      </c>
      <c r="H42" s="3">
        <f>IF(OR(INDEX($O$2:$O$1001,MATCH(ROWS($N$2:N42),$N$2:$N$1001,0),1)&gt;=100000,INDEX($U$1005:$AC$1005,1,MATCH(COLUMNS($U$1006:AA1006),$U$1006:$AC$1006,0))&gt;=100000), " ",IF(INDEX($U$2:$AC$1001,MATCH(ROWS($N$2:N42),$N$2:$N$1001,0),MATCH(COLUMNS($U$1006:AA1006),$U$1006:$AC$1006,0)), HYPERLINK("#",""), HYPERLINK(CONCATENATE("#metadata!", ADDRESS(INDEX($P$2:$P$1001,MATCH(ROWS($N$2:N42),$N$2:$N$1001,0),0), INDEX($U$1004:$AC$1004,1,MATCH(COLUMNS($U$1006:AA1006),$U$1006:$AC$1006,0)))),"Fix")))</f>
        <v>0</v>
      </c>
      <c r="I42" s="3">
        <f>IF(OR(INDEX($O$2:$O$1001,MATCH(ROWS($N$2:N42),$N$2:$N$1001,0),1)&gt;=100000,INDEX($U$1005:$AC$1005,1,MATCH(COLUMNS($U$1006:AB1006),$U$1006:$AC$1006,0))&gt;=100000), " ",IF(INDEX($U$2:$AC$1001,MATCH(ROWS($N$2:N42),$N$2:$N$1001,0),MATCH(COLUMNS($U$1006:AB1006),$U$1006:$AC$1006,0)), HYPERLINK("#",""), HYPERLINK(CONCATENATE("#metadata!", ADDRESS(INDEX($P$2:$P$1001,MATCH(ROWS($N$2:N42),$N$2:$N$1001,0),0), INDEX($U$1004:$AC$1004,1,MATCH(COLUMNS($U$1006:AB1006),$U$1006:$AC$1006,0)))),"Fix")))</f>
        <v>0</v>
      </c>
      <c r="J42" s="3">
        <f>IF(OR(INDEX($O$2:$O$1001,MATCH(ROWS($N$2:N42),$N$2:$N$1001,0),1)&gt;=100000,INDEX($U$1005:$AC$1005,1,MATCH(COLUMNS($U$1006:AC1006),$U$1006:$AC$1006,0))&gt;=100000), " ",IF(INDEX($U$2:$AC$1001,MATCH(ROWS($N$2:N42),$N$2:$N$1001,0),MATCH(COLUMNS($U$1006:AC1006),$U$1006:$AC$1006,0)), HYPERLINK("#",""), HYPERLINK(CONCATENATE("#metadata!", ADDRESS(INDEX($P$2:$P$1001,MATCH(ROWS($N$2:N42),$N$2:$N$1001,0),0), INDEX($U$1004:$AC$1004,1,MATCH(COLUMNS($U$1006:AC1006),$U$1006:$AC$1006,0)))),"Fix")))</f>
        <v>0</v>
      </c>
      <c r="N42">
        <v>0</v>
      </c>
      <c r="O42">
        <v>0</v>
      </c>
      <c r="P42">
        <v>0</v>
      </c>
      <c r="Q42">
        <f>IF(R42,TRUE,AND(U42:AC42))</f>
        <v>0</v>
      </c>
      <c r="R42">
        <f>COUNTBLANK(metadata!B42:J42)=COLUMNS(metadata!B42:J42)</f>
        <v>0</v>
      </c>
      <c r="S42">
        <v>0</v>
      </c>
      <c r="U42">
        <f>AND(IF(metadata!B42="",FALSE,TRUE),COUNTIF(metadata!B:B, metadata!B42) = 1,NOT(ISERROR(SUMPRODUCT(SEARCH(MID(metadata!B42,ROW(INDIRECT("1:"&amp;LEN(metadata!B42))), 1),"0123456789abcdefghijklmnopqrstuvwxyzABCDEFGHIJKLMNOPQRSTUVWXYZ.")))))</f>
        <v>0</v>
      </c>
      <c r="V42">
        <f>AND(IF(metadata!C42="",FALSE,TRUE),exact(metadata!C42,"UBERON:genitourinary"))</f>
        <v>0</v>
      </c>
      <c r="W42">
        <f>AND(IF(metadata!D42="",FALSE,TRUE),exact(metadata!D42,"UBERON:urine"))</f>
        <v>0</v>
      </c>
      <c r="X42">
        <f>AND(IF(metadata!E42="",FALSE,TRUE),exact(metadata!E42,"UBERON:kidney"))</f>
        <v>0</v>
      </c>
      <c r="Y42">
        <f>AND(IF(metadata!F42="",FALSE,TRUE),exact(metadata!F42,"animal corpus"))</f>
        <v>0</v>
      </c>
      <c r="Z42">
        <f>AND(IF(metadata!G42="",FALSE,TRUE),exact(metadata!G42,"urine"))</f>
        <v>0</v>
      </c>
      <c r="AA42">
        <f>AND(IF(metadata!H42="",FALSE,TRUE),exact(metadata!H42,"urine"))</f>
        <v>0</v>
      </c>
      <c r="AB42">
        <f>AND(IF(metadata!I42="",FALSE,TRUE),exact(metadata!I42,"urine metagenome"))</f>
        <v>0</v>
      </c>
      <c r="AC42">
        <f>AND(IF(metadata!J42="",FALSE,TRUE),exact(metadata!J42,"1346744"))</f>
        <v>0</v>
      </c>
    </row>
    <row r="43" spans="1:29">
      <c r="A43" s="4">
        <f>IF(B43=" "," ",HYPERLINK(CONCATENATE("#metadata!",ADDRESS(INDEX($P$2:$P$1001,MATCH(ROWS($N$2:N43),$N$2:$N$1001,0),0),1)),INDEX($S$2:$S$1001,MATCH(ROWS($N$2:N43),$N$2:$N$1001,0),0)))</f>
        <v>0</v>
      </c>
      <c r="B43" s="3">
        <f>IF(OR(INDEX($O$2:$O$1001,MATCH(ROWS($N$2:N43),$N$2:$N$1001,0),1)&gt;=100000,INDEX($U$1005:$AC$1005,1,MATCH(COLUMNS($U$1006:U1006),$U$1006:$AC$1006,0))&gt;=100000), " ",IF(INDEX($U$2:$AC$1001,MATCH(ROWS($N$2:N43),$N$2:$N$1001,0),MATCH(COLUMNS($U$1006:U1006),$U$1006:$AC$1006,0)), HYPERLINK("#",""), HYPERLINK(CONCATENATE("#metadata!", ADDRESS(INDEX($P$2:$P$1001,MATCH(ROWS($N$2:N43),$N$2:$N$1001,0),0), INDEX($U$1004:$AC$1004,1,MATCH(COLUMNS($U$1006:U1006),$U$1006:$AC$1006,0)))),"Fix")))</f>
        <v>0</v>
      </c>
      <c r="C43" s="3">
        <f>IF(OR(INDEX($O$2:$O$1001,MATCH(ROWS($N$2:N43),$N$2:$N$1001,0),1)&gt;=100000,INDEX($U$1005:$AC$1005,1,MATCH(COLUMNS($U$1006:V1006),$U$1006:$AC$1006,0))&gt;=100000), " ",IF(INDEX($U$2:$AC$1001,MATCH(ROWS($N$2:N43),$N$2:$N$1001,0),MATCH(COLUMNS($U$1006:V1006),$U$1006:$AC$1006,0)), HYPERLINK("#",""), HYPERLINK(CONCATENATE("#metadata!", ADDRESS(INDEX($P$2:$P$1001,MATCH(ROWS($N$2:N43),$N$2:$N$1001,0),0), INDEX($U$1004:$AC$1004,1,MATCH(COLUMNS($U$1006:V1006),$U$1006:$AC$1006,0)))),"Fix")))</f>
        <v>0</v>
      </c>
      <c r="D43" s="3">
        <f>IF(OR(INDEX($O$2:$O$1001,MATCH(ROWS($N$2:N43),$N$2:$N$1001,0),1)&gt;=100000,INDEX($U$1005:$AC$1005,1,MATCH(COLUMNS($U$1006:W1006),$U$1006:$AC$1006,0))&gt;=100000), " ",IF(INDEX($U$2:$AC$1001,MATCH(ROWS($N$2:N43),$N$2:$N$1001,0),MATCH(COLUMNS($U$1006:W1006),$U$1006:$AC$1006,0)), HYPERLINK("#",""), HYPERLINK(CONCATENATE("#metadata!", ADDRESS(INDEX($P$2:$P$1001,MATCH(ROWS($N$2:N43),$N$2:$N$1001,0),0), INDEX($U$1004:$AC$1004,1,MATCH(COLUMNS($U$1006:W1006),$U$1006:$AC$1006,0)))),"Fix")))</f>
        <v>0</v>
      </c>
      <c r="E43" s="3">
        <f>IF(OR(INDEX($O$2:$O$1001,MATCH(ROWS($N$2:N43),$N$2:$N$1001,0),1)&gt;=100000,INDEX($U$1005:$AC$1005,1,MATCH(COLUMNS($U$1006:X1006),$U$1006:$AC$1006,0))&gt;=100000), " ",IF(INDEX($U$2:$AC$1001,MATCH(ROWS($N$2:N43),$N$2:$N$1001,0),MATCH(COLUMNS($U$1006:X1006),$U$1006:$AC$1006,0)), HYPERLINK("#",""), HYPERLINK(CONCATENATE("#metadata!", ADDRESS(INDEX($P$2:$P$1001,MATCH(ROWS($N$2:N43),$N$2:$N$1001,0),0), INDEX($U$1004:$AC$1004,1,MATCH(COLUMNS($U$1006:X1006),$U$1006:$AC$1006,0)))),"Fix")))</f>
        <v>0</v>
      </c>
      <c r="F43" s="3">
        <f>IF(OR(INDEX($O$2:$O$1001,MATCH(ROWS($N$2:N43),$N$2:$N$1001,0),1)&gt;=100000,INDEX($U$1005:$AC$1005,1,MATCH(COLUMNS($U$1006:Y1006),$U$1006:$AC$1006,0))&gt;=100000), " ",IF(INDEX($U$2:$AC$1001,MATCH(ROWS($N$2:N43),$N$2:$N$1001,0),MATCH(COLUMNS($U$1006:Y1006),$U$1006:$AC$1006,0)), HYPERLINK("#",""), HYPERLINK(CONCATENATE("#metadata!", ADDRESS(INDEX($P$2:$P$1001,MATCH(ROWS($N$2:N43),$N$2:$N$1001,0),0), INDEX($U$1004:$AC$1004,1,MATCH(COLUMNS($U$1006:Y1006),$U$1006:$AC$1006,0)))),"Fix")))</f>
        <v>0</v>
      </c>
      <c r="G43" s="3">
        <f>IF(OR(INDEX($O$2:$O$1001,MATCH(ROWS($N$2:N43),$N$2:$N$1001,0),1)&gt;=100000,INDEX($U$1005:$AC$1005,1,MATCH(COLUMNS($U$1006:Z1006),$U$1006:$AC$1006,0))&gt;=100000), " ",IF(INDEX($U$2:$AC$1001,MATCH(ROWS($N$2:N43),$N$2:$N$1001,0),MATCH(COLUMNS($U$1006:Z1006),$U$1006:$AC$1006,0)), HYPERLINK("#",""), HYPERLINK(CONCATENATE("#metadata!", ADDRESS(INDEX($P$2:$P$1001,MATCH(ROWS($N$2:N43),$N$2:$N$1001,0),0), INDEX($U$1004:$AC$1004,1,MATCH(COLUMNS($U$1006:Z1006),$U$1006:$AC$1006,0)))),"Fix")))</f>
        <v>0</v>
      </c>
      <c r="H43" s="3">
        <f>IF(OR(INDEX($O$2:$O$1001,MATCH(ROWS($N$2:N43),$N$2:$N$1001,0),1)&gt;=100000,INDEX($U$1005:$AC$1005,1,MATCH(COLUMNS($U$1006:AA1006),$U$1006:$AC$1006,0))&gt;=100000), " ",IF(INDEX($U$2:$AC$1001,MATCH(ROWS($N$2:N43),$N$2:$N$1001,0),MATCH(COLUMNS($U$1006:AA1006),$U$1006:$AC$1006,0)), HYPERLINK("#",""), HYPERLINK(CONCATENATE("#metadata!", ADDRESS(INDEX($P$2:$P$1001,MATCH(ROWS($N$2:N43),$N$2:$N$1001,0),0), INDEX($U$1004:$AC$1004,1,MATCH(COLUMNS($U$1006:AA1006),$U$1006:$AC$1006,0)))),"Fix")))</f>
        <v>0</v>
      </c>
      <c r="I43" s="3">
        <f>IF(OR(INDEX($O$2:$O$1001,MATCH(ROWS($N$2:N43),$N$2:$N$1001,0),1)&gt;=100000,INDEX($U$1005:$AC$1005,1,MATCH(COLUMNS($U$1006:AB1006),$U$1006:$AC$1006,0))&gt;=100000), " ",IF(INDEX($U$2:$AC$1001,MATCH(ROWS($N$2:N43),$N$2:$N$1001,0),MATCH(COLUMNS($U$1006:AB1006),$U$1006:$AC$1006,0)), HYPERLINK("#",""), HYPERLINK(CONCATENATE("#metadata!", ADDRESS(INDEX($P$2:$P$1001,MATCH(ROWS($N$2:N43),$N$2:$N$1001,0),0), INDEX($U$1004:$AC$1004,1,MATCH(COLUMNS($U$1006:AB1006),$U$1006:$AC$1006,0)))),"Fix")))</f>
        <v>0</v>
      </c>
      <c r="J43" s="3">
        <f>IF(OR(INDEX($O$2:$O$1001,MATCH(ROWS($N$2:N43),$N$2:$N$1001,0),1)&gt;=100000,INDEX($U$1005:$AC$1005,1,MATCH(COLUMNS($U$1006:AC1006),$U$1006:$AC$1006,0))&gt;=100000), " ",IF(INDEX($U$2:$AC$1001,MATCH(ROWS($N$2:N43),$N$2:$N$1001,0),MATCH(COLUMNS($U$1006:AC1006),$U$1006:$AC$1006,0)), HYPERLINK("#",""), HYPERLINK(CONCATENATE("#metadata!", ADDRESS(INDEX($P$2:$P$1001,MATCH(ROWS($N$2:N43),$N$2:$N$1001,0),0), INDEX($U$1004:$AC$1004,1,MATCH(COLUMNS($U$1006:AC1006),$U$1006:$AC$1006,0)))),"Fix")))</f>
        <v>0</v>
      </c>
      <c r="N43">
        <v>0</v>
      </c>
      <c r="O43">
        <v>0</v>
      </c>
      <c r="P43">
        <v>0</v>
      </c>
      <c r="Q43">
        <f>IF(R43,TRUE,AND(U43:AC43))</f>
        <v>0</v>
      </c>
      <c r="R43">
        <f>COUNTBLANK(metadata!B43:J43)=COLUMNS(metadata!B43:J43)</f>
        <v>0</v>
      </c>
      <c r="S43">
        <v>0</v>
      </c>
      <c r="U43">
        <f>AND(IF(metadata!B43="",FALSE,TRUE),COUNTIF(metadata!B:B, metadata!B43) = 1,NOT(ISERROR(SUMPRODUCT(SEARCH(MID(metadata!B43,ROW(INDIRECT("1:"&amp;LEN(metadata!B43))), 1),"0123456789abcdefghijklmnopqrstuvwxyzABCDEFGHIJKLMNOPQRSTUVWXYZ.")))))</f>
        <v>0</v>
      </c>
      <c r="V43">
        <f>AND(IF(metadata!C43="",FALSE,TRUE),exact(metadata!C43,"UBERON:genitourinary"))</f>
        <v>0</v>
      </c>
      <c r="W43">
        <f>AND(IF(metadata!D43="",FALSE,TRUE),exact(metadata!D43,"UBERON:urine"))</f>
        <v>0</v>
      </c>
      <c r="X43">
        <f>AND(IF(metadata!E43="",FALSE,TRUE),exact(metadata!E43,"UBERON:kidney"))</f>
        <v>0</v>
      </c>
      <c r="Y43">
        <f>AND(IF(metadata!F43="",FALSE,TRUE),exact(metadata!F43,"animal corpus"))</f>
        <v>0</v>
      </c>
      <c r="Z43">
        <f>AND(IF(metadata!G43="",FALSE,TRUE),exact(metadata!G43,"urine"))</f>
        <v>0</v>
      </c>
      <c r="AA43">
        <f>AND(IF(metadata!H43="",FALSE,TRUE),exact(metadata!H43,"urine"))</f>
        <v>0</v>
      </c>
      <c r="AB43">
        <f>AND(IF(metadata!I43="",FALSE,TRUE),exact(metadata!I43,"urine metagenome"))</f>
        <v>0</v>
      </c>
      <c r="AC43">
        <f>AND(IF(metadata!J43="",FALSE,TRUE),exact(metadata!J43,"1346744"))</f>
        <v>0</v>
      </c>
    </row>
    <row r="44" spans="1:29">
      <c r="A44" s="4">
        <f>IF(B44=" "," ",HYPERLINK(CONCATENATE("#metadata!",ADDRESS(INDEX($P$2:$P$1001,MATCH(ROWS($N$2:N44),$N$2:$N$1001,0),0),1)),INDEX($S$2:$S$1001,MATCH(ROWS($N$2:N44),$N$2:$N$1001,0),0)))</f>
        <v>0</v>
      </c>
      <c r="B44" s="3">
        <f>IF(OR(INDEX($O$2:$O$1001,MATCH(ROWS($N$2:N44),$N$2:$N$1001,0),1)&gt;=100000,INDEX($U$1005:$AC$1005,1,MATCH(COLUMNS($U$1006:U1006),$U$1006:$AC$1006,0))&gt;=100000), " ",IF(INDEX($U$2:$AC$1001,MATCH(ROWS($N$2:N44),$N$2:$N$1001,0),MATCH(COLUMNS($U$1006:U1006),$U$1006:$AC$1006,0)), HYPERLINK("#",""), HYPERLINK(CONCATENATE("#metadata!", ADDRESS(INDEX($P$2:$P$1001,MATCH(ROWS($N$2:N44),$N$2:$N$1001,0),0), INDEX($U$1004:$AC$1004,1,MATCH(COLUMNS($U$1006:U1006),$U$1006:$AC$1006,0)))),"Fix")))</f>
        <v>0</v>
      </c>
      <c r="C44" s="3">
        <f>IF(OR(INDEX($O$2:$O$1001,MATCH(ROWS($N$2:N44),$N$2:$N$1001,0),1)&gt;=100000,INDEX($U$1005:$AC$1005,1,MATCH(COLUMNS($U$1006:V1006),$U$1006:$AC$1006,0))&gt;=100000), " ",IF(INDEX($U$2:$AC$1001,MATCH(ROWS($N$2:N44),$N$2:$N$1001,0),MATCH(COLUMNS($U$1006:V1006),$U$1006:$AC$1006,0)), HYPERLINK("#",""), HYPERLINK(CONCATENATE("#metadata!", ADDRESS(INDEX($P$2:$P$1001,MATCH(ROWS($N$2:N44),$N$2:$N$1001,0),0), INDEX($U$1004:$AC$1004,1,MATCH(COLUMNS($U$1006:V1006),$U$1006:$AC$1006,0)))),"Fix")))</f>
        <v>0</v>
      </c>
      <c r="D44" s="3">
        <f>IF(OR(INDEX($O$2:$O$1001,MATCH(ROWS($N$2:N44),$N$2:$N$1001,0),1)&gt;=100000,INDEX($U$1005:$AC$1005,1,MATCH(COLUMNS($U$1006:W1006),$U$1006:$AC$1006,0))&gt;=100000), " ",IF(INDEX($U$2:$AC$1001,MATCH(ROWS($N$2:N44),$N$2:$N$1001,0),MATCH(COLUMNS($U$1006:W1006),$U$1006:$AC$1006,0)), HYPERLINK("#",""), HYPERLINK(CONCATENATE("#metadata!", ADDRESS(INDEX($P$2:$P$1001,MATCH(ROWS($N$2:N44),$N$2:$N$1001,0),0), INDEX($U$1004:$AC$1004,1,MATCH(COLUMNS($U$1006:W1006),$U$1006:$AC$1006,0)))),"Fix")))</f>
        <v>0</v>
      </c>
      <c r="E44" s="3">
        <f>IF(OR(INDEX($O$2:$O$1001,MATCH(ROWS($N$2:N44),$N$2:$N$1001,0),1)&gt;=100000,INDEX($U$1005:$AC$1005,1,MATCH(COLUMNS($U$1006:X1006),$U$1006:$AC$1006,0))&gt;=100000), " ",IF(INDEX($U$2:$AC$1001,MATCH(ROWS($N$2:N44),$N$2:$N$1001,0),MATCH(COLUMNS($U$1006:X1006),$U$1006:$AC$1006,0)), HYPERLINK("#",""), HYPERLINK(CONCATENATE("#metadata!", ADDRESS(INDEX($P$2:$P$1001,MATCH(ROWS($N$2:N44),$N$2:$N$1001,0),0), INDEX($U$1004:$AC$1004,1,MATCH(COLUMNS($U$1006:X1006),$U$1006:$AC$1006,0)))),"Fix")))</f>
        <v>0</v>
      </c>
      <c r="F44" s="3">
        <f>IF(OR(INDEX($O$2:$O$1001,MATCH(ROWS($N$2:N44),$N$2:$N$1001,0),1)&gt;=100000,INDEX($U$1005:$AC$1005,1,MATCH(COLUMNS($U$1006:Y1006),$U$1006:$AC$1006,0))&gt;=100000), " ",IF(INDEX($U$2:$AC$1001,MATCH(ROWS($N$2:N44),$N$2:$N$1001,0),MATCH(COLUMNS($U$1006:Y1006),$U$1006:$AC$1006,0)), HYPERLINK("#",""), HYPERLINK(CONCATENATE("#metadata!", ADDRESS(INDEX($P$2:$P$1001,MATCH(ROWS($N$2:N44),$N$2:$N$1001,0),0), INDEX($U$1004:$AC$1004,1,MATCH(COLUMNS($U$1006:Y1006),$U$1006:$AC$1006,0)))),"Fix")))</f>
        <v>0</v>
      </c>
      <c r="G44" s="3">
        <f>IF(OR(INDEX($O$2:$O$1001,MATCH(ROWS($N$2:N44),$N$2:$N$1001,0),1)&gt;=100000,INDEX($U$1005:$AC$1005,1,MATCH(COLUMNS($U$1006:Z1006),$U$1006:$AC$1006,0))&gt;=100000), " ",IF(INDEX($U$2:$AC$1001,MATCH(ROWS($N$2:N44),$N$2:$N$1001,0),MATCH(COLUMNS($U$1006:Z1006),$U$1006:$AC$1006,0)), HYPERLINK("#",""), HYPERLINK(CONCATENATE("#metadata!", ADDRESS(INDEX($P$2:$P$1001,MATCH(ROWS($N$2:N44),$N$2:$N$1001,0),0), INDEX($U$1004:$AC$1004,1,MATCH(COLUMNS($U$1006:Z1006),$U$1006:$AC$1006,0)))),"Fix")))</f>
        <v>0</v>
      </c>
      <c r="H44" s="3">
        <f>IF(OR(INDEX($O$2:$O$1001,MATCH(ROWS($N$2:N44),$N$2:$N$1001,0),1)&gt;=100000,INDEX($U$1005:$AC$1005,1,MATCH(COLUMNS($U$1006:AA1006),$U$1006:$AC$1006,0))&gt;=100000), " ",IF(INDEX($U$2:$AC$1001,MATCH(ROWS($N$2:N44),$N$2:$N$1001,0),MATCH(COLUMNS($U$1006:AA1006),$U$1006:$AC$1006,0)), HYPERLINK("#",""), HYPERLINK(CONCATENATE("#metadata!", ADDRESS(INDEX($P$2:$P$1001,MATCH(ROWS($N$2:N44),$N$2:$N$1001,0),0), INDEX($U$1004:$AC$1004,1,MATCH(COLUMNS($U$1006:AA1006),$U$1006:$AC$1006,0)))),"Fix")))</f>
        <v>0</v>
      </c>
      <c r="I44" s="3">
        <f>IF(OR(INDEX($O$2:$O$1001,MATCH(ROWS($N$2:N44),$N$2:$N$1001,0),1)&gt;=100000,INDEX($U$1005:$AC$1005,1,MATCH(COLUMNS($U$1006:AB1006),$U$1006:$AC$1006,0))&gt;=100000), " ",IF(INDEX($U$2:$AC$1001,MATCH(ROWS($N$2:N44),$N$2:$N$1001,0),MATCH(COLUMNS($U$1006:AB1006),$U$1006:$AC$1006,0)), HYPERLINK("#",""), HYPERLINK(CONCATENATE("#metadata!", ADDRESS(INDEX($P$2:$P$1001,MATCH(ROWS($N$2:N44),$N$2:$N$1001,0),0), INDEX($U$1004:$AC$1004,1,MATCH(COLUMNS($U$1006:AB1006),$U$1006:$AC$1006,0)))),"Fix")))</f>
        <v>0</v>
      </c>
      <c r="J44" s="3">
        <f>IF(OR(INDEX($O$2:$O$1001,MATCH(ROWS($N$2:N44),$N$2:$N$1001,0),1)&gt;=100000,INDEX($U$1005:$AC$1005,1,MATCH(COLUMNS($U$1006:AC1006),$U$1006:$AC$1006,0))&gt;=100000), " ",IF(INDEX($U$2:$AC$1001,MATCH(ROWS($N$2:N44),$N$2:$N$1001,0),MATCH(COLUMNS($U$1006:AC1006),$U$1006:$AC$1006,0)), HYPERLINK("#",""), HYPERLINK(CONCATENATE("#metadata!", ADDRESS(INDEX($P$2:$P$1001,MATCH(ROWS($N$2:N44),$N$2:$N$1001,0),0), INDEX($U$1004:$AC$1004,1,MATCH(COLUMNS($U$1006:AC1006),$U$1006:$AC$1006,0)))),"Fix")))</f>
        <v>0</v>
      </c>
      <c r="N44">
        <v>0</v>
      </c>
      <c r="O44">
        <v>0</v>
      </c>
      <c r="P44">
        <v>0</v>
      </c>
      <c r="Q44">
        <f>IF(R44,TRUE,AND(U44:AC44))</f>
        <v>0</v>
      </c>
      <c r="R44">
        <f>COUNTBLANK(metadata!B44:J44)=COLUMNS(metadata!B44:J44)</f>
        <v>0</v>
      </c>
      <c r="S44">
        <v>0</v>
      </c>
      <c r="U44">
        <f>AND(IF(metadata!B44="",FALSE,TRUE),COUNTIF(metadata!B:B, metadata!B44) = 1,NOT(ISERROR(SUMPRODUCT(SEARCH(MID(metadata!B44,ROW(INDIRECT("1:"&amp;LEN(metadata!B44))), 1),"0123456789abcdefghijklmnopqrstuvwxyzABCDEFGHIJKLMNOPQRSTUVWXYZ.")))))</f>
        <v>0</v>
      </c>
      <c r="V44">
        <f>AND(IF(metadata!C44="",FALSE,TRUE),exact(metadata!C44,"UBERON:genitourinary"))</f>
        <v>0</v>
      </c>
      <c r="W44">
        <f>AND(IF(metadata!D44="",FALSE,TRUE),exact(metadata!D44,"UBERON:urine"))</f>
        <v>0</v>
      </c>
      <c r="X44">
        <f>AND(IF(metadata!E44="",FALSE,TRUE),exact(metadata!E44,"UBERON:kidney"))</f>
        <v>0</v>
      </c>
      <c r="Y44">
        <f>AND(IF(metadata!F44="",FALSE,TRUE),exact(metadata!F44,"animal corpus"))</f>
        <v>0</v>
      </c>
      <c r="Z44">
        <f>AND(IF(metadata!G44="",FALSE,TRUE),exact(metadata!G44,"urine"))</f>
        <v>0</v>
      </c>
      <c r="AA44">
        <f>AND(IF(metadata!H44="",FALSE,TRUE),exact(metadata!H44,"urine"))</f>
        <v>0</v>
      </c>
      <c r="AB44">
        <f>AND(IF(metadata!I44="",FALSE,TRUE),exact(metadata!I44,"urine metagenome"))</f>
        <v>0</v>
      </c>
      <c r="AC44">
        <f>AND(IF(metadata!J44="",FALSE,TRUE),exact(metadata!J44,"1346744"))</f>
        <v>0</v>
      </c>
    </row>
    <row r="45" spans="1:29">
      <c r="A45" s="4">
        <f>IF(B45=" "," ",HYPERLINK(CONCATENATE("#metadata!",ADDRESS(INDEX($P$2:$P$1001,MATCH(ROWS($N$2:N45),$N$2:$N$1001,0),0),1)),INDEX($S$2:$S$1001,MATCH(ROWS($N$2:N45),$N$2:$N$1001,0),0)))</f>
        <v>0</v>
      </c>
      <c r="B45" s="3">
        <f>IF(OR(INDEX($O$2:$O$1001,MATCH(ROWS($N$2:N45),$N$2:$N$1001,0),1)&gt;=100000,INDEX($U$1005:$AC$1005,1,MATCH(COLUMNS($U$1006:U1006),$U$1006:$AC$1006,0))&gt;=100000), " ",IF(INDEX($U$2:$AC$1001,MATCH(ROWS($N$2:N45),$N$2:$N$1001,0),MATCH(COLUMNS($U$1006:U1006),$U$1006:$AC$1006,0)), HYPERLINK("#",""), HYPERLINK(CONCATENATE("#metadata!", ADDRESS(INDEX($P$2:$P$1001,MATCH(ROWS($N$2:N45),$N$2:$N$1001,0),0), INDEX($U$1004:$AC$1004,1,MATCH(COLUMNS($U$1006:U1006),$U$1006:$AC$1006,0)))),"Fix")))</f>
        <v>0</v>
      </c>
      <c r="C45" s="3">
        <f>IF(OR(INDEX($O$2:$O$1001,MATCH(ROWS($N$2:N45),$N$2:$N$1001,0),1)&gt;=100000,INDEX($U$1005:$AC$1005,1,MATCH(COLUMNS($U$1006:V1006),$U$1006:$AC$1006,0))&gt;=100000), " ",IF(INDEX($U$2:$AC$1001,MATCH(ROWS($N$2:N45),$N$2:$N$1001,0),MATCH(COLUMNS($U$1006:V1006),$U$1006:$AC$1006,0)), HYPERLINK("#",""), HYPERLINK(CONCATENATE("#metadata!", ADDRESS(INDEX($P$2:$P$1001,MATCH(ROWS($N$2:N45),$N$2:$N$1001,0),0), INDEX($U$1004:$AC$1004,1,MATCH(COLUMNS($U$1006:V1006),$U$1006:$AC$1006,0)))),"Fix")))</f>
        <v>0</v>
      </c>
      <c r="D45" s="3">
        <f>IF(OR(INDEX($O$2:$O$1001,MATCH(ROWS($N$2:N45),$N$2:$N$1001,0),1)&gt;=100000,INDEX($U$1005:$AC$1005,1,MATCH(COLUMNS($U$1006:W1006),$U$1006:$AC$1006,0))&gt;=100000), " ",IF(INDEX($U$2:$AC$1001,MATCH(ROWS($N$2:N45),$N$2:$N$1001,0),MATCH(COLUMNS($U$1006:W1006),$U$1006:$AC$1006,0)), HYPERLINK("#",""), HYPERLINK(CONCATENATE("#metadata!", ADDRESS(INDEX($P$2:$P$1001,MATCH(ROWS($N$2:N45),$N$2:$N$1001,0),0), INDEX($U$1004:$AC$1004,1,MATCH(COLUMNS($U$1006:W1006),$U$1006:$AC$1006,0)))),"Fix")))</f>
        <v>0</v>
      </c>
      <c r="E45" s="3">
        <f>IF(OR(INDEX($O$2:$O$1001,MATCH(ROWS($N$2:N45),$N$2:$N$1001,0),1)&gt;=100000,INDEX($U$1005:$AC$1005,1,MATCH(COLUMNS($U$1006:X1006),$U$1006:$AC$1006,0))&gt;=100000), " ",IF(INDEX($U$2:$AC$1001,MATCH(ROWS($N$2:N45),$N$2:$N$1001,0),MATCH(COLUMNS($U$1006:X1006),$U$1006:$AC$1006,0)), HYPERLINK("#",""), HYPERLINK(CONCATENATE("#metadata!", ADDRESS(INDEX($P$2:$P$1001,MATCH(ROWS($N$2:N45),$N$2:$N$1001,0),0), INDEX($U$1004:$AC$1004,1,MATCH(COLUMNS($U$1006:X1006),$U$1006:$AC$1006,0)))),"Fix")))</f>
        <v>0</v>
      </c>
      <c r="F45" s="3">
        <f>IF(OR(INDEX($O$2:$O$1001,MATCH(ROWS($N$2:N45),$N$2:$N$1001,0),1)&gt;=100000,INDEX($U$1005:$AC$1005,1,MATCH(COLUMNS($U$1006:Y1006),$U$1006:$AC$1006,0))&gt;=100000), " ",IF(INDEX($U$2:$AC$1001,MATCH(ROWS($N$2:N45),$N$2:$N$1001,0),MATCH(COLUMNS($U$1006:Y1006),$U$1006:$AC$1006,0)), HYPERLINK("#",""), HYPERLINK(CONCATENATE("#metadata!", ADDRESS(INDEX($P$2:$P$1001,MATCH(ROWS($N$2:N45),$N$2:$N$1001,0),0), INDEX($U$1004:$AC$1004,1,MATCH(COLUMNS($U$1006:Y1006),$U$1006:$AC$1006,0)))),"Fix")))</f>
        <v>0</v>
      </c>
      <c r="G45" s="3">
        <f>IF(OR(INDEX($O$2:$O$1001,MATCH(ROWS($N$2:N45),$N$2:$N$1001,0),1)&gt;=100000,INDEX($U$1005:$AC$1005,1,MATCH(COLUMNS($U$1006:Z1006),$U$1006:$AC$1006,0))&gt;=100000), " ",IF(INDEX($U$2:$AC$1001,MATCH(ROWS($N$2:N45),$N$2:$N$1001,0),MATCH(COLUMNS($U$1006:Z1006),$U$1006:$AC$1006,0)), HYPERLINK("#",""), HYPERLINK(CONCATENATE("#metadata!", ADDRESS(INDEX($P$2:$P$1001,MATCH(ROWS($N$2:N45),$N$2:$N$1001,0),0), INDEX($U$1004:$AC$1004,1,MATCH(COLUMNS($U$1006:Z1006),$U$1006:$AC$1006,0)))),"Fix")))</f>
        <v>0</v>
      </c>
      <c r="H45" s="3">
        <f>IF(OR(INDEX($O$2:$O$1001,MATCH(ROWS($N$2:N45),$N$2:$N$1001,0),1)&gt;=100000,INDEX($U$1005:$AC$1005,1,MATCH(COLUMNS($U$1006:AA1006),$U$1006:$AC$1006,0))&gt;=100000), " ",IF(INDEX($U$2:$AC$1001,MATCH(ROWS($N$2:N45),$N$2:$N$1001,0),MATCH(COLUMNS($U$1006:AA1006),$U$1006:$AC$1006,0)), HYPERLINK("#",""), HYPERLINK(CONCATENATE("#metadata!", ADDRESS(INDEX($P$2:$P$1001,MATCH(ROWS($N$2:N45),$N$2:$N$1001,0),0), INDEX($U$1004:$AC$1004,1,MATCH(COLUMNS($U$1006:AA1006),$U$1006:$AC$1006,0)))),"Fix")))</f>
        <v>0</v>
      </c>
      <c r="I45" s="3">
        <f>IF(OR(INDEX($O$2:$O$1001,MATCH(ROWS($N$2:N45),$N$2:$N$1001,0),1)&gt;=100000,INDEX($U$1005:$AC$1005,1,MATCH(COLUMNS($U$1006:AB1006),$U$1006:$AC$1006,0))&gt;=100000), " ",IF(INDEX($U$2:$AC$1001,MATCH(ROWS($N$2:N45),$N$2:$N$1001,0),MATCH(COLUMNS($U$1006:AB1006),$U$1006:$AC$1006,0)), HYPERLINK("#",""), HYPERLINK(CONCATENATE("#metadata!", ADDRESS(INDEX($P$2:$P$1001,MATCH(ROWS($N$2:N45),$N$2:$N$1001,0),0), INDEX($U$1004:$AC$1004,1,MATCH(COLUMNS($U$1006:AB1006),$U$1006:$AC$1006,0)))),"Fix")))</f>
        <v>0</v>
      </c>
      <c r="J45" s="3">
        <f>IF(OR(INDEX($O$2:$O$1001,MATCH(ROWS($N$2:N45),$N$2:$N$1001,0),1)&gt;=100000,INDEX($U$1005:$AC$1005,1,MATCH(COLUMNS($U$1006:AC1006),$U$1006:$AC$1006,0))&gt;=100000), " ",IF(INDEX($U$2:$AC$1001,MATCH(ROWS($N$2:N45),$N$2:$N$1001,0),MATCH(COLUMNS($U$1006:AC1006),$U$1006:$AC$1006,0)), HYPERLINK("#",""), HYPERLINK(CONCATENATE("#metadata!", ADDRESS(INDEX($P$2:$P$1001,MATCH(ROWS($N$2:N45),$N$2:$N$1001,0),0), INDEX($U$1004:$AC$1004,1,MATCH(COLUMNS($U$1006:AC1006),$U$1006:$AC$1006,0)))),"Fix")))</f>
        <v>0</v>
      </c>
      <c r="N45">
        <v>0</v>
      </c>
      <c r="O45">
        <v>0</v>
      </c>
      <c r="P45">
        <v>0</v>
      </c>
      <c r="Q45">
        <f>IF(R45,TRUE,AND(U45:AC45))</f>
        <v>0</v>
      </c>
      <c r="R45">
        <f>COUNTBLANK(metadata!B45:J45)=COLUMNS(metadata!B45:J45)</f>
        <v>0</v>
      </c>
      <c r="S45">
        <v>0</v>
      </c>
      <c r="U45">
        <f>AND(IF(metadata!B45="",FALSE,TRUE),COUNTIF(metadata!B:B, metadata!B45) = 1,NOT(ISERROR(SUMPRODUCT(SEARCH(MID(metadata!B45,ROW(INDIRECT("1:"&amp;LEN(metadata!B45))), 1),"0123456789abcdefghijklmnopqrstuvwxyzABCDEFGHIJKLMNOPQRSTUVWXYZ.")))))</f>
        <v>0</v>
      </c>
      <c r="V45">
        <f>AND(IF(metadata!C45="",FALSE,TRUE),exact(metadata!C45,"UBERON:genitourinary"))</f>
        <v>0</v>
      </c>
      <c r="W45">
        <f>AND(IF(metadata!D45="",FALSE,TRUE),exact(metadata!D45,"UBERON:urine"))</f>
        <v>0</v>
      </c>
      <c r="X45">
        <f>AND(IF(metadata!E45="",FALSE,TRUE),exact(metadata!E45,"UBERON:kidney"))</f>
        <v>0</v>
      </c>
      <c r="Y45">
        <f>AND(IF(metadata!F45="",FALSE,TRUE),exact(metadata!F45,"animal corpus"))</f>
        <v>0</v>
      </c>
      <c r="Z45">
        <f>AND(IF(metadata!G45="",FALSE,TRUE),exact(metadata!G45,"urine"))</f>
        <v>0</v>
      </c>
      <c r="AA45">
        <f>AND(IF(metadata!H45="",FALSE,TRUE),exact(metadata!H45,"urine"))</f>
        <v>0</v>
      </c>
      <c r="AB45">
        <f>AND(IF(metadata!I45="",FALSE,TRUE),exact(metadata!I45,"urine metagenome"))</f>
        <v>0</v>
      </c>
      <c r="AC45">
        <f>AND(IF(metadata!J45="",FALSE,TRUE),exact(metadata!J45,"1346744"))</f>
        <v>0</v>
      </c>
    </row>
    <row r="46" spans="1:29">
      <c r="A46" s="4">
        <f>IF(B46=" "," ",HYPERLINK(CONCATENATE("#metadata!",ADDRESS(INDEX($P$2:$P$1001,MATCH(ROWS($N$2:N46),$N$2:$N$1001,0),0),1)),INDEX($S$2:$S$1001,MATCH(ROWS($N$2:N46),$N$2:$N$1001,0),0)))</f>
        <v>0</v>
      </c>
      <c r="B46" s="3">
        <f>IF(OR(INDEX($O$2:$O$1001,MATCH(ROWS($N$2:N46),$N$2:$N$1001,0),1)&gt;=100000,INDEX($U$1005:$AC$1005,1,MATCH(COLUMNS($U$1006:U1006),$U$1006:$AC$1006,0))&gt;=100000), " ",IF(INDEX($U$2:$AC$1001,MATCH(ROWS($N$2:N46),$N$2:$N$1001,0),MATCH(COLUMNS($U$1006:U1006),$U$1006:$AC$1006,0)), HYPERLINK("#",""), HYPERLINK(CONCATENATE("#metadata!", ADDRESS(INDEX($P$2:$P$1001,MATCH(ROWS($N$2:N46),$N$2:$N$1001,0),0), INDEX($U$1004:$AC$1004,1,MATCH(COLUMNS($U$1006:U1006),$U$1006:$AC$1006,0)))),"Fix")))</f>
        <v>0</v>
      </c>
      <c r="C46" s="3">
        <f>IF(OR(INDEX($O$2:$O$1001,MATCH(ROWS($N$2:N46),$N$2:$N$1001,0),1)&gt;=100000,INDEX($U$1005:$AC$1005,1,MATCH(COLUMNS($U$1006:V1006),$U$1006:$AC$1006,0))&gt;=100000), " ",IF(INDEX($U$2:$AC$1001,MATCH(ROWS($N$2:N46),$N$2:$N$1001,0),MATCH(COLUMNS($U$1006:V1006),$U$1006:$AC$1006,0)), HYPERLINK("#",""), HYPERLINK(CONCATENATE("#metadata!", ADDRESS(INDEX($P$2:$P$1001,MATCH(ROWS($N$2:N46),$N$2:$N$1001,0),0), INDEX($U$1004:$AC$1004,1,MATCH(COLUMNS($U$1006:V1006),$U$1006:$AC$1006,0)))),"Fix")))</f>
        <v>0</v>
      </c>
      <c r="D46" s="3">
        <f>IF(OR(INDEX($O$2:$O$1001,MATCH(ROWS($N$2:N46),$N$2:$N$1001,0),1)&gt;=100000,INDEX($U$1005:$AC$1005,1,MATCH(COLUMNS($U$1006:W1006),$U$1006:$AC$1006,0))&gt;=100000), " ",IF(INDEX($U$2:$AC$1001,MATCH(ROWS($N$2:N46),$N$2:$N$1001,0),MATCH(COLUMNS($U$1006:W1006),$U$1006:$AC$1006,0)), HYPERLINK("#",""), HYPERLINK(CONCATENATE("#metadata!", ADDRESS(INDEX($P$2:$P$1001,MATCH(ROWS($N$2:N46),$N$2:$N$1001,0),0), INDEX($U$1004:$AC$1004,1,MATCH(COLUMNS($U$1006:W1006),$U$1006:$AC$1006,0)))),"Fix")))</f>
        <v>0</v>
      </c>
      <c r="E46" s="3">
        <f>IF(OR(INDEX($O$2:$O$1001,MATCH(ROWS($N$2:N46),$N$2:$N$1001,0),1)&gt;=100000,INDEX($U$1005:$AC$1005,1,MATCH(COLUMNS($U$1006:X1006),$U$1006:$AC$1006,0))&gt;=100000), " ",IF(INDEX($U$2:$AC$1001,MATCH(ROWS($N$2:N46),$N$2:$N$1001,0),MATCH(COLUMNS($U$1006:X1006),$U$1006:$AC$1006,0)), HYPERLINK("#",""), HYPERLINK(CONCATENATE("#metadata!", ADDRESS(INDEX($P$2:$P$1001,MATCH(ROWS($N$2:N46),$N$2:$N$1001,0),0), INDEX($U$1004:$AC$1004,1,MATCH(COLUMNS($U$1006:X1006),$U$1006:$AC$1006,0)))),"Fix")))</f>
        <v>0</v>
      </c>
      <c r="F46" s="3">
        <f>IF(OR(INDEX($O$2:$O$1001,MATCH(ROWS($N$2:N46),$N$2:$N$1001,0),1)&gt;=100000,INDEX($U$1005:$AC$1005,1,MATCH(COLUMNS($U$1006:Y1006),$U$1006:$AC$1006,0))&gt;=100000), " ",IF(INDEX($U$2:$AC$1001,MATCH(ROWS($N$2:N46),$N$2:$N$1001,0),MATCH(COLUMNS($U$1006:Y1006),$U$1006:$AC$1006,0)), HYPERLINK("#",""), HYPERLINK(CONCATENATE("#metadata!", ADDRESS(INDEX($P$2:$P$1001,MATCH(ROWS($N$2:N46),$N$2:$N$1001,0),0), INDEX($U$1004:$AC$1004,1,MATCH(COLUMNS($U$1006:Y1006),$U$1006:$AC$1006,0)))),"Fix")))</f>
        <v>0</v>
      </c>
      <c r="G46" s="3">
        <f>IF(OR(INDEX($O$2:$O$1001,MATCH(ROWS($N$2:N46),$N$2:$N$1001,0),1)&gt;=100000,INDEX($U$1005:$AC$1005,1,MATCH(COLUMNS($U$1006:Z1006),$U$1006:$AC$1006,0))&gt;=100000), " ",IF(INDEX($U$2:$AC$1001,MATCH(ROWS($N$2:N46),$N$2:$N$1001,0),MATCH(COLUMNS($U$1006:Z1006),$U$1006:$AC$1006,0)), HYPERLINK("#",""), HYPERLINK(CONCATENATE("#metadata!", ADDRESS(INDEX($P$2:$P$1001,MATCH(ROWS($N$2:N46),$N$2:$N$1001,0),0), INDEX($U$1004:$AC$1004,1,MATCH(COLUMNS($U$1006:Z1006),$U$1006:$AC$1006,0)))),"Fix")))</f>
        <v>0</v>
      </c>
      <c r="H46" s="3">
        <f>IF(OR(INDEX($O$2:$O$1001,MATCH(ROWS($N$2:N46),$N$2:$N$1001,0),1)&gt;=100000,INDEX($U$1005:$AC$1005,1,MATCH(COLUMNS($U$1006:AA1006),$U$1006:$AC$1006,0))&gt;=100000), " ",IF(INDEX($U$2:$AC$1001,MATCH(ROWS($N$2:N46),$N$2:$N$1001,0),MATCH(COLUMNS($U$1006:AA1006),$U$1006:$AC$1006,0)), HYPERLINK("#",""), HYPERLINK(CONCATENATE("#metadata!", ADDRESS(INDEX($P$2:$P$1001,MATCH(ROWS($N$2:N46),$N$2:$N$1001,0),0), INDEX($U$1004:$AC$1004,1,MATCH(COLUMNS($U$1006:AA1006),$U$1006:$AC$1006,0)))),"Fix")))</f>
        <v>0</v>
      </c>
      <c r="I46" s="3">
        <f>IF(OR(INDEX($O$2:$O$1001,MATCH(ROWS($N$2:N46),$N$2:$N$1001,0),1)&gt;=100000,INDEX($U$1005:$AC$1005,1,MATCH(COLUMNS($U$1006:AB1006),$U$1006:$AC$1006,0))&gt;=100000), " ",IF(INDEX($U$2:$AC$1001,MATCH(ROWS($N$2:N46),$N$2:$N$1001,0),MATCH(COLUMNS($U$1006:AB1006),$U$1006:$AC$1006,0)), HYPERLINK("#",""), HYPERLINK(CONCATENATE("#metadata!", ADDRESS(INDEX($P$2:$P$1001,MATCH(ROWS($N$2:N46),$N$2:$N$1001,0),0), INDEX($U$1004:$AC$1004,1,MATCH(COLUMNS($U$1006:AB1006),$U$1006:$AC$1006,0)))),"Fix")))</f>
        <v>0</v>
      </c>
      <c r="J46" s="3">
        <f>IF(OR(INDEX($O$2:$O$1001,MATCH(ROWS($N$2:N46),$N$2:$N$1001,0),1)&gt;=100000,INDEX($U$1005:$AC$1005,1,MATCH(COLUMNS($U$1006:AC1006),$U$1006:$AC$1006,0))&gt;=100000), " ",IF(INDEX($U$2:$AC$1001,MATCH(ROWS($N$2:N46),$N$2:$N$1001,0),MATCH(COLUMNS($U$1006:AC1006),$U$1006:$AC$1006,0)), HYPERLINK("#",""), HYPERLINK(CONCATENATE("#metadata!", ADDRESS(INDEX($P$2:$P$1001,MATCH(ROWS($N$2:N46),$N$2:$N$1001,0),0), INDEX($U$1004:$AC$1004,1,MATCH(COLUMNS($U$1006:AC1006),$U$1006:$AC$1006,0)))),"Fix")))</f>
        <v>0</v>
      </c>
      <c r="N46">
        <v>0</v>
      </c>
      <c r="O46">
        <v>0</v>
      </c>
      <c r="P46">
        <v>0</v>
      </c>
      <c r="Q46">
        <f>IF(R46,TRUE,AND(U46:AC46))</f>
        <v>0</v>
      </c>
      <c r="R46">
        <f>COUNTBLANK(metadata!B46:J46)=COLUMNS(metadata!B46:J46)</f>
        <v>0</v>
      </c>
      <c r="S46">
        <v>0</v>
      </c>
      <c r="U46">
        <f>AND(IF(metadata!B46="",FALSE,TRUE),COUNTIF(metadata!B:B, metadata!B46) = 1,NOT(ISERROR(SUMPRODUCT(SEARCH(MID(metadata!B46,ROW(INDIRECT("1:"&amp;LEN(metadata!B46))), 1),"0123456789abcdefghijklmnopqrstuvwxyzABCDEFGHIJKLMNOPQRSTUVWXYZ.")))))</f>
        <v>0</v>
      </c>
      <c r="V46">
        <f>AND(IF(metadata!C46="",FALSE,TRUE),exact(metadata!C46,"UBERON:genitourinary"))</f>
        <v>0</v>
      </c>
      <c r="W46">
        <f>AND(IF(metadata!D46="",FALSE,TRUE),exact(metadata!D46,"UBERON:urine"))</f>
        <v>0</v>
      </c>
      <c r="X46">
        <f>AND(IF(metadata!E46="",FALSE,TRUE),exact(metadata!E46,"UBERON:kidney"))</f>
        <v>0</v>
      </c>
      <c r="Y46">
        <f>AND(IF(metadata!F46="",FALSE,TRUE),exact(metadata!F46,"animal corpus"))</f>
        <v>0</v>
      </c>
      <c r="Z46">
        <f>AND(IF(metadata!G46="",FALSE,TRUE),exact(metadata!G46,"urine"))</f>
        <v>0</v>
      </c>
      <c r="AA46">
        <f>AND(IF(metadata!H46="",FALSE,TRUE),exact(metadata!H46,"urine"))</f>
        <v>0</v>
      </c>
      <c r="AB46">
        <f>AND(IF(metadata!I46="",FALSE,TRUE),exact(metadata!I46,"urine metagenome"))</f>
        <v>0</v>
      </c>
      <c r="AC46">
        <f>AND(IF(metadata!J46="",FALSE,TRUE),exact(metadata!J46,"1346744"))</f>
        <v>0</v>
      </c>
    </row>
    <row r="47" spans="1:29">
      <c r="A47" s="4">
        <f>IF(B47=" "," ",HYPERLINK(CONCATENATE("#metadata!",ADDRESS(INDEX($P$2:$P$1001,MATCH(ROWS($N$2:N47),$N$2:$N$1001,0),0),1)),INDEX($S$2:$S$1001,MATCH(ROWS($N$2:N47),$N$2:$N$1001,0),0)))</f>
        <v>0</v>
      </c>
      <c r="B47" s="3">
        <f>IF(OR(INDEX($O$2:$O$1001,MATCH(ROWS($N$2:N47),$N$2:$N$1001,0),1)&gt;=100000,INDEX($U$1005:$AC$1005,1,MATCH(COLUMNS($U$1006:U1006),$U$1006:$AC$1006,0))&gt;=100000), " ",IF(INDEX($U$2:$AC$1001,MATCH(ROWS($N$2:N47),$N$2:$N$1001,0),MATCH(COLUMNS($U$1006:U1006),$U$1006:$AC$1006,0)), HYPERLINK("#",""), HYPERLINK(CONCATENATE("#metadata!", ADDRESS(INDEX($P$2:$P$1001,MATCH(ROWS($N$2:N47),$N$2:$N$1001,0),0), INDEX($U$1004:$AC$1004,1,MATCH(COLUMNS($U$1006:U1006),$U$1006:$AC$1006,0)))),"Fix")))</f>
        <v>0</v>
      </c>
      <c r="C47" s="3">
        <f>IF(OR(INDEX($O$2:$O$1001,MATCH(ROWS($N$2:N47),$N$2:$N$1001,0),1)&gt;=100000,INDEX($U$1005:$AC$1005,1,MATCH(COLUMNS($U$1006:V1006),$U$1006:$AC$1006,0))&gt;=100000), " ",IF(INDEX($U$2:$AC$1001,MATCH(ROWS($N$2:N47),$N$2:$N$1001,0),MATCH(COLUMNS($U$1006:V1006),$U$1006:$AC$1006,0)), HYPERLINK("#",""), HYPERLINK(CONCATENATE("#metadata!", ADDRESS(INDEX($P$2:$P$1001,MATCH(ROWS($N$2:N47),$N$2:$N$1001,0),0), INDEX($U$1004:$AC$1004,1,MATCH(COLUMNS($U$1006:V1006),$U$1006:$AC$1006,0)))),"Fix")))</f>
        <v>0</v>
      </c>
      <c r="D47" s="3">
        <f>IF(OR(INDEX($O$2:$O$1001,MATCH(ROWS($N$2:N47),$N$2:$N$1001,0),1)&gt;=100000,INDEX($U$1005:$AC$1005,1,MATCH(COLUMNS($U$1006:W1006),$U$1006:$AC$1006,0))&gt;=100000), " ",IF(INDEX($U$2:$AC$1001,MATCH(ROWS($N$2:N47),$N$2:$N$1001,0),MATCH(COLUMNS($U$1006:W1006),$U$1006:$AC$1006,0)), HYPERLINK("#",""), HYPERLINK(CONCATENATE("#metadata!", ADDRESS(INDEX($P$2:$P$1001,MATCH(ROWS($N$2:N47),$N$2:$N$1001,0),0), INDEX($U$1004:$AC$1004,1,MATCH(COLUMNS($U$1006:W1006),$U$1006:$AC$1006,0)))),"Fix")))</f>
        <v>0</v>
      </c>
      <c r="E47" s="3">
        <f>IF(OR(INDEX($O$2:$O$1001,MATCH(ROWS($N$2:N47),$N$2:$N$1001,0),1)&gt;=100000,INDEX($U$1005:$AC$1005,1,MATCH(COLUMNS($U$1006:X1006),$U$1006:$AC$1006,0))&gt;=100000), " ",IF(INDEX($U$2:$AC$1001,MATCH(ROWS($N$2:N47),$N$2:$N$1001,0),MATCH(COLUMNS($U$1006:X1006),$U$1006:$AC$1006,0)), HYPERLINK("#",""), HYPERLINK(CONCATENATE("#metadata!", ADDRESS(INDEX($P$2:$P$1001,MATCH(ROWS($N$2:N47),$N$2:$N$1001,0),0), INDEX($U$1004:$AC$1004,1,MATCH(COLUMNS($U$1006:X1006),$U$1006:$AC$1006,0)))),"Fix")))</f>
        <v>0</v>
      </c>
      <c r="F47" s="3">
        <f>IF(OR(INDEX($O$2:$O$1001,MATCH(ROWS($N$2:N47),$N$2:$N$1001,0),1)&gt;=100000,INDEX($U$1005:$AC$1005,1,MATCH(COLUMNS($U$1006:Y1006),$U$1006:$AC$1006,0))&gt;=100000), " ",IF(INDEX($U$2:$AC$1001,MATCH(ROWS($N$2:N47),$N$2:$N$1001,0),MATCH(COLUMNS($U$1006:Y1006),$U$1006:$AC$1006,0)), HYPERLINK("#",""), HYPERLINK(CONCATENATE("#metadata!", ADDRESS(INDEX($P$2:$P$1001,MATCH(ROWS($N$2:N47),$N$2:$N$1001,0),0), INDEX($U$1004:$AC$1004,1,MATCH(COLUMNS($U$1006:Y1006),$U$1006:$AC$1006,0)))),"Fix")))</f>
        <v>0</v>
      </c>
      <c r="G47" s="3">
        <f>IF(OR(INDEX($O$2:$O$1001,MATCH(ROWS($N$2:N47),$N$2:$N$1001,0),1)&gt;=100000,INDEX($U$1005:$AC$1005,1,MATCH(COLUMNS($U$1006:Z1006),$U$1006:$AC$1006,0))&gt;=100000), " ",IF(INDEX($U$2:$AC$1001,MATCH(ROWS($N$2:N47),$N$2:$N$1001,0),MATCH(COLUMNS($U$1006:Z1006),$U$1006:$AC$1006,0)), HYPERLINK("#",""), HYPERLINK(CONCATENATE("#metadata!", ADDRESS(INDEX($P$2:$P$1001,MATCH(ROWS($N$2:N47),$N$2:$N$1001,0),0), INDEX($U$1004:$AC$1004,1,MATCH(COLUMNS($U$1006:Z1006),$U$1006:$AC$1006,0)))),"Fix")))</f>
        <v>0</v>
      </c>
      <c r="H47" s="3">
        <f>IF(OR(INDEX($O$2:$O$1001,MATCH(ROWS($N$2:N47),$N$2:$N$1001,0),1)&gt;=100000,INDEX($U$1005:$AC$1005,1,MATCH(COLUMNS($U$1006:AA1006),$U$1006:$AC$1006,0))&gt;=100000), " ",IF(INDEX($U$2:$AC$1001,MATCH(ROWS($N$2:N47),$N$2:$N$1001,0),MATCH(COLUMNS($U$1006:AA1006),$U$1006:$AC$1006,0)), HYPERLINK("#",""), HYPERLINK(CONCATENATE("#metadata!", ADDRESS(INDEX($P$2:$P$1001,MATCH(ROWS($N$2:N47),$N$2:$N$1001,0),0), INDEX($U$1004:$AC$1004,1,MATCH(COLUMNS($U$1006:AA1006),$U$1006:$AC$1006,0)))),"Fix")))</f>
        <v>0</v>
      </c>
      <c r="I47" s="3">
        <f>IF(OR(INDEX($O$2:$O$1001,MATCH(ROWS($N$2:N47),$N$2:$N$1001,0),1)&gt;=100000,INDEX($U$1005:$AC$1005,1,MATCH(COLUMNS($U$1006:AB1006),$U$1006:$AC$1006,0))&gt;=100000), " ",IF(INDEX($U$2:$AC$1001,MATCH(ROWS($N$2:N47),$N$2:$N$1001,0),MATCH(COLUMNS($U$1006:AB1006),$U$1006:$AC$1006,0)), HYPERLINK("#",""), HYPERLINK(CONCATENATE("#metadata!", ADDRESS(INDEX($P$2:$P$1001,MATCH(ROWS($N$2:N47),$N$2:$N$1001,0),0), INDEX($U$1004:$AC$1004,1,MATCH(COLUMNS($U$1006:AB1006),$U$1006:$AC$1006,0)))),"Fix")))</f>
        <v>0</v>
      </c>
      <c r="J47" s="3">
        <f>IF(OR(INDEX($O$2:$O$1001,MATCH(ROWS($N$2:N47),$N$2:$N$1001,0),1)&gt;=100000,INDEX($U$1005:$AC$1005,1,MATCH(COLUMNS($U$1006:AC1006),$U$1006:$AC$1006,0))&gt;=100000), " ",IF(INDEX($U$2:$AC$1001,MATCH(ROWS($N$2:N47),$N$2:$N$1001,0),MATCH(COLUMNS($U$1006:AC1006),$U$1006:$AC$1006,0)), HYPERLINK("#",""), HYPERLINK(CONCATENATE("#metadata!", ADDRESS(INDEX($P$2:$P$1001,MATCH(ROWS($N$2:N47),$N$2:$N$1001,0),0), INDEX($U$1004:$AC$1004,1,MATCH(COLUMNS($U$1006:AC1006),$U$1006:$AC$1006,0)))),"Fix")))</f>
        <v>0</v>
      </c>
      <c r="N47">
        <v>0</v>
      </c>
      <c r="O47">
        <v>0</v>
      </c>
      <c r="P47">
        <v>0</v>
      </c>
      <c r="Q47">
        <f>IF(R47,TRUE,AND(U47:AC47))</f>
        <v>0</v>
      </c>
      <c r="R47">
        <f>COUNTBLANK(metadata!B47:J47)=COLUMNS(metadata!B47:J47)</f>
        <v>0</v>
      </c>
      <c r="S47">
        <v>0</v>
      </c>
      <c r="U47">
        <f>AND(IF(metadata!B47="",FALSE,TRUE),COUNTIF(metadata!B:B, metadata!B47) = 1,NOT(ISERROR(SUMPRODUCT(SEARCH(MID(metadata!B47,ROW(INDIRECT("1:"&amp;LEN(metadata!B47))), 1),"0123456789abcdefghijklmnopqrstuvwxyzABCDEFGHIJKLMNOPQRSTUVWXYZ.")))))</f>
        <v>0</v>
      </c>
      <c r="V47">
        <f>AND(IF(metadata!C47="",FALSE,TRUE),exact(metadata!C47,"UBERON:genitourinary"))</f>
        <v>0</v>
      </c>
      <c r="W47">
        <f>AND(IF(metadata!D47="",FALSE,TRUE),exact(metadata!D47,"UBERON:urine"))</f>
        <v>0</v>
      </c>
      <c r="X47">
        <f>AND(IF(metadata!E47="",FALSE,TRUE),exact(metadata!E47,"UBERON:kidney"))</f>
        <v>0</v>
      </c>
      <c r="Y47">
        <f>AND(IF(metadata!F47="",FALSE,TRUE),exact(metadata!F47,"animal corpus"))</f>
        <v>0</v>
      </c>
      <c r="Z47">
        <f>AND(IF(metadata!G47="",FALSE,TRUE),exact(metadata!G47,"urine"))</f>
        <v>0</v>
      </c>
      <c r="AA47">
        <f>AND(IF(metadata!H47="",FALSE,TRUE),exact(metadata!H47,"urine"))</f>
        <v>0</v>
      </c>
      <c r="AB47">
        <f>AND(IF(metadata!I47="",FALSE,TRUE),exact(metadata!I47,"urine metagenome"))</f>
        <v>0</v>
      </c>
      <c r="AC47">
        <f>AND(IF(metadata!J47="",FALSE,TRUE),exact(metadata!J47,"1346744"))</f>
        <v>0</v>
      </c>
    </row>
    <row r="48" spans="1:29">
      <c r="A48" s="4">
        <f>IF(B48=" "," ",HYPERLINK(CONCATENATE("#metadata!",ADDRESS(INDEX($P$2:$P$1001,MATCH(ROWS($N$2:N48),$N$2:$N$1001,0),0),1)),INDEX($S$2:$S$1001,MATCH(ROWS($N$2:N48),$N$2:$N$1001,0),0)))</f>
        <v>0</v>
      </c>
      <c r="B48" s="3">
        <f>IF(OR(INDEX($O$2:$O$1001,MATCH(ROWS($N$2:N48),$N$2:$N$1001,0),1)&gt;=100000,INDEX($U$1005:$AC$1005,1,MATCH(COLUMNS($U$1006:U1006),$U$1006:$AC$1006,0))&gt;=100000), " ",IF(INDEX($U$2:$AC$1001,MATCH(ROWS($N$2:N48),$N$2:$N$1001,0),MATCH(COLUMNS($U$1006:U1006),$U$1006:$AC$1006,0)), HYPERLINK("#",""), HYPERLINK(CONCATENATE("#metadata!", ADDRESS(INDEX($P$2:$P$1001,MATCH(ROWS($N$2:N48),$N$2:$N$1001,0),0), INDEX($U$1004:$AC$1004,1,MATCH(COLUMNS($U$1006:U1006),$U$1006:$AC$1006,0)))),"Fix")))</f>
        <v>0</v>
      </c>
      <c r="C48" s="3">
        <f>IF(OR(INDEX($O$2:$O$1001,MATCH(ROWS($N$2:N48),$N$2:$N$1001,0),1)&gt;=100000,INDEX($U$1005:$AC$1005,1,MATCH(COLUMNS($U$1006:V1006),$U$1006:$AC$1006,0))&gt;=100000), " ",IF(INDEX($U$2:$AC$1001,MATCH(ROWS($N$2:N48),$N$2:$N$1001,0),MATCH(COLUMNS($U$1006:V1006),$U$1006:$AC$1006,0)), HYPERLINK("#",""), HYPERLINK(CONCATENATE("#metadata!", ADDRESS(INDEX($P$2:$P$1001,MATCH(ROWS($N$2:N48),$N$2:$N$1001,0),0), INDEX($U$1004:$AC$1004,1,MATCH(COLUMNS($U$1006:V1006),$U$1006:$AC$1006,0)))),"Fix")))</f>
        <v>0</v>
      </c>
      <c r="D48" s="3">
        <f>IF(OR(INDEX($O$2:$O$1001,MATCH(ROWS($N$2:N48),$N$2:$N$1001,0),1)&gt;=100000,INDEX($U$1005:$AC$1005,1,MATCH(COLUMNS($U$1006:W1006),$U$1006:$AC$1006,0))&gt;=100000), " ",IF(INDEX($U$2:$AC$1001,MATCH(ROWS($N$2:N48),$N$2:$N$1001,0),MATCH(COLUMNS($U$1006:W1006),$U$1006:$AC$1006,0)), HYPERLINK("#",""), HYPERLINK(CONCATENATE("#metadata!", ADDRESS(INDEX($P$2:$P$1001,MATCH(ROWS($N$2:N48),$N$2:$N$1001,0),0), INDEX($U$1004:$AC$1004,1,MATCH(COLUMNS($U$1006:W1006),$U$1006:$AC$1006,0)))),"Fix")))</f>
        <v>0</v>
      </c>
      <c r="E48" s="3">
        <f>IF(OR(INDEX($O$2:$O$1001,MATCH(ROWS($N$2:N48),$N$2:$N$1001,0),1)&gt;=100000,INDEX($U$1005:$AC$1005,1,MATCH(COLUMNS($U$1006:X1006),$U$1006:$AC$1006,0))&gt;=100000), " ",IF(INDEX($U$2:$AC$1001,MATCH(ROWS($N$2:N48),$N$2:$N$1001,0),MATCH(COLUMNS($U$1006:X1006),$U$1006:$AC$1006,0)), HYPERLINK("#",""), HYPERLINK(CONCATENATE("#metadata!", ADDRESS(INDEX($P$2:$P$1001,MATCH(ROWS($N$2:N48),$N$2:$N$1001,0),0), INDEX($U$1004:$AC$1004,1,MATCH(COLUMNS($U$1006:X1006),$U$1006:$AC$1006,0)))),"Fix")))</f>
        <v>0</v>
      </c>
      <c r="F48" s="3">
        <f>IF(OR(INDEX($O$2:$O$1001,MATCH(ROWS($N$2:N48),$N$2:$N$1001,0),1)&gt;=100000,INDEX($U$1005:$AC$1005,1,MATCH(COLUMNS($U$1006:Y1006),$U$1006:$AC$1006,0))&gt;=100000), " ",IF(INDEX($U$2:$AC$1001,MATCH(ROWS($N$2:N48),$N$2:$N$1001,0),MATCH(COLUMNS($U$1006:Y1006),$U$1006:$AC$1006,0)), HYPERLINK("#",""), HYPERLINK(CONCATENATE("#metadata!", ADDRESS(INDEX($P$2:$P$1001,MATCH(ROWS($N$2:N48),$N$2:$N$1001,0),0), INDEX($U$1004:$AC$1004,1,MATCH(COLUMNS($U$1006:Y1006),$U$1006:$AC$1006,0)))),"Fix")))</f>
        <v>0</v>
      </c>
      <c r="G48" s="3">
        <f>IF(OR(INDEX($O$2:$O$1001,MATCH(ROWS($N$2:N48),$N$2:$N$1001,0),1)&gt;=100000,INDEX($U$1005:$AC$1005,1,MATCH(COLUMNS($U$1006:Z1006),$U$1006:$AC$1006,0))&gt;=100000), " ",IF(INDEX($U$2:$AC$1001,MATCH(ROWS($N$2:N48),$N$2:$N$1001,0),MATCH(COLUMNS($U$1006:Z1006),$U$1006:$AC$1006,0)), HYPERLINK("#",""), HYPERLINK(CONCATENATE("#metadata!", ADDRESS(INDEX($P$2:$P$1001,MATCH(ROWS($N$2:N48),$N$2:$N$1001,0),0), INDEX($U$1004:$AC$1004,1,MATCH(COLUMNS($U$1006:Z1006),$U$1006:$AC$1006,0)))),"Fix")))</f>
        <v>0</v>
      </c>
      <c r="H48" s="3">
        <f>IF(OR(INDEX($O$2:$O$1001,MATCH(ROWS($N$2:N48),$N$2:$N$1001,0),1)&gt;=100000,INDEX($U$1005:$AC$1005,1,MATCH(COLUMNS($U$1006:AA1006),$U$1006:$AC$1006,0))&gt;=100000), " ",IF(INDEX($U$2:$AC$1001,MATCH(ROWS($N$2:N48),$N$2:$N$1001,0),MATCH(COLUMNS($U$1006:AA1006),$U$1006:$AC$1006,0)), HYPERLINK("#",""), HYPERLINK(CONCATENATE("#metadata!", ADDRESS(INDEX($P$2:$P$1001,MATCH(ROWS($N$2:N48),$N$2:$N$1001,0),0), INDEX($U$1004:$AC$1004,1,MATCH(COLUMNS($U$1006:AA1006),$U$1006:$AC$1006,0)))),"Fix")))</f>
        <v>0</v>
      </c>
      <c r="I48" s="3">
        <f>IF(OR(INDEX($O$2:$O$1001,MATCH(ROWS($N$2:N48),$N$2:$N$1001,0),1)&gt;=100000,INDEX($U$1005:$AC$1005,1,MATCH(COLUMNS($U$1006:AB1006),$U$1006:$AC$1006,0))&gt;=100000), " ",IF(INDEX($U$2:$AC$1001,MATCH(ROWS($N$2:N48),$N$2:$N$1001,0),MATCH(COLUMNS($U$1006:AB1006),$U$1006:$AC$1006,0)), HYPERLINK("#",""), HYPERLINK(CONCATENATE("#metadata!", ADDRESS(INDEX($P$2:$P$1001,MATCH(ROWS($N$2:N48),$N$2:$N$1001,0),0), INDEX($U$1004:$AC$1004,1,MATCH(COLUMNS($U$1006:AB1006),$U$1006:$AC$1006,0)))),"Fix")))</f>
        <v>0</v>
      </c>
      <c r="J48" s="3">
        <f>IF(OR(INDEX($O$2:$O$1001,MATCH(ROWS($N$2:N48),$N$2:$N$1001,0),1)&gt;=100000,INDEX($U$1005:$AC$1005,1,MATCH(COLUMNS($U$1006:AC1006),$U$1006:$AC$1006,0))&gt;=100000), " ",IF(INDEX($U$2:$AC$1001,MATCH(ROWS($N$2:N48),$N$2:$N$1001,0),MATCH(COLUMNS($U$1006:AC1006),$U$1006:$AC$1006,0)), HYPERLINK("#",""), HYPERLINK(CONCATENATE("#metadata!", ADDRESS(INDEX($P$2:$P$1001,MATCH(ROWS($N$2:N48),$N$2:$N$1001,0),0), INDEX($U$1004:$AC$1004,1,MATCH(COLUMNS($U$1006:AC1006),$U$1006:$AC$1006,0)))),"Fix")))</f>
        <v>0</v>
      </c>
      <c r="N48">
        <v>0</v>
      </c>
      <c r="O48">
        <v>0</v>
      </c>
      <c r="P48">
        <v>0</v>
      </c>
      <c r="Q48">
        <f>IF(R48,TRUE,AND(U48:AC48))</f>
        <v>0</v>
      </c>
      <c r="R48">
        <f>COUNTBLANK(metadata!B48:J48)=COLUMNS(metadata!B48:J48)</f>
        <v>0</v>
      </c>
      <c r="S48">
        <v>0</v>
      </c>
      <c r="U48">
        <f>AND(IF(metadata!B48="",FALSE,TRUE),COUNTIF(metadata!B:B, metadata!B48) = 1,NOT(ISERROR(SUMPRODUCT(SEARCH(MID(metadata!B48,ROW(INDIRECT("1:"&amp;LEN(metadata!B48))), 1),"0123456789abcdefghijklmnopqrstuvwxyzABCDEFGHIJKLMNOPQRSTUVWXYZ.")))))</f>
        <v>0</v>
      </c>
      <c r="V48">
        <f>AND(IF(metadata!C48="",FALSE,TRUE),exact(metadata!C48,"UBERON:genitourinary"))</f>
        <v>0</v>
      </c>
      <c r="W48">
        <f>AND(IF(metadata!D48="",FALSE,TRUE),exact(metadata!D48,"UBERON:urine"))</f>
        <v>0</v>
      </c>
      <c r="X48">
        <f>AND(IF(metadata!E48="",FALSE,TRUE),exact(metadata!E48,"UBERON:kidney"))</f>
        <v>0</v>
      </c>
      <c r="Y48">
        <f>AND(IF(metadata!F48="",FALSE,TRUE),exact(metadata!F48,"animal corpus"))</f>
        <v>0</v>
      </c>
      <c r="Z48">
        <f>AND(IF(metadata!G48="",FALSE,TRUE),exact(metadata!G48,"urine"))</f>
        <v>0</v>
      </c>
      <c r="AA48">
        <f>AND(IF(metadata!H48="",FALSE,TRUE),exact(metadata!H48,"urine"))</f>
        <v>0</v>
      </c>
      <c r="AB48">
        <f>AND(IF(metadata!I48="",FALSE,TRUE),exact(metadata!I48,"urine metagenome"))</f>
        <v>0</v>
      </c>
      <c r="AC48">
        <f>AND(IF(metadata!J48="",FALSE,TRUE),exact(metadata!J48,"1346744"))</f>
        <v>0</v>
      </c>
    </row>
    <row r="49" spans="1:29">
      <c r="A49" s="4">
        <f>IF(B49=" "," ",HYPERLINK(CONCATENATE("#metadata!",ADDRESS(INDEX($P$2:$P$1001,MATCH(ROWS($N$2:N49),$N$2:$N$1001,0),0),1)),INDEX($S$2:$S$1001,MATCH(ROWS($N$2:N49),$N$2:$N$1001,0),0)))</f>
        <v>0</v>
      </c>
      <c r="B49" s="3">
        <f>IF(OR(INDEX($O$2:$O$1001,MATCH(ROWS($N$2:N49),$N$2:$N$1001,0),1)&gt;=100000,INDEX($U$1005:$AC$1005,1,MATCH(COLUMNS($U$1006:U1006),$U$1006:$AC$1006,0))&gt;=100000), " ",IF(INDEX($U$2:$AC$1001,MATCH(ROWS($N$2:N49),$N$2:$N$1001,0),MATCH(COLUMNS($U$1006:U1006),$U$1006:$AC$1006,0)), HYPERLINK("#",""), HYPERLINK(CONCATENATE("#metadata!", ADDRESS(INDEX($P$2:$P$1001,MATCH(ROWS($N$2:N49),$N$2:$N$1001,0),0), INDEX($U$1004:$AC$1004,1,MATCH(COLUMNS($U$1006:U1006),$U$1006:$AC$1006,0)))),"Fix")))</f>
        <v>0</v>
      </c>
      <c r="C49" s="3">
        <f>IF(OR(INDEX($O$2:$O$1001,MATCH(ROWS($N$2:N49),$N$2:$N$1001,0),1)&gt;=100000,INDEX($U$1005:$AC$1005,1,MATCH(COLUMNS($U$1006:V1006),$U$1006:$AC$1006,0))&gt;=100000), " ",IF(INDEX($U$2:$AC$1001,MATCH(ROWS($N$2:N49),$N$2:$N$1001,0),MATCH(COLUMNS($U$1006:V1006),$U$1006:$AC$1006,0)), HYPERLINK("#",""), HYPERLINK(CONCATENATE("#metadata!", ADDRESS(INDEX($P$2:$P$1001,MATCH(ROWS($N$2:N49),$N$2:$N$1001,0),0), INDEX($U$1004:$AC$1004,1,MATCH(COLUMNS($U$1006:V1006),$U$1006:$AC$1006,0)))),"Fix")))</f>
        <v>0</v>
      </c>
      <c r="D49" s="3">
        <f>IF(OR(INDEX($O$2:$O$1001,MATCH(ROWS($N$2:N49),$N$2:$N$1001,0),1)&gt;=100000,INDEX($U$1005:$AC$1005,1,MATCH(COLUMNS($U$1006:W1006),$U$1006:$AC$1006,0))&gt;=100000), " ",IF(INDEX($U$2:$AC$1001,MATCH(ROWS($N$2:N49),$N$2:$N$1001,0),MATCH(COLUMNS($U$1006:W1006),$U$1006:$AC$1006,0)), HYPERLINK("#",""), HYPERLINK(CONCATENATE("#metadata!", ADDRESS(INDEX($P$2:$P$1001,MATCH(ROWS($N$2:N49),$N$2:$N$1001,0),0), INDEX($U$1004:$AC$1004,1,MATCH(COLUMNS($U$1006:W1006),$U$1006:$AC$1006,0)))),"Fix")))</f>
        <v>0</v>
      </c>
      <c r="E49" s="3">
        <f>IF(OR(INDEX($O$2:$O$1001,MATCH(ROWS($N$2:N49),$N$2:$N$1001,0),1)&gt;=100000,INDEX($U$1005:$AC$1005,1,MATCH(COLUMNS($U$1006:X1006),$U$1006:$AC$1006,0))&gt;=100000), " ",IF(INDEX($U$2:$AC$1001,MATCH(ROWS($N$2:N49),$N$2:$N$1001,0),MATCH(COLUMNS($U$1006:X1006),$U$1006:$AC$1006,0)), HYPERLINK("#",""), HYPERLINK(CONCATENATE("#metadata!", ADDRESS(INDEX($P$2:$P$1001,MATCH(ROWS($N$2:N49),$N$2:$N$1001,0),0), INDEX($U$1004:$AC$1004,1,MATCH(COLUMNS($U$1006:X1006),$U$1006:$AC$1006,0)))),"Fix")))</f>
        <v>0</v>
      </c>
      <c r="F49" s="3">
        <f>IF(OR(INDEX($O$2:$O$1001,MATCH(ROWS($N$2:N49),$N$2:$N$1001,0),1)&gt;=100000,INDEX($U$1005:$AC$1005,1,MATCH(COLUMNS($U$1006:Y1006),$U$1006:$AC$1006,0))&gt;=100000), " ",IF(INDEX($U$2:$AC$1001,MATCH(ROWS($N$2:N49),$N$2:$N$1001,0),MATCH(COLUMNS($U$1006:Y1006),$U$1006:$AC$1006,0)), HYPERLINK("#",""), HYPERLINK(CONCATENATE("#metadata!", ADDRESS(INDEX($P$2:$P$1001,MATCH(ROWS($N$2:N49),$N$2:$N$1001,0),0), INDEX($U$1004:$AC$1004,1,MATCH(COLUMNS($U$1006:Y1006),$U$1006:$AC$1006,0)))),"Fix")))</f>
        <v>0</v>
      </c>
      <c r="G49" s="3">
        <f>IF(OR(INDEX($O$2:$O$1001,MATCH(ROWS($N$2:N49),$N$2:$N$1001,0),1)&gt;=100000,INDEX($U$1005:$AC$1005,1,MATCH(COLUMNS($U$1006:Z1006),$U$1006:$AC$1006,0))&gt;=100000), " ",IF(INDEX($U$2:$AC$1001,MATCH(ROWS($N$2:N49),$N$2:$N$1001,0),MATCH(COLUMNS($U$1006:Z1006),$U$1006:$AC$1006,0)), HYPERLINK("#",""), HYPERLINK(CONCATENATE("#metadata!", ADDRESS(INDEX($P$2:$P$1001,MATCH(ROWS($N$2:N49),$N$2:$N$1001,0),0), INDEX($U$1004:$AC$1004,1,MATCH(COLUMNS($U$1006:Z1006),$U$1006:$AC$1006,0)))),"Fix")))</f>
        <v>0</v>
      </c>
      <c r="H49" s="3">
        <f>IF(OR(INDEX($O$2:$O$1001,MATCH(ROWS($N$2:N49),$N$2:$N$1001,0),1)&gt;=100000,INDEX($U$1005:$AC$1005,1,MATCH(COLUMNS($U$1006:AA1006),$U$1006:$AC$1006,0))&gt;=100000), " ",IF(INDEX($U$2:$AC$1001,MATCH(ROWS($N$2:N49),$N$2:$N$1001,0),MATCH(COLUMNS($U$1006:AA1006),$U$1006:$AC$1006,0)), HYPERLINK("#",""), HYPERLINK(CONCATENATE("#metadata!", ADDRESS(INDEX($P$2:$P$1001,MATCH(ROWS($N$2:N49),$N$2:$N$1001,0),0), INDEX($U$1004:$AC$1004,1,MATCH(COLUMNS($U$1006:AA1006),$U$1006:$AC$1006,0)))),"Fix")))</f>
        <v>0</v>
      </c>
      <c r="I49" s="3">
        <f>IF(OR(INDEX($O$2:$O$1001,MATCH(ROWS($N$2:N49),$N$2:$N$1001,0),1)&gt;=100000,INDEX($U$1005:$AC$1005,1,MATCH(COLUMNS($U$1006:AB1006),$U$1006:$AC$1006,0))&gt;=100000), " ",IF(INDEX($U$2:$AC$1001,MATCH(ROWS($N$2:N49),$N$2:$N$1001,0),MATCH(COLUMNS($U$1006:AB1006),$U$1006:$AC$1006,0)), HYPERLINK("#",""), HYPERLINK(CONCATENATE("#metadata!", ADDRESS(INDEX($P$2:$P$1001,MATCH(ROWS($N$2:N49),$N$2:$N$1001,0),0), INDEX($U$1004:$AC$1004,1,MATCH(COLUMNS($U$1006:AB1006),$U$1006:$AC$1006,0)))),"Fix")))</f>
        <v>0</v>
      </c>
      <c r="J49" s="3">
        <f>IF(OR(INDEX($O$2:$O$1001,MATCH(ROWS($N$2:N49),$N$2:$N$1001,0),1)&gt;=100000,INDEX($U$1005:$AC$1005,1,MATCH(COLUMNS($U$1006:AC1006),$U$1006:$AC$1006,0))&gt;=100000), " ",IF(INDEX($U$2:$AC$1001,MATCH(ROWS($N$2:N49),$N$2:$N$1001,0),MATCH(COLUMNS($U$1006:AC1006),$U$1006:$AC$1006,0)), HYPERLINK("#",""), HYPERLINK(CONCATENATE("#metadata!", ADDRESS(INDEX($P$2:$P$1001,MATCH(ROWS($N$2:N49),$N$2:$N$1001,0),0), INDEX($U$1004:$AC$1004,1,MATCH(COLUMNS($U$1006:AC1006),$U$1006:$AC$1006,0)))),"Fix")))</f>
        <v>0</v>
      </c>
      <c r="N49">
        <v>0</v>
      </c>
      <c r="O49">
        <v>0</v>
      </c>
      <c r="P49">
        <v>0</v>
      </c>
      <c r="Q49">
        <f>IF(R49,TRUE,AND(U49:AC49))</f>
        <v>0</v>
      </c>
      <c r="R49">
        <f>COUNTBLANK(metadata!B49:J49)=COLUMNS(metadata!B49:J49)</f>
        <v>0</v>
      </c>
      <c r="S49">
        <v>0</v>
      </c>
      <c r="U49">
        <f>AND(IF(metadata!B49="",FALSE,TRUE),COUNTIF(metadata!B:B, metadata!B49) = 1,NOT(ISERROR(SUMPRODUCT(SEARCH(MID(metadata!B49,ROW(INDIRECT("1:"&amp;LEN(metadata!B49))), 1),"0123456789abcdefghijklmnopqrstuvwxyzABCDEFGHIJKLMNOPQRSTUVWXYZ.")))))</f>
        <v>0</v>
      </c>
      <c r="V49">
        <f>AND(IF(metadata!C49="",FALSE,TRUE),exact(metadata!C49,"UBERON:genitourinary"))</f>
        <v>0</v>
      </c>
      <c r="W49">
        <f>AND(IF(metadata!D49="",FALSE,TRUE),exact(metadata!D49,"UBERON:urine"))</f>
        <v>0</v>
      </c>
      <c r="X49">
        <f>AND(IF(metadata!E49="",FALSE,TRUE),exact(metadata!E49,"UBERON:kidney"))</f>
        <v>0</v>
      </c>
      <c r="Y49">
        <f>AND(IF(metadata!F49="",FALSE,TRUE),exact(metadata!F49,"animal corpus"))</f>
        <v>0</v>
      </c>
      <c r="Z49">
        <f>AND(IF(metadata!G49="",FALSE,TRUE),exact(metadata!G49,"urine"))</f>
        <v>0</v>
      </c>
      <c r="AA49">
        <f>AND(IF(metadata!H49="",FALSE,TRUE),exact(metadata!H49,"urine"))</f>
        <v>0</v>
      </c>
      <c r="AB49">
        <f>AND(IF(metadata!I49="",FALSE,TRUE),exact(metadata!I49,"urine metagenome"))</f>
        <v>0</v>
      </c>
      <c r="AC49">
        <f>AND(IF(metadata!J49="",FALSE,TRUE),exact(metadata!J49,"1346744"))</f>
        <v>0</v>
      </c>
    </row>
    <row r="50" spans="1:29">
      <c r="A50" s="4">
        <f>IF(B50=" "," ",HYPERLINK(CONCATENATE("#metadata!",ADDRESS(INDEX($P$2:$P$1001,MATCH(ROWS($N$2:N50),$N$2:$N$1001,0),0),1)),INDEX($S$2:$S$1001,MATCH(ROWS($N$2:N50),$N$2:$N$1001,0),0)))</f>
        <v>0</v>
      </c>
      <c r="B50" s="3">
        <f>IF(OR(INDEX($O$2:$O$1001,MATCH(ROWS($N$2:N50),$N$2:$N$1001,0),1)&gt;=100000,INDEX($U$1005:$AC$1005,1,MATCH(COLUMNS($U$1006:U1006),$U$1006:$AC$1006,0))&gt;=100000), " ",IF(INDEX($U$2:$AC$1001,MATCH(ROWS($N$2:N50),$N$2:$N$1001,0),MATCH(COLUMNS($U$1006:U1006),$U$1006:$AC$1006,0)), HYPERLINK("#",""), HYPERLINK(CONCATENATE("#metadata!", ADDRESS(INDEX($P$2:$P$1001,MATCH(ROWS($N$2:N50),$N$2:$N$1001,0),0), INDEX($U$1004:$AC$1004,1,MATCH(COLUMNS($U$1006:U1006),$U$1006:$AC$1006,0)))),"Fix")))</f>
        <v>0</v>
      </c>
      <c r="C50" s="3">
        <f>IF(OR(INDEX($O$2:$O$1001,MATCH(ROWS($N$2:N50),$N$2:$N$1001,0),1)&gt;=100000,INDEX($U$1005:$AC$1005,1,MATCH(COLUMNS($U$1006:V1006),$U$1006:$AC$1006,0))&gt;=100000), " ",IF(INDEX($U$2:$AC$1001,MATCH(ROWS($N$2:N50),$N$2:$N$1001,0),MATCH(COLUMNS($U$1006:V1006),$U$1006:$AC$1006,0)), HYPERLINK("#",""), HYPERLINK(CONCATENATE("#metadata!", ADDRESS(INDEX($P$2:$P$1001,MATCH(ROWS($N$2:N50),$N$2:$N$1001,0),0), INDEX($U$1004:$AC$1004,1,MATCH(COLUMNS($U$1006:V1006),$U$1006:$AC$1006,0)))),"Fix")))</f>
        <v>0</v>
      </c>
      <c r="D50" s="3">
        <f>IF(OR(INDEX($O$2:$O$1001,MATCH(ROWS($N$2:N50),$N$2:$N$1001,0),1)&gt;=100000,INDEX($U$1005:$AC$1005,1,MATCH(COLUMNS($U$1006:W1006),$U$1006:$AC$1006,0))&gt;=100000), " ",IF(INDEX($U$2:$AC$1001,MATCH(ROWS($N$2:N50),$N$2:$N$1001,0),MATCH(COLUMNS($U$1006:W1006),$U$1006:$AC$1006,0)), HYPERLINK("#",""), HYPERLINK(CONCATENATE("#metadata!", ADDRESS(INDEX($P$2:$P$1001,MATCH(ROWS($N$2:N50),$N$2:$N$1001,0),0), INDEX($U$1004:$AC$1004,1,MATCH(COLUMNS($U$1006:W1006),$U$1006:$AC$1006,0)))),"Fix")))</f>
        <v>0</v>
      </c>
      <c r="E50" s="3">
        <f>IF(OR(INDEX($O$2:$O$1001,MATCH(ROWS($N$2:N50),$N$2:$N$1001,0),1)&gt;=100000,INDEX($U$1005:$AC$1005,1,MATCH(COLUMNS($U$1006:X1006),$U$1006:$AC$1006,0))&gt;=100000), " ",IF(INDEX($U$2:$AC$1001,MATCH(ROWS($N$2:N50),$N$2:$N$1001,0),MATCH(COLUMNS($U$1006:X1006),$U$1006:$AC$1006,0)), HYPERLINK("#",""), HYPERLINK(CONCATENATE("#metadata!", ADDRESS(INDEX($P$2:$P$1001,MATCH(ROWS($N$2:N50),$N$2:$N$1001,0),0), INDEX($U$1004:$AC$1004,1,MATCH(COLUMNS($U$1006:X1006),$U$1006:$AC$1006,0)))),"Fix")))</f>
        <v>0</v>
      </c>
      <c r="F50" s="3">
        <f>IF(OR(INDEX($O$2:$O$1001,MATCH(ROWS($N$2:N50),$N$2:$N$1001,0),1)&gt;=100000,INDEX($U$1005:$AC$1005,1,MATCH(COLUMNS($U$1006:Y1006),$U$1006:$AC$1006,0))&gt;=100000), " ",IF(INDEX($U$2:$AC$1001,MATCH(ROWS($N$2:N50),$N$2:$N$1001,0),MATCH(COLUMNS($U$1006:Y1006),$U$1006:$AC$1006,0)), HYPERLINK("#",""), HYPERLINK(CONCATENATE("#metadata!", ADDRESS(INDEX($P$2:$P$1001,MATCH(ROWS($N$2:N50),$N$2:$N$1001,0),0), INDEX($U$1004:$AC$1004,1,MATCH(COLUMNS($U$1006:Y1006),$U$1006:$AC$1006,0)))),"Fix")))</f>
        <v>0</v>
      </c>
      <c r="G50" s="3">
        <f>IF(OR(INDEX($O$2:$O$1001,MATCH(ROWS($N$2:N50),$N$2:$N$1001,0),1)&gt;=100000,INDEX($U$1005:$AC$1005,1,MATCH(COLUMNS($U$1006:Z1006),$U$1006:$AC$1006,0))&gt;=100000), " ",IF(INDEX($U$2:$AC$1001,MATCH(ROWS($N$2:N50),$N$2:$N$1001,0),MATCH(COLUMNS($U$1006:Z1006),$U$1006:$AC$1006,0)), HYPERLINK("#",""), HYPERLINK(CONCATENATE("#metadata!", ADDRESS(INDEX($P$2:$P$1001,MATCH(ROWS($N$2:N50),$N$2:$N$1001,0),0), INDEX($U$1004:$AC$1004,1,MATCH(COLUMNS($U$1006:Z1006),$U$1006:$AC$1006,0)))),"Fix")))</f>
        <v>0</v>
      </c>
      <c r="H50" s="3">
        <f>IF(OR(INDEX($O$2:$O$1001,MATCH(ROWS($N$2:N50),$N$2:$N$1001,0),1)&gt;=100000,INDEX($U$1005:$AC$1005,1,MATCH(COLUMNS($U$1006:AA1006),$U$1006:$AC$1006,0))&gt;=100000), " ",IF(INDEX($U$2:$AC$1001,MATCH(ROWS($N$2:N50),$N$2:$N$1001,0),MATCH(COLUMNS($U$1006:AA1006),$U$1006:$AC$1006,0)), HYPERLINK("#",""), HYPERLINK(CONCATENATE("#metadata!", ADDRESS(INDEX($P$2:$P$1001,MATCH(ROWS($N$2:N50),$N$2:$N$1001,0),0), INDEX($U$1004:$AC$1004,1,MATCH(COLUMNS($U$1006:AA1006),$U$1006:$AC$1006,0)))),"Fix")))</f>
        <v>0</v>
      </c>
      <c r="I50" s="3">
        <f>IF(OR(INDEX($O$2:$O$1001,MATCH(ROWS($N$2:N50),$N$2:$N$1001,0),1)&gt;=100000,INDEX($U$1005:$AC$1005,1,MATCH(COLUMNS($U$1006:AB1006),$U$1006:$AC$1006,0))&gt;=100000), " ",IF(INDEX($U$2:$AC$1001,MATCH(ROWS($N$2:N50),$N$2:$N$1001,0),MATCH(COLUMNS($U$1006:AB1006),$U$1006:$AC$1006,0)), HYPERLINK("#",""), HYPERLINK(CONCATENATE("#metadata!", ADDRESS(INDEX($P$2:$P$1001,MATCH(ROWS($N$2:N50),$N$2:$N$1001,0),0), INDEX($U$1004:$AC$1004,1,MATCH(COLUMNS($U$1006:AB1006),$U$1006:$AC$1006,0)))),"Fix")))</f>
        <v>0</v>
      </c>
      <c r="J50" s="3">
        <f>IF(OR(INDEX($O$2:$O$1001,MATCH(ROWS($N$2:N50),$N$2:$N$1001,0),1)&gt;=100000,INDEX($U$1005:$AC$1005,1,MATCH(COLUMNS($U$1006:AC1006),$U$1006:$AC$1006,0))&gt;=100000), " ",IF(INDEX($U$2:$AC$1001,MATCH(ROWS($N$2:N50),$N$2:$N$1001,0),MATCH(COLUMNS($U$1006:AC1006),$U$1006:$AC$1006,0)), HYPERLINK("#",""), HYPERLINK(CONCATENATE("#metadata!", ADDRESS(INDEX($P$2:$P$1001,MATCH(ROWS($N$2:N50),$N$2:$N$1001,0),0), INDEX($U$1004:$AC$1004,1,MATCH(COLUMNS($U$1006:AC1006),$U$1006:$AC$1006,0)))),"Fix")))</f>
        <v>0</v>
      </c>
      <c r="N50">
        <v>0</v>
      </c>
      <c r="O50">
        <v>0</v>
      </c>
      <c r="P50">
        <v>0</v>
      </c>
      <c r="Q50">
        <f>IF(R50,TRUE,AND(U50:AC50))</f>
        <v>0</v>
      </c>
      <c r="R50">
        <f>COUNTBLANK(metadata!B50:J50)=COLUMNS(metadata!B50:J50)</f>
        <v>0</v>
      </c>
      <c r="S50">
        <v>0</v>
      </c>
      <c r="U50">
        <f>AND(IF(metadata!B50="",FALSE,TRUE),COUNTIF(metadata!B:B, metadata!B50) = 1,NOT(ISERROR(SUMPRODUCT(SEARCH(MID(metadata!B50,ROW(INDIRECT("1:"&amp;LEN(metadata!B50))), 1),"0123456789abcdefghijklmnopqrstuvwxyzABCDEFGHIJKLMNOPQRSTUVWXYZ.")))))</f>
        <v>0</v>
      </c>
      <c r="V50">
        <f>AND(IF(metadata!C50="",FALSE,TRUE),exact(metadata!C50,"UBERON:genitourinary"))</f>
        <v>0</v>
      </c>
      <c r="W50">
        <f>AND(IF(metadata!D50="",FALSE,TRUE),exact(metadata!D50,"UBERON:urine"))</f>
        <v>0</v>
      </c>
      <c r="X50">
        <f>AND(IF(metadata!E50="",FALSE,TRUE),exact(metadata!E50,"UBERON:kidney"))</f>
        <v>0</v>
      </c>
      <c r="Y50">
        <f>AND(IF(metadata!F50="",FALSE,TRUE),exact(metadata!F50,"animal corpus"))</f>
        <v>0</v>
      </c>
      <c r="Z50">
        <f>AND(IF(metadata!G50="",FALSE,TRUE),exact(metadata!G50,"urine"))</f>
        <v>0</v>
      </c>
      <c r="AA50">
        <f>AND(IF(metadata!H50="",FALSE,TRUE),exact(metadata!H50,"urine"))</f>
        <v>0</v>
      </c>
      <c r="AB50">
        <f>AND(IF(metadata!I50="",FALSE,TRUE),exact(metadata!I50,"urine metagenome"))</f>
        <v>0</v>
      </c>
      <c r="AC50">
        <f>AND(IF(metadata!J50="",FALSE,TRUE),exact(metadata!J50,"1346744"))</f>
        <v>0</v>
      </c>
    </row>
    <row r="51" spans="1:29">
      <c r="A51" s="4">
        <f>IF(B51=" "," ",HYPERLINK(CONCATENATE("#metadata!",ADDRESS(INDEX($P$2:$P$1001,MATCH(ROWS($N$2:N51),$N$2:$N$1001,0),0),1)),INDEX($S$2:$S$1001,MATCH(ROWS($N$2:N51),$N$2:$N$1001,0),0)))</f>
        <v>0</v>
      </c>
      <c r="B51" s="3">
        <f>IF(OR(INDEX($O$2:$O$1001,MATCH(ROWS($N$2:N51),$N$2:$N$1001,0),1)&gt;=100000,INDEX($U$1005:$AC$1005,1,MATCH(COLUMNS($U$1006:U1006),$U$1006:$AC$1006,0))&gt;=100000), " ",IF(INDEX($U$2:$AC$1001,MATCH(ROWS($N$2:N51),$N$2:$N$1001,0),MATCH(COLUMNS($U$1006:U1006),$U$1006:$AC$1006,0)), HYPERLINK("#",""), HYPERLINK(CONCATENATE("#metadata!", ADDRESS(INDEX($P$2:$P$1001,MATCH(ROWS($N$2:N51),$N$2:$N$1001,0),0), INDEX($U$1004:$AC$1004,1,MATCH(COLUMNS($U$1006:U1006),$U$1006:$AC$1006,0)))),"Fix")))</f>
        <v>0</v>
      </c>
      <c r="C51" s="3">
        <f>IF(OR(INDEX($O$2:$O$1001,MATCH(ROWS($N$2:N51),$N$2:$N$1001,0),1)&gt;=100000,INDEX($U$1005:$AC$1005,1,MATCH(COLUMNS($U$1006:V1006),$U$1006:$AC$1006,0))&gt;=100000), " ",IF(INDEX($U$2:$AC$1001,MATCH(ROWS($N$2:N51),$N$2:$N$1001,0),MATCH(COLUMNS($U$1006:V1006),$U$1006:$AC$1006,0)), HYPERLINK("#",""), HYPERLINK(CONCATENATE("#metadata!", ADDRESS(INDEX($P$2:$P$1001,MATCH(ROWS($N$2:N51),$N$2:$N$1001,0),0), INDEX($U$1004:$AC$1004,1,MATCH(COLUMNS($U$1006:V1006),$U$1006:$AC$1006,0)))),"Fix")))</f>
        <v>0</v>
      </c>
      <c r="D51" s="3">
        <f>IF(OR(INDEX($O$2:$O$1001,MATCH(ROWS($N$2:N51),$N$2:$N$1001,0),1)&gt;=100000,INDEX($U$1005:$AC$1005,1,MATCH(COLUMNS($U$1006:W1006),$U$1006:$AC$1006,0))&gt;=100000), " ",IF(INDEX($U$2:$AC$1001,MATCH(ROWS($N$2:N51),$N$2:$N$1001,0),MATCH(COLUMNS($U$1006:W1006),$U$1006:$AC$1006,0)), HYPERLINK("#",""), HYPERLINK(CONCATENATE("#metadata!", ADDRESS(INDEX($P$2:$P$1001,MATCH(ROWS($N$2:N51),$N$2:$N$1001,0),0), INDEX($U$1004:$AC$1004,1,MATCH(COLUMNS($U$1006:W1006),$U$1006:$AC$1006,0)))),"Fix")))</f>
        <v>0</v>
      </c>
      <c r="E51" s="3">
        <f>IF(OR(INDEX($O$2:$O$1001,MATCH(ROWS($N$2:N51),$N$2:$N$1001,0),1)&gt;=100000,INDEX($U$1005:$AC$1005,1,MATCH(COLUMNS($U$1006:X1006),$U$1006:$AC$1006,0))&gt;=100000), " ",IF(INDEX($U$2:$AC$1001,MATCH(ROWS($N$2:N51),$N$2:$N$1001,0),MATCH(COLUMNS($U$1006:X1006),$U$1006:$AC$1006,0)), HYPERLINK("#",""), HYPERLINK(CONCATENATE("#metadata!", ADDRESS(INDEX($P$2:$P$1001,MATCH(ROWS($N$2:N51),$N$2:$N$1001,0),0), INDEX($U$1004:$AC$1004,1,MATCH(COLUMNS($U$1006:X1006),$U$1006:$AC$1006,0)))),"Fix")))</f>
        <v>0</v>
      </c>
      <c r="F51" s="3">
        <f>IF(OR(INDEX($O$2:$O$1001,MATCH(ROWS($N$2:N51),$N$2:$N$1001,0),1)&gt;=100000,INDEX($U$1005:$AC$1005,1,MATCH(COLUMNS($U$1006:Y1006),$U$1006:$AC$1006,0))&gt;=100000), " ",IF(INDEX($U$2:$AC$1001,MATCH(ROWS($N$2:N51),$N$2:$N$1001,0),MATCH(COLUMNS($U$1006:Y1006),$U$1006:$AC$1006,0)), HYPERLINK("#",""), HYPERLINK(CONCATENATE("#metadata!", ADDRESS(INDEX($P$2:$P$1001,MATCH(ROWS($N$2:N51),$N$2:$N$1001,0),0), INDEX($U$1004:$AC$1004,1,MATCH(COLUMNS($U$1006:Y1006),$U$1006:$AC$1006,0)))),"Fix")))</f>
        <v>0</v>
      </c>
      <c r="G51" s="3">
        <f>IF(OR(INDEX($O$2:$O$1001,MATCH(ROWS($N$2:N51),$N$2:$N$1001,0),1)&gt;=100000,INDEX($U$1005:$AC$1005,1,MATCH(COLUMNS($U$1006:Z1006),$U$1006:$AC$1006,0))&gt;=100000), " ",IF(INDEX($U$2:$AC$1001,MATCH(ROWS($N$2:N51),$N$2:$N$1001,0),MATCH(COLUMNS($U$1006:Z1006),$U$1006:$AC$1006,0)), HYPERLINK("#",""), HYPERLINK(CONCATENATE("#metadata!", ADDRESS(INDEX($P$2:$P$1001,MATCH(ROWS($N$2:N51),$N$2:$N$1001,0),0), INDEX($U$1004:$AC$1004,1,MATCH(COLUMNS($U$1006:Z1006),$U$1006:$AC$1006,0)))),"Fix")))</f>
        <v>0</v>
      </c>
      <c r="H51" s="3">
        <f>IF(OR(INDEX($O$2:$O$1001,MATCH(ROWS($N$2:N51),$N$2:$N$1001,0),1)&gt;=100000,INDEX($U$1005:$AC$1005,1,MATCH(COLUMNS($U$1006:AA1006),$U$1006:$AC$1006,0))&gt;=100000), " ",IF(INDEX($U$2:$AC$1001,MATCH(ROWS($N$2:N51),$N$2:$N$1001,0),MATCH(COLUMNS($U$1006:AA1006),$U$1006:$AC$1006,0)), HYPERLINK("#",""), HYPERLINK(CONCATENATE("#metadata!", ADDRESS(INDEX($P$2:$P$1001,MATCH(ROWS($N$2:N51),$N$2:$N$1001,0),0), INDEX($U$1004:$AC$1004,1,MATCH(COLUMNS($U$1006:AA1006),$U$1006:$AC$1006,0)))),"Fix")))</f>
        <v>0</v>
      </c>
      <c r="I51" s="3">
        <f>IF(OR(INDEX($O$2:$O$1001,MATCH(ROWS($N$2:N51),$N$2:$N$1001,0),1)&gt;=100000,INDEX($U$1005:$AC$1005,1,MATCH(COLUMNS($U$1006:AB1006),$U$1006:$AC$1006,0))&gt;=100000), " ",IF(INDEX($U$2:$AC$1001,MATCH(ROWS($N$2:N51),$N$2:$N$1001,0),MATCH(COLUMNS($U$1006:AB1006),$U$1006:$AC$1006,0)), HYPERLINK("#",""), HYPERLINK(CONCATENATE("#metadata!", ADDRESS(INDEX($P$2:$P$1001,MATCH(ROWS($N$2:N51),$N$2:$N$1001,0),0), INDEX($U$1004:$AC$1004,1,MATCH(COLUMNS($U$1006:AB1006),$U$1006:$AC$1006,0)))),"Fix")))</f>
        <v>0</v>
      </c>
      <c r="J51" s="3">
        <f>IF(OR(INDEX($O$2:$O$1001,MATCH(ROWS($N$2:N51),$N$2:$N$1001,0),1)&gt;=100000,INDEX($U$1005:$AC$1005,1,MATCH(COLUMNS($U$1006:AC1006),$U$1006:$AC$1006,0))&gt;=100000), " ",IF(INDEX($U$2:$AC$1001,MATCH(ROWS($N$2:N51),$N$2:$N$1001,0),MATCH(COLUMNS($U$1006:AC1006),$U$1006:$AC$1006,0)), HYPERLINK("#",""), HYPERLINK(CONCATENATE("#metadata!", ADDRESS(INDEX($P$2:$P$1001,MATCH(ROWS($N$2:N51),$N$2:$N$1001,0),0), INDEX($U$1004:$AC$1004,1,MATCH(COLUMNS($U$1006:AC1006),$U$1006:$AC$1006,0)))),"Fix")))</f>
        <v>0</v>
      </c>
      <c r="N51">
        <v>0</v>
      </c>
      <c r="O51">
        <v>0</v>
      </c>
      <c r="P51">
        <v>0</v>
      </c>
      <c r="Q51">
        <f>IF(R51,TRUE,AND(U51:AC51))</f>
        <v>0</v>
      </c>
      <c r="R51">
        <f>COUNTBLANK(metadata!B51:J51)=COLUMNS(metadata!B51:J51)</f>
        <v>0</v>
      </c>
      <c r="S51">
        <v>0</v>
      </c>
      <c r="U51">
        <f>AND(IF(metadata!B51="",FALSE,TRUE),COUNTIF(metadata!B:B, metadata!B51) = 1,NOT(ISERROR(SUMPRODUCT(SEARCH(MID(metadata!B51,ROW(INDIRECT("1:"&amp;LEN(metadata!B51))), 1),"0123456789abcdefghijklmnopqrstuvwxyzABCDEFGHIJKLMNOPQRSTUVWXYZ.")))))</f>
        <v>0</v>
      </c>
      <c r="V51">
        <f>AND(IF(metadata!C51="",FALSE,TRUE),exact(metadata!C51,"UBERON:genitourinary"))</f>
        <v>0</v>
      </c>
      <c r="W51">
        <f>AND(IF(metadata!D51="",FALSE,TRUE),exact(metadata!D51,"UBERON:urine"))</f>
        <v>0</v>
      </c>
      <c r="X51">
        <f>AND(IF(metadata!E51="",FALSE,TRUE),exact(metadata!E51,"UBERON:kidney"))</f>
        <v>0</v>
      </c>
      <c r="Y51">
        <f>AND(IF(metadata!F51="",FALSE,TRUE),exact(metadata!F51,"animal corpus"))</f>
        <v>0</v>
      </c>
      <c r="Z51">
        <f>AND(IF(metadata!G51="",FALSE,TRUE),exact(metadata!G51,"urine"))</f>
        <v>0</v>
      </c>
      <c r="AA51">
        <f>AND(IF(metadata!H51="",FALSE,TRUE),exact(metadata!H51,"urine"))</f>
        <v>0</v>
      </c>
      <c r="AB51">
        <f>AND(IF(metadata!I51="",FALSE,TRUE),exact(metadata!I51,"urine metagenome"))</f>
        <v>0</v>
      </c>
      <c r="AC51">
        <f>AND(IF(metadata!J51="",FALSE,TRUE),exact(metadata!J51,"1346744"))</f>
        <v>0</v>
      </c>
    </row>
    <row r="52" spans="1:29">
      <c r="A52" s="4">
        <f>IF(B52=" "," ",HYPERLINK(CONCATENATE("#metadata!",ADDRESS(INDEX($P$2:$P$1001,MATCH(ROWS($N$2:N52),$N$2:$N$1001,0),0),1)),INDEX($S$2:$S$1001,MATCH(ROWS($N$2:N52),$N$2:$N$1001,0),0)))</f>
        <v>0</v>
      </c>
      <c r="B52" s="3">
        <f>IF(OR(INDEX($O$2:$O$1001,MATCH(ROWS($N$2:N52),$N$2:$N$1001,0),1)&gt;=100000,INDEX($U$1005:$AC$1005,1,MATCH(COLUMNS($U$1006:U1006),$U$1006:$AC$1006,0))&gt;=100000), " ",IF(INDEX($U$2:$AC$1001,MATCH(ROWS($N$2:N52),$N$2:$N$1001,0),MATCH(COLUMNS($U$1006:U1006),$U$1006:$AC$1006,0)), HYPERLINK("#",""), HYPERLINK(CONCATENATE("#metadata!", ADDRESS(INDEX($P$2:$P$1001,MATCH(ROWS($N$2:N52),$N$2:$N$1001,0),0), INDEX($U$1004:$AC$1004,1,MATCH(COLUMNS($U$1006:U1006),$U$1006:$AC$1006,0)))),"Fix")))</f>
        <v>0</v>
      </c>
      <c r="C52" s="3">
        <f>IF(OR(INDEX($O$2:$O$1001,MATCH(ROWS($N$2:N52),$N$2:$N$1001,0),1)&gt;=100000,INDEX($U$1005:$AC$1005,1,MATCH(COLUMNS($U$1006:V1006),$U$1006:$AC$1006,0))&gt;=100000), " ",IF(INDEX($U$2:$AC$1001,MATCH(ROWS($N$2:N52),$N$2:$N$1001,0),MATCH(COLUMNS($U$1006:V1006),$U$1006:$AC$1006,0)), HYPERLINK("#",""), HYPERLINK(CONCATENATE("#metadata!", ADDRESS(INDEX($P$2:$P$1001,MATCH(ROWS($N$2:N52),$N$2:$N$1001,0),0), INDEX($U$1004:$AC$1004,1,MATCH(COLUMNS($U$1006:V1006),$U$1006:$AC$1006,0)))),"Fix")))</f>
        <v>0</v>
      </c>
      <c r="D52" s="3">
        <f>IF(OR(INDEX($O$2:$O$1001,MATCH(ROWS($N$2:N52),$N$2:$N$1001,0),1)&gt;=100000,INDEX($U$1005:$AC$1005,1,MATCH(COLUMNS($U$1006:W1006),$U$1006:$AC$1006,0))&gt;=100000), " ",IF(INDEX($U$2:$AC$1001,MATCH(ROWS($N$2:N52),$N$2:$N$1001,0),MATCH(COLUMNS($U$1006:W1006),$U$1006:$AC$1006,0)), HYPERLINK("#",""), HYPERLINK(CONCATENATE("#metadata!", ADDRESS(INDEX($P$2:$P$1001,MATCH(ROWS($N$2:N52),$N$2:$N$1001,0),0), INDEX($U$1004:$AC$1004,1,MATCH(COLUMNS($U$1006:W1006),$U$1006:$AC$1006,0)))),"Fix")))</f>
        <v>0</v>
      </c>
      <c r="E52" s="3">
        <f>IF(OR(INDEX($O$2:$O$1001,MATCH(ROWS($N$2:N52),$N$2:$N$1001,0),1)&gt;=100000,INDEX($U$1005:$AC$1005,1,MATCH(COLUMNS($U$1006:X1006),$U$1006:$AC$1006,0))&gt;=100000), " ",IF(INDEX($U$2:$AC$1001,MATCH(ROWS($N$2:N52),$N$2:$N$1001,0),MATCH(COLUMNS($U$1006:X1006),$U$1006:$AC$1006,0)), HYPERLINK("#",""), HYPERLINK(CONCATENATE("#metadata!", ADDRESS(INDEX($P$2:$P$1001,MATCH(ROWS($N$2:N52),$N$2:$N$1001,0),0), INDEX($U$1004:$AC$1004,1,MATCH(COLUMNS($U$1006:X1006),$U$1006:$AC$1006,0)))),"Fix")))</f>
        <v>0</v>
      </c>
      <c r="F52" s="3">
        <f>IF(OR(INDEX($O$2:$O$1001,MATCH(ROWS($N$2:N52),$N$2:$N$1001,0),1)&gt;=100000,INDEX($U$1005:$AC$1005,1,MATCH(COLUMNS($U$1006:Y1006),$U$1006:$AC$1006,0))&gt;=100000), " ",IF(INDEX($U$2:$AC$1001,MATCH(ROWS($N$2:N52),$N$2:$N$1001,0),MATCH(COLUMNS($U$1006:Y1006),$U$1006:$AC$1006,0)), HYPERLINK("#",""), HYPERLINK(CONCATENATE("#metadata!", ADDRESS(INDEX($P$2:$P$1001,MATCH(ROWS($N$2:N52),$N$2:$N$1001,0),0), INDEX($U$1004:$AC$1004,1,MATCH(COLUMNS($U$1006:Y1006),$U$1006:$AC$1006,0)))),"Fix")))</f>
        <v>0</v>
      </c>
      <c r="G52" s="3">
        <f>IF(OR(INDEX($O$2:$O$1001,MATCH(ROWS($N$2:N52),$N$2:$N$1001,0),1)&gt;=100000,INDEX($U$1005:$AC$1005,1,MATCH(COLUMNS($U$1006:Z1006),$U$1006:$AC$1006,0))&gt;=100000), " ",IF(INDEX($U$2:$AC$1001,MATCH(ROWS($N$2:N52),$N$2:$N$1001,0),MATCH(COLUMNS($U$1006:Z1006),$U$1006:$AC$1006,0)), HYPERLINK("#",""), HYPERLINK(CONCATENATE("#metadata!", ADDRESS(INDEX($P$2:$P$1001,MATCH(ROWS($N$2:N52),$N$2:$N$1001,0),0), INDEX($U$1004:$AC$1004,1,MATCH(COLUMNS($U$1006:Z1006),$U$1006:$AC$1006,0)))),"Fix")))</f>
        <v>0</v>
      </c>
      <c r="H52" s="3">
        <f>IF(OR(INDEX($O$2:$O$1001,MATCH(ROWS($N$2:N52),$N$2:$N$1001,0),1)&gt;=100000,INDEX($U$1005:$AC$1005,1,MATCH(COLUMNS($U$1006:AA1006),$U$1006:$AC$1006,0))&gt;=100000), " ",IF(INDEX($U$2:$AC$1001,MATCH(ROWS($N$2:N52),$N$2:$N$1001,0),MATCH(COLUMNS($U$1006:AA1006),$U$1006:$AC$1006,0)), HYPERLINK("#",""), HYPERLINK(CONCATENATE("#metadata!", ADDRESS(INDEX($P$2:$P$1001,MATCH(ROWS($N$2:N52),$N$2:$N$1001,0),0), INDEX($U$1004:$AC$1004,1,MATCH(COLUMNS($U$1006:AA1006),$U$1006:$AC$1006,0)))),"Fix")))</f>
        <v>0</v>
      </c>
      <c r="I52" s="3">
        <f>IF(OR(INDEX($O$2:$O$1001,MATCH(ROWS($N$2:N52),$N$2:$N$1001,0),1)&gt;=100000,INDEX($U$1005:$AC$1005,1,MATCH(COLUMNS($U$1006:AB1006),$U$1006:$AC$1006,0))&gt;=100000), " ",IF(INDEX($U$2:$AC$1001,MATCH(ROWS($N$2:N52),$N$2:$N$1001,0),MATCH(COLUMNS($U$1006:AB1006),$U$1006:$AC$1006,0)), HYPERLINK("#",""), HYPERLINK(CONCATENATE("#metadata!", ADDRESS(INDEX($P$2:$P$1001,MATCH(ROWS($N$2:N52),$N$2:$N$1001,0),0), INDEX($U$1004:$AC$1004,1,MATCH(COLUMNS($U$1006:AB1006),$U$1006:$AC$1006,0)))),"Fix")))</f>
        <v>0</v>
      </c>
      <c r="J52" s="3">
        <f>IF(OR(INDEX($O$2:$O$1001,MATCH(ROWS($N$2:N52),$N$2:$N$1001,0),1)&gt;=100000,INDEX($U$1005:$AC$1005,1,MATCH(COLUMNS($U$1006:AC1006),$U$1006:$AC$1006,0))&gt;=100000), " ",IF(INDEX($U$2:$AC$1001,MATCH(ROWS($N$2:N52),$N$2:$N$1001,0),MATCH(COLUMNS($U$1006:AC1006),$U$1006:$AC$1006,0)), HYPERLINK("#",""), HYPERLINK(CONCATENATE("#metadata!", ADDRESS(INDEX($P$2:$P$1001,MATCH(ROWS($N$2:N52),$N$2:$N$1001,0),0), INDEX($U$1004:$AC$1004,1,MATCH(COLUMNS($U$1006:AC1006),$U$1006:$AC$1006,0)))),"Fix")))</f>
        <v>0</v>
      </c>
      <c r="N52">
        <v>0</v>
      </c>
      <c r="O52">
        <v>0</v>
      </c>
      <c r="P52">
        <v>0</v>
      </c>
      <c r="Q52">
        <f>IF(R52,TRUE,AND(U52:AC52))</f>
        <v>0</v>
      </c>
      <c r="R52">
        <f>COUNTBLANK(metadata!B52:J52)=COLUMNS(metadata!B52:J52)</f>
        <v>0</v>
      </c>
      <c r="S52">
        <v>0</v>
      </c>
      <c r="U52">
        <f>AND(IF(metadata!B52="",FALSE,TRUE),COUNTIF(metadata!B:B, metadata!B52) = 1,NOT(ISERROR(SUMPRODUCT(SEARCH(MID(metadata!B52,ROW(INDIRECT("1:"&amp;LEN(metadata!B52))), 1),"0123456789abcdefghijklmnopqrstuvwxyzABCDEFGHIJKLMNOPQRSTUVWXYZ.")))))</f>
        <v>0</v>
      </c>
      <c r="V52">
        <f>AND(IF(metadata!C52="",FALSE,TRUE),exact(metadata!C52,"UBERON:genitourinary"))</f>
        <v>0</v>
      </c>
      <c r="W52">
        <f>AND(IF(metadata!D52="",FALSE,TRUE),exact(metadata!D52,"UBERON:urine"))</f>
        <v>0</v>
      </c>
      <c r="X52">
        <f>AND(IF(metadata!E52="",FALSE,TRUE),exact(metadata!E52,"UBERON:kidney"))</f>
        <v>0</v>
      </c>
      <c r="Y52">
        <f>AND(IF(metadata!F52="",FALSE,TRUE),exact(metadata!F52,"animal corpus"))</f>
        <v>0</v>
      </c>
      <c r="Z52">
        <f>AND(IF(metadata!G52="",FALSE,TRUE),exact(metadata!G52,"urine"))</f>
        <v>0</v>
      </c>
      <c r="AA52">
        <f>AND(IF(metadata!H52="",FALSE,TRUE),exact(metadata!H52,"urine"))</f>
        <v>0</v>
      </c>
      <c r="AB52">
        <f>AND(IF(metadata!I52="",FALSE,TRUE),exact(metadata!I52,"urine metagenome"))</f>
        <v>0</v>
      </c>
      <c r="AC52">
        <f>AND(IF(metadata!J52="",FALSE,TRUE),exact(metadata!J52,"1346744"))</f>
        <v>0</v>
      </c>
    </row>
    <row r="53" spans="1:29">
      <c r="A53" s="4">
        <f>IF(B53=" "," ",HYPERLINK(CONCATENATE("#metadata!",ADDRESS(INDEX($P$2:$P$1001,MATCH(ROWS($N$2:N53),$N$2:$N$1001,0),0),1)),INDEX($S$2:$S$1001,MATCH(ROWS($N$2:N53),$N$2:$N$1001,0),0)))</f>
        <v>0</v>
      </c>
      <c r="B53" s="3">
        <f>IF(OR(INDEX($O$2:$O$1001,MATCH(ROWS($N$2:N53),$N$2:$N$1001,0),1)&gt;=100000,INDEX($U$1005:$AC$1005,1,MATCH(COLUMNS($U$1006:U1006),$U$1006:$AC$1006,0))&gt;=100000), " ",IF(INDEX($U$2:$AC$1001,MATCH(ROWS($N$2:N53),$N$2:$N$1001,0),MATCH(COLUMNS($U$1006:U1006),$U$1006:$AC$1006,0)), HYPERLINK("#",""), HYPERLINK(CONCATENATE("#metadata!", ADDRESS(INDEX($P$2:$P$1001,MATCH(ROWS($N$2:N53),$N$2:$N$1001,0),0), INDEX($U$1004:$AC$1004,1,MATCH(COLUMNS($U$1006:U1006),$U$1006:$AC$1006,0)))),"Fix")))</f>
        <v>0</v>
      </c>
      <c r="C53" s="3">
        <f>IF(OR(INDEX($O$2:$O$1001,MATCH(ROWS($N$2:N53),$N$2:$N$1001,0),1)&gt;=100000,INDEX($U$1005:$AC$1005,1,MATCH(COLUMNS($U$1006:V1006),$U$1006:$AC$1006,0))&gt;=100000), " ",IF(INDEX($U$2:$AC$1001,MATCH(ROWS($N$2:N53),$N$2:$N$1001,0),MATCH(COLUMNS($U$1006:V1006),$U$1006:$AC$1006,0)), HYPERLINK("#",""), HYPERLINK(CONCATENATE("#metadata!", ADDRESS(INDEX($P$2:$P$1001,MATCH(ROWS($N$2:N53),$N$2:$N$1001,0),0), INDEX($U$1004:$AC$1004,1,MATCH(COLUMNS($U$1006:V1006),$U$1006:$AC$1006,0)))),"Fix")))</f>
        <v>0</v>
      </c>
      <c r="D53" s="3">
        <f>IF(OR(INDEX($O$2:$O$1001,MATCH(ROWS($N$2:N53),$N$2:$N$1001,0),1)&gt;=100000,INDEX($U$1005:$AC$1005,1,MATCH(COLUMNS($U$1006:W1006),$U$1006:$AC$1006,0))&gt;=100000), " ",IF(INDEX($U$2:$AC$1001,MATCH(ROWS($N$2:N53),$N$2:$N$1001,0),MATCH(COLUMNS($U$1006:W1006),$U$1006:$AC$1006,0)), HYPERLINK("#",""), HYPERLINK(CONCATENATE("#metadata!", ADDRESS(INDEX($P$2:$P$1001,MATCH(ROWS($N$2:N53),$N$2:$N$1001,0),0), INDEX($U$1004:$AC$1004,1,MATCH(COLUMNS($U$1006:W1006),$U$1006:$AC$1006,0)))),"Fix")))</f>
        <v>0</v>
      </c>
      <c r="E53" s="3">
        <f>IF(OR(INDEX($O$2:$O$1001,MATCH(ROWS($N$2:N53),$N$2:$N$1001,0),1)&gt;=100000,INDEX($U$1005:$AC$1005,1,MATCH(COLUMNS($U$1006:X1006),$U$1006:$AC$1006,0))&gt;=100000), " ",IF(INDEX($U$2:$AC$1001,MATCH(ROWS($N$2:N53),$N$2:$N$1001,0),MATCH(COLUMNS($U$1006:X1006),$U$1006:$AC$1006,0)), HYPERLINK("#",""), HYPERLINK(CONCATENATE("#metadata!", ADDRESS(INDEX($P$2:$P$1001,MATCH(ROWS($N$2:N53),$N$2:$N$1001,0),0), INDEX($U$1004:$AC$1004,1,MATCH(COLUMNS($U$1006:X1006),$U$1006:$AC$1006,0)))),"Fix")))</f>
        <v>0</v>
      </c>
      <c r="F53" s="3">
        <f>IF(OR(INDEX($O$2:$O$1001,MATCH(ROWS($N$2:N53),$N$2:$N$1001,0),1)&gt;=100000,INDEX($U$1005:$AC$1005,1,MATCH(COLUMNS($U$1006:Y1006),$U$1006:$AC$1006,0))&gt;=100000), " ",IF(INDEX($U$2:$AC$1001,MATCH(ROWS($N$2:N53),$N$2:$N$1001,0),MATCH(COLUMNS($U$1006:Y1006),$U$1006:$AC$1006,0)), HYPERLINK("#",""), HYPERLINK(CONCATENATE("#metadata!", ADDRESS(INDEX($P$2:$P$1001,MATCH(ROWS($N$2:N53),$N$2:$N$1001,0),0), INDEX($U$1004:$AC$1004,1,MATCH(COLUMNS($U$1006:Y1006),$U$1006:$AC$1006,0)))),"Fix")))</f>
        <v>0</v>
      </c>
      <c r="G53" s="3">
        <f>IF(OR(INDEX($O$2:$O$1001,MATCH(ROWS($N$2:N53),$N$2:$N$1001,0),1)&gt;=100000,INDEX($U$1005:$AC$1005,1,MATCH(COLUMNS($U$1006:Z1006),$U$1006:$AC$1006,0))&gt;=100000), " ",IF(INDEX($U$2:$AC$1001,MATCH(ROWS($N$2:N53),$N$2:$N$1001,0),MATCH(COLUMNS($U$1006:Z1006),$U$1006:$AC$1006,0)), HYPERLINK("#",""), HYPERLINK(CONCATENATE("#metadata!", ADDRESS(INDEX($P$2:$P$1001,MATCH(ROWS($N$2:N53),$N$2:$N$1001,0),0), INDEX($U$1004:$AC$1004,1,MATCH(COLUMNS($U$1006:Z1006),$U$1006:$AC$1006,0)))),"Fix")))</f>
        <v>0</v>
      </c>
      <c r="H53" s="3">
        <f>IF(OR(INDEX($O$2:$O$1001,MATCH(ROWS($N$2:N53),$N$2:$N$1001,0),1)&gt;=100000,INDEX($U$1005:$AC$1005,1,MATCH(COLUMNS($U$1006:AA1006),$U$1006:$AC$1006,0))&gt;=100000), " ",IF(INDEX($U$2:$AC$1001,MATCH(ROWS($N$2:N53),$N$2:$N$1001,0),MATCH(COLUMNS($U$1006:AA1006),$U$1006:$AC$1006,0)), HYPERLINK("#",""), HYPERLINK(CONCATENATE("#metadata!", ADDRESS(INDEX($P$2:$P$1001,MATCH(ROWS($N$2:N53),$N$2:$N$1001,0),0), INDEX($U$1004:$AC$1004,1,MATCH(COLUMNS($U$1006:AA1006),$U$1006:$AC$1006,0)))),"Fix")))</f>
        <v>0</v>
      </c>
      <c r="I53" s="3">
        <f>IF(OR(INDEX($O$2:$O$1001,MATCH(ROWS($N$2:N53),$N$2:$N$1001,0),1)&gt;=100000,INDEX($U$1005:$AC$1005,1,MATCH(COLUMNS($U$1006:AB1006),$U$1006:$AC$1006,0))&gt;=100000), " ",IF(INDEX($U$2:$AC$1001,MATCH(ROWS($N$2:N53),$N$2:$N$1001,0),MATCH(COLUMNS($U$1006:AB1006),$U$1006:$AC$1006,0)), HYPERLINK("#",""), HYPERLINK(CONCATENATE("#metadata!", ADDRESS(INDEX($P$2:$P$1001,MATCH(ROWS($N$2:N53),$N$2:$N$1001,0),0), INDEX($U$1004:$AC$1004,1,MATCH(COLUMNS($U$1006:AB1006),$U$1006:$AC$1006,0)))),"Fix")))</f>
        <v>0</v>
      </c>
      <c r="J53" s="3">
        <f>IF(OR(INDEX($O$2:$O$1001,MATCH(ROWS($N$2:N53),$N$2:$N$1001,0),1)&gt;=100000,INDEX($U$1005:$AC$1005,1,MATCH(COLUMNS($U$1006:AC1006),$U$1006:$AC$1006,0))&gt;=100000), " ",IF(INDEX($U$2:$AC$1001,MATCH(ROWS($N$2:N53),$N$2:$N$1001,0),MATCH(COLUMNS($U$1006:AC1006),$U$1006:$AC$1006,0)), HYPERLINK("#",""), HYPERLINK(CONCATENATE("#metadata!", ADDRESS(INDEX($P$2:$P$1001,MATCH(ROWS($N$2:N53),$N$2:$N$1001,0),0), INDEX($U$1004:$AC$1004,1,MATCH(COLUMNS($U$1006:AC1006),$U$1006:$AC$1006,0)))),"Fix")))</f>
        <v>0</v>
      </c>
      <c r="N53">
        <v>0</v>
      </c>
      <c r="O53">
        <v>0</v>
      </c>
      <c r="P53">
        <v>0</v>
      </c>
      <c r="Q53">
        <f>IF(R53,TRUE,AND(U53:AC53))</f>
        <v>0</v>
      </c>
      <c r="R53">
        <f>COUNTBLANK(metadata!B53:J53)=COLUMNS(metadata!B53:J53)</f>
        <v>0</v>
      </c>
      <c r="S53">
        <v>0</v>
      </c>
      <c r="U53">
        <f>AND(IF(metadata!B53="",FALSE,TRUE),COUNTIF(metadata!B:B, metadata!B53) = 1,NOT(ISERROR(SUMPRODUCT(SEARCH(MID(metadata!B53,ROW(INDIRECT("1:"&amp;LEN(metadata!B53))), 1),"0123456789abcdefghijklmnopqrstuvwxyzABCDEFGHIJKLMNOPQRSTUVWXYZ.")))))</f>
        <v>0</v>
      </c>
      <c r="V53">
        <f>AND(IF(metadata!C53="",FALSE,TRUE),exact(metadata!C53,"UBERON:genitourinary"))</f>
        <v>0</v>
      </c>
      <c r="W53">
        <f>AND(IF(metadata!D53="",FALSE,TRUE),exact(metadata!D53,"UBERON:urine"))</f>
        <v>0</v>
      </c>
      <c r="X53">
        <f>AND(IF(metadata!E53="",FALSE,TRUE),exact(metadata!E53,"UBERON:kidney"))</f>
        <v>0</v>
      </c>
      <c r="Y53">
        <f>AND(IF(metadata!F53="",FALSE,TRUE),exact(metadata!F53,"animal corpus"))</f>
        <v>0</v>
      </c>
      <c r="Z53">
        <f>AND(IF(metadata!G53="",FALSE,TRUE),exact(metadata!G53,"urine"))</f>
        <v>0</v>
      </c>
      <c r="AA53">
        <f>AND(IF(metadata!H53="",FALSE,TRUE),exact(metadata!H53,"urine"))</f>
        <v>0</v>
      </c>
      <c r="AB53">
        <f>AND(IF(metadata!I53="",FALSE,TRUE),exact(metadata!I53,"urine metagenome"))</f>
        <v>0</v>
      </c>
      <c r="AC53">
        <f>AND(IF(metadata!J53="",FALSE,TRUE),exact(metadata!J53,"1346744"))</f>
        <v>0</v>
      </c>
    </row>
    <row r="54" spans="1:29">
      <c r="A54" s="4">
        <f>IF(B54=" "," ",HYPERLINK(CONCATENATE("#metadata!",ADDRESS(INDEX($P$2:$P$1001,MATCH(ROWS($N$2:N54),$N$2:$N$1001,0),0),1)),INDEX($S$2:$S$1001,MATCH(ROWS($N$2:N54),$N$2:$N$1001,0),0)))</f>
        <v>0</v>
      </c>
      <c r="B54" s="3">
        <f>IF(OR(INDEX($O$2:$O$1001,MATCH(ROWS($N$2:N54),$N$2:$N$1001,0),1)&gt;=100000,INDEX($U$1005:$AC$1005,1,MATCH(COLUMNS($U$1006:U1006),$U$1006:$AC$1006,0))&gt;=100000), " ",IF(INDEX($U$2:$AC$1001,MATCH(ROWS($N$2:N54),$N$2:$N$1001,0),MATCH(COLUMNS($U$1006:U1006),$U$1006:$AC$1006,0)), HYPERLINK("#",""), HYPERLINK(CONCATENATE("#metadata!", ADDRESS(INDEX($P$2:$P$1001,MATCH(ROWS($N$2:N54),$N$2:$N$1001,0),0), INDEX($U$1004:$AC$1004,1,MATCH(COLUMNS($U$1006:U1006),$U$1006:$AC$1006,0)))),"Fix")))</f>
        <v>0</v>
      </c>
      <c r="C54" s="3">
        <f>IF(OR(INDEX($O$2:$O$1001,MATCH(ROWS($N$2:N54),$N$2:$N$1001,0),1)&gt;=100000,INDEX($U$1005:$AC$1005,1,MATCH(COLUMNS($U$1006:V1006),$U$1006:$AC$1006,0))&gt;=100000), " ",IF(INDEX($U$2:$AC$1001,MATCH(ROWS($N$2:N54),$N$2:$N$1001,0),MATCH(COLUMNS($U$1006:V1006),$U$1006:$AC$1006,0)), HYPERLINK("#",""), HYPERLINK(CONCATENATE("#metadata!", ADDRESS(INDEX($P$2:$P$1001,MATCH(ROWS($N$2:N54),$N$2:$N$1001,0),0), INDEX($U$1004:$AC$1004,1,MATCH(COLUMNS($U$1006:V1006),$U$1006:$AC$1006,0)))),"Fix")))</f>
        <v>0</v>
      </c>
      <c r="D54" s="3">
        <f>IF(OR(INDEX($O$2:$O$1001,MATCH(ROWS($N$2:N54),$N$2:$N$1001,0),1)&gt;=100000,INDEX($U$1005:$AC$1005,1,MATCH(COLUMNS($U$1006:W1006),$U$1006:$AC$1006,0))&gt;=100000), " ",IF(INDEX($U$2:$AC$1001,MATCH(ROWS($N$2:N54),$N$2:$N$1001,0),MATCH(COLUMNS($U$1006:W1006),$U$1006:$AC$1006,0)), HYPERLINK("#",""), HYPERLINK(CONCATENATE("#metadata!", ADDRESS(INDEX($P$2:$P$1001,MATCH(ROWS($N$2:N54),$N$2:$N$1001,0),0), INDEX($U$1004:$AC$1004,1,MATCH(COLUMNS($U$1006:W1006),$U$1006:$AC$1006,0)))),"Fix")))</f>
        <v>0</v>
      </c>
      <c r="E54" s="3">
        <f>IF(OR(INDEX($O$2:$O$1001,MATCH(ROWS($N$2:N54),$N$2:$N$1001,0),1)&gt;=100000,INDEX($U$1005:$AC$1005,1,MATCH(COLUMNS($U$1006:X1006),$U$1006:$AC$1006,0))&gt;=100000), " ",IF(INDEX($U$2:$AC$1001,MATCH(ROWS($N$2:N54),$N$2:$N$1001,0),MATCH(COLUMNS($U$1006:X1006),$U$1006:$AC$1006,0)), HYPERLINK("#",""), HYPERLINK(CONCATENATE("#metadata!", ADDRESS(INDEX($P$2:$P$1001,MATCH(ROWS($N$2:N54),$N$2:$N$1001,0),0), INDEX($U$1004:$AC$1004,1,MATCH(COLUMNS($U$1006:X1006),$U$1006:$AC$1006,0)))),"Fix")))</f>
        <v>0</v>
      </c>
      <c r="F54" s="3">
        <f>IF(OR(INDEX($O$2:$O$1001,MATCH(ROWS($N$2:N54),$N$2:$N$1001,0),1)&gt;=100000,INDEX($U$1005:$AC$1005,1,MATCH(COLUMNS($U$1006:Y1006),$U$1006:$AC$1006,0))&gt;=100000), " ",IF(INDEX($U$2:$AC$1001,MATCH(ROWS($N$2:N54),$N$2:$N$1001,0),MATCH(COLUMNS($U$1006:Y1006),$U$1006:$AC$1006,0)), HYPERLINK("#",""), HYPERLINK(CONCATENATE("#metadata!", ADDRESS(INDEX($P$2:$P$1001,MATCH(ROWS($N$2:N54),$N$2:$N$1001,0),0), INDEX($U$1004:$AC$1004,1,MATCH(COLUMNS($U$1006:Y1006),$U$1006:$AC$1006,0)))),"Fix")))</f>
        <v>0</v>
      </c>
      <c r="G54" s="3">
        <f>IF(OR(INDEX($O$2:$O$1001,MATCH(ROWS($N$2:N54),$N$2:$N$1001,0),1)&gt;=100000,INDEX($U$1005:$AC$1005,1,MATCH(COLUMNS($U$1006:Z1006),$U$1006:$AC$1006,0))&gt;=100000), " ",IF(INDEX($U$2:$AC$1001,MATCH(ROWS($N$2:N54),$N$2:$N$1001,0),MATCH(COLUMNS($U$1006:Z1006),$U$1006:$AC$1006,0)), HYPERLINK("#",""), HYPERLINK(CONCATENATE("#metadata!", ADDRESS(INDEX($P$2:$P$1001,MATCH(ROWS($N$2:N54),$N$2:$N$1001,0),0), INDEX($U$1004:$AC$1004,1,MATCH(COLUMNS($U$1006:Z1006),$U$1006:$AC$1006,0)))),"Fix")))</f>
        <v>0</v>
      </c>
      <c r="H54" s="3">
        <f>IF(OR(INDEX($O$2:$O$1001,MATCH(ROWS($N$2:N54),$N$2:$N$1001,0),1)&gt;=100000,INDEX($U$1005:$AC$1005,1,MATCH(COLUMNS($U$1006:AA1006),$U$1006:$AC$1006,0))&gt;=100000), " ",IF(INDEX($U$2:$AC$1001,MATCH(ROWS($N$2:N54),$N$2:$N$1001,0),MATCH(COLUMNS($U$1006:AA1006),$U$1006:$AC$1006,0)), HYPERLINK("#",""), HYPERLINK(CONCATENATE("#metadata!", ADDRESS(INDEX($P$2:$P$1001,MATCH(ROWS($N$2:N54),$N$2:$N$1001,0),0), INDEX($U$1004:$AC$1004,1,MATCH(COLUMNS($U$1006:AA1006),$U$1006:$AC$1006,0)))),"Fix")))</f>
        <v>0</v>
      </c>
      <c r="I54" s="3">
        <f>IF(OR(INDEX($O$2:$O$1001,MATCH(ROWS($N$2:N54),$N$2:$N$1001,0),1)&gt;=100000,INDEX($U$1005:$AC$1005,1,MATCH(COLUMNS($U$1006:AB1006),$U$1006:$AC$1006,0))&gt;=100000), " ",IF(INDEX($U$2:$AC$1001,MATCH(ROWS($N$2:N54),$N$2:$N$1001,0),MATCH(COLUMNS($U$1006:AB1006),$U$1006:$AC$1006,0)), HYPERLINK("#",""), HYPERLINK(CONCATENATE("#metadata!", ADDRESS(INDEX($P$2:$P$1001,MATCH(ROWS($N$2:N54),$N$2:$N$1001,0),0), INDEX($U$1004:$AC$1004,1,MATCH(COLUMNS($U$1006:AB1006),$U$1006:$AC$1006,0)))),"Fix")))</f>
        <v>0</v>
      </c>
      <c r="J54" s="3">
        <f>IF(OR(INDEX($O$2:$O$1001,MATCH(ROWS($N$2:N54),$N$2:$N$1001,0),1)&gt;=100000,INDEX($U$1005:$AC$1005,1,MATCH(COLUMNS($U$1006:AC1006),$U$1006:$AC$1006,0))&gt;=100000), " ",IF(INDEX($U$2:$AC$1001,MATCH(ROWS($N$2:N54),$N$2:$N$1001,0),MATCH(COLUMNS($U$1006:AC1006),$U$1006:$AC$1006,0)), HYPERLINK("#",""), HYPERLINK(CONCATENATE("#metadata!", ADDRESS(INDEX($P$2:$P$1001,MATCH(ROWS($N$2:N54),$N$2:$N$1001,0),0), INDEX($U$1004:$AC$1004,1,MATCH(COLUMNS($U$1006:AC1006),$U$1006:$AC$1006,0)))),"Fix")))</f>
        <v>0</v>
      </c>
      <c r="N54">
        <v>0</v>
      </c>
      <c r="O54">
        <v>0</v>
      </c>
      <c r="P54">
        <v>0</v>
      </c>
      <c r="Q54">
        <f>IF(R54,TRUE,AND(U54:AC54))</f>
        <v>0</v>
      </c>
      <c r="R54">
        <f>COUNTBLANK(metadata!B54:J54)=COLUMNS(metadata!B54:J54)</f>
        <v>0</v>
      </c>
      <c r="S54">
        <v>0</v>
      </c>
      <c r="U54">
        <f>AND(IF(metadata!B54="",FALSE,TRUE),COUNTIF(metadata!B:B, metadata!B54) = 1,NOT(ISERROR(SUMPRODUCT(SEARCH(MID(metadata!B54,ROW(INDIRECT("1:"&amp;LEN(metadata!B54))), 1),"0123456789abcdefghijklmnopqrstuvwxyzABCDEFGHIJKLMNOPQRSTUVWXYZ.")))))</f>
        <v>0</v>
      </c>
      <c r="V54">
        <f>AND(IF(metadata!C54="",FALSE,TRUE),exact(metadata!C54,"UBERON:genitourinary"))</f>
        <v>0</v>
      </c>
      <c r="W54">
        <f>AND(IF(metadata!D54="",FALSE,TRUE),exact(metadata!D54,"UBERON:urine"))</f>
        <v>0</v>
      </c>
      <c r="X54">
        <f>AND(IF(metadata!E54="",FALSE,TRUE),exact(metadata!E54,"UBERON:kidney"))</f>
        <v>0</v>
      </c>
      <c r="Y54">
        <f>AND(IF(metadata!F54="",FALSE,TRUE),exact(metadata!F54,"animal corpus"))</f>
        <v>0</v>
      </c>
      <c r="Z54">
        <f>AND(IF(metadata!G54="",FALSE,TRUE),exact(metadata!G54,"urine"))</f>
        <v>0</v>
      </c>
      <c r="AA54">
        <f>AND(IF(metadata!H54="",FALSE,TRUE),exact(metadata!H54,"urine"))</f>
        <v>0</v>
      </c>
      <c r="AB54">
        <f>AND(IF(metadata!I54="",FALSE,TRUE),exact(metadata!I54,"urine metagenome"))</f>
        <v>0</v>
      </c>
      <c r="AC54">
        <f>AND(IF(metadata!J54="",FALSE,TRUE),exact(metadata!J54,"1346744"))</f>
        <v>0</v>
      </c>
    </row>
    <row r="55" spans="1:29">
      <c r="A55" s="4">
        <f>IF(B55=" "," ",HYPERLINK(CONCATENATE("#metadata!",ADDRESS(INDEX($P$2:$P$1001,MATCH(ROWS($N$2:N55),$N$2:$N$1001,0),0),1)),INDEX($S$2:$S$1001,MATCH(ROWS($N$2:N55),$N$2:$N$1001,0),0)))</f>
        <v>0</v>
      </c>
      <c r="B55" s="3">
        <f>IF(OR(INDEX($O$2:$O$1001,MATCH(ROWS($N$2:N55),$N$2:$N$1001,0),1)&gt;=100000,INDEX($U$1005:$AC$1005,1,MATCH(COLUMNS($U$1006:U1006),$U$1006:$AC$1006,0))&gt;=100000), " ",IF(INDEX($U$2:$AC$1001,MATCH(ROWS($N$2:N55),$N$2:$N$1001,0),MATCH(COLUMNS($U$1006:U1006),$U$1006:$AC$1006,0)), HYPERLINK("#",""), HYPERLINK(CONCATENATE("#metadata!", ADDRESS(INDEX($P$2:$P$1001,MATCH(ROWS($N$2:N55),$N$2:$N$1001,0),0), INDEX($U$1004:$AC$1004,1,MATCH(COLUMNS($U$1006:U1006),$U$1006:$AC$1006,0)))),"Fix")))</f>
        <v>0</v>
      </c>
      <c r="C55" s="3">
        <f>IF(OR(INDEX($O$2:$O$1001,MATCH(ROWS($N$2:N55),$N$2:$N$1001,0),1)&gt;=100000,INDEX($U$1005:$AC$1005,1,MATCH(COLUMNS($U$1006:V1006),$U$1006:$AC$1006,0))&gt;=100000), " ",IF(INDEX($U$2:$AC$1001,MATCH(ROWS($N$2:N55),$N$2:$N$1001,0),MATCH(COLUMNS($U$1006:V1006),$U$1006:$AC$1006,0)), HYPERLINK("#",""), HYPERLINK(CONCATENATE("#metadata!", ADDRESS(INDEX($P$2:$P$1001,MATCH(ROWS($N$2:N55),$N$2:$N$1001,0),0), INDEX($U$1004:$AC$1004,1,MATCH(COLUMNS($U$1006:V1006),$U$1006:$AC$1006,0)))),"Fix")))</f>
        <v>0</v>
      </c>
      <c r="D55" s="3">
        <f>IF(OR(INDEX($O$2:$O$1001,MATCH(ROWS($N$2:N55),$N$2:$N$1001,0),1)&gt;=100000,INDEX($U$1005:$AC$1005,1,MATCH(COLUMNS($U$1006:W1006),$U$1006:$AC$1006,0))&gt;=100000), " ",IF(INDEX($U$2:$AC$1001,MATCH(ROWS($N$2:N55),$N$2:$N$1001,0),MATCH(COLUMNS($U$1006:W1006),$U$1006:$AC$1006,0)), HYPERLINK("#",""), HYPERLINK(CONCATENATE("#metadata!", ADDRESS(INDEX($P$2:$P$1001,MATCH(ROWS($N$2:N55),$N$2:$N$1001,0),0), INDEX($U$1004:$AC$1004,1,MATCH(COLUMNS($U$1006:W1006),$U$1006:$AC$1006,0)))),"Fix")))</f>
        <v>0</v>
      </c>
      <c r="E55" s="3">
        <f>IF(OR(INDEX($O$2:$O$1001,MATCH(ROWS($N$2:N55),$N$2:$N$1001,0),1)&gt;=100000,INDEX($U$1005:$AC$1005,1,MATCH(COLUMNS($U$1006:X1006),$U$1006:$AC$1006,0))&gt;=100000), " ",IF(INDEX($U$2:$AC$1001,MATCH(ROWS($N$2:N55),$N$2:$N$1001,0),MATCH(COLUMNS($U$1006:X1006),$U$1006:$AC$1006,0)), HYPERLINK("#",""), HYPERLINK(CONCATENATE("#metadata!", ADDRESS(INDEX($P$2:$P$1001,MATCH(ROWS($N$2:N55),$N$2:$N$1001,0),0), INDEX($U$1004:$AC$1004,1,MATCH(COLUMNS($U$1006:X1006),$U$1006:$AC$1006,0)))),"Fix")))</f>
        <v>0</v>
      </c>
      <c r="F55" s="3">
        <f>IF(OR(INDEX($O$2:$O$1001,MATCH(ROWS($N$2:N55),$N$2:$N$1001,0),1)&gt;=100000,INDEX($U$1005:$AC$1005,1,MATCH(COLUMNS($U$1006:Y1006),$U$1006:$AC$1006,0))&gt;=100000), " ",IF(INDEX($U$2:$AC$1001,MATCH(ROWS($N$2:N55),$N$2:$N$1001,0),MATCH(COLUMNS($U$1006:Y1006),$U$1006:$AC$1006,0)), HYPERLINK("#",""), HYPERLINK(CONCATENATE("#metadata!", ADDRESS(INDEX($P$2:$P$1001,MATCH(ROWS($N$2:N55),$N$2:$N$1001,0),0), INDEX($U$1004:$AC$1004,1,MATCH(COLUMNS($U$1006:Y1006),$U$1006:$AC$1006,0)))),"Fix")))</f>
        <v>0</v>
      </c>
      <c r="G55" s="3">
        <f>IF(OR(INDEX($O$2:$O$1001,MATCH(ROWS($N$2:N55),$N$2:$N$1001,0),1)&gt;=100000,INDEX($U$1005:$AC$1005,1,MATCH(COLUMNS($U$1006:Z1006),$U$1006:$AC$1006,0))&gt;=100000), " ",IF(INDEX($U$2:$AC$1001,MATCH(ROWS($N$2:N55),$N$2:$N$1001,0),MATCH(COLUMNS($U$1006:Z1006),$U$1006:$AC$1006,0)), HYPERLINK("#",""), HYPERLINK(CONCATENATE("#metadata!", ADDRESS(INDEX($P$2:$P$1001,MATCH(ROWS($N$2:N55),$N$2:$N$1001,0),0), INDEX($U$1004:$AC$1004,1,MATCH(COLUMNS($U$1006:Z1006),$U$1006:$AC$1006,0)))),"Fix")))</f>
        <v>0</v>
      </c>
      <c r="H55" s="3">
        <f>IF(OR(INDEX($O$2:$O$1001,MATCH(ROWS($N$2:N55),$N$2:$N$1001,0),1)&gt;=100000,INDEX($U$1005:$AC$1005,1,MATCH(COLUMNS($U$1006:AA1006),$U$1006:$AC$1006,0))&gt;=100000), " ",IF(INDEX($U$2:$AC$1001,MATCH(ROWS($N$2:N55),$N$2:$N$1001,0),MATCH(COLUMNS($U$1006:AA1006),$U$1006:$AC$1006,0)), HYPERLINK("#",""), HYPERLINK(CONCATENATE("#metadata!", ADDRESS(INDEX($P$2:$P$1001,MATCH(ROWS($N$2:N55),$N$2:$N$1001,0),0), INDEX($U$1004:$AC$1004,1,MATCH(COLUMNS($U$1006:AA1006),$U$1006:$AC$1006,0)))),"Fix")))</f>
        <v>0</v>
      </c>
      <c r="I55" s="3">
        <f>IF(OR(INDEX($O$2:$O$1001,MATCH(ROWS($N$2:N55),$N$2:$N$1001,0),1)&gt;=100000,INDEX($U$1005:$AC$1005,1,MATCH(COLUMNS($U$1006:AB1006),$U$1006:$AC$1006,0))&gt;=100000), " ",IF(INDEX($U$2:$AC$1001,MATCH(ROWS($N$2:N55),$N$2:$N$1001,0),MATCH(COLUMNS($U$1006:AB1006),$U$1006:$AC$1006,0)), HYPERLINK("#",""), HYPERLINK(CONCATENATE("#metadata!", ADDRESS(INDEX($P$2:$P$1001,MATCH(ROWS($N$2:N55),$N$2:$N$1001,0),0), INDEX($U$1004:$AC$1004,1,MATCH(COLUMNS($U$1006:AB1006),$U$1006:$AC$1006,0)))),"Fix")))</f>
        <v>0</v>
      </c>
      <c r="J55" s="3">
        <f>IF(OR(INDEX($O$2:$O$1001,MATCH(ROWS($N$2:N55),$N$2:$N$1001,0),1)&gt;=100000,INDEX($U$1005:$AC$1005,1,MATCH(COLUMNS($U$1006:AC1006),$U$1006:$AC$1006,0))&gt;=100000), " ",IF(INDEX($U$2:$AC$1001,MATCH(ROWS($N$2:N55),$N$2:$N$1001,0),MATCH(COLUMNS($U$1006:AC1006),$U$1006:$AC$1006,0)), HYPERLINK("#",""), HYPERLINK(CONCATENATE("#metadata!", ADDRESS(INDEX($P$2:$P$1001,MATCH(ROWS($N$2:N55),$N$2:$N$1001,0),0), INDEX($U$1004:$AC$1004,1,MATCH(COLUMNS($U$1006:AC1006),$U$1006:$AC$1006,0)))),"Fix")))</f>
        <v>0</v>
      </c>
      <c r="N55">
        <v>0</v>
      </c>
      <c r="O55">
        <v>0</v>
      </c>
      <c r="P55">
        <v>0</v>
      </c>
      <c r="Q55">
        <f>IF(R55,TRUE,AND(U55:AC55))</f>
        <v>0</v>
      </c>
      <c r="R55">
        <f>COUNTBLANK(metadata!B55:J55)=COLUMNS(metadata!B55:J55)</f>
        <v>0</v>
      </c>
      <c r="S55">
        <v>0</v>
      </c>
      <c r="U55">
        <f>AND(IF(metadata!B55="",FALSE,TRUE),COUNTIF(metadata!B:B, metadata!B55) = 1,NOT(ISERROR(SUMPRODUCT(SEARCH(MID(metadata!B55,ROW(INDIRECT("1:"&amp;LEN(metadata!B55))), 1),"0123456789abcdefghijklmnopqrstuvwxyzABCDEFGHIJKLMNOPQRSTUVWXYZ.")))))</f>
        <v>0</v>
      </c>
      <c r="V55">
        <f>AND(IF(metadata!C55="",FALSE,TRUE),exact(metadata!C55,"UBERON:genitourinary"))</f>
        <v>0</v>
      </c>
      <c r="W55">
        <f>AND(IF(metadata!D55="",FALSE,TRUE),exact(metadata!D55,"UBERON:urine"))</f>
        <v>0</v>
      </c>
      <c r="X55">
        <f>AND(IF(metadata!E55="",FALSE,TRUE),exact(metadata!E55,"UBERON:kidney"))</f>
        <v>0</v>
      </c>
      <c r="Y55">
        <f>AND(IF(metadata!F55="",FALSE,TRUE),exact(metadata!F55,"animal corpus"))</f>
        <v>0</v>
      </c>
      <c r="Z55">
        <f>AND(IF(metadata!G55="",FALSE,TRUE),exact(metadata!G55,"urine"))</f>
        <v>0</v>
      </c>
      <c r="AA55">
        <f>AND(IF(metadata!H55="",FALSE,TRUE),exact(metadata!H55,"urine"))</f>
        <v>0</v>
      </c>
      <c r="AB55">
        <f>AND(IF(metadata!I55="",FALSE,TRUE),exact(metadata!I55,"urine metagenome"))</f>
        <v>0</v>
      </c>
      <c r="AC55">
        <f>AND(IF(metadata!J55="",FALSE,TRUE),exact(metadata!J55,"1346744"))</f>
        <v>0</v>
      </c>
    </row>
    <row r="56" spans="1:29">
      <c r="A56" s="4">
        <f>IF(B56=" "," ",HYPERLINK(CONCATENATE("#metadata!",ADDRESS(INDEX($P$2:$P$1001,MATCH(ROWS($N$2:N56),$N$2:$N$1001,0),0),1)),INDEX($S$2:$S$1001,MATCH(ROWS($N$2:N56),$N$2:$N$1001,0),0)))</f>
        <v>0</v>
      </c>
      <c r="B56" s="3">
        <f>IF(OR(INDEX($O$2:$O$1001,MATCH(ROWS($N$2:N56),$N$2:$N$1001,0),1)&gt;=100000,INDEX($U$1005:$AC$1005,1,MATCH(COLUMNS($U$1006:U1006),$U$1006:$AC$1006,0))&gt;=100000), " ",IF(INDEX($U$2:$AC$1001,MATCH(ROWS($N$2:N56),$N$2:$N$1001,0),MATCH(COLUMNS($U$1006:U1006),$U$1006:$AC$1006,0)), HYPERLINK("#",""), HYPERLINK(CONCATENATE("#metadata!", ADDRESS(INDEX($P$2:$P$1001,MATCH(ROWS($N$2:N56),$N$2:$N$1001,0),0), INDEX($U$1004:$AC$1004,1,MATCH(COLUMNS($U$1006:U1006),$U$1006:$AC$1006,0)))),"Fix")))</f>
        <v>0</v>
      </c>
      <c r="C56" s="3">
        <f>IF(OR(INDEX($O$2:$O$1001,MATCH(ROWS($N$2:N56),$N$2:$N$1001,0),1)&gt;=100000,INDEX($U$1005:$AC$1005,1,MATCH(COLUMNS($U$1006:V1006),$U$1006:$AC$1006,0))&gt;=100000), " ",IF(INDEX($U$2:$AC$1001,MATCH(ROWS($N$2:N56),$N$2:$N$1001,0),MATCH(COLUMNS($U$1006:V1006),$U$1006:$AC$1006,0)), HYPERLINK("#",""), HYPERLINK(CONCATENATE("#metadata!", ADDRESS(INDEX($P$2:$P$1001,MATCH(ROWS($N$2:N56),$N$2:$N$1001,0),0), INDEX($U$1004:$AC$1004,1,MATCH(COLUMNS($U$1006:V1006),$U$1006:$AC$1006,0)))),"Fix")))</f>
        <v>0</v>
      </c>
      <c r="D56" s="3">
        <f>IF(OR(INDEX($O$2:$O$1001,MATCH(ROWS($N$2:N56),$N$2:$N$1001,0),1)&gt;=100000,INDEX($U$1005:$AC$1005,1,MATCH(COLUMNS($U$1006:W1006),$U$1006:$AC$1006,0))&gt;=100000), " ",IF(INDEX($U$2:$AC$1001,MATCH(ROWS($N$2:N56),$N$2:$N$1001,0),MATCH(COLUMNS($U$1006:W1006),$U$1006:$AC$1006,0)), HYPERLINK("#",""), HYPERLINK(CONCATENATE("#metadata!", ADDRESS(INDEX($P$2:$P$1001,MATCH(ROWS($N$2:N56),$N$2:$N$1001,0),0), INDEX($U$1004:$AC$1004,1,MATCH(COLUMNS($U$1006:W1006),$U$1006:$AC$1006,0)))),"Fix")))</f>
        <v>0</v>
      </c>
      <c r="E56" s="3">
        <f>IF(OR(INDEX($O$2:$O$1001,MATCH(ROWS($N$2:N56),$N$2:$N$1001,0),1)&gt;=100000,INDEX($U$1005:$AC$1005,1,MATCH(COLUMNS($U$1006:X1006),$U$1006:$AC$1006,0))&gt;=100000), " ",IF(INDEX($U$2:$AC$1001,MATCH(ROWS($N$2:N56),$N$2:$N$1001,0),MATCH(COLUMNS($U$1006:X1006),$U$1006:$AC$1006,0)), HYPERLINK("#",""), HYPERLINK(CONCATENATE("#metadata!", ADDRESS(INDEX($P$2:$P$1001,MATCH(ROWS($N$2:N56),$N$2:$N$1001,0),0), INDEX($U$1004:$AC$1004,1,MATCH(COLUMNS($U$1006:X1006),$U$1006:$AC$1006,0)))),"Fix")))</f>
        <v>0</v>
      </c>
      <c r="F56" s="3">
        <f>IF(OR(INDEX($O$2:$O$1001,MATCH(ROWS($N$2:N56),$N$2:$N$1001,0),1)&gt;=100000,INDEX($U$1005:$AC$1005,1,MATCH(COLUMNS($U$1006:Y1006),$U$1006:$AC$1006,0))&gt;=100000), " ",IF(INDEX($U$2:$AC$1001,MATCH(ROWS($N$2:N56),$N$2:$N$1001,0),MATCH(COLUMNS($U$1006:Y1006),$U$1006:$AC$1006,0)), HYPERLINK("#",""), HYPERLINK(CONCATENATE("#metadata!", ADDRESS(INDEX($P$2:$P$1001,MATCH(ROWS($N$2:N56),$N$2:$N$1001,0),0), INDEX($U$1004:$AC$1004,1,MATCH(COLUMNS($U$1006:Y1006),$U$1006:$AC$1006,0)))),"Fix")))</f>
        <v>0</v>
      </c>
      <c r="G56" s="3">
        <f>IF(OR(INDEX($O$2:$O$1001,MATCH(ROWS($N$2:N56),$N$2:$N$1001,0),1)&gt;=100000,INDEX($U$1005:$AC$1005,1,MATCH(COLUMNS($U$1006:Z1006),$U$1006:$AC$1006,0))&gt;=100000), " ",IF(INDEX($U$2:$AC$1001,MATCH(ROWS($N$2:N56),$N$2:$N$1001,0),MATCH(COLUMNS($U$1006:Z1006),$U$1006:$AC$1006,0)), HYPERLINK("#",""), HYPERLINK(CONCATENATE("#metadata!", ADDRESS(INDEX($P$2:$P$1001,MATCH(ROWS($N$2:N56),$N$2:$N$1001,0),0), INDEX($U$1004:$AC$1004,1,MATCH(COLUMNS($U$1006:Z1006),$U$1006:$AC$1006,0)))),"Fix")))</f>
        <v>0</v>
      </c>
      <c r="H56" s="3">
        <f>IF(OR(INDEX($O$2:$O$1001,MATCH(ROWS($N$2:N56),$N$2:$N$1001,0),1)&gt;=100000,INDEX($U$1005:$AC$1005,1,MATCH(COLUMNS($U$1006:AA1006),$U$1006:$AC$1006,0))&gt;=100000), " ",IF(INDEX($U$2:$AC$1001,MATCH(ROWS($N$2:N56),$N$2:$N$1001,0),MATCH(COLUMNS($U$1006:AA1006),$U$1006:$AC$1006,0)), HYPERLINK("#",""), HYPERLINK(CONCATENATE("#metadata!", ADDRESS(INDEX($P$2:$P$1001,MATCH(ROWS($N$2:N56),$N$2:$N$1001,0),0), INDEX($U$1004:$AC$1004,1,MATCH(COLUMNS($U$1006:AA1006),$U$1006:$AC$1006,0)))),"Fix")))</f>
        <v>0</v>
      </c>
      <c r="I56" s="3">
        <f>IF(OR(INDEX($O$2:$O$1001,MATCH(ROWS($N$2:N56),$N$2:$N$1001,0),1)&gt;=100000,INDEX($U$1005:$AC$1005,1,MATCH(COLUMNS($U$1006:AB1006),$U$1006:$AC$1006,0))&gt;=100000), " ",IF(INDEX($U$2:$AC$1001,MATCH(ROWS($N$2:N56),$N$2:$N$1001,0),MATCH(COLUMNS($U$1006:AB1006),$U$1006:$AC$1006,0)), HYPERLINK("#",""), HYPERLINK(CONCATENATE("#metadata!", ADDRESS(INDEX($P$2:$P$1001,MATCH(ROWS($N$2:N56),$N$2:$N$1001,0),0), INDEX($U$1004:$AC$1004,1,MATCH(COLUMNS($U$1006:AB1006),$U$1006:$AC$1006,0)))),"Fix")))</f>
        <v>0</v>
      </c>
      <c r="J56" s="3">
        <f>IF(OR(INDEX($O$2:$O$1001,MATCH(ROWS($N$2:N56),$N$2:$N$1001,0),1)&gt;=100000,INDEX($U$1005:$AC$1005,1,MATCH(COLUMNS($U$1006:AC1006),$U$1006:$AC$1006,0))&gt;=100000), " ",IF(INDEX($U$2:$AC$1001,MATCH(ROWS($N$2:N56),$N$2:$N$1001,0),MATCH(COLUMNS($U$1006:AC1006),$U$1006:$AC$1006,0)), HYPERLINK("#",""), HYPERLINK(CONCATENATE("#metadata!", ADDRESS(INDEX($P$2:$P$1001,MATCH(ROWS($N$2:N56),$N$2:$N$1001,0),0), INDEX($U$1004:$AC$1004,1,MATCH(COLUMNS($U$1006:AC1006),$U$1006:$AC$1006,0)))),"Fix")))</f>
        <v>0</v>
      </c>
      <c r="N56">
        <v>0</v>
      </c>
      <c r="O56">
        <v>0</v>
      </c>
      <c r="P56">
        <v>0</v>
      </c>
      <c r="Q56">
        <f>IF(R56,TRUE,AND(U56:AC56))</f>
        <v>0</v>
      </c>
      <c r="R56">
        <f>COUNTBLANK(metadata!B56:J56)=COLUMNS(metadata!B56:J56)</f>
        <v>0</v>
      </c>
      <c r="S56">
        <v>0</v>
      </c>
      <c r="U56">
        <f>AND(IF(metadata!B56="",FALSE,TRUE),COUNTIF(metadata!B:B, metadata!B56) = 1,NOT(ISERROR(SUMPRODUCT(SEARCH(MID(metadata!B56,ROW(INDIRECT("1:"&amp;LEN(metadata!B56))), 1),"0123456789abcdefghijklmnopqrstuvwxyzABCDEFGHIJKLMNOPQRSTUVWXYZ.")))))</f>
        <v>0</v>
      </c>
      <c r="V56">
        <f>AND(IF(metadata!C56="",FALSE,TRUE),exact(metadata!C56,"UBERON:genitourinary"))</f>
        <v>0</v>
      </c>
      <c r="W56">
        <f>AND(IF(metadata!D56="",FALSE,TRUE),exact(metadata!D56,"UBERON:urine"))</f>
        <v>0</v>
      </c>
      <c r="X56">
        <f>AND(IF(metadata!E56="",FALSE,TRUE),exact(metadata!E56,"UBERON:kidney"))</f>
        <v>0</v>
      </c>
      <c r="Y56">
        <f>AND(IF(metadata!F56="",FALSE,TRUE),exact(metadata!F56,"animal corpus"))</f>
        <v>0</v>
      </c>
      <c r="Z56">
        <f>AND(IF(metadata!G56="",FALSE,TRUE),exact(metadata!G56,"urine"))</f>
        <v>0</v>
      </c>
      <c r="AA56">
        <f>AND(IF(metadata!H56="",FALSE,TRUE),exact(metadata!H56,"urine"))</f>
        <v>0</v>
      </c>
      <c r="AB56">
        <f>AND(IF(metadata!I56="",FALSE,TRUE),exact(metadata!I56,"urine metagenome"))</f>
        <v>0</v>
      </c>
      <c r="AC56">
        <f>AND(IF(metadata!J56="",FALSE,TRUE),exact(metadata!J56,"1346744"))</f>
        <v>0</v>
      </c>
    </row>
    <row r="57" spans="1:29">
      <c r="A57" s="4">
        <f>IF(B57=" "," ",HYPERLINK(CONCATENATE("#metadata!",ADDRESS(INDEX($P$2:$P$1001,MATCH(ROWS($N$2:N57),$N$2:$N$1001,0),0),1)),INDEX($S$2:$S$1001,MATCH(ROWS($N$2:N57),$N$2:$N$1001,0),0)))</f>
        <v>0</v>
      </c>
      <c r="B57" s="3">
        <f>IF(OR(INDEX($O$2:$O$1001,MATCH(ROWS($N$2:N57),$N$2:$N$1001,0),1)&gt;=100000,INDEX($U$1005:$AC$1005,1,MATCH(COLUMNS($U$1006:U1006),$U$1006:$AC$1006,0))&gt;=100000), " ",IF(INDEX($U$2:$AC$1001,MATCH(ROWS($N$2:N57),$N$2:$N$1001,0),MATCH(COLUMNS($U$1006:U1006),$U$1006:$AC$1006,0)), HYPERLINK("#",""), HYPERLINK(CONCATENATE("#metadata!", ADDRESS(INDEX($P$2:$P$1001,MATCH(ROWS($N$2:N57),$N$2:$N$1001,0),0), INDEX($U$1004:$AC$1004,1,MATCH(COLUMNS($U$1006:U1006),$U$1006:$AC$1006,0)))),"Fix")))</f>
        <v>0</v>
      </c>
      <c r="C57" s="3">
        <f>IF(OR(INDEX($O$2:$O$1001,MATCH(ROWS($N$2:N57),$N$2:$N$1001,0),1)&gt;=100000,INDEX($U$1005:$AC$1005,1,MATCH(COLUMNS($U$1006:V1006),$U$1006:$AC$1006,0))&gt;=100000), " ",IF(INDEX($U$2:$AC$1001,MATCH(ROWS($N$2:N57),$N$2:$N$1001,0),MATCH(COLUMNS($U$1006:V1006),$U$1006:$AC$1006,0)), HYPERLINK("#",""), HYPERLINK(CONCATENATE("#metadata!", ADDRESS(INDEX($P$2:$P$1001,MATCH(ROWS($N$2:N57),$N$2:$N$1001,0),0), INDEX($U$1004:$AC$1004,1,MATCH(COLUMNS($U$1006:V1006),$U$1006:$AC$1006,0)))),"Fix")))</f>
        <v>0</v>
      </c>
      <c r="D57" s="3">
        <f>IF(OR(INDEX($O$2:$O$1001,MATCH(ROWS($N$2:N57),$N$2:$N$1001,0),1)&gt;=100000,INDEX($U$1005:$AC$1005,1,MATCH(COLUMNS($U$1006:W1006),$U$1006:$AC$1006,0))&gt;=100000), " ",IF(INDEX($U$2:$AC$1001,MATCH(ROWS($N$2:N57),$N$2:$N$1001,0),MATCH(COLUMNS($U$1006:W1006),$U$1006:$AC$1006,0)), HYPERLINK("#",""), HYPERLINK(CONCATENATE("#metadata!", ADDRESS(INDEX($P$2:$P$1001,MATCH(ROWS($N$2:N57),$N$2:$N$1001,0),0), INDEX($U$1004:$AC$1004,1,MATCH(COLUMNS($U$1006:W1006),$U$1006:$AC$1006,0)))),"Fix")))</f>
        <v>0</v>
      </c>
      <c r="E57" s="3">
        <f>IF(OR(INDEX($O$2:$O$1001,MATCH(ROWS($N$2:N57),$N$2:$N$1001,0),1)&gt;=100000,INDEX($U$1005:$AC$1005,1,MATCH(COLUMNS($U$1006:X1006),$U$1006:$AC$1006,0))&gt;=100000), " ",IF(INDEX($U$2:$AC$1001,MATCH(ROWS($N$2:N57),$N$2:$N$1001,0),MATCH(COLUMNS($U$1006:X1006),$U$1006:$AC$1006,0)), HYPERLINK("#",""), HYPERLINK(CONCATENATE("#metadata!", ADDRESS(INDEX($P$2:$P$1001,MATCH(ROWS($N$2:N57),$N$2:$N$1001,0),0), INDEX($U$1004:$AC$1004,1,MATCH(COLUMNS($U$1006:X1006),$U$1006:$AC$1006,0)))),"Fix")))</f>
        <v>0</v>
      </c>
      <c r="F57" s="3">
        <f>IF(OR(INDEX($O$2:$O$1001,MATCH(ROWS($N$2:N57),$N$2:$N$1001,0),1)&gt;=100000,INDEX($U$1005:$AC$1005,1,MATCH(COLUMNS($U$1006:Y1006),$U$1006:$AC$1006,0))&gt;=100000), " ",IF(INDEX($U$2:$AC$1001,MATCH(ROWS($N$2:N57),$N$2:$N$1001,0),MATCH(COLUMNS($U$1006:Y1006),$U$1006:$AC$1006,0)), HYPERLINK("#",""), HYPERLINK(CONCATENATE("#metadata!", ADDRESS(INDEX($P$2:$P$1001,MATCH(ROWS($N$2:N57),$N$2:$N$1001,0),0), INDEX($U$1004:$AC$1004,1,MATCH(COLUMNS($U$1006:Y1006),$U$1006:$AC$1006,0)))),"Fix")))</f>
        <v>0</v>
      </c>
      <c r="G57" s="3">
        <f>IF(OR(INDEX($O$2:$O$1001,MATCH(ROWS($N$2:N57),$N$2:$N$1001,0),1)&gt;=100000,INDEX($U$1005:$AC$1005,1,MATCH(COLUMNS($U$1006:Z1006),$U$1006:$AC$1006,0))&gt;=100000), " ",IF(INDEX($U$2:$AC$1001,MATCH(ROWS($N$2:N57),$N$2:$N$1001,0),MATCH(COLUMNS($U$1006:Z1006),$U$1006:$AC$1006,0)), HYPERLINK("#",""), HYPERLINK(CONCATENATE("#metadata!", ADDRESS(INDEX($P$2:$P$1001,MATCH(ROWS($N$2:N57),$N$2:$N$1001,0),0), INDEX($U$1004:$AC$1004,1,MATCH(COLUMNS($U$1006:Z1006),$U$1006:$AC$1006,0)))),"Fix")))</f>
        <v>0</v>
      </c>
      <c r="H57" s="3">
        <f>IF(OR(INDEX($O$2:$O$1001,MATCH(ROWS($N$2:N57),$N$2:$N$1001,0),1)&gt;=100000,INDEX($U$1005:$AC$1005,1,MATCH(COLUMNS($U$1006:AA1006),$U$1006:$AC$1006,0))&gt;=100000), " ",IF(INDEX($U$2:$AC$1001,MATCH(ROWS($N$2:N57),$N$2:$N$1001,0),MATCH(COLUMNS($U$1006:AA1006),$U$1006:$AC$1006,0)), HYPERLINK("#",""), HYPERLINK(CONCATENATE("#metadata!", ADDRESS(INDEX($P$2:$P$1001,MATCH(ROWS($N$2:N57),$N$2:$N$1001,0),0), INDEX($U$1004:$AC$1004,1,MATCH(COLUMNS($U$1006:AA1006),$U$1006:$AC$1006,0)))),"Fix")))</f>
        <v>0</v>
      </c>
      <c r="I57" s="3">
        <f>IF(OR(INDEX($O$2:$O$1001,MATCH(ROWS($N$2:N57),$N$2:$N$1001,0),1)&gt;=100000,INDEX($U$1005:$AC$1005,1,MATCH(COLUMNS($U$1006:AB1006),$U$1006:$AC$1006,0))&gt;=100000), " ",IF(INDEX($U$2:$AC$1001,MATCH(ROWS($N$2:N57),$N$2:$N$1001,0),MATCH(COLUMNS($U$1006:AB1006),$U$1006:$AC$1006,0)), HYPERLINK("#",""), HYPERLINK(CONCATENATE("#metadata!", ADDRESS(INDEX($P$2:$P$1001,MATCH(ROWS($N$2:N57),$N$2:$N$1001,0),0), INDEX($U$1004:$AC$1004,1,MATCH(COLUMNS($U$1006:AB1006),$U$1006:$AC$1006,0)))),"Fix")))</f>
        <v>0</v>
      </c>
      <c r="J57" s="3">
        <f>IF(OR(INDEX($O$2:$O$1001,MATCH(ROWS($N$2:N57),$N$2:$N$1001,0),1)&gt;=100000,INDEX($U$1005:$AC$1005,1,MATCH(COLUMNS($U$1006:AC1006),$U$1006:$AC$1006,0))&gt;=100000), " ",IF(INDEX($U$2:$AC$1001,MATCH(ROWS($N$2:N57),$N$2:$N$1001,0),MATCH(COLUMNS($U$1006:AC1006),$U$1006:$AC$1006,0)), HYPERLINK("#",""), HYPERLINK(CONCATENATE("#metadata!", ADDRESS(INDEX($P$2:$P$1001,MATCH(ROWS($N$2:N57),$N$2:$N$1001,0),0), INDEX($U$1004:$AC$1004,1,MATCH(COLUMNS($U$1006:AC1006),$U$1006:$AC$1006,0)))),"Fix")))</f>
        <v>0</v>
      </c>
      <c r="N57">
        <v>0</v>
      </c>
      <c r="O57">
        <v>0</v>
      </c>
      <c r="P57">
        <v>0</v>
      </c>
      <c r="Q57">
        <f>IF(R57,TRUE,AND(U57:AC57))</f>
        <v>0</v>
      </c>
      <c r="R57">
        <f>COUNTBLANK(metadata!B57:J57)=COLUMNS(metadata!B57:J57)</f>
        <v>0</v>
      </c>
      <c r="S57">
        <v>0</v>
      </c>
      <c r="U57">
        <f>AND(IF(metadata!B57="",FALSE,TRUE),COUNTIF(metadata!B:B, metadata!B57) = 1,NOT(ISERROR(SUMPRODUCT(SEARCH(MID(metadata!B57,ROW(INDIRECT("1:"&amp;LEN(metadata!B57))), 1),"0123456789abcdefghijklmnopqrstuvwxyzABCDEFGHIJKLMNOPQRSTUVWXYZ.")))))</f>
        <v>0</v>
      </c>
      <c r="V57">
        <f>AND(IF(metadata!C57="",FALSE,TRUE),exact(metadata!C57,"UBERON:genitourinary"))</f>
        <v>0</v>
      </c>
      <c r="W57">
        <f>AND(IF(metadata!D57="",FALSE,TRUE),exact(metadata!D57,"UBERON:urine"))</f>
        <v>0</v>
      </c>
      <c r="X57">
        <f>AND(IF(metadata!E57="",FALSE,TRUE),exact(metadata!E57,"UBERON:kidney"))</f>
        <v>0</v>
      </c>
      <c r="Y57">
        <f>AND(IF(metadata!F57="",FALSE,TRUE),exact(metadata!F57,"animal corpus"))</f>
        <v>0</v>
      </c>
      <c r="Z57">
        <f>AND(IF(metadata!G57="",FALSE,TRUE),exact(metadata!G57,"urine"))</f>
        <v>0</v>
      </c>
      <c r="AA57">
        <f>AND(IF(metadata!H57="",FALSE,TRUE),exact(metadata!H57,"urine"))</f>
        <v>0</v>
      </c>
      <c r="AB57">
        <f>AND(IF(metadata!I57="",FALSE,TRUE),exact(metadata!I57,"urine metagenome"))</f>
        <v>0</v>
      </c>
      <c r="AC57">
        <f>AND(IF(metadata!J57="",FALSE,TRUE),exact(metadata!J57,"1346744"))</f>
        <v>0</v>
      </c>
    </row>
    <row r="58" spans="1:29">
      <c r="A58" s="4">
        <f>IF(B58=" "," ",HYPERLINK(CONCATENATE("#metadata!",ADDRESS(INDEX($P$2:$P$1001,MATCH(ROWS($N$2:N58),$N$2:$N$1001,0),0),1)),INDEX($S$2:$S$1001,MATCH(ROWS($N$2:N58),$N$2:$N$1001,0),0)))</f>
        <v>0</v>
      </c>
      <c r="B58" s="3">
        <f>IF(OR(INDEX($O$2:$O$1001,MATCH(ROWS($N$2:N58),$N$2:$N$1001,0),1)&gt;=100000,INDEX($U$1005:$AC$1005,1,MATCH(COLUMNS($U$1006:U1006),$U$1006:$AC$1006,0))&gt;=100000), " ",IF(INDEX($U$2:$AC$1001,MATCH(ROWS($N$2:N58),$N$2:$N$1001,0),MATCH(COLUMNS($U$1006:U1006),$U$1006:$AC$1006,0)), HYPERLINK("#",""), HYPERLINK(CONCATENATE("#metadata!", ADDRESS(INDEX($P$2:$P$1001,MATCH(ROWS($N$2:N58),$N$2:$N$1001,0),0), INDEX($U$1004:$AC$1004,1,MATCH(COLUMNS($U$1006:U1006),$U$1006:$AC$1006,0)))),"Fix")))</f>
        <v>0</v>
      </c>
      <c r="C58" s="3">
        <f>IF(OR(INDEX($O$2:$O$1001,MATCH(ROWS($N$2:N58),$N$2:$N$1001,0),1)&gt;=100000,INDEX($U$1005:$AC$1005,1,MATCH(COLUMNS($U$1006:V1006),$U$1006:$AC$1006,0))&gt;=100000), " ",IF(INDEX($U$2:$AC$1001,MATCH(ROWS($N$2:N58),$N$2:$N$1001,0),MATCH(COLUMNS($U$1006:V1006),$U$1006:$AC$1006,0)), HYPERLINK("#",""), HYPERLINK(CONCATENATE("#metadata!", ADDRESS(INDEX($P$2:$P$1001,MATCH(ROWS($N$2:N58),$N$2:$N$1001,0),0), INDEX($U$1004:$AC$1004,1,MATCH(COLUMNS($U$1006:V1006),$U$1006:$AC$1006,0)))),"Fix")))</f>
        <v>0</v>
      </c>
      <c r="D58" s="3">
        <f>IF(OR(INDEX($O$2:$O$1001,MATCH(ROWS($N$2:N58),$N$2:$N$1001,0),1)&gt;=100000,INDEX($U$1005:$AC$1005,1,MATCH(COLUMNS($U$1006:W1006),$U$1006:$AC$1006,0))&gt;=100000), " ",IF(INDEX($U$2:$AC$1001,MATCH(ROWS($N$2:N58),$N$2:$N$1001,0),MATCH(COLUMNS($U$1006:W1006),$U$1006:$AC$1006,0)), HYPERLINK("#",""), HYPERLINK(CONCATENATE("#metadata!", ADDRESS(INDEX($P$2:$P$1001,MATCH(ROWS($N$2:N58),$N$2:$N$1001,0),0), INDEX($U$1004:$AC$1004,1,MATCH(COLUMNS($U$1006:W1006),$U$1006:$AC$1006,0)))),"Fix")))</f>
        <v>0</v>
      </c>
      <c r="E58" s="3">
        <f>IF(OR(INDEX($O$2:$O$1001,MATCH(ROWS($N$2:N58),$N$2:$N$1001,0),1)&gt;=100000,INDEX($U$1005:$AC$1005,1,MATCH(COLUMNS($U$1006:X1006),$U$1006:$AC$1006,0))&gt;=100000), " ",IF(INDEX($U$2:$AC$1001,MATCH(ROWS($N$2:N58),$N$2:$N$1001,0),MATCH(COLUMNS($U$1006:X1006),$U$1006:$AC$1006,0)), HYPERLINK("#",""), HYPERLINK(CONCATENATE("#metadata!", ADDRESS(INDEX($P$2:$P$1001,MATCH(ROWS($N$2:N58),$N$2:$N$1001,0),0), INDEX($U$1004:$AC$1004,1,MATCH(COLUMNS($U$1006:X1006),$U$1006:$AC$1006,0)))),"Fix")))</f>
        <v>0</v>
      </c>
      <c r="F58" s="3">
        <f>IF(OR(INDEX($O$2:$O$1001,MATCH(ROWS($N$2:N58),$N$2:$N$1001,0),1)&gt;=100000,INDEX($U$1005:$AC$1005,1,MATCH(COLUMNS($U$1006:Y1006),$U$1006:$AC$1006,0))&gt;=100000), " ",IF(INDEX($U$2:$AC$1001,MATCH(ROWS($N$2:N58),$N$2:$N$1001,0),MATCH(COLUMNS($U$1006:Y1006),$U$1006:$AC$1006,0)), HYPERLINK("#",""), HYPERLINK(CONCATENATE("#metadata!", ADDRESS(INDEX($P$2:$P$1001,MATCH(ROWS($N$2:N58),$N$2:$N$1001,0),0), INDEX($U$1004:$AC$1004,1,MATCH(COLUMNS($U$1006:Y1006),$U$1006:$AC$1006,0)))),"Fix")))</f>
        <v>0</v>
      </c>
      <c r="G58" s="3">
        <f>IF(OR(INDEX($O$2:$O$1001,MATCH(ROWS($N$2:N58),$N$2:$N$1001,0),1)&gt;=100000,INDEX($U$1005:$AC$1005,1,MATCH(COLUMNS($U$1006:Z1006),$U$1006:$AC$1006,0))&gt;=100000), " ",IF(INDEX($U$2:$AC$1001,MATCH(ROWS($N$2:N58),$N$2:$N$1001,0),MATCH(COLUMNS($U$1006:Z1006),$U$1006:$AC$1006,0)), HYPERLINK("#",""), HYPERLINK(CONCATENATE("#metadata!", ADDRESS(INDEX($P$2:$P$1001,MATCH(ROWS($N$2:N58),$N$2:$N$1001,0),0), INDEX($U$1004:$AC$1004,1,MATCH(COLUMNS($U$1006:Z1006),$U$1006:$AC$1006,0)))),"Fix")))</f>
        <v>0</v>
      </c>
      <c r="H58" s="3">
        <f>IF(OR(INDEX($O$2:$O$1001,MATCH(ROWS($N$2:N58),$N$2:$N$1001,0),1)&gt;=100000,INDEX($U$1005:$AC$1005,1,MATCH(COLUMNS($U$1006:AA1006),$U$1006:$AC$1006,0))&gt;=100000), " ",IF(INDEX($U$2:$AC$1001,MATCH(ROWS($N$2:N58),$N$2:$N$1001,0),MATCH(COLUMNS($U$1006:AA1006),$U$1006:$AC$1006,0)), HYPERLINK("#",""), HYPERLINK(CONCATENATE("#metadata!", ADDRESS(INDEX($P$2:$P$1001,MATCH(ROWS($N$2:N58),$N$2:$N$1001,0),0), INDEX($U$1004:$AC$1004,1,MATCH(COLUMNS($U$1006:AA1006),$U$1006:$AC$1006,0)))),"Fix")))</f>
        <v>0</v>
      </c>
      <c r="I58" s="3">
        <f>IF(OR(INDEX($O$2:$O$1001,MATCH(ROWS($N$2:N58),$N$2:$N$1001,0),1)&gt;=100000,INDEX($U$1005:$AC$1005,1,MATCH(COLUMNS($U$1006:AB1006),$U$1006:$AC$1006,0))&gt;=100000), " ",IF(INDEX($U$2:$AC$1001,MATCH(ROWS($N$2:N58),$N$2:$N$1001,0),MATCH(COLUMNS($U$1006:AB1006),$U$1006:$AC$1006,0)), HYPERLINK("#",""), HYPERLINK(CONCATENATE("#metadata!", ADDRESS(INDEX($P$2:$P$1001,MATCH(ROWS($N$2:N58),$N$2:$N$1001,0),0), INDEX($U$1004:$AC$1004,1,MATCH(COLUMNS($U$1006:AB1006),$U$1006:$AC$1006,0)))),"Fix")))</f>
        <v>0</v>
      </c>
      <c r="J58" s="3">
        <f>IF(OR(INDEX($O$2:$O$1001,MATCH(ROWS($N$2:N58),$N$2:$N$1001,0),1)&gt;=100000,INDEX($U$1005:$AC$1005,1,MATCH(COLUMNS($U$1006:AC1006),$U$1006:$AC$1006,0))&gt;=100000), " ",IF(INDEX($U$2:$AC$1001,MATCH(ROWS($N$2:N58),$N$2:$N$1001,0),MATCH(COLUMNS($U$1006:AC1006),$U$1006:$AC$1006,0)), HYPERLINK("#",""), HYPERLINK(CONCATENATE("#metadata!", ADDRESS(INDEX($P$2:$P$1001,MATCH(ROWS($N$2:N58),$N$2:$N$1001,0),0), INDEX($U$1004:$AC$1004,1,MATCH(COLUMNS($U$1006:AC1006),$U$1006:$AC$1006,0)))),"Fix")))</f>
        <v>0</v>
      </c>
      <c r="N58">
        <v>0</v>
      </c>
      <c r="O58">
        <v>0</v>
      </c>
      <c r="P58">
        <v>0</v>
      </c>
      <c r="Q58">
        <f>IF(R58,TRUE,AND(U58:AC58))</f>
        <v>0</v>
      </c>
      <c r="R58">
        <f>COUNTBLANK(metadata!B58:J58)=COLUMNS(metadata!B58:J58)</f>
        <v>0</v>
      </c>
      <c r="S58">
        <v>0</v>
      </c>
      <c r="U58">
        <f>AND(IF(metadata!B58="",FALSE,TRUE),COUNTIF(metadata!B:B, metadata!B58) = 1,NOT(ISERROR(SUMPRODUCT(SEARCH(MID(metadata!B58,ROW(INDIRECT("1:"&amp;LEN(metadata!B58))), 1),"0123456789abcdefghijklmnopqrstuvwxyzABCDEFGHIJKLMNOPQRSTUVWXYZ.")))))</f>
        <v>0</v>
      </c>
      <c r="V58">
        <f>AND(IF(metadata!C58="",FALSE,TRUE),exact(metadata!C58,"UBERON:genitourinary"))</f>
        <v>0</v>
      </c>
      <c r="W58">
        <f>AND(IF(metadata!D58="",FALSE,TRUE),exact(metadata!D58,"UBERON:urine"))</f>
        <v>0</v>
      </c>
      <c r="X58">
        <f>AND(IF(metadata!E58="",FALSE,TRUE),exact(metadata!E58,"UBERON:kidney"))</f>
        <v>0</v>
      </c>
      <c r="Y58">
        <f>AND(IF(metadata!F58="",FALSE,TRUE),exact(metadata!F58,"animal corpus"))</f>
        <v>0</v>
      </c>
      <c r="Z58">
        <f>AND(IF(metadata!G58="",FALSE,TRUE),exact(metadata!G58,"urine"))</f>
        <v>0</v>
      </c>
      <c r="AA58">
        <f>AND(IF(metadata!H58="",FALSE,TRUE),exact(metadata!H58,"urine"))</f>
        <v>0</v>
      </c>
      <c r="AB58">
        <f>AND(IF(metadata!I58="",FALSE,TRUE),exact(metadata!I58,"urine metagenome"))</f>
        <v>0</v>
      </c>
      <c r="AC58">
        <f>AND(IF(metadata!J58="",FALSE,TRUE),exact(metadata!J58,"1346744"))</f>
        <v>0</v>
      </c>
    </row>
    <row r="59" spans="1:29">
      <c r="A59" s="4">
        <f>IF(B59=" "," ",HYPERLINK(CONCATENATE("#metadata!",ADDRESS(INDEX($P$2:$P$1001,MATCH(ROWS($N$2:N59),$N$2:$N$1001,0),0),1)),INDEX($S$2:$S$1001,MATCH(ROWS($N$2:N59),$N$2:$N$1001,0),0)))</f>
        <v>0</v>
      </c>
      <c r="B59" s="3">
        <f>IF(OR(INDEX($O$2:$O$1001,MATCH(ROWS($N$2:N59),$N$2:$N$1001,0),1)&gt;=100000,INDEX($U$1005:$AC$1005,1,MATCH(COLUMNS($U$1006:U1006),$U$1006:$AC$1006,0))&gt;=100000), " ",IF(INDEX($U$2:$AC$1001,MATCH(ROWS($N$2:N59),$N$2:$N$1001,0),MATCH(COLUMNS($U$1006:U1006),$U$1006:$AC$1006,0)), HYPERLINK("#",""), HYPERLINK(CONCATENATE("#metadata!", ADDRESS(INDEX($P$2:$P$1001,MATCH(ROWS($N$2:N59),$N$2:$N$1001,0),0), INDEX($U$1004:$AC$1004,1,MATCH(COLUMNS($U$1006:U1006),$U$1006:$AC$1006,0)))),"Fix")))</f>
        <v>0</v>
      </c>
      <c r="C59" s="3">
        <f>IF(OR(INDEX($O$2:$O$1001,MATCH(ROWS($N$2:N59),$N$2:$N$1001,0),1)&gt;=100000,INDEX($U$1005:$AC$1005,1,MATCH(COLUMNS($U$1006:V1006),$U$1006:$AC$1006,0))&gt;=100000), " ",IF(INDEX($U$2:$AC$1001,MATCH(ROWS($N$2:N59),$N$2:$N$1001,0),MATCH(COLUMNS($U$1006:V1006),$U$1006:$AC$1006,0)), HYPERLINK("#",""), HYPERLINK(CONCATENATE("#metadata!", ADDRESS(INDEX($P$2:$P$1001,MATCH(ROWS($N$2:N59),$N$2:$N$1001,0),0), INDEX($U$1004:$AC$1004,1,MATCH(COLUMNS($U$1006:V1006),$U$1006:$AC$1006,0)))),"Fix")))</f>
        <v>0</v>
      </c>
      <c r="D59" s="3">
        <f>IF(OR(INDEX($O$2:$O$1001,MATCH(ROWS($N$2:N59),$N$2:$N$1001,0),1)&gt;=100000,INDEX($U$1005:$AC$1005,1,MATCH(COLUMNS($U$1006:W1006),$U$1006:$AC$1006,0))&gt;=100000), " ",IF(INDEX($U$2:$AC$1001,MATCH(ROWS($N$2:N59),$N$2:$N$1001,0),MATCH(COLUMNS($U$1006:W1006),$U$1006:$AC$1006,0)), HYPERLINK("#",""), HYPERLINK(CONCATENATE("#metadata!", ADDRESS(INDEX($P$2:$P$1001,MATCH(ROWS($N$2:N59),$N$2:$N$1001,0),0), INDEX($U$1004:$AC$1004,1,MATCH(COLUMNS($U$1006:W1006),$U$1006:$AC$1006,0)))),"Fix")))</f>
        <v>0</v>
      </c>
      <c r="E59" s="3">
        <f>IF(OR(INDEX($O$2:$O$1001,MATCH(ROWS($N$2:N59),$N$2:$N$1001,0),1)&gt;=100000,INDEX($U$1005:$AC$1005,1,MATCH(COLUMNS($U$1006:X1006),$U$1006:$AC$1006,0))&gt;=100000), " ",IF(INDEX($U$2:$AC$1001,MATCH(ROWS($N$2:N59),$N$2:$N$1001,0),MATCH(COLUMNS($U$1006:X1006),$U$1006:$AC$1006,0)), HYPERLINK("#",""), HYPERLINK(CONCATENATE("#metadata!", ADDRESS(INDEX($P$2:$P$1001,MATCH(ROWS($N$2:N59),$N$2:$N$1001,0),0), INDEX($U$1004:$AC$1004,1,MATCH(COLUMNS($U$1006:X1006),$U$1006:$AC$1006,0)))),"Fix")))</f>
        <v>0</v>
      </c>
      <c r="F59" s="3">
        <f>IF(OR(INDEX($O$2:$O$1001,MATCH(ROWS($N$2:N59),$N$2:$N$1001,0),1)&gt;=100000,INDEX($U$1005:$AC$1005,1,MATCH(COLUMNS($U$1006:Y1006),$U$1006:$AC$1006,0))&gt;=100000), " ",IF(INDEX($U$2:$AC$1001,MATCH(ROWS($N$2:N59),$N$2:$N$1001,0),MATCH(COLUMNS($U$1006:Y1006),$U$1006:$AC$1006,0)), HYPERLINK("#",""), HYPERLINK(CONCATENATE("#metadata!", ADDRESS(INDEX($P$2:$P$1001,MATCH(ROWS($N$2:N59),$N$2:$N$1001,0),0), INDEX($U$1004:$AC$1004,1,MATCH(COLUMNS($U$1006:Y1006),$U$1006:$AC$1006,0)))),"Fix")))</f>
        <v>0</v>
      </c>
      <c r="G59" s="3">
        <f>IF(OR(INDEX($O$2:$O$1001,MATCH(ROWS($N$2:N59),$N$2:$N$1001,0),1)&gt;=100000,INDEX($U$1005:$AC$1005,1,MATCH(COLUMNS($U$1006:Z1006),$U$1006:$AC$1006,0))&gt;=100000), " ",IF(INDEX($U$2:$AC$1001,MATCH(ROWS($N$2:N59),$N$2:$N$1001,0),MATCH(COLUMNS($U$1006:Z1006),$U$1006:$AC$1006,0)), HYPERLINK("#",""), HYPERLINK(CONCATENATE("#metadata!", ADDRESS(INDEX($P$2:$P$1001,MATCH(ROWS($N$2:N59),$N$2:$N$1001,0),0), INDEX($U$1004:$AC$1004,1,MATCH(COLUMNS($U$1006:Z1006),$U$1006:$AC$1006,0)))),"Fix")))</f>
        <v>0</v>
      </c>
      <c r="H59" s="3">
        <f>IF(OR(INDEX($O$2:$O$1001,MATCH(ROWS($N$2:N59),$N$2:$N$1001,0),1)&gt;=100000,INDEX($U$1005:$AC$1005,1,MATCH(COLUMNS($U$1006:AA1006),$U$1006:$AC$1006,0))&gt;=100000), " ",IF(INDEX($U$2:$AC$1001,MATCH(ROWS($N$2:N59),$N$2:$N$1001,0),MATCH(COLUMNS($U$1006:AA1006),$U$1006:$AC$1006,0)), HYPERLINK("#",""), HYPERLINK(CONCATENATE("#metadata!", ADDRESS(INDEX($P$2:$P$1001,MATCH(ROWS($N$2:N59),$N$2:$N$1001,0),0), INDEX($U$1004:$AC$1004,1,MATCH(COLUMNS($U$1006:AA1006),$U$1006:$AC$1006,0)))),"Fix")))</f>
        <v>0</v>
      </c>
      <c r="I59" s="3">
        <f>IF(OR(INDEX($O$2:$O$1001,MATCH(ROWS($N$2:N59),$N$2:$N$1001,0),1)&gt;=100000,INDEX($U$1005:$AC$1005,1,MATCH(COLUMNS($U$1006:AB1006),$U$1006:$AC$1006,0))&gt;=100000), " ",IF(INDEX($U$2:$AC$1001,MATCH(ROWS($N$2:N59),$N$2:$N$1001,0),MATCH(COLUMNS($U$1006:AB1006),$U$1006:$AC$1006,0)), HYPERLINK("#",""), HYPERLINK(CONCATENATE("#metadata!", ADDRESS(INDEX($P$2:$P$1001,MATCH(ROWS($N$2:N59),$N$2:$N$1001,0),0), INDEX($U$1004:$AC$1004,1,MATCH(COLUMNS($U$1006:AB1006),$U$1006:$AC$1006,0)))),"Fix")))</f>
        <v>0</v>
      </c>
      <c r="J59" s="3">
        <f>IF(OR(INDEX($O$2:$O$1001,MATCH(ROWS($N$2:N59),$N$2:$N$1001,0),1)&gt;=100000,INDEX($U$1005:$AC$1005,1,MATCH(COLUMNS($U$1006:AC1006),$U$1006:$AC$1006,0))&gt;=100000), " ",IF(INDEX($U$2:$AC$1001,MATCH(ROWS($N$2:N59),$N$2:$N$1001,0),MATCH(COLUMNS($U$1006:AC1006),$U$1006:$AC$1006,0)), HYPERLINK("#",""), HYPERLINK(CONCATENATE("#metadata!", ADDRESS(INDEX($P$2:$P$1001,MATCH(ROWS($N$2:N59),$N$2:$N$1001,0),0), INDEX($U$1004:$AC$1004,1,MATCH(COLUMNS($U$1006:AC1006),$U$1006:$AC$1006,0)))),"Fix")))</f>
        <v>0</v>
      </c>
      <c r="N59">
        <v>0</v>
      </c>
      <c r="O59">
        <v>0</v>
      </c>
      <c r="P59">
        <v>0</v>
      </c>
      <c r="Q59">
        <f>IF(R59,TRUE,AND(U59:AC59))</f>
        <v>0</v>
      </c>
      <c r="R59">
        <f>COUNTBLANK(metadata!B59:J59)=COLUMNS(metadata!B59:J59)</f>
        <v>0</v>
      </c>
      <c r="S59">
        <v>0</v>
      </c>
      <c r="U59">
        <f>AND(IF(metadata!B59="",FALSE,TRUE),COUNTIF(metadata!B:B, metadata!B59) = 1,NOT(ISERROR(SUMPRODUCT(SEARCH(MID(metadata!B59,ROW(INDIRECT("1:"&amp;LEN(metadata!B59))), 1),"0123456789abcdefghijklmnopqrstuvwxyzABCDEFGHIJKLMNOPQRSTUVWXYZ.")))))</f>
        <v>0</v>
      </c>
      <c r="V59">
        <f>AND(IF(metadata!C59="",FALSE,TRUE),exact(metadata!C59,"UBERON:genitourinary"))</f>
        <v>0</v>
      </c>
      <c r="W59">
        <f>AND(IF(metadata!D59="",FALSE,TRUE),exact(metadata!D59,"UBERON:urine"))</f>
        <v>0</v>
      </c>
      <c r="X59">
        <f>AND(IF(metadata!E59="",FALSE,TRUE),exact(metadata!E59,"UBERON:kidney"))</f>
        <v>0</v>
      </c>
      <c r="Y59">
        <f>AND(IF(metadata!F59="",FALSE,TRUE),exact(metadata!F59,"animal corpus"))</f>
        <v>0</v>
      </c>
      <c r="Z59">
        <f>AND(IF(metadata!G59="",FALSE,TRUE),exact(metadata!G59,"urine"))</f>
        <v>0</v>
      </c>
      <c r="AA59">
        <f>AND(IF(metadata!H59="",FALSE,TRUE),exact(metadata!H59,"urine"))</f>
        <v>0</v>
      </c>
      <c r="AB59">
        <f>AND(IF(metadata!I59="",FALSE,TRUE),exact(metadata!I59,"urine metagenome"))</f>
        <v>0</v>
      </c>
      <c r="AC59">
        <f>AND(IF(metadata!J59="",FALSE,TRUE),exact(metadata!J59,"1346744"))</f>
        <v>0</v>
      </c>
    </row>
    <row r="60" spans="1:29">
      <c r="A60" s="4">
        <f>IF(B60=" "," ",HYPERLINK(CONCATENATE("#metadata!",ADDRESS(INDEX($P$2:$P$1001,MATCH(ROWS($N$2:N60),$N$2:$N$1001,0),0),1)),INDEX($S$2:$S$1001,MATCH(ROWS($N$2:N60),$N$2:$N$1001,0),0)))</f>
        <v>0</v>
      </c>
      <c r="B60" s="3">
        <f>IF(OR(INDEX($O$2:$O$1001,MATCH(ROWS($N$2:N60),$N$2:$N$1001,0),1)&gt;=100000,INDEX($U$1005:$AC$1005,1,MATCH(COLUMNS($U$1006:U1006),$U$1006:$AC$1006,0))&gt;=100000), " ",IF(INDEX($U$2:$AC$1001,MATCH(ROWS($N$2:N60),$N$2:$N$1001,0),MATCH(COLUMNS($U$1006:U1006),$U$1006:$AC$1006,0)), HYPERLINK("#",""), HYPERLINK(CONCATENATE("#metadata!", ADDRESS(INDEX($P$2:$P$1001,MATCH(ROWS($N$2:N60),$N$2:$N$1001,0),0), INDEX($U$1004:$AC$1004,1,MATCH(COLUMNS($U$1006:U1006),$U$1006:$AC$1006,0)))),"Fix")))</f>
        <v>0</v>
      </c>
      <c r="C60" s="3">
        <f>IF(OR(INDEX($O$2:$O$1001,MATCH(ROWS($N$2:N60),$N$2:$N$1001,0),1)&gt;=100000,INDEX($U$1005:$AC$1005,1,MATCH(COLUMNS($U$1006:V1006),$U$1006:$AC$1006,0))&gt;=100000), " ",IF(INDEX($U$2:$AC$1001,MATCH(ROWS($N$2:N60),$N$2:$N$1001,0),MATCH(COLUMNS($U$1006:V1006),$U$1006:$AC$1006,0)), HYPERLINK("#",""), HYPERLINK(CONCATENATE("#metadata!", ADDRESS(INDEX($P$2:$P$1001,MATCH(ROWS($N$2:N60),$N$2:$N$1001,0),0), INDEX($U$1004:$AC$1004,1,MATCH(COLUMNS($U$1006:V1006),$U$1006:$AC$1006,0)))),"Fix")))</f>
        <v>0</v>
      </c>
      <c r="D60" s="3">
        <f>IF(OR(INDEX($O$2:$O$1001,MATCH(ROWS($N$2:N60),$N$2:$N$1001,0),1)&gt;=100000,INDEX($U$1005:$AC$1005,1,MATCH(COLUMNS($U$1006:W1006),$U$1006:$AC$1006,0))&gt;=100000), " ",IF(INDEX($U$2:$AC$1001,MATCH(ROWS($N$2:N60),$N$2:$N$1001,0),MATCH(COLUMNS($U$1006:W1006),$U$1006:$AC$1006,0)), HYPERLINK("#",""), HYPERLINK(CONCATENATE("#metadata!", ADDRESS(INDEX($P$2:$P$1001,MATCH(ROWS($N$2:N60),$N$2:$N$1001,0),0), INDEX($U$1004:$AC$1004,1,MATCH(COLUMNS($U$1006:W1006),$U$1006:$AC$1006,0)))),"Fix")))</f>
        <v>0</v>
      </c>
      <c r="E60" s="3">
        <f>IF(OR(INDEX($O$2:$O$1001,MATCH(ROWS($N$2:N60),$N$2:$N$1001,0),1)&gt;=100000,INDEX($U$1005:$AC$1005,1,MATCH(COLUMNS($U$1006:X1006),$U$1006:$AC$1006,0))&gt;=100000), " ",IF(INDEX($U$2:$AC$1001,MATCH(ROWS($N$2:N60),$N$2:$N$1001,0),MATCH(COLUMNS($U$1006:X1006),$U$1006:$AC$1006,0)), HYPERLINK("#",""), HYPERLINK(CONCATENATE("#metadata!", ADDRESS(INDEX($P$2:$P$1001,MATCH(ROWS($N$2:N60),$N$2:$N$1001,0),0), INDEX($U$1004:$AC$1004,1,MATCH(COLUMNS($U$1006:X1006),$U$1006:$AC$1006,0)))),"Fix")))</f>
        <v>0</v>
      </c>
      <c r="F60" s="3">
        <f>IF(OR(INDEX($O$2:$O$1001,MATCH(ROWS($N$2:N60),$N$2:$N$1001,0),1)&gt;=100000,INDEX($U$1005:$AC$1005,1,MATCH(COLUMNS($U$1006:Y1006),$U$1006:$AC$1006,0))&gt;=100000), " ",IF(INDEX($U$2:$AC$1001,MATCH(ROWS($N$2:N60),$N$2:$N$1001,0),MATCH(COLUMNS($U$1006:Y1006),$U$1006:$AC$1006,0)), HYPERLINK("#",""), HYPERLINK(CONCATENATE("#metadata!", ADDRESS(INDEX($P$2:$P$1001,MATCH(ROWS($N$2:N60),$N$2:$N$1001,0),0), INDEX($U$1004:$AC$1004,1,MATCH(COLUMNS($U$1006:Y1006),$U$1006:$AC$1006,0)))),"Fix")))</f>
        <v>0</v>
      </c>
      <c r="G60" s="3">
        <f>IF(OR(INDEX($O$2:$O$1001,MATCH(ROWS($N$2:N60),$N$2:$N$1001,0),1)&gt;=100000,INDEX($U$1005:$AC$1005,1,MATCH(COLUMNS($U$1006:Z1006),$U$1006:$AC$1006,0))&gt;=100000), " ",IF(INDEX($U$2:$AC$1001,MATCH(ROWS($N$2:N60),$N$2:$N$1001,0),MATCH(COLUMNS($U$1006:Z1006),$U$1006:$AC$1006,0)), HYPERLINK("#",""), HYPERLINK(CONCATENATE("#metadata!", ADDRESS(INDEX($P$2:$P$1001,MATCH(ROWS($N$2:N60),$N$2:$N$1001,0),0), INDEX($U$1004:$AC$1004,1,MATCH(COLUMNS($U$1006:Z1006),$U$1006:$AC$1006,0)))),"Fix")))</f>
        <v>0</v>
      </c>
      <c r="H60" s="3">
        <f>IF(OR(INDEX($O$2:$O$1001,MATCH(ROWS($N$2:N60),$N$2:$N$1001,0),1)&gt;=100000,INDEX($U$1005:$AC$1005,1,MATCH(COLUMNS($U$1006:AA1006),$U$1006:$AC$1006,0))&gt;=100000), " ",IF(INDEX($U$2:$AC$1001,MATCH(ROWS($N$2:N60),$N$2:$N$1001,0),MATCH(COLUMNS($U$1006:AA1006),$U$1006:$AC$1006,0)), HYPERLINK("#",""), HYPERLINK(CONCATENATE("#metadata!", ADDRESS(INDEX($P$2:$P$1001,MATCH(ROWS($N$2:N60),$N$2:$N$1001,0),0), INDEX($U$1004:$AC$1004,1,MATCH(COLUMNS($U$1006:AA1006),$U$1006:$AC$1006,0)))),"Fix")))</f>
        <v>0</v>
      </c>
      <c r="I60" s="3">
        <f>IF(OR(INDEX($O$2:$O$1001,MATCH(ROWS($N$2:N60),$N$2:$N$1001,0),1)&gt;=100000,INDEX($U$1005:$AC$1005,1,MATCH(COLUMNS($U$1006:AB1006),$U$1006:$AC$1006,0))&gt;=100000), " ",IF(INDEX($U$2:$AC$1001,MATCH(ROWS($N$2:N60),$N$2:$N$1001,0),MATCH(COLUMNS($U$1006:AB1006),$U$1006:$AC$1006,0)), HYPERLINK("#",""), HYPERLINK(CONCATENATE("#metadata!", ADDRESS(INDEX($P$2:$P$1001,MATCH(ROWS($N$2:N60),$N$2:$N$1001,0),0), INDEX($U$1004:$AC$1004,1,MATCH(COLUMNS($U$1006:AB1006),$U$1006:$AC$1006,0)))),"Fix")))</f>
        <v>0</v>
      </c>
      <c r="J60" s="3">
        <f>IF(OR(INDEX($O$2:$O$1001,MATCH(ROWS($N$2:N60),$N$2:$N$1001,0),1)&gt;=100000,INDEX($U$1005:$AC$1005,1,MATCH(COLUMNS($U$1006:AC1006),$U$1006:$AC$1006,0))&gt;=100000), " ",IF(INDEX($U$2:$AC$1001,MATCH(ROWS($N$2:N60),$N$2:$N$1001,0),MATCH(COLUMNS($U$1006:AC1006),$U$1006:$AC$1006,0)), HYPERLINK("#",""), HYPERLINK(CONCATENATE("#metadata!", ADDRESS(INDEX($P$2:$P$1001,MATCH(ROWS($N$2:N60),$N$2:$N$1001,0),0), INDEX($U$1004:$AC$1004,1,MATCH(COLUMNS($U$1006:AC1006),$U$1006:$AC$1006,0)))),"Fix")))</f>
        <v>0</v>
      </c>
      <c r="N60">
        <v>0</v>
      </c>
      <c r="O60">
        <v>0</v>
      </c>
      <c r="P60">
        <v>0</v>
      </c>
      <c r="Q60">
        <f>IF(R60,TRUE,AND(U60:AC60))</f>
        <v>0</v>
      </c>
      <c r="R60">
        <f>COUNTBLANK(metadata!B60:J60)=COLUMNS(metadata!B60:J60)</f>
        <v>0</v>
      </c>
      <c r="S60">
        <v>0</v>
      </c>
      <c r="U60">
        <f>AND(IF(metadata!B60="",FALSE,TRUE),COUNTIF(metadata!B:B, metadata!B60) = 1,NOT(ISERROR(SUMPRODUCT(SEARCH(MID(metadata!B60,ROW(INDIRECT("1:"&amp;LEN(metadata!B60))), 1),"0123456789abcdefghijklmnopqrstuvwxyzABCDEFGHIJKLMNOPQRSTUVWXYZ.")))))</f>
        <v>0</v>
      </c>
      <c r="V60">
        <f>AND(IF(metadata!C60="",FALSE,TRUE),exact(metadata!C60,"UBERON:genitourinary"))</f>
        <v>0</v>
      </c>
      <c r="W60">
        <f>AND(IF(metadata!D60="",FALSE,TRUE),exact(metadata!D60,"UBERON:urine"))</f>
        <v>0</v>
      </c>
      <c r="X60">
        <f>AND(IF(metadata!E60="",FALSE,TRUE),exact(metadata!E60,"UBERON:kidney"))</f>
        <v>0</v>
      </c>
      <c r="Y60">
        <f>AND(IF(metadata!F60="",FALSE,TRUE),exact(metadata!F60,"animal corpus"))</f>
        <v>0</v>
      </c>
      <c r="Z60">
        <f>AND(IF(metadata!G60="",FALSE,TRUE),exact(metadata!G60,"urine"))</f>
        <v>0</v>
      </c>
      <c r="AA60">
        <f>AND(IF(metadata!H60="",FALSE,TRUE),exact(metadata!H60,"urine"))</f>
        <v>0</v>
      </c>
      <c r="AB60">
        <f>AND(IF(metadata!I60="",FALSE,TRUE),exact(metadata!I60,"urine metagenome"))</f>
        <v>0</v>
      </c>
      <c r="AC60">
        <f>AND(IF(metadata!J60="",FALSE,TRUE),exact(metadata!J60,"1346744"))</f>
        <v>0</v>
      </c>
    </row>
    <row r="61" spans="1:29">
      <c r="A61" s="4">
        <f>IF(B61=" "," ",HYPERLINK(CONCATENATE("#metadata!",ADDRESS(INDEX($P$2:$P$1001,MATCH(ROWS($N$2:N61),$N$2:$N$1001,0),0),1)),INDEX($S$2:$S$1001,MATCH(ROWS($N$2:N61),$N$2:$N$1001,0),0)))</f>
        <v>0</v>
      </c>
      <c r="B61" s="3">
        <f>IF(OR(INDEX($O$2:$O$1001,MATCH(ROWS($N$2:N61),$N$2:$N$1001,0),1)&gt;=100000,INDEX($U$1005:$AC$1005,1,MATCH(COLUMNS($U$1006:U1006),$U$1006:$AC$1006,0))&gt;=100000), " ",IF(INDEX($U$2:$AC$1001,MATCH(ROWS($N$2:N61),$N$2:$N$1001,0),MATCH(COLUMNS($U$1006:U1006),$U$1006:$AC$1006,0)), HYPERLINK("#",""), HYPERLINK(CONCATENATE("#metadata!", ADDRESS(INDEX($P$2:$P$1001,MATCH(ROWS($N$2:N61),$N$2:$N$1001,0),0), INDEX($U$1004:$AC$1004,1,MATCH(COLUMNS($U$1006:U1006),$U$1006:$AC$1006,0)))),"Fix")))</f>
        <v>0</v>
      </c>
      <c r="C61" s="3">
        <f>IF(OR(INDEX($O$2:$O$1001,MATCH(ROWS($N$2:N61),$N$2:$N$1001,0),1)&gt;=100000,INDEX($U$1005:$AC$1005,1,MATCH(COLUMNS($U$1006:V1006),$U$1006:$AC$1006,0))&gt;=100000), " ",IF(INDEX($U$2:$AC$1001,MATCH(ROWS($N$2:N61),$N$2:$N$1001,0),MATCH(COLUMNS($U$1006:V1006),$U$1006:$AC$1006,0)), HYPERLINK("#",""), HYPERLINK(CONCATENATE("#metadata!", ADDRESS(INDEX($P$2:$P$1001,MATCH(ROWS($N$2:N61),$N$2:$N$1001,0),0), INDEX($U$1004:$AC$1004,1,MATCH(COLUMNS($U$1006:V1006),$U$1006:$AC$1006,0)))),"Fix")))</f>
        <v>0</v>
      </c>
      <c r="D61" s="3">
        <f>IF(OR(INDEX($O$2:$O$1001,MATCH(ROWS($N$2:N61),$N$2:$N$1001,0),1)&gt;=100000,INDEX($U$1005:$AC$1005,1,MATCH(COLUMNS($U$1006:W1006),$U$1006:$AC$1006,0))&gt;=100000), " ",IF(INDEX($U$2:$AC$1001,MATCH(ROWS($N$2:N61),$N$2:$N$1001,0),MATCH(COLUMNS($U$1006:W1006),$U$1006:$AC$1006,0)), HYPERLINK("#",""), HYPERLINK(CONCATENATE("#metadata!", ADDRESS(INDEX($P$2:$P$1001,MATCH(ROWS($N$2:N61),$N$2:$N$1001,0),0), INDEX($U$1004:$AC$1004,1,MATCH(COLUMNS($U$1006:W1006),$U$1006:$AC$1006,0)))),"Fix")))</f>
        <v>0</v>
      </c>
      <c r="E61" s="3">
        <f>IF(OR(INDEX($O$2:$O$1001,MATCH(ROWS($N$2:N61),$N$2:$N$1001,0),1)&gt;=100000,INDEX($U$1005:$AC$1005,1,MATCH(COLUMNS($U$1006:X1006),$U$1006:$AC$1006,0))&gt;=100000), " ",IF(INDEX($U$2:$AC$1001,MATCH(ROWS($N$2:N61),$N$2:$N$1001,0),MATCH(COLUMNS($U$1006:X1006),$U$1006:$AC$1006,0)), HYPERLINK("#",""), HYPERLINK(CONCATENATE("#metadata!", ADDRESS(INDEX($P$2:$P$1001,MATCH(ROWS($N$2:N61),$N$2:$N$1001,0),0), INDEX($U$1004:$AC$1004,1,MATCH(COLUMNS($U$1006:X1006),$U$1006:$AC$1006,0)))),"Fix")))</f>
        <v>0</v>
      </c>
      <c r="F61" s="3">
        <f>IF(OR(INDEX($O$2:$O$1001,MATCH(ROWS($N$2:N61),$N$2:$N$1001,0),1)&gt;=100000,INDEX($U$1005:$AC$1005,1,MATCH(COLUMNS($U$1006:Y1006),$U$1006:$AC$1006,0))&gt;=100000), " ",IF(INDEX($U$2:$AC$1001,MATCH(ROWS($N$2:N61),$N$2:$N$1001,0),MATCH(COLUMNS($U$1006:Y1006),$U$1006:$AC$1006,0)), HYPERLINK("#",""), HYPERLINK(CONCATENATE("#metadata!", ADDRESS(INDEX($P$2:$P$1001,MATCH(ROWS($N$2:N61),$N$2:$N$1001,0),0), INDEX($U$1004:$AC$1004,1,MATCH(COLUMNS($U$1006:Y1006),$U$1006:$AC$1006,0)))),"Fix")))</f>
        <v>0</v>
      </c>
      <c r="G61" s="3">
        <f>IF(OR(INDEX($O$2:$O$1001,MATCH(ROWS($N$2:N61),$N$2:$N$1001,0),1)&gt;=100000,INDEX($U$1005:$AC$1005,1,MATCH(COLUMNS($U$1006:Z1006),$U$1006:$AC$1006,0))&gt;=100000), " ",IF(INDEX($U$2:$AC$1001,MATCH(ROWS($N$2:N61),$N$2:$N$1001,0),MATCH(COLUMNS($U$1006:Z1006),$U$1006:$AC$1006,0)), HYPERLINK("#",""), HYPERLINK(CONCATENATE("#metadata!", ADDRESS(INDEX($P$2:$P$1001,MATCH(ROWS($N$2:N61),$N$2:$N$1001,0),0), INDEX($U$1004:$AC$1004,1,MATCH(COLUMNS($U$1006:Z1006),$U$1006:$AC$1006,0)))),"Fix")))</f>
        <v>0</v>
      </c>
      <c r="H61" s="3">
        <f>IF(OR(INDEX($O$2:$O$1001,MATCH(ROWS($N$2:N61),$N$2:$N$1001,0),1)&gt;=100000,INDEX($U$1005:$AC$1005,1,MATCH(COLUMNS($U$1006:AA1006),$U$1006:$AC$1006,0))&gt;=100000), " ",IF(INDEX($U$2:$AC$1001,MATCH(ROWS($N$2:N61),$N$2:$N$1001,0),MATCH(COLUMNS($U$1006:AA1006),$U$1006:$AC$1006,0)), HYPERLINK("#",""), HYPERLINK(CONCATENATE("#metadata!", ADDRESS(INDEX($P$2:$P$1001,MATCH(ROWS($N$2:N61),$N$2:$N$1001,0),0), INDEX($U$1004:$AC$1004,1,MATCH(COLUMNS($U$1006:AA1006),$U$1006:$AC$1006,0)))),"Fix")))</f>
        <v>0</v>
      </c>
      <c r="I61" s="3">
        <f>IF(OR(INDEX($O$2:$O$1001,MATCH(ROWS($N$2:N61),$N$2:$N$1001,0),1)&gt;=100000,INDEX($U$1005:$AC$1005,1,MATCH(COLUMNS($U$1006:AB1006),$U$1006:$AC$1006,0))&gt;=100000), " ",IF(INDEX($U$2:$AC$1001,MATCH(ROWS($N$2:N61),$N$2:$N$1001,0),MATCH(COLUMNS($U$1006:AB1006),$U$1006:$AC$1006,0)), HYPERLINK("#",""), HYPERLINK(CONCATENATE("#metadata!", ADDRESS(INDEX($P$2:$P$1001,MATCH(ROWS($N$2:N61),$N$2:$N$1001,0),0), INDEX($U$1004:$AC$1004,1,MATCH(COLUMNS($U$1006:AB1006),$U$1006:$AC$1006,0)))),"Fix")))</f>
        <v>0</v>
      </c>
      <c r="J61" s="3">
        <f>IF(OR(INDEX($O$2:$O$1001,MATCH(ROWS($N$2:N61),$N$2:$N$1001,0),1)&gt;=100000,INDEX($U$1005:$AC$1005,1,MATCH(COLUMNS($U$1006:AC1006),$U$1006:$AC$1006,0))&gt;=100000), " ",IF(INDEX($U$2:$AC$1001,MATCH(ROWS($N$2:N61),$N$2:$N$1001,0),MATCH(COLUMNS($U$1006:AC1006),$U$1006:$AC$1006,0)), HYPERLINK("#",""), HYPERLINK(CONCATENATE("#metadata!", ADDRESS(INDEX($P$2:$P$1001,MATCH(ROWS($N$2:N61),$N$2:$N$1001,0),0), INDEX($U$1004:$AC$1004,1,MATCH(COLUMNS($U$1006:AC1006),$U$1006:$AC$1006,0)))),"Fix")))</f>
        <v>0</v>
      </c>
      <c r="N61">
        <v>0</v>
      </c>
      <c r="O61">
        <v>0</v>
      </c>
      <c r="P61">
        <v>0</v>
      </c>
      <c r="Q61">
        <f>IF(R61,TRUE,AND(U61:AC61))</f>
        <v>0</v>
      </c>
      <c r="R61">
        <f>COUNTBLANK(metadata!B61:J61)=COLUMNS(metadata!B61:J61)</f>
        <v>0</v>
      </c>
      <c r="S61">
        <v>0</v>
      </c>
      <c r="U61">
        <f>AND(IF(metadata!B61="",FALSE,TRUE),COUNTIF(metadata!B:B, metadata!B61) = 1,NOT(ISERROR(SUMPRODUCT(SEARCH(MID(metadata!B61,ROW(INDIRECT("1:"&amp;LEN(metadata!B61))), 1),"0123456789abcdefghijklmnopqrstuvwxyzABCDEFGHIJKLMNOPQRSTUVWXYZ.")))))</f>
        <v>0</v>
      </c>
      <c r="V61">
        <f>AND(IF(metadata!C61="",FALSE,TRUE),exact(metadata!C61,"UBERON:genitourinary"))</f>
        <v>0</v>
      </c>
      <c r="W61">
        <f>AND(IF(metadata!D61="",FALSE,TRUE),exact(metadata!D61,"UBERON:urine"))</f>
        <v>0</v>
      </c>
      <c r="X61">
        <f>AND(IF(metadata!E61="",FALSE,TRUE),exact(metadata!E61,"UBERON:kidney"))</f>
        <v>0</v>
      </c>
      <c r="Y61">
        <f>AND(IF(metadata!F61="",FALSE,TRUE),exact(metadata!F61,"animal corpus"))</f>
        <v>0</v>
      </c>
      <c r="Z61">
        <f>AND(IF(metadata!G61="",FALSE,TRUE),exact(metadata!G61,"urine"))</f>
        <v>0</v>
      </c>
      <c r="AA61">
        <f>AND(IF(metadata!H61="",FALSE,TRUE),exact(metadata!H61,"urine"))</f>
        <v>0</v>
      </c>
      <c r="AB61">
        <f>AND(IF(metadata!I61="",FALSE,TRUE),exact(metadata!I61,"urine metagenome"))</f>
        <v>0</v>
      </c>
      <c r="AC61">
        <f>AND(IF(metadata!J61="",FALSE,TRUE),exact(metadata!J61,"1346744"))</f>
        <v>0</v>
      </c>
    </row>
    <row r="62" spans="1:29">
      <c r="A62" s="4">
        <f>IF(B62=" "," ",HYPERLINK(CONCATENATE("#metadata!",ADDRESS(INDEX($P$2:$P$1001,MATCH(ROWS($N$2:N62),$N$2:$N$1001,0),0),1)),INDEX($S$2:$S$1001,MATCH(ROWS($N$2:N62),$N$2:$N$1001,0),0)))</f>
        <v>0</v>
      </c>
      <c r="B62" s="3">
        <f>IF(OR(INDEX($O$2:$O$1001,MATCH(ROWS($N$2:N62),$N$2:$N$1001,0),1)&gt;=100000,INDEX($U$1005:$AC$1005,1,MATCH(COLUMNS($U$1006:U1006),$U$1006:$AC$1006,0))&gt;=100000), " ",IF(INDEX($U$2:$AC$1001,MATCH(ROWS($N$2:N62),$N$2:$N$1001,0),MATCH(COLUMNS($U$1006:U1006),$U$1006:$AC$1006,0)), HYPERLINK("#",""), HYPERLINK(CONCATENATE("#metadata!", ADDRESS(INDEX($P$2:$P$1001,MATCH(ROWS($N$2:N62),$N$2:$N$1001,0),0), INDEX($U$1004:$AC$1004,1,MATCH(COLUMNS($U$1006:U1006),$U$1006:$AC$1006,0)))),"Fix")))</f>
        <v>0</v>
      </c>
      <c r="C62" s="3">
        <f>IF(OR(INDEX($O$2:$O$1001,MATCH(ROWS($N$2:N62),$N$2:$N$1001,0),1)&gt;=100000,INDEX($U$1005:$AC$1005,1,MATCH(COLUMNS($U$1006:V1006),$U$1006:$AC$1006,0))&gt;=100000), " ",IF(INDEX($U$2:$AC$1001,MATCH(ROWS($N$2:N62),$N$2:$N$1001,0),MATCH(COLUMNS($U$1006:V1006),$U$1006:$AC$1006,0)), HYPERLINK("#",""), HYPERLINK(CONCATENATE("#metadata!", ADDRESS(INDEX($P$2:$P$1001,MATCH(ROWS($N$2:N62),$N$2:$N$1001,0),0), INDEX($U$1004:$AC$1004,1,MATCH(COLUMNS($U$1006:V1006),$U$1006:$AC$1006,0)))),"Fix")))</f>
        <v>0</v>
      </c>
      <c r="D62" s="3">
        <f>IF(OR(INDEX($O$2:$O$1001,MATCH(ROWS($N$2:N62),$N$2:$N$1001,0),1)&gt;=100000,INDEX($U$1005:$AC$1005,1,MATCH(COLUMNS($U$1006:W1006),$U$1006:$AC$1006,0))&gt;=100000), " ",IF(INDEX($U$2:$AC$1001,MATCH(ROWS($N$2:N62),$N$2:$N$1001,0),MATCH(COLUMNS($U$1006:W1006),$U$1006:$AC$1006,0)), HYPERLINK("#",""), HYPERLINK(CONCATENATE("#metadata!", ADDRESS(INDEX($P$2:$P$1001,MATCH(ROWS($N$2:N62),$N$2:$N$1001,0),0), INDEX($U$1004:$AC$1004,1,MATCH(COLUMNS($U$1006:W1006),$U$1006:$AC$1006,0)))),"Fix")))</f>
        <v>0</v>
      </c>
      <c r="E62" s="3">
        <f>IF(OR(INDEX($O$2:$O$1001,MATCH(ROWS($N$2:N62),$N$2:$N$1001,0),1)&gt;=100000,INDEX($U$1005:$AC$1005,1,MATCH(COLUMNS($U$1006:X1006),$U$1006:$AC$1006,0))&gt;=100000), " ",IF(INDEX($U$2:$AC$1001,MATCH(ROWS($N$2:N62),$N$2:$N$1001,0),MATCH(COLUMNS($U$1006:X1006),$U$1006:$AC$1006,0)), HYPERLINK("#",""), HYPERLINK(CONCATENATE("#metadata!", ADDRESS(INDEX($P$2:$P$1001,MATCH(ROWS($N$2:N62),$N$2:$N$1001,0),0), INDEX($U$1004:$AC$1004,1,MATCH(COLUMNS($U$1006:X1006),$U$1006:$AC$1006,0)))),"Fix")))</f>
        <v>0</v>
      </c>
      <c r="F62" s="3">
        <f>IF(OR(INDEX($O$2:$O$1001,MATCH(ROWS($N$2:N62),$N$2:$N$1001,0),1)&gt;=100000,INDEX($U$1005:$AC$1005,1,MATCH(COLUMNS($U$1006:Y1006),$U$1006:$AC$1006,0))&gt;=100000), " ",IF(INDEX($U$2:$AC$1001,MATCH(ROWS($N$2:N62),$N$2:$N$1001,0),MATCH(COLUMNS($U$1006:Y1006),$U$1006:$AC$1006,0)), HYPERLINK("#",""), HYPERLINK(CONCATENATE("#metadata!", ADDRESS(INDEX($P$2:$P$1001,MATCH(ROWS($N$2:N62),$N$2:$N$1001,0),0), INDEX($U$1004:$AC$1004,1,MATCH(COLUMNS($U$1006:Y1006),$U$1006:$AC$1006,0)))),"Fix")))</f>
        <v>0</v>
      </c>
      <c r="G62" s="3">
        <f>IF(OR(INDEX($O$2:$O$1001,MATCH(ROWS($N$2:N62),$N$2:$N$1001,0),1)&gt;=100000,INDEX($U$1005:$AC$1005,1,MATCH(COLUMNS($U$1006:Z1006),$U$1006:$AC$1006,0))&gt;=100000), " ",IF(INDEX($U$2:$AC$1001,MATCH(ROWS($N$2:N62),$N$2:$N$1001,0),MATCH(COLUMNS($U$1006:Z1006),$U$1006:$AC$1006,0)), HYPERLINK("#",""), HYPERLINK(CONCATENATE("#metadata!", ADDRESS(INDEX($P$2:$P$1001,MATCH(ROWS($N$2:N62),$N$2:$N$1001,0),0), INDEX($U$1004:$AC$1004,1,MATCH(COLUMNS($U$1006:Z1006),$U$1006:$AC$1006,0)))),"Fix")))</f>
        <v>0</v>
      </c>
      <c r="H62" s="3">
        <f>IF(OR(INDEX($O$2:$O$1001,MATCH(ROWS($N$2:N62),$N$2:$N$1001,0),1)&gt;=100000,INDEX($U$1005:$AC$1005,1,MATCH(COLUMNS($U$1006:AA1006),$U$1006:$AC$1006,0))&gt;=100000), " ",IF(INDEX($U$2:$AC$1001,MATCH(ROWS($N$2:N62),$N$2:$N$1001,0),MATCH(COLUMNS($U$1006:AA1006),$U$1006:$AC$1006,0)), HYPERLINK("#",""), HYPERLINK(CONCATENATE("#metadata!", ADDRESS(INDEX($P$2:$P$1001,MATCH(ROWS($N$2:N62),$N$2:$N$1001,0),0), INDEX($U$1004:$AC$1004,1,MATCH(COLUMNS($U$1006:AA1006),$U$1006:$AC$1006,0)))),"Fix")))</f>
        <v>0</v>
      </c>
      <c r="I62" s="3">
        <f>IF(OR(INDEX($O$2:$O$1001,MATCH(ROWS($N$2:N62),$N$2:$N$1001,0),1)&gt;=100000,INDEX($U$1005:$AC$1005,1,MATCH(COLUMNS($U$1006:AB1006),$U$1006:$AC$1006,0))&gt;=100000), " ",IF(INDEX($U$2:$AC$1001,MATCH(ROWS($N$2:N62),$N$2:$N$1001,0),MATCH(COLUMNS($U$1006:AB1006),$U$1006:$AC$1006,0)), HYPERLINK("#",""), HYPERLINK(CONCATENATE("#metadata!", ADDRESS(INDEX($P$2:$P$1001,MATCH(ROWS($N$2:N62),$N$2:$N$1001,0),0), INDEX($U$1004:$AC$1004,1,MATCH(COLUMNS($U$1006:AB1006),$U$1006:$AC$1006,0)))),"Fix")))</f>
        <v>0</v>
      </c>
      <c r="J62" s="3">
        <f>IF(OR(INDEX($O$2:$O$1001,MATCH(ROWS($N$2:N62),$N$2:$N$1001,0),1)&gt;=100000,INDEX($U$1005:$AC$1005,1,MATCH(COLUMNS($U$1006:AC1006),$U$1006:$AC$1006,0))&gt;=100000), " ",IF(INDEX($U$2:$AC$1001,MATCH(ROWS($N$2:N62),$N$2:$N$1001,0),MATCH(COLUMNS($U$1006:AC1006),$U$1006:$AC$1006,0)), HYPERLINK("#",""), HYPERLINK(CONCATENATE("#metadata!", ADDRESS(INDEX($P$2:$P$1001,MATCH(ROWS($N$2:N62),$N$2:$N$1001,0),0), INDEX($U$1004:$AC$1004,1,MATCH(COLUMNS($U$1006:AC1006),$U$1006:$AC$1006,0)))),"Fix")))</f>
        <v>0</v>
      </c>
      <c r="N62">
        <v>0</v>
      </c>
      <c r="O62">
        <v>0</v>
      </c>
      <c r="P62">
        <v>0</v>
      </c>
      <c r="Q62">
        <f>IF(R62,TRUE,AND(U62:AC62))</f>
        <v>0</v>
      </c>
      <c r="R62">
        <f>COUNTBLANK(metadata!B62:J62)=COLUMNS(metadata!B62:J62)</f>
        <v>0</v>
      </c>
      <c r="S62">
        <v>0</v>
      </c>
      <c r="U62">
        <f>AND(IF(metadata!B62="",FALSE,TRUE),COUNTIF(metadata!B:B, metadata!B62) = 1,NOT(ISERROR(SUMPRODUCT(SEARCH(MID(metadata!B62,ROW(INDIRECT("1:"&amp;LEN(metadata!B62))), 1),"0123456789abcdefghijklmnopqrstuvwxyzABCDEFGHIJKLMNOPQRSTUVWXYZ.")))))</f>
        <v>0</v>
      </c>
      <c r="V62">
        <f>AND(IF(metadata!C62="",FALSE,TRUE),exact(metadata!C62,"UBERON:genitourinary"))</f>
        <v>0</v>
      </c>
      <c r="W62">
        <f>AND(IF(metadata!D62="",FALSE,TRUE),exact(metadata!D62,"UBERON:urine"))</f>
        <v>0</v>
      </c>
      <c r="X62">
        <f>AND(IF(metadata!E62="",FALSE,TRUE),exact(metadata!E62,"UBERON:kidney"))</f>
        <v>0</v>
      </c>
      <c r="Y62">
        <f>AND(IF(metadata!F62="",FALSE,TRUE),exact(metadata!F62,"animal corpus"))</f>
        <v>0</v>
      </c>
      <c r="Z62">
        <f>AND(IF(metadata!G62="",FALSE,TRUE),exact(metadata!G62,"urine"))</f>
        <v>0</v>
      </c>
      <c r="AA62">
        <f>AND(IF(metadata!H62="",FALSE,TRUE),exact(metadata!H62,"urine"))</f>
        <v>0</v>
      </c>
      <c r="AB62">
        <f>AND(IF(metadata!I62="",FALSE,TRUE),exact(metadata!I62,"urine metagenome"))</f>
        <v>0</v>
      </c>
      <c r="AC62">
        <f>AND(IF(metadata!J62="",FALSE,TRUE),exact(metadata!J62,"1346744"))</f>
        <v>0</v>
      </c>
    </row>
    <row r="63" spans="1:29">
      <c r="A63" s="4">
        <f>IF(B63=" "," ",HYPERLINK(CONCATENATE("#metadata!",ADDRESS(INDEX($P$2:$P$1001,MATCH(ROWS($N$2:N63),$N$2:$N$1001,0),0),1)),INDEX($S$2:$S$1001,MATCH(ROWS($N$2:N63),$N$2:$N$1001,0),0)))</f>
        <v>0</v>
      </c>
      <c r="B63" s="3">
        <f>IF(OR(INDEX($O$2:$O$1001,MATCH(ROWS($N$2:N63),$N$2:$N$1001,0),1)&gt;=100000,INDEX($U$1005:$AC$1005,1,MATCH(COLUMNS($U$1006:U1006),$U$1006:$AC$1006,0))&gt;=100000), " ",IF(INDEX($U$2:$AC$1001,MATCH(ROWS($N$2:N63),$N$2:$N$1001,0),MATCH(COLUMNS($U$1006:U1006),$U$1006:$AC$1006,0)), HYPERLINK("#",""), HYPERLINK(CONCATENATE("#metadata!", ADDRESS(INDEX($P$2:$P$1001,MATCH(ROWS($N$2:N63),$N$2:$N$1001,0),0), INDEX($U$1004:$AC$1004,1,MATCH(COLUMNS($U$1006:U1006),$U$1006:$AC$1006,0)))),"Fix")))</f>
        <v>0</v>
      </c>
      <c r="C63" s="3">
        <f>IF(OR(INDEX($O$2:$O$1001,MATCH(ROWS($N$2:N63),$N$2:$N$1001,0),1)&gt;=100000,INDEX($U$1005:$AC$1005,1,MATCH(COLUMNS($U$1006:V1006),$U$1006:$AC$1006,0))&gt;=100000), " ",IF(INDEX($U$2:$AC$1001,MATCH(ROWS($N$2:N63),$N$2:$N$1001,0),MATCH(COLUMNS($U$1006:V1006),$U$1006:$AC$1006,0)), HYPERLINK("#",""), HYPERLINK(CONCATENATE("#metadata!", ADDRESS(INDEX($P$2:$P$1001,MATCH(ROWS($N$2:N63),$N$2:$N$1001,0),0), INDEX($U$1004:$AC$1004,1,MATCH(COLUMNS($U$1006:V1006),$U$1006:$AC$1006,0)))),"Fix")))</f>
        <v>0</v>
      </c>
      <c r="D63" s="3">
        <f>IF(OR(INDEX($O$2:$O$1001,MATCH(ROWS($N$2:N63),$N$2:$N$1001,0),1)&gt;=100000,INDEX($U$1005:$AC$1005,1,MATCH(COLUMNS($U$1006:W1006),$U$1006:$AC$1006,0))&gt;=100000), " ",IF(INDEX($U$2:$AC$1001,MATCH(ROWS($N$2:N63),$N$2:$N$1001,0),MATCH(COLUMNS($U$1006:W1006),$U$1006:$AC$1006,0)), HYPERLINK("#",""), HYPERLINK(CONCATENATE("#metadata!", ADDRESS(INDEX($P$2:$P$1001,MATCH(ROWS($N$2:N63),$N$2:$N$1001,0),0), INDEX($U$1004:$AC$1004,1,MATCH(COLUMNS($U$1006:W1006),$U$1006:$AC$1006,0)))),"Fix")))</f>
        <v>0</v>
      </c>
      <c r="E63" s="3">
        <f>IF(OR(INDEX($O$2:$O$1001,MATCH(ROWS($N$2:N63),$N$2:$N$1001,0),1)&gt;=100000,INDEX($U$1005:$AC$1005,1,MATCH(COLUMNS($U$1006:X1006),$U$1006:$AC$1006,0))&gt;=100000), " ",IF(INDEX($U$2:$AC$1001,MATCH(ROWS($N$2:N63),$N$2:$N$1001,0),MATCH(COLUMNS($U$1006:X1006),$U$1006:$AC$1006,0)), HYPERLINK("#",""), HYPERLINK(CONCATENATE("#metadata!", ADDRESS(INDEX($P$2:$P$1001,MATCH(ROWS($N$2:N63),$N$2:$N$1001,0),0), INDEX($U$1004:$AC$1004,1,MATCH(COLUMNS($U$1006:X1006),$U$1006:$AC$1006,0)))),"Fix")))</f>
        <v>0</v>
      </c>
      <c r="F63" s="3">
        <f>IF(OR(INDEX($O$2:$O$1001,MATCH(ROWS($N$2:N63),$N$2:$N$1001,0),1)&gt;=100000,INDEX($U$1005:$AC$1005,1,MATCH(COLUMNS($U$1006:Y1006),$U$1006:$AC$1006,0))&gt;=100000), " ",IF(INDEX($U$2:$AC$1001,MATCH(ROWS($N$2:N63),$N$2:$N$1001,0),MATCH(COLUMNS($U$1006:Y1006),$U$1006:$AC$1006,0)), HYPERLINK("#",""), HYPERLINK(CONCATENATE("#metadata!", ADDRESS(INDEX($P$2:$P$1001,MATCH(ROWS($N$2:N63),$N$2:$N$1001,0),0), INDEX($U$1004:$AC$1004,1,MATCH(COLUMNS($U$1006:Y1006),$U$1006:$AC$1006,0)))),"Fix")))</f>
        <v>0</v>
      </c>
      <c r="G63" s="3">
        <f>IF(OR(INDEX($O$2:$O$1001,MATCH(ROWS($N$2:N63),$N$2:$N$1001,0),1)&gt;=100000,INDEX($U$1005:$AC$1005,1,MATCH(COLUMNS($U$1006:Z1006),$U$1006:$AC$1006,0))&gt;=100000), " ",IF(INDEX($U$2:$AC$1001,MATCH(ROWS($N$2:N63),$N$2:$N$1001,0),MATCH(COLUMNS($U$1006:Z1006),$U$1006:$AC$1006,0)), HYPERLINK("#",""), HYPERLINK(CONCATENATE("#metadata!", ADDRESS(INDEX($P$2:$P$1001,MATCH(ROWS($N$2:N63),$N$2:$N$1001,0),0), INDEX($U$1004:$AC$1004,1,MATCH(COLUMNS($U$1006:Z1006),$U$1006:$AC$1006,0)))),"Fix")))</f>
        <v>0</v>
      </c>
      <c r="H63" s="3">
        <f>IF(OR(INDEX($O$2:$O$1001,MATCH(ROWS($N$2:N63),$N$2:$N$1001,0),1)&gt;=100000,INDEX($U$1005:$AC$1005,1,MATCH(COLUMNS($U$1006:AA1006),$U$1006:$AC$1006,0))&gt;=100000), " ",IF(INDEX($U$2:$AC$1001,MATCH(ROWS($N$2:N63),$N$2:$N$1001,0),MATCH(COLUMNS($U$1006:AA1006),$U$1006:$AC$1006,0)), HYPERLINK("#",""), HYPERLINK(CONCATENATE("#metadata!", ADDRESS(INDEX($P$2:$P$1001,MATCH(ROWS($N$2:N63),$N$2:$N$1001,0),0), INDEX($U$1004:$AC$1004,1,MATCH(COLUMNS($U$1006:AA1006),$U$1006:$AC$1006,0)))),"Fix")))</f>
        <v>0</v>
      </c>
      <c r="I63" s="3">
        <f>IF(OR(INDEX($O$2:$O$1001,MATCH(ROWS($N$2:N63),$N$2:$N$1001,0),1)&gt;=100000,INDEX($U$1005:$AC$1005,1,MATCH(COLUMNS($U$1006:AB1006),$U$1006:$AC$1006,0))&gt;=100000), " ",IF(INDEX($U$2:$AC$1001,MATCH(ROWS($N$2:N63),$N$2:$N$1001,0),MATCH(COLUMNS($U$1006:AB1006),$U$1006:$AC$1006,0)), HYPERLINK("#",""), HYPERLINK(CONCATENATE("#metadata!", ADDRESS(INDEX($P$2:$P$1001,MATCH(ROWS($N$2:N63),$N$2:$N$1001,0),0), INDEX($U$1004:$AC$1004,1,MATCH(COLUMNS($U$1006:AB1006),$U$1006:$AC$1006,0)))),"Fix")))</f>
        <v>0</v>
      </c>
      <c r="J63" s="3">
        <f>IF(OR(INDEX($O$2:$O$1001,MATCH(ROWS($N$2:N63),$N$2:$N$1001,0),1)&gt;=100000,INDEX($U$1005:$AC$1005,1,MATCH(COLUMNS($U$1006:AC1006),$U$1006:$AC$1006,0))&gt;=100000), " ",IF(INDEX($U$2:$AC$1001,MATCH(ROWS($N$2:N63),$N$2:$N$1001,0),MATCH(COLUMNS($U$1006:AC1006),$U$1006:$AC$1006,0)), HYPERLINK("#",""), HYPERLINK(CONCATENATE("#metadata!", ADDRESS(INDEX($P$2:$P$1001,MATCH(ROWS($N$2:N63),$N$2:$N$1001,0),0), INDEX($U$1004:$AC$1004,1,MATCH(COLUMNS($U$1006:AC1006),$U$1006:$AC$1006,0)))),"Fix")))</f>
        <v>0</v>
      </c>
      <c r="N63">
        <v>0</v>
      </c>
      <c r="O63">
        <v>0</v>
      </c>
      <c r="P63">
        <v>0</v>
      </c>
      <c r="Q63">
        <f>IF(R63,TRUE,AND(U63:AC63))</f>
        <v>0</v>
      </c>
      <c r="R63">
        <f>COUNTBLANK(metadata!B63:J63)=COLUMNS(metadata!B63:J63)</f>
        <v>0</v>
      </c>
      <c r="S63">
        <v>0</v>
      </c>
      <c r="U63">
        <f>AND(IF(metadata!B63="",FALSE,TRUE),COUNTIF(metadata!B:B, metadata!B63) = 1,NOT(ISERROR(SUMPRODUCT(SEARCH(MID(metadata!B63,ROW(INDIRECT("1:"&amp;LEN(metadata!B63))), 1),"0123456789abcdefghijklmnopqrstuvwxyzABCDEFGHIJKLMNOPQRSTUVWXYZ.")))))</f>
        <v>0</v>
      </c>
      <c r="V63">
        <f>AND(IF(metadata!C63="",FALSE,TRUE),exact(metadata!C63,"UBERON:genitourinary"))</f>
        <v>0</v>
      </c>
      <c r="W63">
        <f>AND(IF(metadata!D63="",FALSE,TRUE),exact(metadata!D63,"UBERON:urine"))</f>
        <v>0</v>
      </c>
      <c r="X63">
        <f>AND(IF(metadata!E63="",FALSE,TRUE),exact(metadata!E63,"UBERON:kidney"))</f>
        <v>0</v>
      </c>
      <c r="Y63">
        <f>AND(IF(metadata!F63="",FALSE,TRUE),exact(metadata!F63,"animal corpus"))</f>
        <v>0</v>
      </c>
      <c r="Z63">
        <f>AND(IF(metadata!G63="",FALSE,TRUE),exact(metadata!G63,"urine"))</f>
        <v>0</v>
      </c>
      <c r="AA63">
        <f>AND(IF(metadata!H63="",FALSE,TRUE),exact(metadata!H63,"urine"))</f>
        <v>0</v>
      </c>
      <c r="AB63">
        <f>AND(IF(metadata!I63="",FALSE,TRUE),exact(metadata!I63,"urine metagenome"))</f>
        <v>0</v>
      </c>
      <c r="AC63">
        <f>AND(IF(metadata!J63="",FALSE,TRUE),exact(metadata!J63,"1346744"))</f>
        <v>0</v>
      </c>
    </row>
    <row r="64" spans="1:29">
      <c r="A64" s="4">
        <f>IF(B64=" "," ",HYPERLINK(CONCATENATE("#metadata!",ADDRESS(INDEX($P$2:$P$1001,MATCH(ROWS($N$2:N64),$N$2:$N$1001,0),0),1)),INDEX($S$2:$S$1001,MATCH(ROWS($N$2:N64),$N$2:$N$1001,0),0)))</f>
        <v>0</v>
      </c>
      <c r="B64" s="3">
        <f>IF(OR(INDEX($O$2:$O$1001,MATCH(ROWS($N$2:N64),$N$2:$N$1001,0),1)&gt;=100000,INDEX($U$1005:$AC$1005,1,MATCH(COLUMNS($U$1006:U1006),$U$1006:$AC$1006,0))&gt;=100000), " ",IF(INDEX($U$2:$AC$1001,MATCH(ROWS($N$2:N64),$N$2:$N$1001,0),MATCH(COLUMNS($U$1006:U1006),$U$1006:$AC$1006,0)), HYPERLINK("#",""), HYPERLINK(CONCATENATE("#metadata!", ADDRESS(INDEX($P$2:$P$1001,MATCH(ROWS($N$2:N64),$N$2:$N$1001,0),0), INDEX($U$1004:$AC$1004,1,MATCH(COLUMNS($U$1006:U1006),$U$1006:$AC$1006,0)))),"Fix")))</f>
        <v>0</v>
      </c>
      <c r="C64" s="3">
        <f>IF(OR(INDEX($O$2:$O$1001,MATCH(ROWS($N$2:N64),$N$2:$N$1001,0),1)&gt;=100000,INDEX($U$1005:$AC$1005,1,MATCH(COLUMNS($U$1006:V1006),$U$1006:$AC$1006,0))&gt;=100000), " ",IF(INDEX($U$2:$AC$1001,MATCH(ROWS($N$2:N64),$N$2:$N$1001,0),MATCH(COLUMNS($U$1006:V1006),$U$1006:$AC$1006,0)), HYPERLINK("#",""), HYPERLINK(CONCATENATE("#metadata!", ADDRESS(INDEX($P$2:$P$1001,MATCH(ROWS($N$2:N64),$N$2:$N$1001,0),0), INDEX($U$1004:$AC$1004,1,MATCH(COLUMNS($U$1006:V1006),$U$1006:$AC$1006,0)))),"Fix")))</f>
        <v>0</v>
      </c>
      <c r="D64" s="3">
        <f>IF(OR(INDEX($O$2:$O$1001,MATCH(ROWS($N$2:N64),$N$2:$N$1001,0),1)&gt;=100000,INDEX($U$1005:$AC$1005,1,MATCH(COLUMNS($U$1006:W1006),$U$1006:$AC$1006,0))&gt;=100000), " ",IF(INDEX($U$2:$AC$1001,MATCH(ROWS($N$2:N64),$N$2:$N$1001,0),MATCH(COLUMNS($U$1006:W1006),$U$1006:$AC$1006,0)), HYPERLINK("#",""), HYPERLINK(CONCATENATE("#metadata!", ADDRESS(INDEX($P$2:$P$1001,MATCH(ROWS($N$2:N64),$N$2:$N$1001,0),0), INDEX($U$1004:$AC$1004,1,MATCH(COLUMNS($U$1006:W1006),$U$1006:$AC$1006,0)))),"Fix")))</f>
        <v>0</v>
      </c>
      <c r="E64" s="3">
        <f>IF(OR(INDEX($O$2:$O$1001,MATCH(ROWS($N$2:N64),$N$2:$N$1001,0),1)&gt;=100000,INDEX($U$1005:$AC$1005,1,MATCH(COLUMNS($U$1006:X1006),$U$1006:$AC$1006,0))&gt;=100000), " ",IF(INDEX($U$2:$AC$1001,MATCH(ROWS($N$2:N64),$N$2:$N$1001,0),MATCH(COLUMNS($U$1006:X1006),$U$1006:$AC$1006,0)), HYPERLINK("#",""), HYPERLINK(CONCATENATE("#metadata!", ADDRESS(INDEX($P$2:$P$1001,MATCH(ROWS($N$2:N64),$N$2:$N$1001,0),0), INDEX($U$1004:$AC$1004,1,MATCH(COLUMNS($U$1006:X1006),$U$1006:$AC$1006,0)))),"Fix")))</f>
        <v>0</v>
      </c>
      <c r="F64" s="3">
        <f>IF(OR(INDEX($O$2:$O$1001,MATCH(ROWS($N$2:N64),$N$2:$N$1001,0),1)&gt;=100000,INDEX($U$1005:$AC$1005,1,MATCH(COLUMNS($U$1006:Y1006),$U$1006:$AC$1006,0))&gt;=100000), " ",IF(INDEX($U$2:$AC$1001,MATCH(ROWS($N$2:N64),$N$2:$N$1001,0),MATCH(COLUMNS($U$1006:Y1006),$U$1006:$AC$1006,0)), HYPERLINK("#",""), HYPERLINK(CONCATENATE("#metadata!", ADDRESS(INDEX($P$2:$P$1001,MATCH(ROWS($N$2:N64),$N$2:$N$1001,0),0), INDEX($U$1004:$AC$1004,1,MATCH(COLUMNS($U$1006:Y1006),$U$1006:$AC$1006,0)))),"Fix")))</f>
        <v>0</v>
      </c>
      <c r="G64" s="3">
        <f>IF(OR(INDEX($O$2:$O$1001,MATCH(ROWS($N$2:N64),$N$2:$N$1001,0),1)&gt;=100000,INDEX($U$1005:$AC$1005,1,MATCH(COLUMNS($U$1006:Z1006),$U$1006:$AC$1006,0))&gt;=100000), " ",IF(INDEX($U$2:$AC$1001,MATCH(ROWS($N$2:N64),$N$2:$N$1001,0),MATCH(COLUMNS($U$1006:Z1006),$U$1006:$AC$1006,0)), HYPERLINK("#",""), HYPERLINK(CONCATENATE("#metadata!", ADDRESS(INDEX($P$2:$P$1001,MATCH(ROWS($N$2:N64),$N$2:$N$1001,0),0), INDEX($U$1004:$AC$1004,1,MATCH(COLUMNS($U$1006:Z1006),$U$1006:$AC$1006,0)))),"Fix")))</f>
        <v>0</v>
      </c>
      <c r="H64" s="3">
        <f>IF(OR(INDEX($O$2:$O$1001,MATCH(ROWS($N$2:N64),$N$2:$N$1001,0),1)&gt;=100000,INDEX($U$1005:$AC$1005,1,MATCH(COLUMNS($U$1006:AA1006),$U$1006:$AC$1006,0))&gt;=100000), " ",IF(INDEX($U$2:$AC$1001,MATCH(ROWS($N$2:N64),$N$2:$N$1001,0),MATCH(COLUMNS($U$1006:AA1006),$U$1006:$AC$1006,0)), HYPERLINK("#",""), HYPERLINK(CONCATENATE("#metadata!", ADDRESS(INDEX($P$2:$P$1001,MATCH(ROWS($N$2:N64),$N$2:$N$1001,0),0), INDEX($U$1004:$AC$1004,1,MATCH(COLUMNS($U$1006:AA1006),$U$1006:$AC$1006,0)))),"Fix")))</f>
        <v>0</v>
      </c>
      <c r="I64" s="3">
        <f>IF(OR(INDEX($O$2:$O$1001,MATCH(ROWS($N$2:N64),$N$2:$N$1001,0),1)&gt;=100000,INDEX($U$1005:$AC$1005,1,MATCH(COLUMNS($U$1006:AB1006),$U$1006:$AC$1006,0))&gt;=100000), " ",IF(INDEX($U$2:$AC$1001,MATCH(ROWS($N$2:N64),$N$2:$N$1001,0),MATCH(COLUMNS($U$1006:AB1006),$U$1006:$AC$1006,0)), HYPERLINK("#",""), HYPERLINK(CONCATENATE("#metadata!", ADDRESS(INDEX($P$2:$P$1001,MATCH(ROWS($N$2:N64),$N$2:$N$1001,0),0), INDEX($U$1004:$AC$1004,1,MATCH(COLUMNS($U$1006:AB1006),$U$1006:$AC$1006,0)))),"Fix")))</f>
        <v>0</v>
      </c>
      <c r="J64" s="3">
        <f>IF(OR(INDEX($O$2:$O$1001,MATCH(ROWS($N$2:N64),$N$2:$N$1001,0),1)&gt;=100000,INDEX($U$1005:$AC$1005,1,MATCH(COLUMNS($U$1006:AC1006),$U$1006:$AC$1006,0))&gt;=100000), " ",IF(INDEX($U$2:$AC$1001,MATCH(ROWS($N$2:N64),$N$2:$N$1001,0),MATCH(COLUMNS($U$1006:AC1006),$U$1006:$AC$1006,0)), HYPERLINK("#",""), HYPERLINK(CONCATENATE("#metadata!", ADDRESS(INDEX($P$2:$P$1001,MATCH(ROWS($N$2:N64),$N$2:$N$1001,0),0), INDEX($U$1004:$AC$1004,1,MATCH(COLUMNS($U$1006:AC1006),$U$1006:$AC$1006,0)))),"Fix")))</f>
        <v>0</v>
      </c>
      <c r="N64">
        <v>0</v>
      </c>
      <c r="O64">
        <v>0</v>
      </c>
      <c r="P64">
        <v>0</v>
      </c>
      <c r="Q64">
        <f>IF(R64,TRUE,AND(U64:AC64))</f>
        <v>0</v>
      </c>
      <c r="R64">
        <f>COUNTBLANK(metadata!B64:J64)=COLUMNS(metadata!B64:J64)</f>
        <v>0</v>
      </c>
      <c r="S64">
        <v>0</v>
      </c>
      <c r="U64">
        <f>AND(IF(metadata!B64="",FALSE,TRUE),COUNTIF(metadata!B:B, metadata!B64) = 1,NOT(ISERROR(SUMPRODUCT(SEARCH(MID(metadata!B64,ROW(INDIRECT("1:"&amp;LEN(metadata!B64))), 1),"0123456789abcdefghijklmnopqrstuvwxyzABCDEFGHIJKLMNOPQRSTUVWXYZ.")))))</f>
        <v>0</v>
      </c>
      <c r="V64">
        <f>AND(IF(metadata!C64="",FALSE,TRUE),exact(metadata!C64,"UBERON:genitourinary"))</f>
        <v>0</v>
      </c>
      <c r="W64">
        <f>AND(IF(metadata!D64="",FALSE,TRUE),exact(metadata!D64,"UBERON:urine"))</f>
        <v>0</v>
      </c>
      <c r="X64">
        <f>AND(IF(metadata!E64="",FALSE,TRUE),exact(metadata!E64,"UBERON:kidney"))</f>
        <v>0</v>
      </c>
      <c r="Y64">
        <f>AND(IF(metadata!F64="",FALSE,TRUE),exact(metadata!F64,"animal corpus"))</f>
        <v>0</v>
      </c>
      <c r="Z64">
        <f>AND(IF(metadata!G64="",FALSE,TRUE),exact(metadata!G64,"urine"))</f>
        <v>0</v>
      </c>
      <c r="AA64">
        <f>AND(IF(metadata!H64="",FALSE,TRUE),exact(metadata!H64,"urine"))</f>
        <v>0</v>
      </c>
      <c r="AB64">
        <f>AND(IF(metadata!I64="",FALSE,TRUE),exact(metadata!I64,"urine metagenome"))</f>
        <v>0</v>
      </c>
      <c r="AC64">
        <f>AND(IF(metadata!J64="",FALSE,TRUE),exact(metadata!J64,"1346744"))</f>
        <v>0</v>
      </c>
    </row>
    <row r="65" spans="1:29">
      <c r="A65" s="4">
        <f>IF(B65=" "," ",HYPERLINK(CONCATENATE("#metadata!",ADDRESS(INDEX($P$2:$P$1001,MATCH(ROWS($N$2:N65),$N$2:$N$1001,0),0),1)),INDEX($S$2:$S$1001,MATCH(ROWS($N$2:N65),$N$2:$N$1001,0),0)))</f>
        <v>0</v>
      </c>
      <c r="B65" s="3">
        <f>IF(OR(INDEX($O$2:$O$1001,MATCH(ROWS($N$2:N65),$N$2:$N$1001,0),1)&gt;=100000,INDEX($U$1005:$AC$1005,1,MATCH(COLUMNS($U$1006:U1006),$U$1006:$AC$1006,0))&gt;=100000), " ",IF(INDEX($U$2:$AC$1001,MATCH(ROWS($N$2:N65),$N$2:$N$1001,0),MATCH(COLUMNS($U$1006:U1006),$U$1006:$AC$1006,0)), HYPERLINK("#",""), HYPERLINK(CONCATENATE("#metadata!", ADDRESS(INDEX($P$2:$P$1001,MATCH(ROWS($N$2:N65),$N$2:$N$1001,0),0), INDEX($U$1004:$AC$1004,1,MATCH(COLUMNS($U$1006:U1006),$U$1006:$AC$1006,0)))),"Fix")))</f>
        <v>0</v>
      </c>
      <c r="C65" s="3">
        <f>IF(OR(INDEX($O$2:$O$1001,MATCH(ROWS($N$2:N65),$N$2:$N$1001,0),1)&gt;=100000,INDEX($U$1005:$AC$1005,1,MATCH(COLUMNS($U$1006:V1006),$U$1006:$AC$1006,0))&gt;=100000), " ",IF(INDEX($U$2:$AC$1001,MATCH(ROWS($N$2:N65),$N$2:$N$1001,0),MATCH(COLUMNS($U$1006:V1006),$U$1006:$AC$1006,0)), HYPERLINK("#",""), HYPERLINK(CONCATENATE("#metadata!", ADDRESS(INDEX($P$2:$P$1001,MATCH(ROWS($N$2:N65),$N$2:$N$1001,0),0), INDEX($U$1004:$AC$1004,1,MATCH(COLUMNS($U$1006:V1006),$U$1006:$AC$1006,0)))),"Fix")))</f>
        <v>0</v>
      </c>
      <c r="D65" s="3">
        <f>IF(OR(INDEX($O$2:$O$1001,MATCH(ROWS($N$2:N65),$N$2:$N$1001,0),1)&gt;=100000,INDEX($U$1005:$AC$1005,1,MATCH(COLUMNS($U$1006:W1006),$U$1006:$AC$1006,0))&gt;=100000), " ",IF(INDEX($U$2:$AC$1001,MATCH(ROWS($N$2:N65),$N$2:$N$1001,0),MATCH(COLUMNS($U$1006:W1006),$U$1006:$AC$1006,0)), HYPERLINK("#",""), HYPERLINK(CONCATENATE("#metadata!", ADDRESS(INDEX($P$2:$P$1001,MATCH(ROWS($N$2:N65),$N$2:$N$1001,0),0), INDEX($U$1004:$AC$1004,1,MATCH(COLUMNS($U$1006:W1006),$U$1006:$AC$1006,0)))),"Fix")))</f>
        <v>0</v>
      </c>
      <c r="E65" s="3">
        <f>IF(OR(INDEX($O$2:$O$1001,MATCH(ROWS($N$2:N65),$N$2:$N$1001,0),1)&gt;=100000,INDEX($U$1005:$AC$1005,1,MATCH(COLUMNS($U$1006:X1006),$U$1006:$AC$1006,0))&gt;=100000), " ",IF(INDEX($U$2:$AC$1001,MATCH(ROWS($N$2:N65),$N$2:$N$1001,0),MATCH(COLUMNS($U$1006:X1006),$U$1006:$AC$1006,0)), HYPERLINK("#",""), HYPERLINK(CONCATENATE("#metadata!", ADDRESS(INDEX($P$2:$P$1001,MATCH(ROWS($N$2:N65),$N$2:$N$1001,0),0), INDEX($U$1004:$AC$1004,1,MATCH(COLUMNS($U$1006:X1006),$U$1006:$AC$1006,0)))),"Fix")))</f>
        <v>0</v>
      </c>
      <c r="F65" s="3">
        <f>IF(OR(INDEX($O$2:$O$1001,MATCH(ROWS($N$2:N65),$N$2:$N$1001,0),1)&gt;=100000,INDEX($U$1005:$AC$1005,1,MATCH(COLUMNS($U$1006:Y1006),$U$1006:$AC$1006,0))&gt;=100000), " ",IF(INDEX($U$2:$AC$1001,MATCH(ROWS($N$2:N65),$N$2:$N$1001,0),MATCH(COLUMNS($U$1006:Y1006),$U$1006:$AC$1006,0)), HYPERLINK("#",""), HYPERLINK(CONCATENATE("#metadata!", ADDRESS(INDEX($P$2:$P$1001,MATCH(ROWS($N$2:N65),$N$2:$N$1001,0),0), INDEX($U$1004:$AC$1004,1,MATCH(COLUMNS($U$1006:Y1006),$U$1006:$AC$1006,0)))),"Fix")))</f>
        <v>0</v>
      </c>
      <c r="G65" s="3">
        <f>IF(OR(INDEX($O$2:$O$1001,MATCH(ROWS($N$2:N65),$N$2:$N$1001,0),1)&gt;=100000,INDEX($U$1005:$AC$1005,1,MATCH(COLUMNS($U$1006:Z1006),$U$1006:$AC$1006,0))&gt;=100000), " ",IF(INDEX($U$2:$AC$1001,MATCH(ROWS($N$2:N65),$N$2:$N$1001,0),MATCH(COLUMNS($U$1006:Z1006),$U$1006:$AC$1006,0)), HYPERLINK("#",""), HYPERLINK(CONCATENATE("#metadata!", ADDRESS(INDEX($P$2:$P$1001,MATCH(ROWS($N$2:N65),$N$2:$N$1001,0),0), INDEX($U$1004:$AC$1004,1,MATCH(COLUMNS($U$1006:Z1006),$U$1006:$AC$1006,0)))),"Fix")))</f>
        <v>0</v>
      </c>
      <c r="H65" s="3">
        <f>IF(OR(INDEX($O$2:$O$1001,MATCH(ROWS($N$2:N65),$N$2:$N$1001,0),1)&gt;=100000,INDEX($U$1005:$AC$1005,1,MATCH(COLUMNS($U$1006:AA1006),$U$1006:$AC$1006,0))&gt;=100000), " ",IF(INDEX($U$2:$AC$1001,MATCH(ROWS($N$2:N65),$N$2:$N$1001,0),MATCH(COLUMNS($U$1006:AA1006),$U$1006:$AC$1006,0)), HYPERLINK("#",""), HYPERLINK(CONCATENATE("#metadata!", ADDRESS(INDEX($P$2:$P$1001,MATCH(ROWS($N$2:N65),$N$2:$N$1001,0),0), INDEX($U$1004:$AC$1004,1,MATCH(COLUMNS($U$1006:AA1006),$U$1006:$AC$1006,0)))),"Fix")))</f>
        <v>0</v>
      </c>
      <c r="I65" s="3">
        <f>IF(OR(INDEX($O$2:$O$1001,MATCH(ROWS($N$2:N65),$N$2:$N$1001,0),1)&gt;=100000,INDEX($U$1005:$AC$1005,1,MATCH(COLUMNS($U$1006:AB1006),$U$1006:$AC$1006,0))&gt;=100000), " ",IF(INDEX($U$2:$AC$1001,MATCH(ROWS($N$2:N65),$N$2:$N$1001,0),MATCH(COLUMNS($U$1006:AB1006),$U$1006:$AC$1006,0)), HYPERLINK("#",""), HYPERLINK(CONCATENATE("#metadata!", ADDRESS(INDEX($P$2:$P$1001,MATCH(ROWS($N$2:N65),$N$2:$N$1001,0),0), INDEX($U$1004:$AC$1004,1,MATCH(COLUMNS($U$1006:AB1006),$U$1006:$AC$1006,0)))),"Fix")))</f>
        <v>0</v>
      </c>
      <c r="J65" s="3">
        <f>IF(OR(INDEX($O$2:$O$1001,MATCH(ROWS($N$2:N65),$N$2:$N$1001,0),1)&gt;=100000,INDEX($U$1005:$AC$1005,1,MATCH(COLUMNS($U$1006:AC1006),$U$1006:$AC$1006,0))&gt;=100000), " ",IF(INDEX($U$2:$AC$1001,MATCH(ROWS($N$2:N65),$N$2:$N$1001,0),MATCH(COLUMNS($U$1006:AC1006),$U$1006:$AC$1006,0)), HYPERLINK("#",""), HYPERLINK(CONCATENATE("#metadata!", ADDRESS(INDEX($P$2:$P$1001,MATCH(ROWS($N$2:N65),$N$2:$N$1001,0),0), INDEX($U$1004:$AC$1004,1,MATCH(COLUMNS($U$1006:AC1006),$U$1006:$AC$1006,0)))),"Fix")))</f>
        <v>0</v>
      </c>
      <c r="N65">
        <v>0</v>
      </c>
      <c r="O65">
        <v>0</v>
      </c>
      <c r="P65">
        <v>0</v>
      </c>
      <c r="Q65">
        <f>IF(R65,TRUE,AND(U65:AC65))</f>
        <v>0</v>
      </c>
      <c r="R65">
        <f>COUNTBLANK(metadata!B65:J65)=COLUMNS(metadata!B65:J65)</f>
        <v>0</v>
      </c>
      <c r="S65">
        <v>0</v>
      </c>
      <c r="U65">
        <f>AND(IF(metadata!B65="",FALSE,TRUE),COUNTIF(metadata!B:B, metadata!B65) = 1,NOT(ISERROR(SUMPRODUCT(SEARCH(MID(metadata!B65,ROW(INDIRECT("1:"&amp;LEN(metadata!B65))), 1),"0123456789abcdefghijklmnopqrstuvwxyzABCDEFGHIJKLMNOPQRSTUVWXYZ.")))))</f>
        <v>0</v>
      </c>
      <c r="V65">
        <f>AND(IF(metadata!C65="",FALSE,TRUE),exact(metadata!C65,"UBERON:genitourinary"))</f>
        <v>0</v>
      </c>
      <c r="W65">
        <f>AND(IF(metadata!D65="",FALSE,TRUE),exact(metadata!D65,"UBERON:urine"))</f>
        <v>0</v>
      </c>
      <c r="X65">
        <f>AND(IF(metadata!E65="",FALSE,TRUE),exact(metadata!E65,"UBERON:kidney"))</f>
        <v>0</v>
      </c>
      <c r="Y65">
        <f>AND(IF(metadata!F65="",FALSE,TRUE),exact(metadata!F65,"animal corpus"))</f>
        <v>0</v>
      </c>
      <c r="Z65">
        <f>AND(IF(metadata!G65="",FALSE,TRUE),exact(metadata!G65,"urine"))</f>
        <v>0</v>
      </c>
      <c r="AA65">
        <f>AND(IF(metadata!H65="",FALSE,TRUE),exact(metadata!H65,"urine"))</f>
        <v>0</v>
      </c>
      <c r="AB65">
        <f>AND(IF(metadata!I65="",FALSE,TRUE),exact(metadata!I65,"urine metagenome"))</f>
        <v>0</v>
      </c>
      <c r="AC65">
        <f>AND(IF(metadata!J65="",FALSE,TRUE),exact(metadata!J65,"1346744"))</f>
        <v>0</v>
      </c>
    </row>
    <row r="66" spans="1:29">
      <c r="A66" s="4">
        <f>IF(B66=" "," ",HYPERLINK(CONCATENATE("#metadata!",ADDRESS(INDEX($P$2:$P$1001,MATCH(ROWS($N$2:N66),$N$2:$N$1001,0),0),1)),INDEX($S$2:$S$1001,MATCH(ROWS($N$2:N66),$N$2:$N$1001,0),0)))</f>
        <v>0</v>
      </c>
      <c r="B66" s="3">
        <f>IF(OR(INDEX($O$2:$O$1001,MATCH(ROWS($N$2:N66),$N$2:$N$1001,0),1)&gt;=100000,INDEX($U$1005:$AC$1005,1,MATCH(COLUMNS($U$1006:U1006),$U$1006:$AC$1006,0))&gt;=100000), " ",IF(INDEX($U$2:$AC$1001,MATCH(ROWS($N$2:N66),$N$2:$N$1001,0),MATCH(COLUMNS($U$1006:U1006),$U$1006:$AC$1006,0)), HYPERLINK("#",""), HYPERLINK(CONCATENATE("#metadata!", ADDRESS(INDEX($P$2:$P$1001,MATCH(ROWS($N$2:N66),$N$2:$N$1001,0),0), INDEX($U$1004:$AC$1004,1,MATCH(COLUMNS($U$1006:U1006),$U$1006:$AC$1006,0)))),"Fix")))</f>
        <v>0</v>
      </c>
      <c r="C66" s="3">
        <f>IF(OR(INDEX($O$2:$O$1001,MATCH(ROWS($N$2:N66),$N$2:$N$1001,0),1)&gt;=100000,INDEX($U$1005:$AC$1005,1,MATCH(COLUMNS($U$1006:V1006),$U$1006:$AC$1006,0))&gt;=100000), " ",IF(INDEX($U$2:$AC$1001,MATCH(ROWS($N$2:N66),$N$2:$N$1001,0),MATCH(COLUMNS($U$1006:V1006),$U$1006:$AC$1006,0)), HYPERLINK("#",""), HYPERLINK(CONCATENATE("#metadata!", ADDRESS(INDEX($P$2:$P$1001,MATCH(ROWS($N$2:N66),$N$2:$N$1001,0),0), INDEX($U$1004:$AC$1004,1,MATCH(COLUMNS($U$1006:V1006),$U$1006:$AC$1006,0)))),"Fix")))</f>
        <v>0</v>
      </c>
      <c r="D66" s="3">
        <f>IF(OR(INDEX($O$2:$O$1001,MATCH(ROWS($N$2:N66),$N$2:$N$1001,0),1)&gt;=100000,INDEX($U$1005:$AC$1005,1,MATCH(COLUMNS($U$1006:W1006),$U$1006:$AC$1006,0))&gt;=100000), " ",IF(INDEX($U$2:$AC$1001,MATCH(ROWS($N$2:N66),$N$2:$N$1001,0),MATCH(COLUMNS($U$1006:W1006),$U$1006:$AC$1006,0)), HYPERLINK("#",""), HYPERLINK(CONCATENATE("#metadata!", ADDRESS(INDEX($P$2:$P$1001,MATCH(ROWS($N$2:N66),$N$2:$N$1001,0),0), INDEX($U$1004:$AC$1004,1,MATCH(COLUMNS($U$1006:W1006),$U$1006:$AC$1006,0)))),"Fix")))</f>
        <v>0</v>
      </c>
      <c r="E66" s="3">
        <f>IF(OR(INDEX($O$2:$O$1001,MATCH(ROWS($N$2:N66),$N$2:$N$1001,0),1)&gt;=100000,INDEX($U$1005:$AC$1005,1,MATCH(COLUMNS($U$1006:X1006),$U$1006:$AC$1006,0))&gt;=100000), " ",IF(INDEX($U$2:$AC$1001,MATCH(ROWS($N$2:N66),$N$2:$N$1001,0),MATCH(COLUMNS($U$1006:X1006),$U$1006:$AC$1006,0)), HYPERLINK("#",""), HYPERLINK(CONCATENATE("#metadata!", ADDRESS(INDEX($P$2:$P$1001,MATCH(ROWS($N$2:N66),$N$2:$N$1001,0),0), INDEX($U$1004:$AC$1004,1,MATCH(COLUMNS($U$1006:X1006),$U$1006:$AC$1006,0)))),"Fix")))</f>
        <v>0</v>
      </c>
      <c r="F66" s="3">
        <f>IF(OR(INDEX($O$2:$O$1001,MATCH(ROWS($N$2:N66),$N$2:$N$1001,0),1)&gt;=100000,INDEX($U$1005:$AC$1005,1,MATCH(COLUMNS($U$1006:Y1006),$U$1006:$AC$1006,0))&gt;=100000), " ",IF(INDEX($U$2:$AC$1001,MATCH(ROWS($N$2:N66),$N$2:$N$1001,0),MATCH(COLUMNS($U$1006:Y1006),$U$1006:$AC$1006,0)), HYPERLINK("#",""), HYPERLINK(CONCATENATE("#metadata!", ADDRESS(INDEX($P$2:$P$1001,MATCH(ROWS($N$2:N66),$N$2:$N$1001,0),0), INDEX($U$1004:$AC$1004,1,MATCH(COLUMNS($U$1006:Y1006),$U$1006:$AC$1006,0)))),"Fix")))</f>
        <v>0</v>
      </c>
      <c r="G66" s="3">
        <f>IF(OR(INDEX($O$2:$O$1001,MATCH(ROWS($N$2:N66),$N$2:$N$1001,0),1)&gt;=100000,INDEX($U$1005:$AC$1005,1,MATCH(COLUMNS($U$1006:Z1006),$U$1006:$AC$1006,0))&gt;=100000), " ",IF(INDEX($U$2:$AC$1001,MATCH(ROWS($N$2:N66),$N$2:$N$1001,0),MATCH(COLUMNS($U$1006:Z1006),$U$1006:$AC$1006,0)), HYPERLINK("#",""), HYPERLINK(CONCATENATE("#metadata!", ADDRESS(INDEX($P$2:$P$1001,MATCH(ROWS($N$2:N66),$N$2:$N$1001,0),0), INDEX($U$1004:$AC$1004,1,MATCH(COLUMNS($U$1006:Z1006),$U$1006:$AC$1006,0)))),"Fix")))</f>
        <v>0</v>
      </c>
      <c r="H66" s="3">
        <f>IF(OR(INDEX($O$2:$O$1001,MATCH(ROWS($N$2:N66),$N$2:$N$1001,0),1)&gt;=100000,INDEX($U$1005:$AC$1005,1,MATCH(COLUMNS($U$1006:AA1006),$U$1006:$AC$1006,0))&gt;=100000), " ",IF(INDEX($U$2:$AC$1001,MATCH(ROWS($N$2:N66),$N$2:$N$1001,0),MATCH(COLUMNS($U$1006:AA1006),$U$1006:$AC$1006,0)), HYPERLINK("#",""), HYPERLINK(CONCATENATE("#metadata!", ADDRESS(INDEX($P$2:$P$1001,MATCH(ROWS($N$2:N66),$N$2:$N$1001,0),0), INDEX($U$1004:$AC$1004,1,MATCH(COLUMNS($U$1006:AA1006),$U$1006:$AC$1006,0)))),"Fix")))</f>
        <v>0</v>
      </c>
      <c r="I66" s="3">
        <f>IF(OR(INDEX($O$2:$O$1001,MATCH(ROWS($N$2:N66),$N$2:$N$1001,0),1)&gt;=100000,INDEX($U$1005:$AC$1005,1,MATCH(COLUMNS($U$1006:AB1006),$U$1006:$AC$1006,0))&gt;=100000), " ",IF(INDEX($U$2:$AC$1001,MATCH(ROWS($N$2:N66),$N$2:$N$1001,0),MATCH(COLUMNS($U$1006:AB1006),$U$1006:$AC$1006,0)), HYPERLINK("#",""), HYPERLINK(CONCATENATE("#metadata!", ADDRESS(INDEX($P$2:$P$1001,MATCH(ROWS($N$2:N66),$N$2:$N$1001,0),0), INDEX($U$1004:$AC$1004,1,MATCH(COLUMNS($U$1006:AB1006),$U$1006:$AC$1006,0)))),"Fix")))</f>
        <v>0</v>
      </c>
      <c r="J66" s="3">
        <f>IF(OR(INDEX($O$2:$O$1001,MATCH(ROWS($N$2:N66),$N$2:$N$1001,0),1)&gt;=100000,INDEX($U$1005:$AC$1005,1,MATCH(COLUMNS($U$1006:AC1006),$U$1006:$AC$1006,0))&gt;=100000), " ",IF(INDEX($U$2:$AC$1001,MATCH(ROWS($N$2:N66),$N$2:$N$1001,0),MATCH(COLUMNS($U$1006:AC1006),$U$1006:$AC$1006,0)), HYPERLINK("#",""), HYPERLINK(CONCATENATE("#metadata!", ADDRESS(INDEX($P$2:$P$1001,MATCH(ROWS($N$2:N66),$N$2:$N$1001,0),0), INDEX($U$1004:$AC$1004,1,MATCH(COLUMNS($U$1006:AC1006),$U$1006:$AC$1006,0)))),"Fix")))</f>
        <v>0</v>
      </c>
      <c r="N66">
        <v>0</v>
      </c>
      <c r="O66">
        <v>0</v>
      </c>
      <c r="P66">
        <v>0</v>
      </c>
      <c r="Q66">
        <f>IF(R66,TRUE,AND(U66:AC66))</f>
        <v>0</v>
      </c>
      <c r="R66">
        <f>COUNTBLANK(metadata!B66:J66)=COLUMNS(metadata!B66:J66)</f>
        <v>0</v>
      </c>
      <c r="S66">
        <v>0</v>
      </c>
      <c r="U66">
        <f>AND(IF(metadata!B66="",FALSE,TRUE),COUNTIF(metadata!B:B, metadata!B66) = 1,NOT(ISERROR(SUMPRODUCT(SEARCH(MID(metadata!B66,ROW(INDIRECT("1:"&amp;LEN(metadata!B66))), 1),"0123456789abcdefghijklmnopqrstuvwxyzABCDEFGHIJKLMNOPQRSTUVWXYZ.")))))</f>
        <v>0</v>
      </c>
      <c r="V66">
        <f>AND(IF(metadata!C66="",FALSE,TRUE),exact(metadata!C66,"UBERON:genitourinary"))</f>
        <v>0</v>
      </c>
      <c r="W66">
        <f>AND(IF(metadata!D66="",FALSE,TRUE),exact(metadata!D66,"UBERON:urine"))</f>
        <v>0</v>
      </c>
      <c r="X66">
        <f>AND(IF(metadata!E66="",FALSE,TRUE),exact(metadata!E66,"UBERON:kidney"))</f>
        <v>0</v>
      </c>
      <c r="Y66">
        <f>AND(IF(metadata!F66="",FALSE,TRUE),exact(metadata!F66,"animal corpus"))</f>
        <v>0</v>
      </c>
      <c r="Z66">
        <f>AND(IF(metadata!G66="",FALSE,TRUE),exact(metadata!G66,"urine"))</f>
        <v>0</v>
      </c>
      <c r="AA66">
        <f>AND(IF(metadata!H66="",FALSE,TRUE),exact(metadata!H66,"urine"))</f>
        <v>0</v>
      </c>
      <c r="AB66">
        <f>AND(IF(metadata!I66="",FALSE,TRUE),exact(metadata!I66,"urine metagenome"))</f>
        <v>0</v>
      </c>
      <c r="AC66">
        <f>AND(IF(metadata!J66="",FALSE,TRUE),exact(metadata!J66,"1346744"))</f>
        <v>0</v>
      </c>
    </row>
    <row r="67" spans="1:29">
      <c r="A67" s="4">
        <f>IF(B67=" "," ",HYPERLINK(CONCATENATE("#metadata!",ADDRESS(INDEX($P$2:$P$1001,MATCH(ROWS($N$2:N67),$N$2:$N$1001,0),0),1)),INDEX($S$2:$S$1001,MATCH(ROWS($N$2:N67),$N$2:$N$1001,0),0)))</f>
        <v>0</v>
      </c>
      <c r="B67" s="3">
        <f>IF(OR(INDEX($O$2:$O$1001,MATCH(ROWS($N$2:N67),$N$2:$N$1001,0),1)&gt;=100000,INDEX($U$1005:$AC$1005,1,MATCH(COLUMNS($U$1006:U1006),$U$1006:$AC$1006,0))&gt;=100000), " ",IF(INDEX($U$2:$AC$1001,MATCH(ROWS($N$2:N67),$N$2:$N$1001,0),MATCH(COLUMNS($U$1006:U1006),$U$1006:$AC$1006,0)), HYPERLINK("#",""), HYPERLINK(CONCATENATE("#metadata!", ADDRESS(INDEX($P$2:$P$1001,MATCH(ROWS($N$2:N67),$N$2:$N$1001,0),0), INDEX($U$1004:$AC$1004,1,MATCH(COLUMNS($U$1006:U1006),$U$1006:$AC$1006,0)))),"Fix")))</f>
        <v>0</v>
      </c>
      <c r="C67" s="3">
        <f>IF(OR(INDEX($O$2:$O$1001,MATCH(ROWS($N$2:N67),$N$2:$N$1001,0),1)&gt;=100000,INDEX($U$1005:$AC$1005,1,MATCH(COLUMNS($U$1006:V1006),$U$1006:$AC$1006,0))&gt;=100000), " ",IF(INDEX($U$2:$AC$1001,MATCH(ROWS($N$2:N67),$N$2:$N$1001,0),MATCH(COLUMNS($U$1006:V1006),$U$1006:$AC$1006,0)), HYPERLINK("#",""), HYPERLINK(CONCATENATE("#metadata!", ADDRESS(INDEX($P$2:$P$1001,MATCH(ROWS($N$2:N67),$N$2:$N$1001,0),0), INDEX($U$1004:$AC$1004,1,MATCH(COLUMNS($U$1006:V1006),$U$1006:$AC$1006,0)))),"Fix")))</f>
        <v>0</v>
      </c>
      <c r="D67" s="3">
        <f>IF(OR(INDEX($O$2:$O$1001,MATCH(ROWS($N$2:N67),$N$2:$N$1001,0),1)&gt;=100000,INDEX($U$1005:$AC$1005,1,MATCH(COLUMNS($U$1006:W1006),$U$1006:$AC$1006,0))&gt;=100000), " ",IF(INDEX($U$2:$AC$1001,MATCH(ROWS($N$2:N67),$N$2:$N$1001,0),MATCH(COLUMNS($U$1006:W1006),$U$1006:$AC$1006,0)), HYPERLINK("#",""), HYPERLINK(CONCATENATE("#metadata!", ADDRESS(INDEX($P$2:$P$1001,MATCH(ROWS($N$2:N67),$N$2:$N$1001,0),0), INDEX($U$1004:$AC$1004,1,MATCH(COLUMNS($U$1006:W1006),$U$1006:$AC$1006,0)))),"Fix")))</f>
        <v>0</v>
      </c>
      <c r="E67" s="3">
        <f>IF(OR(INDEX($O$2:$O$1001,MATCH(ROWS($N$2:N67),$N$2:$N$1001,0),1)&gt;=100000,INDEX($U$1005:$AC$1005,1,MATCH(COLUMNS($U$1006:X1006),$U$1006:$AC$1006,0))&gt;=100000), " ",IF(INDEX($U$2:$AC$1001,MATCH(ROWS($N$2:N67),$N$2:$N$1001,0),MATCH(COLUMNS($U$1006:X1006),$U$1006:$AC$1006,0)), HYPERLINK("#",""), HYPERLINK(CONCATENATE("#metadata!", ADDRESS(INDEX($P$2:$P$1001,MATCH(ROWS($N$2:N67),$N$2:$N$1001,0),0), INDEX($U$1004:$AC$1004,1,MATCH(COLUMNS($U$1006:X1006),$U$1006:$AC$1006,0)))),"Fix")))</f>
        <v>0</v>
      </c>
      <c r="F67" s="3">
        <f>IF(OR(INDEX($O$2:$O$1001,MATCH(ROWS($N$2:N67),$N$2:$N$1001,0),1)&gt;=100000,INDEX($U$1005:$AC$1005,1,MATCH(COLUMNS($U$1006:Y1006),$U$1006:$AC$1006,0))&gt;=100000), " ",IF(INDEX($U$2:$AC$1001,MATCH(ROWS($N$2:N67),$N$2:$N$1001,0),MATCH(COLUMNS($U$1006:Y1006),$U$1006:$AC$1006,0)), HYPERLINK("#",""), HYPERLINK(CONCATENATE("#metadata!", ADDRESS(INDEX($P$2:$P$1001,MATCH(ROWS($N$2:N67),$N$2:$N$1001,0),0), INDEX($U$1004:$AC$1004,1,MATCH(COLUMNS($U$1006:Y1006),$U$1006:$AC$1006,0)))),"Fix")))</f>
        <v>0</v>
      </c>
      <c r="G67" s="3">
        <f>IF(OR(INDEX($O$2:$O$1001,MATCH(ROWS($N$2:N67),$N$2:$N$1001,0),1)&gt;=100000,INDEX($U$1005:$AC$1005,1,MATCH(COLUMNS($U$1006:Z1006),$U$1006:$AC$1006,0))&gt;=100000), " ",IF(INDEX($U$2:$AC$1001,MATCH(ROWS($N$2:N67),$N$2:$N$1001,0),MATCH(COLUMNS($U$1006:Z1006),$U$1006:$AC$1006,0)), HYPERLINK("#",""), HYPERLINK(CONCATENATE("#metadata!", ADDRESS(INDEX($P$2:$P$1001,MATCH(ROWS($N$2:N67),$N$2:$N$1001,0),0), INDEX($U$1004:$AC$1004,1,MATCH(COLUMNS($U$1006:Z1006),$U$1006:$AC$1006,0)))),"Fix")))</f>
        <v>0</v>
      </c>
      <c r="H67" s="3">
        <f>IF(OR(INDEX($O$2:$O$1001,MATCH(ROWS($N$2:N67),$N$2:$N$1001,0),1)&gt;=100000,INDEX($U$1005:$AC$1005,1,MATCH(COLUMNS($U$1006:AA1006),$U$1006:$AC$1006,0))&gt;=100000), " ",IF(INDEX($U$2:$AC$1001,MATCH(ROWS($N$2:N67),$N$2:$N$1001,0),MATCH(COLUMNS($U$1006:AA1006),$U$1006:$AC$1006,0)), HYPERLINK("#",""), HYPERLINK(CONCATENATE("#metadata!", ADDRESS(INDEX($P$2:$P$1001,MATCH(ROWS($N$2:N67),$N$2:$N$1001,0),0), INDEX($U$1004:$AC$1004,1,MATCH(COLUMNS($U$1006:AA1006),$U$1006:$AC$1006,0)))),"Fix")))</f>
        <v>0</v>
      </c>
      <c r="I67" s="3">
        <f>IF(OR(INDEX($O$2:$O$1001,MATCH(ROWS($N$2:N67),$N$2:$N$1001,0),1)&gt;=100000,INDEX($U$1005:$AC$1005,1,MATCH(COLUMNS($U$1006:AB1006),$U$1006:$AC$1006,0))&gt;=100000), " ",IF(INDEX($U$2:$AC$1001,MATCH(ROWS($N$2:N67),$N$2:$N$1001,0),MATCH(COLUMNS($U$1006:AB1006),$U$1006:$AC$1006,0)), HYPERLINK("#",""), HYPERLINK(CONCATENATE("#metadata!", ADDRESS(INDEX($P$2:$P$1001,MATCH(ROWS($N$2:N67),$N$2:$N$1001,0),0), INDEX($U$1004:$AC$1004,1,MATCH(COLUMNS($U$1006:AB1006),$U$1006:$AC$1006,0)))),"Fix")))</f>
        <v>0</v>
      </c>
      <c r="J67" s="3">
        <f>IF(OR(INDEX($O$2:$O$1001,MATCH(ROWS($N$2:N67),$N$2:$N$1001,0),1)&gt;=100000,INDEX($U$1005:$AC$1005,1,MATCH(COLUMNS($U$1006:AC1006),$U$1006:$AC$1006,0))&gt;=100000), " ",IF(INDEX($U$2:$AC$1001,MATCH(ROWS($N$2:N67),$N$2:$N$1001,0),MATCH(COLUMNS($U$1006:AC1006),$U$1006:$AC$1006,0)), HYPERLINK("#",""), HYPERLINK(CONCATENATE("#metadata!", ADDRESS(INDEX($P$2:$P$1001,MATCH(ROWS($N$2:N67),$N$2:$N$1001,0),0), INDEX($U$1004:$AC$1004,1,MATCH(COLUMNS($U$1006:AC1006),$U$1006:$AC$1006,0)))),"Fix")))</f>
        <v>0</v>
      </c>
      <c r="N67">
        <v>0</v>
      </c>
      <c r="O67">
        <v>0</v>
      </c>
      <c r="P67">
        <v>0</v>
      </c>
      <c r="Q67">
        <f>IF(R67,TRUE,AND(U67:AC67))</f>
        <v>0</v>
      </c>
      <c r="R67">
        <f>COUNTBLANK(metadata!B67:J67)=COLUMNS(metadata!B67:J67)</f>
        <v>0</v>
      </c>
      <c r="S67">
        <v>0</v>
      </c>
      <c r="U67">
        <f>AND(IF(metadata!B67="",FALSE,TRUE),COUNTIF(metadata!B:B, metadata!B67) = 1,NOT(ISERROR(SUMPRODUCT(SEARCH(MID(metadata!B67,ROW(INDIRECT("1:"&amp;LEN(metadata!B67))), 1),"0123456789abcdefghijklmnopqrstuvwxyzABCDEFGHIJKLMNOPQRSTUVWXYZ.")))))</f>
        <v>0</v>
      </c>
      <c r="V67">
        <f>AND(IF(metadata!C67="",FALSE,TRUE),exact(metadata!C67,"UBERON:genitourinary"))</f>
        <v>0</v>
      </c>
      <c r="W67">
        <f>AND(IF(metadata!D67="",FALSE,TRUE),exact(metadata!D67,"UBERON:urine"))</f>
        <v>0</v>
      </c>
      <c r="X67">
        <f>AND(IF(metadata!E67="",FALSE,TRUE),exact(metadata!E67,"UBERON:kidney"))</f>
        <v>0</v>
      </c>
      <c r="Y67">
        <f>AND(IF(metadata!F67="",FALSE,TRUE),exact(metadata!F67,"animal corpus"))</f>
        <v>0</v>
      </c>
      <c r="Z67">
        <f>AND(IF(metadata!G67="",FALSE,TRUE),exact(metadata!G67,"urine"))</f>
        <v>0</v>
      </c>
      <c r="AA67">
        <f>AND(IF(metadata!H67="",FALSE,TRUE),exact(metadata!H67,"urine"))</f>
        <v>0</v>
      </c>
      <c r="AB67">
        <f>AND(IF(metadata!I67="",FALSE,TRUE),exact(metadata!I67,"urine metagenome"))</f>
        <v>0</v>
      </c>
      <c r="AC67">
        <f>AND(IF(metadata!J67="",FALSE,TRUE),exact(metadata!J67,"1346744"))</f>
        <v>0</v>
      </c>
    </row>
    <row r="68" spans="1:29">
      <c r="A68" s="4">
        <f>IF(B68=" "," ",HYPERLINK(CONCATENATE("#metadata!",ADDRESS(INDEX($P$2:$P$1001,MATCH(ROWS($N$2:N68),$N$2:$N$1001,0),0),1)),INDEX($S$2:$S$1001,MATCH(ROWS($N$2:N68),$N$2:$N$1001,0),0)))</f>
        <v>0</v>
      </c>
      <c r="B68" s="3">
        <f>IF(OR(INDEX($O$2:$O$1001,MATCH(ROWS($N$2:N68),$N$2:$N$1001,0),1)&gt;=100000,INDEX($U$1005:$AC$1005,1,MATCH(COLUMNS($U$1006:U1006),$U$1006:$AC$1006,0))&gt;=100000), " ",IF(INDEX($U$2:$AC$1001,MATCH(ROWS($N$2:N68),$N$2:$N$1001,0),MATCH(COLUMNS($U$1006:U1006),$U$1006:$AC$1006,0)), HYPERLINK("#",""), HYPERLINK(CONCATENATE("#metadata!", ADDRESS(INDEX($P$2:$P$1001,MATCH(ROWS($N$2:N68),$N$2:$N$1001,0),0), INDEX($U$1004:$AC$1004,1,MATCH(COLUMNS($U$1006:U1006),$U$1006:$AC$1006,0)))),"Fix")))</f>
        <v>0</v>
      </c>
      <c r="C68" s="3">
        <f>IF(OR(INDEX($O$2:$O$1001,MATCH(ROWS($N$2:N68),$N$2:$N$1001,0),1)&gt;=100000,INDEX($U$1005:$AC$1005,1,MATCH(COLUMNS($U$1006:V1006),$U$1006:$AC$1006,0))&gt;=100000), " ",IF(INDEX($U$2:$AC$1001,MATCH(ROWS($N$2:N68),$N$2:$N$1001,0),MATCH(COLUMNS($U$1006:V1006),$U$1006:$AC$1006,0)), HYPERLINK("#",""), HYPERLINK(CONCATENATE("#metadata!", ADDRESS(INDEX($P$2:$P$1001,MATCH(ROWS($N$2:N68),$N$2:$N$1001,0),0), INDEX($U$1004:$AC$1004,1,MATCH(COLUMNS($U$1006:V1006),$U$1006:$AC$1006,0)))),"Fix")))</f>
        <v>0</v>
      </c>
      <c r="D68" s="3">
        <f>IF(OR(INDEX($O$2:$O$1001,MATCH(ROWS($N$2:N68),$N$2:$N$1001,0),1)&gt;=100000,INDEX($U$1005:$AC$1005,1,MATCH(COLUMNS($U$1006:W1006),$U$1006:$AC$1006,0))&gt;=100000), " ",IF(INDEX($U$2:$AC$1001,MATCH(ROWS($N$2:N68),$N$2:$N$1001,0),MATCH(COLUMNS($U$1006:W1006),$U$1006:$AC$1006,0)), HYPERLINK("#",""), HYPERLINK(CONCATENATE("#metadata!", ADDRESS(INDEX($P$2:$P$1001,MATCH(ROWS($N$2:N68),$N$2:$N$1001,0),0), INDEX($U$1004:$AC$1004,1,MATCH(COLUMNS($U$1006:W1006),$U$1006:$AC$1006,0)))),"Fix")))</f>
        <v>0</v>
      </c>
      <c r="E68" s="3">
        <f>IF(OR(INDEX($O$2:$O$1001,MATCH(ROWS($N$2:N68),$N$2:$N$1001,0),1)&gt;=100000,INDEX($U$1005:$AC$1005,1,MATCH(COLUMNS($U$1006:X1006),$U$1006:$AC$1006,0))&gt;=100000), " ",IF(INDEX($U$2:$AC$1001,MATCH(ROWS($N$2:N68),$N$2:$N$1001,0),MATCH(COLUMNS($U$1006:X1006),$U$1006:$AC$1006,0)), HYPERLINK("#",""), HYPERLINK(CONCATENATE("#metadata!", ADDRESS(INDEX($P$2:$P$1001,MATCH(ROWS($N$2:N68),$N$2:$N$1001,0),0), INDEX($U$1004:$AC$1004,1,MATCH(COLUMNS($U$1006:X1006),$U$1006:$AC$1006,0)))),"Fix")))</f>
        <v>0</v>
      </c>
      <c r="F68" s="3">
        <f>IF(OR(INDEX($O$2:$O$1001,MATCH(ROWS($N$2:N68),$N$2:$N$1001,0),1)&gt;=100000,INDEX($U$1005:$AC$1005,1,MATCH(COLUMNS($U$1006:Y1006),$U$1006:$AC$1006,0))&gt;=100000), " ",IF(INDEX($U$2:$AC$1001,MATCH(ROWS($N$2:N68),$N$2:$N$1001,0),MATCH(COLUMNS($U$1006:Y1006),$U$1006:$AC$1006,0)), HYPERLINK("#",""), HYPERLINK(CONCATENATE("#metadata!", ADDRESS(INDEX($P$2:$P$1001,MATCH(ROWS($N$2:N68),$N$2:$N$1001,0),0), INDEX($U$1004:$AC$1004,1,MATCH(COLUMNS($U$1006:Y1006),$U$1006:$AC$1006,0)))),"Fix")))</f>
        <v>0</v>
      </c>
      <c r="G68" s="3">
        <f>IF(OR(INDEX($O$2:$O$1001,MATCH(ROWS($N$2:N68),$N$2:$N$1001,0),1)&gt;=100000,INDEX($U$1005:$AC$1005,1,MATCH(COLUMNS($U$1006:Z1006),$U$1006:$AC$1006,0))&gt;=100000), " ",IF(INDEX($U$2:$AC$1001,MATCH(ROWS($N$2:N68),$N$2:$N$1001,0),MATCH(COLUMNS($U$1006:Z1006),$U$1006:$AC$1006,0)), HYPERLINK("#",""), HYPERLINK(CONCATENATE("#metadata!", ADDRESS(INDEX($P$2:$P$1001,MATCH(ROWS($N$2:N68),$N$2:$N$1001,0),0), INDEX($U$1004:$AC$1004,1,MATCH(COLUMNS($U$1006:Z1006),$U$1006:$AC$1006,0)))),"Fix")))</f>
        <v>0</v>
      </c>
      <c r="H68" s="3">
        <f>IF(OR(INDEX($O$2:$O$1001,MATCH(ROWS($N$2:N68),$N$2:$N$1001,0),1)&gt;=100000,INDEX($U$1005:$AC$1005,1,MATCH(COLUMNS($U$1006:AA1006),$U$1006:$AC$1006,0))&gt;=100000), " ",IF(INDEX($U$2:$AC$1001,MATCH(ROWS($N$2:N68),$N$2:$N$1001,0),MATCH(COLUMNS($U$1006:AA1006),$U$1006:$AC$1006,0)), HYPERLINK("#",""), HYPERLINK(CONCATENATE("#metadata!", ADDRESS(INDEX($P$2:$P$1001,MATCH(ROWS($N$2:N68),$N$2:$N$1001,0),0), INDEX($U$1004:$AC$1004,1,MATCH(COLUMNS($U$1006:AA1006),$U$1006:$AC$1006,0)))),"Fix")))</f>
        <v>0</v>
      </c>
      <c r="I68" s="3">
        <f>IF(OR(INDEX($O$2:$O$1001,MATCH(ROWS($N$2:N68),$N$2:$N$1001,0),1)&gt;=100000,INDEX($U$1005:$AC$1005,1,MATCH(COLUMNS($U$1006:AB1006),$U$1006:$AC$1006,0))&gt;=100000), " ",IF(INDEX($U$2:$AC$1001,MATCH(ROWS($N$2:N68),$N$2:$N$1001,0),MATCH(COLUMNS($U$1006:AB1006),$U$1006:$AC$1006,0)), HYPERLINK("#",""), HYPERLINK(CONCATENATE("#metadata!", ADDRESS(INDEX($P$2:$P$1001,MATCH(ROWS($N$2:N68),$N$2:$N$1001,0),0), INDEX($U$1004:$AC$1004,1,MATCH(COLUMNS($U$1006:AB1006),$U$1006:$AC$1006,0)))),"Fix")))</f>
        <v>0</v>
      </c>
      <c r="J68" s="3">
        <f>IF(OR(INDEX($O$2:$O$1001,MATCH(ROWS($N$2:N68),$N$2:$N$1001,0),1)&gt;=100000,INDEX($U$1005:$AC$1005,1,MATCH(COLUMNS($U$1006:AC1006),$U$1006:$AC$1006,0))&gt;=100000), " ",IF(INDEX($U$2:$AC$1001,MATCH(ROWS($N$2:N68),$N$2:$N$1001,0),MATCH(COLUMNS($U$1006:AC1006),$U$1006:$AC$1006,0)), HYPERLINK("#",""), HYPERLINK(CONCATENATE("#metadata!", ADDRESS(INDEX($P$2:$P$1001,MATCH(ROWS($N$2:N68),$N$2:$N$1001,0),0), INDEX($U$1004:$AC$1004,1,MATCH(COLUMNS($U$1006:AC1006),$U$1006:$AC$1006,0)))),"Fix")))</f>
        <v>0</v>
      </c>
      <c r="N68">
        <v>0</v>
      </c>
      <c r="O68">
        <v>0</v>
      </c>
      <c r="P68">
        <v>0</v>
      </c>
      <c r="Q68">
        <f>IF(R68,TRUE,AND(U68:AC68))</f>
        <v>0</v>
      </c>
      <c r="R68">
        <f>COUNTBLANK(metadata!B68:J68)=COLUMNS(metadata!B68:J68)</f>
        <v>0</v>
      </c>
      <c r="S68">
        <v>0</v>
      </c>
      <c r="U68">
        <f>AND(IF(metadata!B68="",FALSE,TRUE),COUNTIF(metadata!B:B, metadata!B68) = 1,NOT(ISERROR(SUMPRODUCT(SEARCH(MID(metadata!B68,ROW(INDIRECT("1:"&amp;LEN(metadata!B68))), 1),"0123456789abcdefghijklmnopqrstuvwxyzABCDEFGHIJKLMNOPQRSTUVWXYZ.")))))</f>
        <v>0</v>
      </c>
      <c r="V68">
        <f>AND(IF(metadata!C68="",FALSE,TRUE),exact(metadata!C68,"UBERON:genitourinary"))</f>
        <v>0</v>
      </c>
      <c r="W68">
        <f>AND(IF(metadata!D68="",FALSE,TRUE),exact(metadata!D68,"UBERON:urine"))</f>
        <v>0</v>
      </c>
      <c r="X68">
        <f>AND(IF(metadata!E68="",FALSE,TRUE),exact(metadata!E68,"UBERON:kidney"))</f>
        <v>0</v>
      </c>
      <c r="Y68">
        <f>AND(IF(metadata!F68="",FALSE,TRUE),exact(metadata!F68,"animal corpus"))</f>
        <v>0</v>
      </c>
      <c r="Z68">
        <f>AND(IF(metadata!G68="",FALSE,TRUE),exact(metadata!G68,"urine"))</f>
        <v>0</v>
      </c>
      <c r="AA68">
        <f>AND(IF(metadata!H68="",FALSE,TRUE),exact(metadata!H68,"urine"))</f>
        <v>0</v>
      </c>
      <c r="AB68">
        <f>AND(IF(metadata!I68="",FALSE,TRUE),exact(metadata!I68,"urine metagenome"))</f>
        <v>0</v>
      </c>
      <c r="AC68">
        <f>AND(IF(metadata!J68="",FALSE,TRUE),exact(metadata!J68,"1346744"))</f>
        <v>0</v>
      </c>
    </row>
    <row r="69" spans="1:29">
      <c r="A69" s="4">
        <f>IF(B69=" "," ",HYPERLINK(CONCATENATE("#metadata!",ADDRESS(INDEX($P$2:$P$1001,MATCH(ROWS($N$2:N69),$N$2:$N$1001,0),0),1)),INDEX($S$2:$S$1001,MATCH(ROWS($N$2:N69),$N$2:$N$1001,0),0)))</f>
        <v>0</v>
      </c>
      <c r="B69" s="3">
        <f>IF(OR(INDEX($O$2:$O$1001,MATCH(ROWS($N$2:N69),$N$2:$N$1001,0),1)&gt;=100000,INDEX($U$1005:$AC$1005,1,MATCH(COLUMNS($U$1006:U1006),$U$1006:$AC$1006,0))&gt;=100000), " ",IF(INDEX($U$2:$AC$1001,MATCH(ROWS($N$2:N69),$N$2:$N$1001,0),MATCH(COLUMNS($U$1006:U1006),$U$1006:$AC$1006,0)), HYPERLINK("#",""), HYPERLINK(CONCATENATE("#metadata!", ADDRESS(INDEX($P$2:$P$1001,MATCH(ROWS($N$2:N69),$N$2:$N$1001,0),0), INDEX($U$1004:$AC$1004,1,MATCH(COLUMNS($U$1006:U1006),$U$1006:$AC$1006,0)))),"Fix")))</f>
        <v>0</v>
      </c>
      <c r="C69" s="3">
        <f>IF(OR(INDEX($O$2:$O$1001,MATCH(ROWS($N$2:N69),$N$2:$N$1001,0),1)&gt;=100000,INDEX($U$1005:$AC$1005,1,MATCH(COLUMNS($U$1006:V1006),$U$1006:$AC$1006,0))&gt;=100000), " ",IF(INDEX($U$2:$AC$1001,MATCH(ROWS($N$2:N69),$N$2:$N$1001,0),MATCH(COLUMNS($U$1006:V1006),$U$1006:$AC$1006,0)), HYPERLINK("#",""), HYPERLINK(CONCATENATE("#metadata!", ADDRESS(INDEX($P$2:$P$1001,MATCH(ROWS($N$2:N69),$N$2:$N$1001,0),0), INDEX($U$1004:$AC$1004,1,MATCH(COLUMNS($U$1006:V1006),$U$1006:$AC$1006,0)))),"Fix")))</f>
        <v>0</v>
      </c>
      <c r="D69" s="3">
        <f>IF(OR(INDEX($O$2:$O$1001,MATCH(ROWS($N$2:N69),$N$2:$N$1001,0),1)&gt;=100000,INDEX($U$1005:$AC$1005,1,MATCH(COLUMNS($U$1006:W1006),$U$1006:$AC$1006,0))&gt;=100000), " ",IF(INDEX($U$2:$AC$1001,MATCH(ROWS($N$2:N69),$N$2:$N$1001,0),MATCH(COLUMNS($U$1006:W1006),$U$1006:$AC$1006,0)), HYPERLINK("#",""), HYPERLINK(CONCATENATE("#metadata!", ADDRESS(INDEX($P$2:$P$1001,MATCH(ROWS($N$2:N69),$N$2:$N$1001,0),0), INDEX($U$1004:$AC$1004,1,MATCH(COLUMNS($U$1006:W1006),$U$1006:$AC$1006,0)))),"Fix")))</f>
        <v>0</v>
      </c>
      <c r="E69" s="3">
        <f>IF(OR(INDEX($O$2:$O$1001,MATCH(ROWS($N$2:N69),$N$2:$N$1001,0),1)&gt;=100000,INDEX($U$1005:$AC$1005,1,MATCH(COLUMNS($U$1006:X1006),$U$1006:$AC$1006,0))&gt;=100000), " ",IF(INDEX($U$2:$AC$1001,MATCH(ROWS($N$2:N69),$N$2:$N$1001,0),MATCH(COLUMNS($U$1006:X1006),$U$1006:$AC$1006,0)), HYPERLINK("#",""), HYPERLINK(CONCATENATE("#metadata!", ADDRESS(INDEX($P$2:$P$1001,MATCH(ROWS($N$2:N69),$N$2:$N$1001,0),0), INDEX($U$1004:$AC$1004,1,MATCH(COLUMNS($U$1006:X1006),$U$1006:$AC$1006,0)))),"Fix")))</f>
        <v>0</v>
      </c>
      <c r="F69" s="3">
        <f>IF(OR(INDEX($O$2:$O$1001,MATCH(ROWS($N$2:N69),$N$2:$N$1001,0),1)&gt;=100000,INDEX($U$1005:$AC$1005,1,MATCH(COLUMNS($U$1006:Y1006),$U$1006:$AC$1006,0))&gt;=100000), " ",IF(INDEX($U$2:$AC$1001,MATCH(ROWS($N$2:N69),$N$2:$N$1001,0),MATCH(COLUMNS($U$1006:Y1006),$U$1006:$AC$1006,0)), HYPERLINK("#",""), HYPERLINK(CONCATENATE("#metadata!", ADDRESS(INDEX($P$2:$P$1001,MATCH(ROWS($N$2:N69),$N$2:$N$1001,0),0), INDEX($U$1004:$AC$1004,1,MATCH(COLUMNS($U$1006:Y1006),$U$1006:$AC$1006,0)))),"Fix")))</f>
        <v>0</v>
      </c>
      <c r="G69" s="3">
        <f>IF(OR(INDEX($O$2:$O$1001,MATCH(ROWS($N$2:N69),$N$2:$N$1001,0),1)&gt;=100000,INDEX($U$1005:$AC$1005,1,MATCH(COLUMNS($U$1006:Z1006),$U$1006:$AC$1006,0))&gt;=100000), " ",IF(INDEX($U$2:$AC$1001,MATCH(ROWS($N$2:N69),$N$2:$N$1001,0),MATCH(COLUMNS($U$1006:Z1006),$U$1006:$AC$1006,0)), HYPERLINK("#",""), HYPERLINK(CONCATENATE("#metadata!", ADDRESS(INDEX($P$2:$P$1001,MATCH(ROWS($N$2:N69),$N$2:$N$1001,0),0), INDEX($U$1004:$AC$1004,1,MATCH(COLUMNS($U$1006:Z1006),$U$1006:$AC$1006,0)))),"Fix")))</f>
        <v>0</v>
      </c>
      <c r="H69" s="3">
        <f>IF(OR(INDEX($O$2:$O$1001,MATCH(ROWS($N$2:N69),$N$2:$N$1001,0),1)&gt;=100000,INDEX($U$1005:$AC$1005,1,MATCH(COLUMNS($U$1006:AA1006),$U$1006:$AC$1006,0))&gt;=100000), " ",IF(INDEX($U$2:$AC$1001,MATCH(ROWS($N$2:N69),$N$2:$N$1001,0),MATCH(COLUMNS($U$1006:AA1006),$U$1006:$AC$1006,0)), HYPERLINK("#",""), HYPERLINK(CONCATENATE("#metadata!", ADDRESS(INDEX($P$2:$P$1001,MATCH(ROWS($N$2:N69),$N$2:$N$1001,0),0), INDEX($U$1004:$AC$1004,1,MATCH(COLUMNS($U$1006:AA1006),$U$1006:$AC$1006,0)))),"Fix")))</f>
        <v>0</v>
      </c>
      <c r="I69" s="3">
        <f>IF(OR(INDEX($O$2:$O$1001,MATCH(ROWS($N$2:N69),$N$2:$N$1001,0),1)&gt;=100000,INDEX($U$1005:$AC$1005,1,MATCH(COLUMNS($U$1006:AB1006),$U$1006:$AC$1006,0))&gt;=100000), " ",IF(INDEX($U$2:$AC$1001,MATCH(ROWS($N$2:N69),$N$2:$N$1001,0),MATCH(COLUMNS($U$1006:AB1006),$U$1006:$AC$1006,0)), HYPERLINK("#",""), HYPERLINK(CONCATENATE("#metadata!", ADDRESS(INDEX($P$2:$P$1001,MATCH(ROWS($N$2:N69),$N$2:$N$1001,0),0), INDEX($U$1004:$AC$1004,1,MATCH(COLUMNS($U$1006:AB1006),$U$1006:$AC$1006,0)))),"Fix")))</f>
        <v>0</v>
      </c>
      <c r="J69" s="3">
        <f>IF(OR(INDEX($O$2:$O$1001,MATCH(ROWS($N$2:N69),$N$2:$N$1001,0),1)&gt;=100000,INDEX($U$1005:$AC$1005,1,MATCH(COLUMNS($U$1006:AC1006),$U$1006:$AC$1006,0))&gt;=100000), " ",IF(INDEX($U$2:$AC$1001,MATCH(ROWS($N$2:N69),$N$2:$N$1001,0),MATCH(COLUMNS($U$1006:AC1006),$U$1006:$AC$1006,0)), HYPERLINK("#",""), HYPERLINK(CONCATENATE("#metadata!", ADDRESS(INDEX($P$2:$P$1001,MATCH(ROWS($N$2:N69),$N$2:$N$1001,0),0), INDEX($U$1004:$AC$1004,1,MATCH(COLUMNS($U$1006:AC1006),$U$1006:$AC$1006,0)))),"Fix")))</f>
        <v>0</v>
      </c>
      <c r="N69">
        <v>0</v>
      </c>
      <c r="O69">
        <v>0</v>
      </c>
      <c r="P69">
        <v>0</v>
      </c>
      <c r="Q69">
        <f>IF(R69,TRUE,AND(U69:AC69))</f>
        <v>0</v>
      </c>
      <c r="R69">
        <f>COUNTBLANK(metadata!B69:J69)=COLUMNS(metadata!B69:J69)</f>
        <v>0</v>
      </c>
      <c r="S69">
        <v>0</v>
      </c>
      <c r="U69">
        <f>AND(IF(metadata!B69="",FALSE,TRUE),COUNTIF(metadata!B:B, metadata!B69) = 1,NOT(ISERROR(SUMPRODUCT(SEARCH(MID(metadata!B69,ROW(INDIRECT("1:"&amp;LEN(metadata!B69))), 1),"0123456789abcdefghijklmnopqrstuvwxyzABCDEFGHIJKLMNOPQRSTUVWXYZ.")))))</f>
        <v>0</v>
      </c>
      <c r="V69">
        <f>AND(IF(metadata!C69="",FALSE,TRUE),exact(metadata!C69,"UBERON:genitourinary"))</f>
        <v>0</v>
      </c>
      <c r="W69">
        <f>AND(IF(metadata!D69="",FALSE,TRUE),exact(metadata!D69,"UBERON:urine"))</f>
        <v>0</v>
      </c>
      <c r="X69">
        <f>AND(IF(metadata!E69="",FALSE,TRUE),exact(metadata!E69,"UBERON:kidney"))</f>
        <v>0</v>
      </c>
      <c r="Y69">
        <f>AND(IF(metadata!F69="",FALSE,TRUE),exact(metadata!F69,"animal corpus"))</f>
        <v>0</v>
      </c>
      <c r="Z69">
        <f>AND(IF(metadata!G69="",FALSE,TRUE),exact(metadata!G69,"urine"))</f>
        <v>0</v>
      </c>
      <c r="AA69">
        <f>AND(IF(metadata!H69="",FALSE,TRUE),exact(metadata!H69,"urine"))</f>
        <v>0</v>
      </c>
      <c r="AB69">
        <f>AND(IF(metadata!I69="",FALSE,TRUE),exact(metadata!I69,"urine metagenome"))</f>
        <v>0</v>
      </c>
      <c r="AC69">
        <f>AND(IF(metadata!J69="",FALSE,TRUE),exact(metadata!J69,"1346744"))</f>
        <v>0</v>
      </c>
    </row>
    <row r="70" spans="1:29">
      <c r="A70" s="4">
        <f>IF(B70=" "," ",HYPERLINK(CONCATENATE("#metadata!",ADDRESS(INDEX($P$2:$P$1001,MATCH(ROWS($N$2:N70),$N$2:$N$1001,0),0),1)),INDEX($S$2:$S$1001,MATCH(ROWS($N$2:N70),$N$2:$N$1001,0),0)))</f>
        <v>0</v>
      </c>
      <c r="B70" s="3">
        <f>IF(OR(INDEX($O$2:$O$1001,MATCH(ROWS($N$2:N70),$N$2:$N$1001,0),1)&gt;=100000,INDEX($U$1005:$AC$1005,1,MATCH(COLUMNS($U$1006:U1006),$U$1006:$AC$1006,0))&gt;=100000), " ",IF(INDEX($U$2:$AC$1001,MATCH(ROWS($N$2:N70),$N$2:$N$1001,0),MATCH(COLUMNS($U$1006:U1006),$U$1006:$AC$1006,0)), HYPERLINK("#",""), HYPERLINK(CONCATENATE("#metadata!", ADDRESS(INDEX($P$2:$P$1001,MATCH(ROWS($N$2:N70),$N$2:$N$1001,0),0), INDEX($U$1004:$AC$1004,1,MATCH(COLUMNS($U$1006:U1006),$U$1006:$AC$1006,0)))),"Fix")))</f>
        <v>0</v>
      </c>
      <c r="C70" s="3">
        <f>IF(OR(INDEX($O$2:$O$1001,MATCH(ROWS($N$2:N70),$N$2:$N$1001,0),1)&gt;=100000,INDEX($U$1005:$AC$1005,1,MATCH(COLUMNS($U$1006:V1006),$U$1006:$AC$1006,0))&gt;=100000), " ",IF(INDEX($U$2:$AC$1001,MATCH(ROWS($N$2:N70),$N$2:$N$1001,0),MATCH(COLUMNS($U$1006:V1006),$U$1006:$AC$1006,0)), HYPERLINK("#",""), HYPERLINK(CONCATENATE("#metadata!", ADDRESS(INDEX($P$2:$P$1001,MATCH(ROWS($N$2:N70),$N$2:$N$1001,0),0), INDEX($U$1004:$AC$1004,1,MATCH(COLUMNS($U$1006:V1006),$U$1006:$AC$1006,0)))),"Fix")))</f>
        <v>0</v>
      </c>
      <c r="D70" s="3">
        <f>IF(OR(INDEX($O$2:$O$1001,MATCH(ROWS($N$2:N70),$N$2:$N$1001,0),1)&gt;=100000,INDEX($U$1005:$AC$1005,1,MATCH(COLUMNS($U$1006:W1006),$U$1006:$AC$1006,0))&gt;=100000), " ",IF(INDEX($U$2:$AC$1001,MATCH(ROWS($N$2:N70),$N$2:$N$1001,0),MATCH(COLUMNS($U$1006:W1006),$U$1006:$AC$1006,0)), HYPERLINK("#",""), HYPERLINK(CONCATENATE("#metadata!", ADDRESS(INDEX($P$2:$P$1001,MATCH(ROWS($N$2:N70),$N$2:$N$1001,0),0), INDEX($U$1004:$AC$1004,1,MATCH(COLUMNS($U$1006:W1006),$U$1006:$AC$1006,0)))),"Fix")))</f>
        <v>0</v>
      </c>
      <c r="E70" s="3">
        <f>IF(OR(INDEX($O$2:$O$1001,MATCH(ROWS($N$2:N70),$N$2:$N$1001,0),1)&gt;=100000,INDEX($U$1005:$AC$1005,1,MATCH(COLUMNS($U$1006:X1006),$U$1006:$AC$1006,0))&gt;=100000), " ",IF(INDEX($U$2:$AC$1001,MATCH(ROWS($N$2:N70),$N$2:$N$1001,0),MATCH(COLUMNS($U$1006:X1006),$U$1006:$AC$1006,0)), HYPERLINK("#",""), HYPERLINK(CONCATENATE("#metadata!", ADDRESS(INDEX($P$2:$P$1001,MATCH(ROWS($N$2:N70),$N$2:$N$1001,0),0), INDEX($U$1004:$AC$1004,1,MATCH(COLUMNS($U$1006:X1006),$U$1006:$AC$1006,0)))),"Fix")))</f>
        <v>0</v>
      </c>
      <c r="F70" s="3">
        <f>IF(OR(INDEX($O$2:$O$1001,MATCH(ROWS($N$2:N70),$N$2:$N$1001,0),1)&gt;=100000,INDEX($U$1005:$AC$1005,1,MATCH(COLUMNS($U$1006:Y1006),$U$1006:$AC$1006,0))&gt;=100000), " ",IF(INDEX($U$2:$AC$1001,MATCH(ROWS($N$2:N70),$N$2:$N$1001,0),MATCH(COLUMNS($U$1006:Y1006),$U$1006:$AC$1006,0)), HYPERLINK("#",""), HYPERLINK(CONCATENATE("#metadata!", ADDRESS(INDEX($P$2:$P$1001,MATCH(ROWS($N$2:N70),$N$2:$N$1001,0),0), INDEX($U$1004:$AC$1004,1,MATCH(COLUMNS($U$1006:Y1006),$U$1006:$AC$1006,0)))),"Fix")))</f>
        <v>0</v>
      </c>
      <c r="G70" s="3">
        <f>IF(OR(INDEX($O$2:$O$1001,MATCH(ROWS($N$2:N70),$N$2:$N$1001,0),1)&gt;=100000,INDEX($U$1005:$AC$1005,1,MATCH(COLUMNS($U$1006:Z1006),$U$1006:$AC$1006,0))&gt;=100000), " ",IF(INDEX($U$2:$AC$1001,MATCH(ROWS($N$2:N70),$N$2:$N$1001,0),MATCH(COLUMNS($U$1006:Z1006),$U$1006:$AC$1006,0)), HYPERLINK("#",""), HYPERLINK(CONCATENATE("#metadata!", ADDRESS(INDEX($P$2:$P$1001,MATCH(ROWS($N$2:N70),$N$2:$N$1001,0),0), INDEX($U$1004:$AC$1004,1,MATCH(COLUMNS($U$1006:Z1006),$U$1006:$AC$1006,0)))),"Fix")))</f>
        <v>0</v>
      </c>
      <c r="H70" s="3">
        <f>IF(OR(INDEX($O$2:$O$1001,MATCH(ROWS($N$2:N70),$N$2:$N$1001,0),1)&gt;=100000,INDEX($U$1005:$AC$1005,1,MATCH(COLUMNS($U$1006:AA1006),$U$1006:$AC$1006,0))&gt;=100000), " ",IF(INDEX($U$2:$AC$1001,MATCH(ROWS($N$2:N70),$N$2:$N$1001,0),MATCH(COLUMNS($U$1006:AA1006),$U$1006:$AC$1006,0)), HYPERLINK("#",""), HYPERLINK(CONCATENATE("#metadata!", ADDRESS(INDEX($P$2:$P$1001,MATCH(ROWS($N$2:N70),$N$2:$N$1001,0),0), INDEX($U$1004:$AC$1004,1,MATCH(COLUMNS($U$1006:AA1006),$U$1006:$AC$1006,0)))),"Fix")))</f>
        <v>0</v>
      </c>
      <c r="I70" s="3">
        <f>IF(OR(INDEX($O$2:$O$1001,MATCH(ROWS($N$2:N70),$N$2:$N$1001,0),1)&gt;=100000,INDEX($U$1005:$AC$1005,1,MATCH(COLUMNS($U$1006:AB1006),$U$1006:$AC$1006,0))&gt;=100000), " ",IF(INDEX($U$2:$AC$1001,MATCH(ROWS($N$2:N70),$N$2:$N$1001,0),MATCH(COLUMNS($U$1006:AB1006),$U$1006:$AC$1006,0)), HYPERLINK("#",""), HYPERLINK(CONCATENATE("#metadata!", ADDRESS(INDEX($P$2:$P$1001,MATCH(ROWS($N$2:N70),$N$2:$N$1001,0),0), INDEX($U$1004:$AC$1004,1,MATCH(COLUMNS($U$1006:AB1006),$U$1006:$AC$1006,0)))),"Fix")))</f>
        <v>0</v>
      </c>
      <c r="J70" s="3">
        <f>IF(OR(INDEX($O$2:$O$1001,MATCH(ROWS($N$2:N70),$N$2:$N$1001,0),1)&gt;=100000,INDEX($U$1005:$AC$1005,1,MATCH(COLUMNS($U$1006:AC1006),$U$1006:$AC$1006,0))&gt;=100000), " ",IF(INDEX($U$2:$AC$1001,MATCH(ROWS($N$2:N70),$N$2:$N$1001,0),MATCH(COLUMNS($U$1006:AC1006),$U$1006:$AC$1006,0)), HYPERLINK("#",""), HYPERLINK(CONCATENATE("#metadata!", ADDRESS(INDEX($P$2:$P$1001,MATCH(ROWS($N$2:N70),$N$2:$N$1001,0),0), INDEX($U$1004:$AC$1004,1,MATCH(COLUMNS($U$1006:AC1006),$U$1006:$AC$1006,0)))),"Fix")))</f>
        <v>0</v>
      </c>
      <c r="N70">
        <v>0</v>
      </c>
      <c r="O70">
        <v>0</v>
      </c>
      <c r="P70">
        <v>0</v>
      </c>
      <c r="Q70">
        <f>IF(R70,TRUE,AND(U70:AC70))</f>
        <v>0</v>
      </c>
      <c r="R70">
        <f>COUNTBLANK(metadata!B70:J70)=COLUMNS(metadata!B70:J70)</f>
        <v>0</v>
      </c>
      <c r="S70">
        <v>0</v>
      </c>
      <c r="U70">
        <f>AND(IF(metadata!B70="",FALSE,TRUE),COUNTIF(metadata!B:B, metadata!B70) = 1,NOT(ISERROR(SUMPRODUCT(SEARCH(MID(metadata!B70,ROW(INDIRECT("1:"&amp;LEN(metadata!B70))), 1),"0123456789abcdefghijklmnopqrstuvwxyzABCDEFGHIJKLMNOPQRSTUVWXYZ.")))))</f>
        <v>0</v>
      </c>
      <c r="V70">
        <f>AND(IF(metadata!C70="",FALSE,TRUE),exact(metadata!C70,"UBERON:genitourinary"))</f>
        <v>0</v>
      </c>
      <c r="W70">
        <f>AND(IF(metadata!D70="",FALSE,TRUE),exact(metadata!D70,"UBERON:urine"))</f>
        <v>0</v>
      </c>
      <c r="X70">
        <f>AND(IF(metadata!E70="",FALSE,TRUE),exact(metadata!E70,"UBERON:kidney"))</f>
        <v>0</v>
      </c>
      <c r="Y70">
        <f>AND(IF(metadata!F70="",FALSE,TRUE),exact(metadata!F70,"animal corpus"))</f>
        <v>0</v>
      </c>
      <c r="Z70">
        <f>AND(IF(metadata!G70="",FALSE,TRUE),exact(metadata!G70,"urine"))</f>
        <v>0</v>
      </c>
      <c r="AA70">
        <f>AND(IF(metadata!H70="",FALSE,TRUE),exact(metadata!H70,"urine"))</f>
        <v>0</v>
      </c>
      <c r="AB70">
        <f>AND(IF(metadata!I70="",FALSE,TRUE),exact(metadata!I70,"urine metagenome"))</f>
        <v>0</v>
      </c>
      <c r="AC70">
        <f>AND(IF(metadata!J70="",FALSE,TRUE),exact(metadata!J70,"1346744"))</f>
        <v>0</v>
      </c>
    </row>
    <row r="71" spans="1:29">
      <c r="A71" s="4">
        <f>IF(B71=" "," ",HYPERLINK(CONCATENATE("#metadata!",ADDRESS(INDEX($P$2:$P$1001,MATCH(ROWS($N$2:N71),$N$2:$N$1001,0),0),1)),INDEX($S$2:$S$1001,MATCH(ROWS($N$2:N71),$N$2:$N$1001,0),0)))</f>
        <v>0</v>
      </c>
      <c r="B71" s="3">
        <f>IF(OR(INDEX($O$2:$O$1001,MATCH(ROWS($N$2:N71),$N$2:$N$1001,0),1)&gt;=100000,INDEX($U$1005:$AC$1005,1,MATCH(COLUMNS($U$1006:U1006),$U$1006:$AC$1006,0))&gt;=100000), " ",IF(INDEX($U$2:$AC$1001,MATCH(ROWS($N$2:N71),$N$2:$N$1001,0),MATCH(COLUMNS($U$1006:U1006),$U$1006:$AC$1006,0)), HYPERLINK("#",""), HYPERLINK(CONCATENATE("#metadata!", ADDRESS(INDEX($P$2:$P$1001,MATCH(ROWS($N$2:N71),$N$2:$N$1001,0),0), INDEX($U$1004:$AC$1004,1,MATCH(COLUMNS($U$1006:U1006),$U$1006:$AC$1006,0)))),"Fix")))</f>
        <v>0</v>
      </c>
      <c r="C71" s="3">
        <f>IF(OR(INDEX($O$2:$O$1001,MATCH(ROWS($N$2:N71),$N$2:$N$1001,0),1)&gt;=100000,INDEX($U$1005:$AC$1005,1,MATCH(COLUMNS($U$1006:V1006),$U$1006:$AC$1006,0))&gt;=100000), " ",IF(INDEX($U$2:$AC$1001,MATCH(ROWS($N$2:N71),$N$2:$N$1001,0),MATCH(COLUMNS($U$1006:V1006),$U$1006:$AC$1006,0)), HYPERLINK("#",""), HYPERLINK(CONCATENATE("#metadata!", ADDRESS(INDEX($P$2:$P$1001,MATCH(ROWS($N$2:N71),$N$2:$N$1001,0),0), INDEX($U$1004:$AC$1004,1,MATCH(COLUMNS($U$1006:V1006),$U$1006:$AC$1006,0)))),"Fix")))</f>
        <v>0</v>
      </c>
      <c r="D71" s="3">
        <f>IF(OR(INDEX($O$2:$O$1001,MATCH(ROWS($N$2:N71),$N$2:$N$1001,0),1)&gt;=100000,INDEX($U$1005:$AC$1005,1,MATCH(COLUMNS($U$1006:W1006),$U$1006:$AC$1006,0))&gt;=100000), " ",IF(INDEX($U$2:$AC$1001,MATCH(ROWS($N$2:N71),$N$2:$N$1001,0),MATCH(COLUMNS($U$1006:W1006),$U$1006:$AC$1006,0)), HYPERLINK("#",""), HYPERLINK(CONCATENATE("#metadata!", ADDRESS(INDEX($P$2:$P$1001,MATCH(ROWS($N$2:N71),$N$2:$N$1001,0),0), INDEX($U$1004:$AC$1004,1,MATCH(COLUMNS($U$1006:W1006),$U$1006:$AC$1006,0)))),"Fix")))</f>
        <v>0</v>
      </c>
      <c r="E71" s="3">
        <f>IF(OR(INDEX($O$2:$O$1001,MATCH(ROWS($N$2:N71),$N$2:$N$1001,0),1)&gt;=100000,INDEX($U$1005:$AC$1005,1,MATCH(COLUMNS($U$1006:X1006),$U$1006:$AC$1006,0))&gt;=100000), " ",IF(INDEX($U$2:$AC$1001,MATCH(ROWS($N$2:N71),$N$2:$N$1001,0),MATCH(COLUMNS($U$1006:X1006),$U$1006:$AC$1006,0)), HYPERLINK("#",""), HYPERLINK(CONCATENATE("#metadata!", ADDRESS(INDEX($P$2:$P$1001,MATCH(ROWS($N$2:N71),$N$2:$N$1001,0),0), INDEX($U$1004:$AC$1004,1,MATCH(COLUMNS($U$1006:X1006),$U$1006:$AC$1006,0)))),"Fix")))</f>
        <v>0</v>
      </c>
      <c r="F71" s="3">
        <f>IF(OR(INDEX($O$2:$O$1001,MATCH(ROWS($N$2:N71),$N$2:$N$1001,0),1)&gt;=100000,INDEX($U$1005:$AC$1005,1,MATCH(COLUMNS($U$1006:Y1006),$U$1006:$AC$1006,0))&gt;=100000), " ",IF(INDEX($U$2:$AC$1001,MATCH(ROWS($N$2:N71),$N$2:$N$1001,0),MATCH(COLUMNS($U$1006:Y1006),$U$1006:$AC$1006,0)), HYPERLINK("#",""), HYPERLINK(CONCATENATE("#metadata!", ADDRESS(INDEX($P$2:$P$1001,MATCH(ROWS($N$2:N71),$N$2:$N$1001,0),0), INDEX($U$1004:$AC$1004,1,MATCH(COLUMNS($U$1006:Y1006),$U$1006:$AC$1006,0)))),"Fix")))</f>
        <v>0</v>
      </c>
      <c r="G71" s="3">
        <f>IF(OR(INDEX($O$2:$O$1001,MATCH(ROWS($N$2:N71),$N$2:$N$1001,0),1)&gt;=100000,INDEX($U$1005:$AC$1005,1,MATCH(COLUMNS($U$1006:Z1006),$U$1006:$AC$1006,0))&gt;=100000), " ",IF(INDEX($U$2:$AC$1001,MATCH(ROWS($N$2:N71),$N$2:$N$1001,0),MATCH(COLUMNS($U$1006:Z1006),$U$1006:$AC$1006,0)), HYPERLINK("#",""), HYPERLINK(CONCATENATE("#metadata!", ADDRESS(INDEX($P$2:$P$1001,MATCH(ROWS($N$2:N71),$N$2:$N$1001,0),0), INDEX($U$1004:$AC$1004,1,MATCH(COLUMNS($U$1006:Z1006),$U$1006:$AC$1006,0)))),"Fix")))</f>
        <v>0</v>
      </c>
      <c r="H71" s="3">
        <f>IF(OR(INDEX($O$2:$O$1001,MATCH(ROWS($N$2:N71),$N$2:$N$1001,0),1)&gt;=100000,INDEX($U$1005:$AC$1005,1,MATCH(COLUMNS($U$1006:AA1006),$U$1006:$AC$1006,0))&gt;=100000), " ",IF(INDEX($U$2:$AC$1001,MATCH(ROWS($N$2:N71),$N$2:$N$1001,0),MATCH(COLUMNS($U$1006:AA1006),$U$1006:$AC$1006,0)), HYPERLINK("#",""), HYPERLINK(CONCATENATE("#metadata!", ADDRESS(INDEX($P$2:$P$1001,MATCH(ROWS($N$2:N71),$N$2:$N$1001,0),0), INDEX($U$1004:$AC$1004,1,MATCH(COLUMNS($U$1006:AA1006),$U$1006:$AC$1006,0)))),"Fix")))</f>
        <v>0</v>
      </c>
      <c r="I71" s="3">
        <f>IF(OR(INDEX($O$2:$O$1001,MATCH(ROWS($N$2:N71),$N$2:$N$1001,0),1)&gt;=100000,INDEX($U$1005:$AC$1005,1,MATCH(COLUMNS($U$1006:AB1006),$U$1006:$AC$1006,0))&gt;=100000), " ",IF(INDEX($U$2:$AC$1001,MATCH(ROWS($N$2:N71),$N$2:$N$1001,0),MATCH(COLUMNS($U$1006:AB1006),$U$1006:$AC$1006,0)), HYPERLINK("#",""), HYPERLINK(CONCATENATE("#metadata!", ADDRESS(INDEX($P$2:$P$1001,MATCH(ROWS($N$2:N71),$N$2:$N$1001,0),0), INDEX($U$1004:$AC$1004,1,MATCH(COLUMNS($U$1006:AB1006),$U$1006:$AC$1006,0)))),"Fix")))</f>
        <v>0</v>
      </c>
      <c r="J71" s="3">
        <f>IF(OR(INDEX($O$2:$O$1001,MATCH(ROWS($N$2:N71),$N$2:$N$1001,0),1)&gt;=100000,INDEX($U$1005:$AC$1005,1,MATCH(COLUMNS($U$1006:AC1006),$U$1006:$AC$1006,0))&gt;=100000), " ",IF(INDEX($U$2:$AC$1001,MATCH(ROWS($N$2:N71),$N$2:$N$1001,0),MATCH(COLUMNS($U$1006:AC1006),$U$1006:$AC$1006,0)), HYPERLINK("#",""), HYPERLINK(CONCATENATE("#metadata!", ADDRESS(INDEX($P$2:$P$1001,MATCH(ROWS($N$2:N71),$N$2:$N$1001,0),0), INDEX($U$1004:$AC$1004,1,MATCH(COLUMNS($U$1006:AC1006),$U$1006:$AC$1006,0)))),"Fix")))</f>
        <v>0</v>
      </c>
      <c r="N71">
        <v>0</v>
      </c>
      <c r="O71">
        <v>0</v>
      </c>
      <c r="P71">
        <v>0</v>
      </c>
      <c r="Q71">
        <f>IF(R71,TRUE,AND(U71:AC71))</f>
        <v>0</v>
      </c>
      <c r="R71">
        <f>COUNTBLANK(metadata!B71:J71)=COLUMNS(metadata!B71:J71)</f>
        <v>0</v>
      </c>
      <c r="S71">
        <v>0</v>
      </c>
      <c r="U71">
        <f>AND(IF(metadata!B71="",FALSE,TRUE),COUNTIF(metadata!B:B, metadata!B71) = 1,NOT(ISERROR(SUMPRODUCT(SEARCH(MID(metadata!B71,ROW(INDIRECT("1:"&amp;LEN(metadata!B71))), 1),"0123456789abcdefghijklmnopqrstuvwxyzABCDEFGHIJKLMNOPQRSTUVWXYZ.")))))</f>
        <v>0</v>
      </c>
      <c r="V71">
        <f>AND(IF(metadata!C71="",FALSE,TRUE),exact(metadata!C71,"UBERON:genitourinary"))</f>
        <v>0</v>
      </c>
      <c r="W71">
        <f>AND(IF(metadata!D71="",FALSE,TRUE),exact(metadata!D71,"UBERON:urine"))</f>
        <v>0</v>
      </c>
      <c r="X71">
        <f>AND(IF(metadata!E71="",FALSE,TRUE),exact(metadata!E71,"UBERON:kidney"))</f>
        <v>0</v>
      </c>
      <c r="Y71">
        <f>AND(IF(metadata!F71="",FALSE,TRUE),exact(metadata!F71,"animal corpus"))</f>
        <v>0</v>
      </c>
      <c r="Z71">
        <f>AND(IF(metadata!G71="",FALSE,TRUE),exact(metadata!G71,"urine"))</f>
        <v>0</v>
      </c>
      <c r="AA71">
        <f>AND(IF(metadata!H71="",FALSE,TRUE),exact(metadata!H71,"urine"))</f>
        <v>0</v>
      </c>
      <c r="AB71">
        <f>AND(IF(metadata!I71="",FALSE,TRUE),exact(metadata!I71,"urine metagenome"))</f>
        <v>0</v>
      </c>
      <c r="AC71">
        <f>AND(IF(metadata!J71="",FALSE,TRUE),exact(metadata!J71,"1346744"))</f>
        <v>0</v>
      </c>
    </row>
    <row r="72" spans="1:29">
      <c r="A72" s="4">
        <f>IF(B72=" "," ",HYPERLINK(CONCATENATE("#metadata!",ADDRESS(INDEX($P$2:$P$1001,MATCH(ROWS($N$2:N72),$N$2:$N$1001,0),0),1)),INDEX($S$2:$S$1001,MATCH(ROWS($N$2:N72),$N$2:$N$1001,0),0)))</f>
        <v>0</v>
      </c>
      <c r="B72" s="3">
        <f>IF(OR(INDEX($O$2:$O$1001,MATCH(ROWS($N$2:N72),$N$2:$N$1001,0),1)&gt;=100000,INDEX($U$1005:$AC$1005,1,MATCH(COLUMNS($U$1006:U1006),$U$1006:$AC$1006,0))&gt;=100000), " ",IF(INDEX($U$2:$AC$1001,MATCH(ROWS($N$2:N72),$N$2:$N$1001,0),MATCH(COLUMNS($U$1006:U1006),$U$1006:$AC$1006,0)), HYPERLINK("#",""), HYPERLINK(CONCATENATE("#metadata!", ADDRESS(INDEX($P$2:$P$1001,MATCH(ROWS($N$2:N72),$N$2:$N$1001,0),0), INDEX($U$1004:$AC$1004,1,MATCH(COLUMNS($U$1006:U1006),$U$1006:$AC$1006,0)))),"Fix")))</f>
        <v>0</v>
      </c>
      <c r="C72" s="3">
        <f>IF(OR(INDEX($O$2:$O$1001,MATCH(ROWS($N$2:N72),$N$2:$N$1001,0),1)&gt;=100000,INDEX($U$1005:$AC$1005,1,MATCH(COLUMNS($U$1006:V1006),$U$1006:$AC$1006,0))&gt;=100000), " ",IF(INDEX($U$2:$AC$1001,MATCH(ROWS($N$2:N72),$N$2:$N$1001,0),MATCH(COLUMNS($U$1006:V1006),$U$1006:$AC$1006,0)), HYPERLINK("#",""), HYPERLINK(CONCATENATE("#metadata!", ADDRESS(INDEX($P$2:$P$1001,MATCH(ROWS($N$2:N72),$N$2:$N$1001,0),0), INDEX($U$1004:$AC$1004,1,MATCH(COLUMNS($U$1006:V1006),$U$1006:$AC$1006,0)))),"Fix")))</f>
        <v>0</v>
      </c>
      <c r="D72" s="3">
        <f>IF(OR(INDEX($O$2:$O$1001,MATCH(ROWS($N$2:N72),$N$2:$N$1001,0),1)&gt;=100000,INDEX($U$1005:$AC$1005,1,MATCH(COLUMNS($U$1006:W1006),$U$1006:$AC$1006,0))&gt;=100000), " ",IF(INDEX($U$2:$AC$1001,MATCH(ROWS($N$2:N72),$N$2:$N$1001,0),MATCH(COLUMNS($U$1006:W1006),$U$1006:$AC$1006,0)), HYPERLINK("#",""), HYPERLINK(CONCATENATE("#metadata!", ADDRESS(INDEX($P$2:$P$1001,MATCH(ROWS($N$2:N72),$N$2:$N$1001,0),0), INDEX($U$1004:$AC$1004,1,MATCH(COLUMNS($U$1006:W1006),$U$1006:$AC$1006,0)))),"Fix")))</f>
        <v>0</v>
      </c>
      <c r="E72" s="3">
        <f>IF(OR(INDEX($O$2:$O$1001,MATCH(ROWS($N$2:N72),$N$2:$N$1001,0),1)&gt;=100000,INDEX($U$1005:$AC$1005,1,MATCH(COLUMNS($U$1006:X1006),$U$1006:$AC$1006,0))&gt;=100000), " ",IF(INDEX($U$2:$AC$1001,MATCH(ROWS($N$2:N72),$N$2:$N$1001,0),MATCH(COLUMNS($U$1006:X1006),$U$1006:$AC$1006,0)), HYPERLINK("#",""), HYPERLINK(CONCATENATE("#metadata!", ADDRESS(INDEX($P$2:$P$1001,MATCH(ROWS($N$2:N72),$N$2:$N$1001,0),0), INDEX($U$1004:$AC$1004,1,MATCH(COLUMNS($U$1006:X1006),$U$1006:$AC$1006,0)))),"Fix")))</f>
        <v>0</v>
      </c>
      <c r="F72" s="3">
        <f>IF(OR(INDEX($O$2:$O$1001,MATCH(ROWS($N$2:N72),$N$2:$N$1001,0),1)&gt;=100000,INDEX($U$1005:$AC$1005,1,MATCH(COLUMNS($U$1006:Y1006),$U$1006:$AC$1006,0))&gt;=100000), " ",IF(INDEX($U$2:$AC$1001,MATCH(ROWS($N$2:N72),$N$2:$N$1001,0),MATCH(COLUMNS($U$1006:Y1006),$U$1006:$AC$1006,0)), HYPERLINK("#",""), HYPERLINK(CONCATENATE("#metadata!", ADDRESS(INDEX($P$2:$P$1001,MATCH(ROWS($N$2:N72),$N$2:$N$1001,0),0), INDEX($U$1004:$AC$1004,1,MATCH(COLUMNS($U$1006:Y1006),$U$1006:$AC$1006,0)))),"Fix")))</f>
        <v>0</v>
      </c>
      <c r="G72" s="3">
        <f>IF(OR(INDEX($O$2:$O$1001,MATCH(ROWS($N$2:N72),$N$2:$N$1001,0),1)&gt;=100000,INDEX($U$1005:$AC$1005,1,MATCH(COLUMNS($U$1006:Z1006),$U$1006:$AC$1006,0))&gt;=100000), " ",IF(INDEX($U$2:$AC$1001,MATCH(ROWS($N$2:N72),$N$2:$N$1001,0),MATCH(COLUMNS($U$1006:Z1006),$U$1006:$AC$1006,0)), HYPERLINK("#",""), HYPERLINK(CONCATENATE("#metadata!", ADDRESS(INDEX($P$2:$P$1001,MATCH(ROWS($N$2:N72),$N$2:$N$1001,0),0), INDEX($U$1004:$AC$1004,1,MATCH(COLUMNS($U$1006:Z1006),$U$1006:$AC$1006,0)))),"Fix")))</f>
        <v>0</v>
      </c>
      <c r="H72" s="3">
        <f>IF(OR(INDEX($O$2:$O$1001,MATCH(ROWS($N$2:N72),$N$2:$N$1001,0),1)&gt;=100000,INDEX($U$1005:$AC$1005,1,MATCH(COLUMNS($U$1006:AA1006),$U$1006:$AC$1006,0))&gt;=100000), " ",IF(INDEX($U$2:$AC$1001,MATCH(ROWS($N$2:N72),$N$2:$N$1001,0),MATCH(COLUMNS($U$1006:AA1006),$U$1006:$AC$1006,0)), HYPERLINK("#",""), HYPERLINK(CONCATENATE("#metadata!", ADDRESS(INDEX($P$2:$P$1001,MATCH(ROWS($N$2:N72),$N$2:$N$1001,0),0), INDEX($U$1004:$AC$1004,1,MATCH(COLUMNS($U$1006:AA1006),$U$1006:$AC$1006,0)))),"Fix")))</f>
        <v>0</v>
      </c>
      <c r="I72" s="3">
        <f>IF(OR(INDEX($O$2:$O$1001,MATCH(ROWS($N$2:N72),$N$2:$N$1001,0),1)&gt;=100000,INDEX($U$1005:$AC$1005,1,MATCH(COLUMNS($U$1006:AB1006),$U$1006:$AC$1006,0))&gt;=100000), " ",IF(INDEX($U$2:$AC$1001,MATCH(ROWS($N$2:N72),$N$2:$N$1001,0),MATCH(COLUMNS($U$1006:AB1006),$U$1006:$AC$1006,0)), HYPERLINK("#",""), HYPERLINK(CONCATENATE("#metadata!", ADDRESS(INDEX($P$2:$P$1001,MATCH(ROWS($N$2:N72),$N$2:$N$1001,0),0), INDEX($U$1004:$AC$1004,1,MATCH(COLUMNS($U$1006:AB1006),$U$1006:$AC$1006,0)))),"Fix")))</f>
        <v>0</v>
      </c>
      <c r="J72" s="3">
        <f>IF(OR(INDEX($O$2:$O$1001,MATCH(ROWS($N$2:N72),$N$2:$N$1001,0),1)&gt;=100000,INDEX($U$1005:$AC$1005,1,MATCH(COLUMNS($U$1006:AC1006),$U$1006:$AC$1006,0))&gt;=100000), " ",IF(INDEX($U$2:$AC$1001,MATCH(ROWS($N$2:N72),$N$2:$N$1001,0),MATCH(COLUMNS($U$1006:AC1006),$U$1006:$AC$1006,0)), HYPERLINK("#",""), HYPERLINK(CONCATENATE("#metadata!", ADDRESS(INDEX($P$2:$P$1001,MATCH(ROWS($N$2:N72),$N$2:$N$1001,0),0), INDEX($U$1004:$AC$1004,1,MATCH(COLUMNS($U$1006:AC1006),$U$1006:$AC$1006,0)))),"Fix")))</f>
        <v>0</v>
      </c>
      <c r="N72">
        <v>0</v>
      </c>
      <c r="O72">
        <v>0</v>
      </c>
      <c r="P72">
        <v>0</v>
      </c>
      <c r="Q72">
        <f>IF(R72,TRUE,AND(U72:AC72))</f>
        <v>0</v>
      </c>
      <c r="R72">
        <f>COUNTBLANK(metadata!B72:J72)=COLUMNS(metadata!B72:J72)</f>
        <v>0</v>
      </c>
      <c r="S72">
        <v>0</v>
      </c>
      <c r="U72">
        <f>AND(IF(metadata!B72="",FALSE,TRUE),COUNTIF(metadata!B:B, metadata!B72) = 1,NOT(ISERROR(SUMPRODUCT(SEARCH(MID(metadata!B72,ROW(INDIRECT("1:"&amp;LEN(metadata!B72))), 1),"0123456789abcdefghijklmnopqrstuvwxyzABCDEFGHIJKLMNOPQRSTUVWXYZ.")))))</f>
        <v>0</v>
      </c>
      <c r="V72">
        <f>AND(IF(metadata!C72="",FALSE,TRUE),exact(metadata!C72,"UBERON:genitourinary"))</f>
        <v>0</v>
      </c>
      <c r="W72">
        <f>AND(IF(metadata!D72="",FALSE,TRUE),exact(metadata!D72,"UBERON:urine"))</f>
        <v>0</v>
      </c>
      <c r="X72">
        <f>AND(IF(metadata!E72="",FALSE,TRUE),exact(metadata!E72,"UBERON:kidney"))</f>
        <v>0</v>
      </c>
      <c r="Y72">
        <f>AND(IF(metadata!F72="",FALSE,TRUE),exact(metadata!F72,"animal corpus"))</f>
        <v>0</v>
      </c>
      <c r="Z72">
        <f>AND(IF(metadata!G72="",FALSE,TRUE),exact(metadata!G72,"urine"))</f>
        <v>0</v>
      </c>
      <c r="AA72">
        <f>AND(IF(metadata!H72="",FALSE,TRUE),exact(metadata!H72,"urine"))</f>
        <v>0</v>
      </c>
      <c r="AB72">
        <f>AND(IF(metadata!I72="",FALSE,TRUE),exact(metadata!I72,"urine metagenome"))</f>
        <v>0</v>
      </c>
      <c r="AC72">
        <f>AND(IF(metadata!J72="",FALSE,TRUE),exact(metadata!J72,"1346744"))</f>
        <v>0</v>
      </c>
    </row>
    <row r="73" spans="1:29">
      <c r="A73" s="4">
        <f>IF(B73=" "," ",HYPERLINK(CONCATENATE("#metadata!",ADDRESS(INDEX($P$2:$P$1001,MATCH(ROWS($N$2:N73),$N$2:$N$1001,0),0),1)),INDEX($S$2:$S$1001,MATCH(ROWS($N$2:N73),$N$2:$N$1001,0),0)))</f>
        <v>0</v>
      </c>
      <c r="B73" s="3">
        <f>IF(OR(INDEX($O$2:$O$1001,MATCH(ROWS($N$2:N73),$N$2:$N$1001,0),1)&gt;=100000,INDEX($U$1005:$AC$1005,1,MATCH(COLUMNS($U$1006:U1006),$U$1006:$AC$1006,0))&gt;=100000), " ",IF(INDEX($U$2:$AC$1001,MATCH(ROWS($N$2:N73),$N$2:$N$1001,0),MATCH(COLUMNS($U$1006:U1006),$U$1006:$AC$1006,0)), HYPERLINK("#",""), HYPERLINK(CONCATENATE("#metadata!", ADDRESS(INDEX($P$2:$P$1001,MATCH(ROWS($N$2:N73),$N$2:$N$1001,0),0), INDEX($U$1004:$AC$1004,1,MATCH(COLUMNS($U$1006:U1006),$U$1006:$AC$1006,0)))),"Fix")))</f>
        <v>0</v>
      </c>
      <c r="C73" s="3">
        <f>IF(OR(INDEX($O$2:$O$1001,MATCH(ROWS($N$2:N73),$N$2:$N$1001,0),1)&gt;=100000,INDEX($U$1005:$AC$1005,1,MATCH(COLUMNS($U$1006:V1006),$U$1006:$AC$1006,0))&gt;=100000), " ",IF(INDEX($U$2:$AC$1001,MATCH(ROWS($N$2:N73),$N$2:$N$1001,0),MATCH(COLUMNS($U$1006:V1006),$U$1006:$AC$1006,0)), HYPERLINK("#",""), HYPERLINK(CONCATENATE("#metadata!", ADDRESS(INDEX($P$2:$P$1001,MATCH(ROWS($N$2:N73),$N$2:$N$1001,0),0), INDEX($U$1004:$AC$1004,1,MATCH(COLUMNS($U$1006:V1006),$U$1006:$AC$1006,0)))),"Fix")))</f>
        <v>0</v>
      </c>
      <c r="D73" s="3">
        <f>IF(OR(INDEX($O$2:$O$1001,MATCH(ROWS($N$2:N73),$N$2:$N$1001,0),1)&gt;=100000,INDEX($U$1005:$AC$1005,1,MATCH(COLUMNS($U$1006:W1006),$U$1006:$AC$1006,0))&gt;=100000), " ",IF(INDEX($U$2:$AC$1001,MATCH(ROWS($N$2:N73),$N$2:$N$1001,0),MATCH(COLUMNS($U$1006:W1006),$U$1006:$AC$1006,0)), HYPERLINK("#",""), HYPERLINK(CONCATENATE("#metadata!", ADDRESS(INDEX($P$2:$P$1001,MATCH(ROWS($N$2:N73),$N$2:$N$1001,0),0), INDEX($U$1004:$AC$1004,1,MATCH(COLUMNS($U$1006:W1006),$U$1006:$AC$1006,0)))),"Fix")))</f>
        <v>0</v>
      </c>
      <c r="E73" s="3">
        <f>IF(OR(INDEX($O$2:$O$1001,MATCH(ROWS($N$2:N73),$N$2:$N$1001,0),1)&gt;=100000,INDEX($U$1005:$AC$1005,1,MATCH(COLUMNS($U$1006:X1006),$U$1006:$AC$1006,0))&gt;=100000), " ",IF(INDEX($U$2:$AC$1001,MATCH(ROWS($N$2:N73),$N$2:$N$1001,0),MATCH(COLUMNS($U$1006:X1006),$U$1006:$AC$1006,0)), HYPERLINK("#",""), HYPERLINK(CONCATENATE("#metadata!", ADDRESS(INDEX($P$2:$P$1001,MATCH(ROWS($N$2:N73),$N$2:$N$1001,0),0), INDEX($U$1004:$AC$1004,1,MATCH(COLUMNS($U$1006:X1006),$U$1006:$AC$1006,0)))),"Fix")))</f>
        <v>0</v>
      </c>
      <c r="F73" s="3">
        <f>IF(OR(INDEX($O$2:$O$1001,MATCH(ROWS($N$2:N73),$N$2:$N$1001,0),1)&gt;=100000,INDEX($U$1005:$AC$1005,1,MATCH(COLUMNS($U$1006:Y1006),$U$1006:$AC$1006,0))&gt;=100000), " ",IF(INDEX($U$2:$AC$1001,MATCH(ROWS($N$2:N73),$N$2:$N$1001,0),MATCH(COLUMNS($U$1006:Y1006),$U$1006:$AC$1006,0)), HYPERLINK("#",""), HYPERLINK(CONCATENATE("#metadata!", ADDRESS(INDEX($P$2:$P$1001,MATCH(ROWS($N$2:N73),$N$2:$N$1001,0),0), INDEX($U$1004:$AC$1004,1,MATCH(COLUMNS($U$1006:Y1006),$U$1006:$AC$1006,0)))),"Fix")))</f>
        <v>0</v>
      </c>
      <c r="G73" s="3">
        <f>IF(OR(INDEX($O$2:$O$1001,MATCH(ROWS($N$2:N73),$N$2:$N$1001,0),1)&gt;=100000,INDEX($U$1005:$AC$1005,1,MATCH(COLUMNS($U$1006:Z1006),$U$1006:$AC$1006,0))&gt;=100000), " ",IF(INDEX($U$2:$AC$1001,MATCH(ROWS($N$2:N73),$N$2:$N$1001,0),MATCH(COLUMNS($U$1006:Z1006),$U$1006:$AC$1006,0)), HYPERLINK("#",""), HYPERLINK(CONCATENATE("#metadata!", ADDRESS(INDEX($P$2:$P$1001,MATCH(ROWS($N$2:N73),$N$2:$N$1001,0),0), INDEX($U$1004:$AC$1004,1,MATCH(COLUMNS($U$1006:Z1006),$U$1006:$AC$1006,0)))),"Fix")))</f>
        <v>0</v>
      </c>
      <c r="H73" s="3">
        <f>IF(OR(INDEX($O$2:$O$1001,MATCH(ROWS($N$2:N73),$N$2:$N$1001,0),1)&gt;=100000,INDEX($U$1005:$AC$1005,1,MATCH(COLUMNS($U$1006:AA1006),$U$1006:$AC$1006,0))&gt;=100000), " ",IF(INDEX($U$2:$AC$1001,MATCH(ROWS($N$2:N73),$N$2:$N$1001,0),MATCH(COLUMNS($U$1006:AA1006),$U$1006:$AC$1006,0)), HYPERLINK("#",""), HYPERLINK(CONCATENATE("#metadata!", ADDRESS(INDEX($P$2:$P$1001,MATCH(ROWS($N$2:N73),$N$2:$N$1001,0),0), INDEX($U$1004:$AC$1004,1,MATCH(COLUMNS($U$1006:AA1006),$U$1006:$AC$1006,0)))),"Fix")))</f>
        <v>0</v>
      </c>
      <c r="I73" s="3">
        <f>IF(OR(INDEX($O$2:$O$1001,MATCH(ROWS($N$2:N73),$N$2:$N$1001,0),1)&gt;=100000,INDEX($U$1005:$AC$1005,1,MATCH(COLUMNS($U$1006:AB1006),$U$1006:$AC$1006,0))&gt;=100000), " ",IF(INDEX($U$2:$AC$1001,MATCH(ROWS($N$2:N73),$N$2:$N$1001,0),MATCH(COLUMNS($U$1006:AB1006),$U$1006:$AC$1006,0)), HYPERLINK("#",""), HYPERLINK(CONCATENATE("#metadata!", ADDRESS(INDEX($P$2:$P$1001,MATCH(ROWS($N$2:N73),$N$2:$N$1001,0),0), INDEX($U$1004:$AC$1004,1,MATCH(COLUMNS($U$1006:AB1006),$U$1006:$AC$1006,0)))),"Fix")))</f>
        <v>0</v>
      </c>
      <c r="J73" s="3">
        <f>IF(OR(INDEX($O$2:$O$1001,MATCH(ROWS($N$2:N73),$N$2:$N$1001,0),1)&gt;=100000,INDEX($U$1005:$AC$1005,1,MATCH(COLUMNS($U$1006:AC1006),$U$1006:$AC$1006,0))&gt;=100000), " ",IF(INDEX($U$2:$AC$1001,MATCH(ROWS($N$2:N73),$N$2:$N$1001,0),MATCH(COLUMNS($U$1006:AC1006),$U$1006:$AC$1006,0)), HYPERLINK("#",""), HYPERLINK(CONCATENATE("#metadata!", ADDRESS(INDEX($P$2:$P$1001,MATCH(ROWS($N$2:N73),$N$2:$N$1001,0),0), INDEX($U$1004:$AC$1004,1,MATCH(COLUMNS($U$1006:AC1006),$U$1006:$AC$1006,0)))),"Fix")))</f>
        <v>0</v>
      </c>
      <c r="N73">
        <v>0</v>
      </c>
      <c r="O73">
        <v>0</v>
      </c>
      <c r="P73">
        <v>0</v>
      </c>
      <c r="Q73">
        <f>IF(R73,TRUE,AND(U73:AC73))</f>
        <v>0</v>
      </c>
      <c r="R73">
        <f>COUNTBLANK(metadata!B73:J73)=COLUMNS(metadata!B73:J73)</f>
        <v>0</v>
      </c>
      <c r="S73">
        <v>0</v>
      </c>
      <c r="U73">
        <f>AND(IF(metadata!B73="",FALSE,TRUE),COUNTIF(metadata!B:B, metadata!B73) = 1,NOT(ISERROR(SUMPRODUCT(SEARCH(MID(metadata!B73,ROW(INDIRECT("1:"&amp;LEN(metadata!B73))), 1),"0123456789abcdefghijklmnopqrstuvwxyzABCDEFGHIJKLMNOPQRSTUVWXYZ.")))))</f>
        <v>0</v>
      </c>
      <c r="V73">
        <f>AND(IF(metadata!C73="",FALSE,TRUE),exact(metadata!C73,"UBERON:genitourinary"))</f>
        <v>0</v>
      </c>
      <c r="W73">
        <f>AND(IF(metadata!D73="",FALSE,TRUE),exact(metadata!D73,"UBERON:urine"))</f>
        <v>0</v>
      </c>
      <c r="X73">
        <f>AND(IF(metadata!E73="",FALSE,TRUE),exact(metadata!E73,"UBERON:kidney"))</f>
        <v>0</v>
      </c>
      <c r="Y73">
        <f>AND(IF(metadata!F73="",FALSE,TRUE),exact(metadata!F73,"animal corpus"))</f>
        <v>0</v>
      </c>
      <c r="Z73">
        <f>AND(IF(metadata!G73="",FALSE,TRUE),exact(metadata!G73,"urine"))</f>
        <v>0</v>
      </c>
      <c r="AA73">
        <f>AND(IF(metadata!H73="",FALSE,TRUE),exact(metadata!H73,"urine"))</f>
        <v>0</v>
      </c>
      <c r="AB73">
        <f>AND(IF(metadata!I73="",FALSE,TRUE),exact(metadata!I73,"urine metagenome"))</f>
        <v>0</v>
      </c>
      <c r="AC73">
        <f>AND(IF(metadata!J73="",FALSE,TRUE),exact(metadata!J73,"1346744"))</f>
        <v>0</v>
      </c>
    </row>
    <row r="74" spans="1:29">
      <c r="A74" s="4">
        <f>IF(B74=" "," ",HYPERLINK(CONCATENATE("#metadata!",ADDRESS(INDEX($P$2:$P$1001,MATCH(ROWS($N$2:N74),$N$2:$N$1001,0),0),1)),INDEX($S$2:$S$1001,MATCH(ROWS($N$2:N74),$N$2:$N$1001,0),0)))</f>
        <v>0</v>
      </c>
      <c r="B74" s="3">
        <f>IF(OR(INDEX($O$2:$O$1001,MATCH(ROWS($N$2:N74),$N$2:$N$1001,0),1)&gt;=100000,INDEX($U$1005:$AC$1005,1,MATCH(COLUMNS($U$1006:U1006),$U$1006:$AC$1006,0))&gt;=100000), " ",IF(INDEX($U$2:$AC$1001,MATCH(ROWS($N$2:N74),$N$2:$N$1001,0),MATCH(COLUMNS($U$1006:U1006),$U$1006:$AC$1006,0)), HYPERLINK("#",""), HYPERLINK(CONCATENATE("#metadata!", ADDRESS(INDEX($P$2:$P$1001,MATCH(ROWS($N$2:N74),$N$2:$N$1001,0),0), INDEX($U$1004:$AC$1004,1,MATCH(COLUMNS($U$1006:U1006),$U$1006:$AC$1006,0)))),"Fix")))</f>
        <v>0</v>
      </c>
      <c r="C74" s="3">
        <f>IF(OR(INDEX($O$2:$O$1001,MATCH(ROWS($N$2:N74),$N$2:$N$1001,0),1)&gt;=100000,INDEX($U$1005:$AC$1005,1,MATCH(COLUMNS($U$1006:V1006),$U$1006:$AC$1006,0))&gt;=100000), " ",IF(INDEX($U$2:$AC$1001,MATCH(ROWS($N$2:N74),$N$2:$N$1001,0),MATCH(COLUMNS($U$1006:V1006),$U$1006:$AC$1006,0)), HYPERLINK("#",""), HYPERLINK(CONCATENATE("#metadata!", ADDRESS(INDEX($P$2:$P$1001,MATCH(ROWS($N$2:N74),$N$2:$N$1001,0),0), INDEX($U$1004:$AC$1004,1,MATCH(COLUMNS($U$1006:V1006),$U$1006:$AC$1006,0)))),"Fix")))</f>
        <v>0</v>
      </c>
      <c r="D74" s="3">
        <f>IF(OR(INDEX($O$2:$O$1001,MATCH(ROWS($N$2:N74),$N$2:$N$1001,0),1)&gt;=100000,INDEX($U$1005:$AC$1005,1,MATCH(COLUMNS($U$1006:W1006),$U$1006:$AC$1006,0))&gt;=100000), " ",IF(INDEX($U$2:$AC$1001,MATCH(ROWS($N$2:N74),$N$2:$N$1001,0),MATCH(COLUMNS($U$1006:W1006),$U$1006:$AC$1006,0)), HYPERLINK("#",""), HYPERLINK(CONCATENATE("#metadata!", ADDRESS(INDEX($P$2:$P$1001,MATCH(ROWS($N$2:N74),$N$2:$N$1001,0),0), INDEX($U$1004:$AC$1004,1,MATCH(COLUMNS($U$1006:W1006),$U$1006:$AC$1006,0)))),"Fix")))</f>
        <v>0</v>
      </c>
      <c r="E74" s="3">
        <f>IF(OR(INDEX($O$2:$O$1001,MATCH(ROWS($N$2:N74),$N$2:$N$1001,0),1)&gt;=100000,INDEX($U$1005:$AC$1005,1,MATCH(COLUMNS($U$1006:X1006),$U$1006:$AC$1006,0))&gt;=100000), " ",IF(INDEX($U$2:$AC$1001,MATCH(ROWS($N$2:N74),$N$2:$N$1001,0),MATCH(COLUMNS($U$1006:X1006),$U$1006:$AC$1006,0)), HYPERLINK("#",""), HYPERLINK(CONCATENATE("#metadata!", ADDRESS(INDEX($P$2:$P$1001,MATCH(ROWS($N$2:N74),$N$2:$N$1001,0),0), INDEX($U$1004:$AC$1004,1,MATCH(COLUMNS($U$1006:X1006),$U$1006:$AC$1006,0)))),"Fix")))</f>
        <v>0</v>
      </c>
      <c r="F74" s="3">
        <f>IF(OR(INDEX($O$2:$O$1001,MATCH(ROWS($N$2:N74),$N$2:$N$1001,0),1)&gt;=100000,INDEX($U$1005:$AC$1005,1,MATCH(COLUMNS($U$1006:Y1006),$U$1006:$AC$1006,0))&gt;=100000), " ",IF(INDEX($U$2:$AC$1001,MATCH(ROWS($N$2:N74),$N$2:$N$1001,0),MATCH(COLUMNS($U$1006:Y1006),$U$1006:$AC$1006,0)), HYPERLINK("#",""), HYPERLINK(CONCATENATE("#metadata!", ADDRESS(INDEX($P$2:$P$1001,MATCH(ROWS($N$2:N74),$N$2:$N$1001,0),0), INDEX($U$1004:$AC$1004,1,MATCH(COLUMNS($U$1006:Y1006),$U$1006:$AC$1006,0)))),"Fix")))</f>
        <v>0</v>
      </c>
      <c r="G74" s="3">
        <f>IF(OR(INDEX($O$2:$O$1001,MATCH(ROWS($N$2:N74),$N$2:$N$1001,0),1)&gt;=100000,INDEX($U$1005:$AC$1005,1,MATCH(COLUMNS($U$1006:Z1006),$U$1006:$AC$1006,0))&gt;=100000), " ",IF(INDEX($U$2:$AC$1001,MATCH(ROWS($N$2:N74),$N$2:$N$1001,0),MATCH(COLUMNS($U$1006:Z1006),$U$1006:$AC$1006,0)), HYPERLINK("#",""), HYPERLINK(CONCATENATE("#metadata!", ADDRESS(INDEX($P$2:$P$1001,MATCH(ROWS($N$2:N74),$N$2:$N$1001,0),0), INDEX($U$1004:$AC$1004,1,MATCH(COLUMNS($U$1006:Z1006),$U$1006:$AC$1006,0)))),"Fix")))</f>
        <v>0</v>
      </c>
      <c r="H74" s="3">
        <f>IF(OR(INDEX($O$2:$O$1001,MATCH(ROWS($N$2:N74),$N$2:$N$1001,0),1)&gt;=100000,INDEX($U$1005:$AC$1005,1,MATCH(COLUMNS($U$1006:AA1006),$U$1006:$AC$1006,0))&gt;=100000), " ",IF(INDEX($U$2:$AC$1001,MATCH(ROWS($N$2:N74),$N$2:$N$1001,0),MATCH(COLUMNS($U$1006:AA1006),$U$1006:$AC$1006,0)), HYPERLINK("#",""), HYPERLINK(CONCATENATE("#metadata!", ADDRESS(INDEX($P$2:$P$1001,MATCH(ROWS($N$2:N74),$N$2:$N$1001,0),0), INDEX($U$1004:$AC$1004,1,MATCH(COLUMNS($U$1006:AA1006),$U$1006:$AC$1006,0)))),"Fix")))</f>
        <v>0</v>
      </c>
      <c r="I74" s="3">
        <f>IF(OR(INDEX($O$2:$O$1001,MATCH(ROWS($N$2:N74),$N$2:$N$1001,0),1)&gt;=100000,INDEX($U$1005:$AC$1005,1,MATCH(COLUMNS($U$1006:AB1006),$U$1006:$AC$1006,0))&gt;=100000), " ",IF(INDEX($U$2:$AC$1001,MATCH(ROWS($N$2:N74),$N$2:$N$1001,0),MATCH(COLUMNS($U$1006:AB1006),$U$1006:$AC$1006,0)), HYPERLINK("#",""), HYPERLINK(CONCATENATE("#metadata!", ADDRESS(INDEX($P$2:$P$1001,MATCH(ROWS($N$2:N74),$N$2:$N$1001,0),0), INDEX($U$1004:$AC$1004,1,MATCH(COLUMNS($U$1006:AB1006),$U$1006:$AC$1006,0)))),"Fix")))</f>
        <v>0</v>
      </c>
      <c r="J74" s="3">
        <f>IF(OR(INDEX($O$2:$O$1001,MATCH(ROWS($N$2:N74),$N$2:$N$1001,0),1)&gt;=100000,INDEX($U$1005:$AC$1005,1,MATCH(COLUMNS($U$1006:AC1006),$U$1006:$AC$1006,0))&gt;=100000), " ",IF(INDEX($U$2:$AC$1001,MATCH(ROWS($N$2:N74),$N$2:$N$1001,0),MATCH(COLUMNS($U$1006:AC1006),$U$1006:$AC$1006,0)), HYPERLINK("#",""), HYPERLINK(CONCATENATE("#metadata!", ADDRESS(INDEX($P$2:$P$1001,MATCH(ROWS($N$2:N74),$N$2:$N$1001,0),0), INDEX($U$1004:$AC$1004,1,MATCH(COLUMNS($U$1006:AC1006),$U$1006:$AC$1006,0)))),"Fix")))</f>
        <v>0</v>
      </c>
      <c r="N74">
        <v>0</v>
      </c>
      <c r="O74">
        <v>0</v>
      </c>
      <c r="P74">
        <v>0</v>
      </c>
      <c r="Q74">
        <f>IF(R74,TRUE,AND(U74:AC74))</f>
        <v>0</v>
      </c>
      <c r="R74">
        <f>COUNTBLANK(metadata!B74:J74)=COLUMNS(metadata!B74:J74)</f>
        <v>0</v>
      </c>
      <c r="S74">
        <v>0</v>
      </c>
      <c r="U74">
        <f>AND(IF(metadata!B74="",FALSE,TRUE),COUNTIF(metadata!B:B, metadata!B74) = 1,NOT(ISERROR(SUMPRODUCT(SEARCH(MID(metadata!B74,ROW(INDIRECT("1:"&amp;LEN(metadata!B74))), 1),"0123456789abcdefghijklmnopqrstuvwxyzABCDEFGHIJKLMNOPQRSTUVWXYZ.")))))</f>
        <v>0</v>
      </c>
      <c r="V74">
        <f>AND(IF(metadata!C74="",FALSE,TRUE),exact(metadata!C74,"UBERON:genitourinary"))</f>
        <v>0</v>
      </c>
      <c r="W74">
        <f>AND(IF(metadata!D74="",FALSE,TRUE),exact(metadata!D74,"UBERON:urine"))</f>
        <v>0</v>
      </c>
      <c r="X74">
        <f>AND(IF(metadata!E74="",FALSE,TRUE),exact(metadata!E74,"UBERON:kidney"))</f>
        <v>0</v>
      </c>
      <c r="Y74">
        <f>AND(IF(metadata!F74="",FALSE,TRUE),exact(metadata!F74,"animal corpus"))</f>
        <v>0</v>
      </c>
      <c r="Z74">
        <f>AND(IF(metadata!G74="",FALSE,TRUE),exact(metadata!G74,"urine"))</f>
        <v>0</v>
      </c>
      <c r="AA74">
        <f>AND(IF(metadata!H74="",FALSE,TRUE),exact(metadata!H74,"urine"))</f>
        <v>0</v>
      </c>
      <c r="AB74">
        <f>AND(IF(metadata!I74="",FALSE,TRUE),exact(metadata!I74,"urine metagenome"))</f>
        <v>0</v>
      </c>
      <c r="AC74">
        <f>AND(IF(metadata!J74="",FALSE,TRUE),exact(metadata!J74,"1346744"))</f>
        <v>0</v>
      </c>
    </row>
    <row r="75" spans="1:29">
      <c r="A75" s="4">
        <f>IF(B75=" "," ",HYPERLINK(CONCATENATE("#metadata!",ADDRESS(INDEX($P$2:$P$1001,MATCH(ROWS($N$2:N75),$N$2:$N$1001,0),0),1)),INDEX($S$2:$S$1001,MATCH(ROWS($N$2:N75),$N$2:$N$1001,0),0)))</f>
        <v>0</v>
      </c>
      <c r="B75" s="3">
        <f>IF(OR(INDEX($O$2:$O$1001,MATCH(ROWS($N$2:N75),$N$2:$N$1001,0),1)&gt;=100000,INDEX($U$1005:$AC$1005,1,MATCH(COLUMNS($U$1006:U1006),$U$1006:$AC$1006,0))&gt;=100000), " ",IF(INDEX($U$2:$AC$1001,MATCH(ROWS($N$2:N75),$N$2:$N$1001,0),MATCH(COLUMNS($U$1006:U1006),$U$1006:$AC$1006,0)), HYPERLINK("#",""), HYPERLINK(CONCATENATE("#metadata!", ADDRESS(INDEX($P$2:$P$1001,MATCH(ROWS($N$2:N75),$N$2:$N$1001,0),0), INDEX($U$1004:$AC$1004,1,MATCH(COLUMNS($U$1006:U1006),$U$1006:$AC$1006,0)))),"Fix")))</f>
        <v>0</v>
      </c>
      <c r="C75" s="3">
        <f>IF(OR(INDEX($O$2:$O$1001,MATCH(ROWS($N$2:N75),$N$2:$N$1001,0),1)&gt;=100000,INDEX($U$1005:$AC$1005,1,MATCH(COLUMNS($U$1006:V1006),$U$1006:$AC$1006,0))&gt;=100000), " ",IF(INDEX($U$2:$AC$1001,MATCH(ROWS($N$2:N75),$N$2:$N$1001,0),MATCH(COLUMNS($U$1006:V1006),$U$1006:$AC$1006,0)), HYPERLINK("#",""), HYPERLINK(CONCATENATE("#metadata!", ADDRESS(INDEX($P$2:$P$1001,MATCH(ROWS($N$2:N75),$N$2:$N$1001,0),0), INDEX($U$1004:$AC$1004,1,MATCH(COLUMNS($U$1006:V1006),$U$1006:$AC$1006,0)))),"Fix")))</f>
        <v>0</v>
      </c>
      <c r="D75" s="3">
        <f>IF(OR(INDEX($O$2:$O$1001,MATCH(ROWS($N$2:N75),$N$2:$N$1001,0),1)&gt;=100000,INDEX($U$1005:$AC$1005,1,MATCH(COLUMNS($U$1006:W1006),$U$1006:$AC$1006,0))&gt;=100000), " ",IF(INDEX($U$2:$AC$1001,MATCH(ROWS($N$2:N75),$N$2:$N$1001,0),MATCH(COLUMNS($U$1006:W1006),$U$1006:$AC$1006,0)), HYPERLINK("#",""), HYPERLINK(CONCATENATE("#metadata!", ADDRESS(INDEX($P$2:$P$1001,MATCH(ROWS($N$2:N75),$N$2:$N$1001,0),0), INDEX($U$1004:$AC$1004,1,MATCH(COLUMNS($U$1006:W1006),$U$1006:$AC$1006,0)))),"Fix")))</f>
        <v>0</v>
      </c>
      <c r="E75" s="3">
        <f>IF(OR(INDEX($O$2:$O$1001,MATCH(ROWS($N$2:N75),$N$2:$N$1001,0),1)&gt;=100000,INDEX($U$1005:$AC$1005,1,MATCH(COLUMNS($U$1006:X1006),$U$1006:$AC$1006,0))&gt;=100000), " ",IF(INDEX($U$2:$AC$1001,MATCH(ROWS($N$2:N75),$N$2:$N$1001,0),MATCH(COLUMNS($U$1006:X1006),$U$1006:$AC$1006,0)), HYPERLINK("#",""), HYPERLINK(CONCATENATE("#metadata!", ADDRESS(INDEX($P$2:$P$1001,MATCH(ROWS($N$2:N75),$N$2:$N$1001,0),0), INDEX($U$1004:$AC$1004,1,MATCH(COLUMNS($U$1006:X1006),$U$1006:$AC$1006,0)))),"Fix")))</f>
        <v>0</v>
      </c>
      <c r="F75" s="3">
        <f>IF(OR(INDEX($O$2:$O$1001,MATCH(ROWS($N$2:N75),$N$2:$N$1001,0),1)&gt;=100000,INDEX($U$1005:$AC$1005,1,MATCH(COLUMNS($U$1006:Y1006),$U$1006:$AC$1006,0))&gt;=100000), " ",IF(INDEX($U$2:$AC$1001,MATCH(ROWS($N$2:N75),$N$2:$N$1001,0),MATCH(COLUMNS($U$1006:Y1006),$U$1006:$AC$1006,0)), HYPERLINK("#",""), HYPERLINK(CONCATENATE("#metadata!", ADDRESS(INDEX($P$2:$P$1001,MATCH(ROWS($N$2:N75),$N$2:$N$1001,0),0), INDEX($U$1004:$AC$1004,1,MATCH(COLUMNS($U$1006:Y1006),$U$1006:$AC$1006,0)))),"Fix")))</f>
        <v>0</v>
      </c>
      <c r="G75" s="3">
        <f>IF(OR(INDEX($O$2:$O$1001,MATCH(ROWS($N$2:N75),$N$2:$N$1001,0),1)&gt;=100000,INDEX($U$1005:$AC$1005,1,MATCH(COLUMNS($U$1006:Z1006),$U$1006:$AC$1006,0))&gt;=100000), " ",IF(INDEX($U$2:$AC$1001,MATCH(ROWS($N$2:N75),$N$2:$N$1001,0),MATCH(COLUMNS($U$1006:Z1006),$U$1006:$AC$1006,0)), HYPERLINK("#",""), HYPERLINK(CONCATENATE("#metadata!", ADDRESS(INDEX($P$2:$P$1001,MATCH(ROWS($N$2:N75),$N$2:$N$1001,0),0), INDEX($U$1004:$AC$1004,1,MATCH(COLUMNS($U$1006:Z1006),$U$1006:$AC$1006,0)))),"Fix")))</f>
        <v>0</v>
      </c>
      <c r="H75" s="3">
        <f>IF(OR(INDEX($O$2:$O$1001,MATCH(ROWS($N$2:N75),$N$2:$N$1001,0),1)&gt;=100000,INDEX($U$1005:$AC$1005,1,MATCH(COLUMNS($U$1006:AA1006),$U$1006:$AC$1006,0))&gt;=100000), " ",IF(INDEX($U$2:$AC$1001,MATCH(ROWS($N$2:N75),$N$2:$N$1001,0),MATCH(COLUMNS($U$1006:AA1006),$U$1006:$AC$1006,0)), HYPERLINK("#",""), HYPERLINK(CONCATENATE("#metadata!", ADDRESS(INDEX($P$2:$P$1001,MATCH(ROWS($N$2:N75),$N$2:$N$1001,0),0), INDEX($U$1004:$AC$1004,1,MATCH(COLUMNS($U$1006:AA1006),$U$1006:$AC$1006,0)))),"Fix")))</f>
        <v>0</v>
      </c>
      <c r="I75" s="3">
        <f>IF(OR(INDEX($O$2:$O$1001,MATCH(ROWS($N$2:N75),$N$2:$N$1001,0),1)&gt;=100000,INDEX($U$1005:$AC$1005,1,MATCH(COLUMNS($U$1006:AB1006),$U$1006:$AC$1006,0))&gt;=100000), " ",IF(INDEX($U$2:$AC$1001,MATCH(ROWS($N$2:N75),$N$2:$N$1001,0),MATCH(COLUMNS($U$1006:AB1006),$U$1006:$AC$1006,0)), HYPERLINK("#",""), HYPERLINK(CONCATENATE("#metadata!", ADDRESS(INDEX($P$2:$P$1001,MATCH(ROWS($N$2:N75),$N$2:$N$1001,0),0), INDEX($U$1004:$AC$1004,1,MATCH(COLUMNS($U$1006:AB1006),$U$1006:$AC$1006,0)))),"Fix")))</f>
        <v>0</v>
      </c>
      <c r="J75" s="3">
        <f>IF(OR(INDEX($O$2:$O$1001,MATCH(ROWS($N$2:N75),$N$2:$N$1001,0),1)&gt;=100000,INDEX($U$1005:$AC$1005,1,MATCH(COLUMNS($U$1006:AC1006),$U$1006:$AC$1006,0))&gt;=100000), " ",IF(INDEX($U$2:$AC$1001,MATCH(ROWS($N$2:N75),$N$2:$N$1001,0),MATCH(COLUMNS($U$1006:AC1006),$U$1006:$AC$1006,0)), HYPERLINK("#",""), HYPERLINK(CONCATENATE("#metadata!", ADDRESS(INDEX($P$2:$P$1001,MATCH(ROWS($N$2:N75),$N$2:$N$1001,0),0), INDEX($U$1004:$AC$1004,1,MATCH(COLUMNS($U$1006:AC1006),$U$1006:$AC$1006,0)))),"Fix")))</f>
        <v>0</v>
      </c>
      <c r="N75">
        <v>0</v>
      </c>
      <c r="O75">
        <v>0</v>
      </c>
      <c r="P75">
        <v>0</v>
      </c>
      <c r="Q75">
        <f>IF(R75,TRUE,AND(U75:AC75))</f>
        <v>0</v>
      </c>
      <c r="R75">
        <f>COUNTBLANK(metadata!B75:J75)=COLUMNS(metadata!B75:J75)</f>
        <v>0</v>
      </c>
      <c r="S75">
        <v>0</v>
      </c>
      <c r="U75">
        <f>AND(IF(metadata!B75="",FALSE,TRUE),COUNTIF(metadata!B:B, metadata!B75) = 1,NOT(ISERROR(SUMPRODUCT(SEARCH(MID(metadata!B75,ROW(INDIRECT("1:"&amp;LEN(metadata!B75))), 1),"0123456789abcdefghijklmnopqrstuvwxyzABCDEFGHIJKLMNOPQRSTUVWXYZ.")))))</f>
        <v>0</v>
      </c>
      <c r="V75">
        <f>AND(IF(metadata!C75="",FALSE,TRUE),exact(metadata!C75,"UBERON:genitourinary"))</f>
        <v>0</v>
      </c>
      <c r="W75">
        <f>AND(IF(metadata!D75="",FALSE,TRUE),exact(metadata!D75,"UBERON:urine"))</f>
        <v>0</v>
      </c>
      <c r="X75">
        <f>AND(IF(metadata!E75="",FALSE,TRUE),exact(metadata!E75,"UBERON:kidney"))</f>
        <v>0</v>
      </c>
      <c r="Y75">
        <f>AND(IF(metadata!F75="",FALSE,TRUE),exact(metadata!F75,"animal corpus"))</f>
        <v>0</v>
      </c>
      <c r="Z75">
        <f>AND(IF(metadata!G75="",FALSE,TRUE),exact(metadata!G75,"urine"))</f>
        <v>0</v>
      </c>
      <c r="AA75">
        <f>AND(IF(metadata!H75="",FALSE,TRUE),exact(metadata!H75,"urine"))</f>
        <v>0</v>
      </c>
      <c r="AB75">
        <f>AND(IF(metadata!I75="",FALSE,TRUE),exact(metadata!I75,"urine metagenome"))</f>
        <v>0</v>
      </c>
      <c r="AC75">
        <f>AND(IF(metadata!J75="",FALSE,TRUE),exact(metadata!J75,"1346744"))</f>
        <v>0</v>
      </c>
    </row>
    <row r="76" spans="1:29">
      <c r="A76" s="4">
        <f>IF(B76=" "," ",HYPERLINK(CONCATENATE("#metadata!",ADDRESS(INDEX($P$2:$P$1001,MATCH(ROWS($N$2:N76),$N$2:$N$1001,0),0),1)),INDEX($S$2:$S$1001,MATCH(ROWS($N$2:N76),$N$2:$N$1001,0),0)))</f>
        <v>0</v>
      </c>
      <c r="B76" s="3">
        <f>IF(OR(INDEX($O$2:$O$1001,MATCH(ROWS($N$2:N76),$N$2:$N$1001,0),1)&gt;=100000,INDEX($U$1005:$AC$1005,1,MATCH(COLUMNS($U$1006:U1006),$U$1006:$AC$1006,0))&gt;=100000), " ",IF(INDEX($U$2:$AC$1001,MATCH(ROWS($N$2:N76),$N$2:$N$1001,0),MATCH(COLUMNS($U$1006:U1006),$U$1006:$AC$1006,0)), HYPERLINK("#",""), HYPERLINK(CONCATENATE("#metadata!", ADDRESS(INDEX($P$2:$P$1001,MATCH(ROWS($N$2:N76),$N$2:$N$1001,0),0), INDEX($U$1004:$AC$1004,1,MATCH(COLUMNS($U$1006:U1006),$U$1006:$AC$1006,0)))),"Fix")))</f>
        <v>0</v>
      </c>
      <c r="C76" s="3">
        <f>IF(OR(INDEX($O$2:$O$1001,MATCH(ROWS($N$2:N76),$N$2:$N$1001,0),1)&gt;=100000,INDEX($U$1005:$AC$1005,1,MATCH(COLUMNS($U$1006:V1006),$U$1006:$AC$1006,0))&gt;=100000), " ",IF(INDEX($U$2:$AC$1001,MATCH(ROWS($N$2:N76),$N$2:$N$1001,0),MATCH(COLUMNS($U$1006:V1006),$U$1006:$AC$1006,0)), HYPERLINK("#",""), HYPERLINK(CONCATENATE("#metadata!", ADDRESS(INDEX($P$2:$P$1001,MATCH(ROWS($N$2:N76),$N$2:$N$1001,0),0), INDEX($U$1004:$AC$1004,1,MATCH(COLUMNS($U$1006:V1006),$U$1006:$AC$1006,0)))),"Fix")))</f>
        <v>0</v>
      </c>
      <c r="D76" s="3">
        <f>IF(OR(INDEX($O$2:$O$1001,MATCH(ROWS($N$2:N76),$N$2:$N$1001,0),1)&gt;=100000,INDEX($U$1005:$AC$1005,1,MATCH(COLUMNS($U$1006:W1006),$U$1006:$AC$1006,0))&gt;=100000), " ",IF(INDEX($U$2:$AC$1001,MATCH(ROWS($N$2:N76),$N$2:$N$1001,0),MATCH(COLUMNS($U$1006:W1006),$U$1006:$AC$1006,0)), HYPERLINK("#",""), HYPERLINK(CONCATENATE("#metadata!", ADDRESS(INDEX($P$2:$P$1001,MATCH(ROWS($N$2:N76),$N$2:$N$1001,0),0), INDEX($U$1004:$AC$1004,1,MATCH(COLUMNS($U$1006:W1006),$U$1006:$AC$1006,0)))),"Fix")))</f>
        <v>0</v>
      </c>
      <c r="E76" s="3">
        <f>IF(OR(INDEX($O$2:$O$1001,MATCH(ROWS($N$2:N76),$N$2:$N$1001,0),1)&gt;=100000,INDEX($U$1005:$AC$1005,1,MATCH(COLUMNS($U$1006:X1006),$U$1006:$AC$1006,0))&gt;=100000), " ",IF(INDEX($U$2:$AC$1001,MATCH(ROWS($N$2:N76),$N$2:$N$1001,0),MATCH(COLUMNS($U$1006:X1006),$U$1006:$AC$1006,0)), HYPERLINK("#",""), HYPERLINK(CONCATENATE("#metadata!", ADDRESS(INDEX($P$2:$P$1001,MATCH(ROWS($N$2:N76),$N$2:$N$1001,0),0), INDEX($U$1004:$AC$1004,1,MATCH(COLUMNS($U$1006:X1006),$U$1006:$AC$1006,0)))),"Fix")))</f>
        <v>0</v>
      </c>
      <c r="F76" s="3">
        <f>IF(OR(INDEX($O$2:$O$1001,MATCH(ROWS($N$2:N76),$N$2:$N$1001,0),1)&gt;=100000,INDEX($U$1005:$AC$1005,1,MATCH(COLUMNS($U$1006:Y1006),$U$1006:$AC$1006,0))&gt;=100000), " ",IF(INDEX($U$2:$AC$1001,MATCH(ROWS($N$2:N76),$N$2:$N$1001,0),MATCH(COLUMNS($U$1006:Y1006),$U$1006:$AC$1006,0)), HYPERLINK("#",""), HYPERLINK(CONCATENATE("#metadata!", ADDRESS(INDEX($P$2:$P$1001,MATCH(ROWS($N$2:N76),$N$2:$N$1001,0),0), INDEX($U$1004:$AC$1004,1,MATCH(COLUMNS($U$1006:Y1006),$U$1006:$AC$1006,0)))),"Fix")))</f>
        <v>0</v>
      </c>
      <c r="G76" s="3">
        <f>IF(OR(INDEX($O$2:$O$1001,MATCH(ROWS($N$2:N76),$N$2:$N$1001,0),1)&gt;=100000,INDEX($U$1005:$AC$1005,1,MATCH(COLUMNS($U$1006:Z1006),$U$1006:$AC$1006,0))&gt;=100000), " ",IF(INDEX($U$2:$AC$1001,MATCH(ROWS($N$2:N76),$N$2:$N$1001,0),MATCH(COLUMNS($U$1006:Z1006),$U$1006:$AC$1006,0)), HYPERLINK("#",""), HYPERLINK(CONCATENATE("#metadata!", ADDRESS(INDEX($P$2:$P$1001,MATCH(ROWS($N$2:N76),$N$2:$N$1001,0),0), INDEX($U$1004:$AC$1004,1,MATCH(COLUMNS($U$1006:Z1006),$U$1006:$AC$1006,0)))),"Fix")))</f>
        <v>0</v>
      </c>
      <c r="H76" s="3">
        <f>IF(OR(INDEX($O$2:$O$1001,MATCH(ROWS($N$2:N76),$N$2:$N$1001,0),1)&gt;=100000,INDEX($U$1005:$AC$1005,1,MATCH(COLUMNS($U$1006:AA1006),$U$1006:$AC$1006,0))&gt;=100000), " ",IF(INDEX($U$2:$AC$1001,MATCH(ROWS($N$2:N76),$N$2:$N$1001,0),MATCH(COLUMNS($U$1006:AA1006),$U$1006:$AC$1006,0)), HYPERLINK("#",""), HYPERLINK(CONCATENATE("#metadata!", ADDRESS(INDEX($P$2:$P$1001,MATCH(ROWS($N$2:N76),$N$2:$N$1001,0),0), INDEX($U$1004:$AC$1004,1,MATCH(COLUMNS($U$1006:AA1006),$U$1006:$AC$1006,0)))),"Fix")))</f>
        <v>0</v>
      </c>
      <c r="I76" s="3">
        <f>IF(OR(INDEX($O$2:$O$1001,MATCH(ROWS($N$2:N76),$N$2:$N$1001,0),1)&gt;=100000,INDEX($U$1005:$AC$1005,1,MATCH(COLUMNS($U$1006:AB1006),$U$1006:$AC$1006,0))&gt;=100000), " ",IF(INDEX($U$2:$AC$1001,MATCH(ROWS($N$2:N76),$N$2:$N$1001,0),MATCH(COLUMNS($U$1006:AB1006),$U$1006:$AC$1006,0)), HYPERLINK("#",""), HYPERLINK(CONCATENATE("#metadata!", ADDRESS(INDEX($P$2:$P$1001,MATCH(ROWS($N$2:N76),$N$2:$N$1001,0),0), INDEX($U$1004:$AC$1004,1,MATCH(COLUMNS($U$1006:AB1006),$U$1006:$AC$1006,0)))),"Fix")))</f>
        <v>0</v>
      </c>
      <c r="J76" s="3">
        <f>IF(OR(INDEX($O$2:$O$1001,MATCH(ROWS($N$2:N76),$N$2:$N$1001,0),1)&gt;=100000,INDEX($U$1005:$AC$1005,1,MATCH(COLUMNS($U$1006:AC1006),$U$1006:$AC$1006,0))&gt;=100000), " ",IF(INDEX($U$2:$AC$1001,MATCH(ROWS($N$2:N76),$N$2:$N$1001,0),MATCH(COLUMNS($U$1006:AC1006),$U$1006:$AC$1006,0)), HYPERLINK("#",""), HYPERLINK(CONCATENATE("#metadata!", ADDRESS(INDEX($P$2:$P$1001,MATCH(ROWS($N$2:N76),$N$2:$N$1001,0),0), INDEX($U$1004:$AC$1004,1,MATCH(COLUMNS($U$1006:AC1006),$U$1006:$AC$1006,0)))),"Fix")))</f>
        <v>0</v>
      </c>
      <c r="N76">
        <v>0</v>
      </c>
      <c r="O76">
        <v>0</v>
      </c>
      <c r="P76">
        <v>0</v>
      </c>
      <c r="Q76">
        <f>IF(R76,TRUE,AND(U76:AC76))</f>
        <v>0</v>
      </c>
      <c r="R76">
        <f>COUNTBLANK(metadata!B76:J76)=COLUMNS(metadata!B76:J76)</f>
        <v>0</v>
      </c>
      <c r="S76">
        <v>0</v>
      </c>
      <c r="U76">
        <f>AND(IF(metadata!B76="",FALSE,TRUE),COUNTIF(metadata!B:B, metadata!B76) = 1,NOT(ISERROR(SUMPRODUCT(SEARCH(MID(metadata!B76,ROW(INDIRECT("1:"&amp;LEN(metadata!B76))), 1),"0123456789abcdefghijklmnopqrstuvwxyzABCDEFGHIJKLMNOPQRSTUVWXYZ.")))))</f>
        <v>0</v>
      </c>
      <c r="V76">
        <f>AND(IF(metadata!C76="",FALSE,TRUE),exact(metadata!C76,"UBERON:genitourinary"))</f>
        <v>0</v>
      </c>
      <c r="W76">
        <f>AND(IF(metadata!D76="",FALSE,TRUE),exact(metadata!D76,"UBERON:urine"))</f>
        <v>0</v>
      </c>
      <c r="X76">
        <f>AND(IF(metadata!E76="",FALSE,TRUE),exact(metadata!E76,"UBERON:kidney"))</f>
        <v>0</v>
      </c>
      <c r="Y76">
        <f>AND(IF(metadata!F76="",FALSE,TRUE),exact(metadata!F76,"animal corpus"))</f>
        <v>0</v>
      </c>
      <c r="Z76">
        <f>AND(IF(metadata!G76="",FALSE,TRUE),exact(metadata!G76,"urine"))</f>
        <v>0</v>
      </c>
      <c r="AA76">
        <f>AND(IF(metadata!H76="",FALSE,TRUE),exact(metadata!H76,"urine"))</f>
        <v>0</v>
      </c>
      <c r="AB76">
        <f>AND(IF(metadata!I76="",FALSE,TRUE),exact(metadata!I76,"urine metagenome"))</f>
        <v>0</v>
      </c>
      <c r="AC76">
        <f>AND(IF(metadata!J76="",FALSE,TRUE),exact(metadata!J76,"1346744"))</f>
        <v>0</v>
      </c>
    </row>
    <row r="77" spans="1:29">
      <c r="A77" s="4">
        <f>IF(B77=" "," ",HYPERLINK(CONCATENATE("#metadata!",ADDRESS(INDEX($P$2:$P$1001,MATCH(ROWS($N$2:N77),$N$2:$N$1001,0),0),1)),INDEX($S$2:$S$1001,MATCH(ROWS($N$2:N77),$N$2:$N$1001,0),0)))</f>
        <v>0</v>
      </c>
      <c r="B77" s="3">
        <f>IF(OR(INDEX($O$2:$O$1001,MATCH(ROWS($N$2:N77),$N$2:$N$1001,0),1)&gt;=100000,INDEX($U$1005:$AC$1005,1,MATCH(COLUMNS($U$1006:U1006),$U$1006:$AC$1006,0))&gt;=100000), " ",IF(INDEX($U$2:$AC$1001,MATCH(ROWS($N$2:N77),$N$2:$N$1001,0),MATCH(COLUMNS($U$1006:U1006),$U$1006:$AC$1006,0)), HYPERLINK("#",""), HYPERLINK(CONCATENATE("#metadata!", ADDRESS(INDEX($P$2:$P$1001,MATCH(ROWS($N$2:N77),$N$2:$N$1001,0),0), INDEX($U$1004:$AC$1004,1,MATCH(COLUMNS($U$1006:U1006),$U$1006:$AC$1006,0)))),"Fix")))</f>
        <v>0</v>
      </c>
      <c r="C77" s="3">
        <f>IF(OR(INDEX($O$2:$O$1001,MATCH(ROWS($N$2:N77),$N$2:$N$1001,0),1)&gt;=100000,INDEX($U$1005:$AC$1005,1,MATCH(COLUMNS($U$1006:V1006),$U$1006:$AC$1006,0))&gt;=100000), " ",IF(INDEX($U$2:$AC$1001,MATCH(ROWS($N$2:N77),$N$2:$N$1001,0),MATCH(COLUMNS($U$1006:V1006),$U$1006:$AC$1006,0)), HYPERLINK("#",""), HYPERLINK(CONCATENATE("#metadata!", ADDRESS(INDEX($P$2:$P$1001,MATCH(ROWS($N$2:N77),$N$2:$N$1001,0),0), INDEX($U$1004:$AC$1004,1,MATCH(COLUMNS($U$1006:V1006),$U$1006:$AC$1006,0)))),"Fix")))</f>
        <v>0</v>
      </c>
      <c r="D77" s="3">
        <f>IF(OR(INDEX($O$2:$O$1001,MATCH(ROWS($N$2:N77),$N$2:$N$1001,0),1)&gt;=100000,INDEX($U$1005:$AC$1005,1,MATCH(COLUMNS($U$1006:W1006),$U$1006:$AC$1006,0))&gt;=100000), " ",IF(INDEX($U$2:$AC$1001,MATCH(ROWS($N$2:N77),$N$2:$N$1001,0),MATCH(COLUMNS($U$1006:W1006),$U$1006:$AC$1006,0)), HYPERLINK("#",""), HYPERLINK(CONCATENATE("#metadata!", ADDRESS(INDEX($P$2:$P$1001,MATCH(ROWS($N$2:N77),$N$2:$N$1001,0),0), INDEX($U$1004:$AC$1004,1,MATCH(COLUMNS($U$1006:W1006),$U$1006:$AC$1006,0)))),"Fix")))</f>
        <v>0</v>
      </c>
      <c r="E77" s="3">
        <f>IF(OR(INDEX($O$2:$O$1001,MATCH(ROWS($N$2:N77),$N$2:$N$1001,0),1)&gt;=100000,INDEX($U$1005:$AC$1005,1,MATCH(COLUMNS($U$1006:X1006),$U$1006:$AC$1006,0))&gt;=100000), " ",IF(INDEX($U$2:$AC$1001,MATCH(ROWS($N$2:N77),$N$2:$N$1001,0),MATCH(COLUMNS($U$1006:X1006),$U$1006:$AC$1006,0)), HYPERLINK("#",""), HYPERLINK(CONCATENATE("#metadata!", ADDRESS(INDEX($P$2:$P$1001,MATCH(ROWS($N$2:N77),$N$2:$N$1001,0),0), INDEX($U$1004:$AC$1004,1,MATCH(COLUMNS($U$1006:X1006),$U$1006:$AC$1006,0)))),"Fix")))</f>
        <v>0</v>
      </c>
      <c r="F77" s="3">
        <f>IF(OR(INDEX($O$2:$O$1001,MATCH(ROWS($N$2:N77),$N$2:$N$1001,0),1)&gt;=100000,INDEX($U$1005:$AC$1005,1,MATCH(COLUMNS($U$1006:Y1006),$U$1006:$AC$1006,0))&gt;=100000), " ",IF(INDEX($U$2:$AC$1001,MATCH(ROWS($N$2:N77),$N$2:$N$1001,0),MATCH(COLUMNS($U$1006:Y1006),$U$1006:$AC$1006,0)), HYPERLINK("#",""), HYPERLINK(CONCATENATE("#metadata!", ADDRESS(INDEX($P$2:$P$1001,MATCH(ROWS($N$2:N77),$N$2:$N$1001,0),0), INDEX($U$1004:$AC$1004,1,MATCH(COLUMNS($U$1006:Y1006),$U$1006:$AC$1006,0)))),"Fix")))</f>
        <v>0</v>
      </c>
      <c r="G77" s="3">
        <f>IF(OR(INDEX($O$2:$O$1001,MATCH(ROWS($N$2:N77),$N$2:$N$1001,0),1)&gt;=100000,INDEX($U$1005:$AC$1005,1,MATCH(COLUMNS($U$1006:Z1006),$U$1006:$AC$1006,0))&gt;=100000), " ",IF(INDEX($U$2:$AC$1001,MATCH(ROWS($N$2:N77),$N$2:$N$1001,0),MATCH(COLUMNS($U$1006:Z1006),$U$1006:$AC$1006,0)), HYPERLINK("#",""), HYPERLINK(CONCATENATE("#metadata!", ADDRESS(INDEX($P$2:$P$1001,MATCH(ROWS($N$2:N77),$N$2:$N$1001,0),0), INDEX($U$1004:$AC$1004,1,MATCH(COLUMNS($U$1006:Z1006),$U$1006:$AC$1006,0)))),"Fix")))</f>
        <v>0</v>
      </c>
      <c r="H77" s="3">
        <f>IF(OR(INDEX($O$2:$O$1001,MATCH(ROWS($N$2:N77),$N$2:$N$1001,0),1)&gt;=100000,INDEX($U$1005:$AC$1005,1,MATCH(COLUMNS($U$1006:AA1006),$U$1006:$AC$1006,0))&gt;=100000), " ",IF(INDEX($U$2:$AC$1001,MATCH(ROWS($N$2:N77),$N$2:$N$1001,0),MATCH(COLUMNS($U$1006:AA1006),$U$1006:$AC$1006,0)), HYPERLINK("#",""), HYPERLINK(CONCATENATE("#metadata!", ADDRESS(INDEX($P$2:$P$1001,MATCH(ROWS($N$2:N77),$N$2:$N$1001,0),0), INDEX($U$1004:$AC$1004,1,MATCH(COLUMNS($U$1006:AA1006),$U$1006:$AC$1006,0)))),"Fix")))</f>
        <v>0</v>
      </c>
      <c r="I77" s="3">
        <f>IF(OR(INDEX($O$2:$O$1001,MATCH(ROWS($N$2:N77),$N$2:$N$1001,0),1)&gt;=100000,INDEX($U$1005:$AC$1005,1,MATCH(COLUMNS($U$1006:AB1006),$U$1006:$AC$1006,0))&gt;=100000), " ",IF(INDEX($U$2:$AC$1001,MATCH(ROWS($N$2:N77),$N$2:$N$1001,0),MATCH(COLUMNS($U$1006:AB1006),$U$1006:$AC$1006,0)), HYPERLINK("#",""), HYPERLINK(CONCATENATE("#metadata!", ADDRESS(INDEX($P$2:$P$1001,MATCH(ROWS($N$2:N77),$N$2:$N$1001,0),0), INDEX($U$1004:$AC$1004,1,MATCH(COLUMNS($U$1006:AB1006),$U$1006:$AC$1006,0)))),"Fix")))</f>
        <v>0</v>
      </c>
      <c r="J77" s="3">
        <f>IF(OR(INDEX($O$2:$O$1001,MATCH(ROWS($N$2:N77),$N$2:$N$1001,0),1)&gt;=100000,INDEX($U$1005:$AC$1005,1,MATCH(COLUMNS($U$1006:AC1006),$U$1006:$AC$1006,0))&gt;=100000), " ",IF(INDEX($U$2:$AC$1001,MATCH(ROWS($N$2:N77),$N$2:$N$1001,0),MATCH(COLUMNS($U$1006:AC1006),$U$1006:$AC$1006,0)), HYPERLINK("#",""), HYPERLINK(CONCATENATE("#metadata!", ADDRESS(INDEX($P$2:$P$1001,MATCH(ROWS($N$2:N77),$N$2:$N$1001,0),0), INDEX($U$1004:$AC$1004,1,MATCH(COLUMNS($U$1006:AC1006),$U$1006:$AC$1006,0)))),"Fix")))</f>
        <v>0</v>
      </c>
      <c r="N77">
        <v>0</v>
      </c>
      <c r="O77">
        <v>0</v>
      </c>
      <c r="P77">
        <v>0</v>
      </c>
      <c r="Q77">
        <f>IF(R77,TRUE,AND(U77:AC77))</f>
        <v>0</v>
      </c>
      <c r="R77">
        <f>COUNTBLANK(metadata!B77:J77)=COLUMNS(metadata!B77:J77)</f>
        <v>0</v>
      </c>
      <c r="S77">
        <v>0</v>
      </c>
      <c r="U77">
        <f>AND(IF(metadata!B77="",FALSE,TRUE),COUNTIF(metadata!B:B, metadata!B77) = 1,NOT(ISERROR(SUMPRODUCT(SEARCH(MID(metadata!B77,ROW(INDIRECT("1:"&amp;LEN(metadata!B77))), 1),"0123456789abcdefghijklmnopqrstuvwxyzABCDEFGHIJKLMNOPQRSTUVWXYZ.")))))</f>
        <v>0</v>
      </c>
      <c r="V77">
        <f>AND(IF(metadata!C77="",FALSE,TRUE),exact(metadata!C77,"UBERON:genitourinary"))</f>
        <v>0</v>
      </c>
      <c r="W77">
        <f>AND(IF(metadata!D77="",FALSE,TRUE),exact(metadata!D77,"UBERON:urine"))</f>
        <v>0</v>
      </c>
      <c r="X77">
        <f>AND(IF(metadata!E77="",FALSE,TRUE),exact(metadata!E77,"UBERON:kidney"))</f>
        <v>0</v>
      </c>
      <c r="Y77">
        <f>AND(IF(metadata!F77="",FALSE,TRUE),exact(metadata!F77,"animal corpus"))</f>
        <v>0</v>
      </c>
      <c r="Z77">
        <f>AND(IF(metadata!G77="",FALSE,TRUE),exact(metadata!G77,"urine"))</f>
        <v>0</v>
      </c>
      <c r="AA77">
        <f>AND(IF(metadata!H77="",FALSE,TRUE),exact(metadata!H77,"urine"))</f>
        <v>0</v>
      </c>
      <c r="AB77">
        <f>AND(IF(metadata!I77="",FALSE,TRUE),exact(metadata!I77,"urine metagenome"))</f>
        <v>0</v>
      </c>
      <c r="AC77">
        <f>AND(IF(metadata!J77="",FALSE,TRUE),exact(metadata!J77,"1346744"))</f>
        <v>0</v>
      </c>
    </row>
    <row r="78" spans="1:29">
      <c r="A78" s="4">
        <f>IF(B78=" "," ",HYPERLINK(CONCATENATE("#metadata!",ADDRESS(INDEX($P$2:$P$1001,MATCH(ROWS($N$2:N78),$N$2:$N$1001,0),0),1)),INDEX($S$2:$S$1001,MATCH(ROWS($N$2:N78),$N$2:$N$1001,0),0)))</f>
        <v>0</v>
      </c>
      <c r="B78" s="3">
        <f>IF(OR(INDEX($O$2:$O$1001,MATCH(ROWS($N$2:N78),$N$2:$N$1001,0),1)&gt;=100000,INDEX($U$1005:$AC$1005,1,MATCH(COLUMNS($U$1006:U1006),$U$1006:$AC$1006,0))&gt;=100000), " ",IF(INDEX($U$2:$AC$1001,MATCH(ROWS($N$2:N78),$N$2:$N$1001,0),MATCH(COLUMNS($U$1006:U1006),$U$1006:$AC$1006,0)), HYPERLINK("#",""), HYPERLINK(CONCATENATE("#metadata!", ADDRESS(INDEX($P$2:$P$1001,MATCH(ROWS($N$2:N78),$N$2:$N$1001,0),0), INDEX($U$1004:$AC$1004,1,MATCH(COLUMNS($U$1006:U1006),$U$1006:$AC$1006,0)))),"Fix")))</f>
        <v>0</v>
      </c>
      <c r="C78" s="3">
        <f>IF(OR(INDEX($O$2:$O$1001,MATCH(ROWS($N$2:N78),$N$2:$N$1001,0),1)&gt;=100000,INDEX($U$1005:$AC$1005,1,MATCH(COLUMNS($U$1006:V1006),$U$1006:$AC$1006,0))&gt;=100000), " ",IF(INDEX($U$2:$AC$1001,MATCH(ROWS($N$2:N78),$N$2:$N$1001,0),MATCH(COLUMNS($U$1006:V1006),$U$1006:$AC$1006,0)), HYPERLINK("#",""), HYPERLINK(CONCATENATE("#metadata!", ADDRESS(INDEX($P$2:$P$1001,MATCH(ROWS($N$2:N78),$N$2:$N$1001,0),0), INDEX($U$1004:$AC$1004,1,MATCH(COLUMNS($U$1006:V1006),$U$1006:$AC$1006,0)))),"Fix")))</f>
        <v>0</v>
      </c>
      <c r="D78" s="3">
        <f>IF(OR(INDEX($O$2:$O$1001,MATCH(ROWS($N$2:N78),$N$2:$N$1001,0),1)&gt;=100000,INDEX($U$1005:$AC$1005,1,MATCH(COLUMNS($U$1006:W1006),$U$1006:$AC$1006,0))&gt;=100000), " ",IF(INDEX($U$2:$AC$1001,MATCH(ROWS($N$2:N78),$N$2:$N$1001,0),MATCH(COLUMNS($U$1006:W1006),$U$1006:$AC$1006,0)), HYPERLINK("#",""), HYPERLINK(CONCATENATE("#metadata!", ADDRESS(INDEX($P$2:$P$1001,MATCH(ROWS($N$2:N78),$N$2:$N$1001,0),0), INDEX($U$1004:$AC$1004,1,MATCH(COLUMNS($U$1006:W1006),$U$1006:$AC$1006,0)))),"Fix")))</f>
        <v>0</v>
      </c>
      <c r="E78" s="3">
        <f>IF(OR(INDEX($O$2:$O$1001,MATCH(ROWS($N$2:N78),$N$2:$N$1001,0),1)&gt;=100000,INDEX($U$1005:$AC$1005,1,MATCH(COLUMNS($U$1006:X1006),$U$1006:$AC$1006,0))&gt;=100000), " ",IF(INDEX($U$2:$AC$1001,MATCH(ROWS($N$2:N78),$N$2:$N$1001,0),MATCH(COLUMNS($U$1006:X1006),$U$1006:$AC$1006,0)), HYPERLINK("#",""), HYPERLINK(CONCATENATE("#metadata!", ADDRESS(INDEX($P$2:$P$1001,MATCH(ROWS($N$2:N78),$N$2:$N$1001,0),0), INDEX($U$1004:$AC$1004,1,MATCH(COLUMNS($U$1006:X1006),$U$1006:$AC$1006,0)))),"Fix")))</f>
        <v>0</v>
      </c>
      <c r="F78" s="3">
        <f>IF(OR(INDEX($O$2:$O$1001,MATCH(ROWS($N$2:N78),$N$2:$N$1001,0),1)&gt;=100000,INDEX($U$1005:$AC$1005,1,MATCH(COLUMNS($U$1006:Y1006),$U$1006:$AC$1006,0))&gt;=100000), " ",IF(INDEX($U$2:$AC$1001,MATCH(ROWS($N$2:N78),$N$2:$N$1001,0),MATCH(COLUMNS($U$1006:Y1006),$U$1006:$AC$1006,0)), HYPERLINK("#",""), HYPERLINK(CONCATENATE("#metadata!", ADDRESS(INDEX($P$2:$P$1001,MATCH(ROWS($N$2:N78),$N$2:$N$1001,0),0), INDEX($U$1004:$AC$1004,1,MATCH(COLUMNS($U$1006:Y1006),$U$1006:$AC$1006,0)))),"Fix")))</f>
        <v>0</v>
      </c>
      <c r="G78" s="3">
        <f>IF(OR(INDEX($O$2:$O$1001,MATCH(ROWS($N$2:N78),$N$2:$N$1001,0),1)&gt;=100000,INDEX($U$1005:$AC$1005,1,MATCH(COLUMNS($U$1006:Z1006),$U$1006:$AC$1006,0))&gt;=100000), " ",IF(INDEX($U$2:$AC$1001,MATCH(ROWS($N$2:N78),$N$2:$N$1001,0),MATCH(COLUMNS($U$1006:Z1006),$U$1006:$AC$1006,0)), HYPERLINK("#",""), HYPERLINK(CONCATENATE("#metadata!", ADDRESS(INDEX($P$2:$P$1001,MATCH(ROWS($N$2:N78),$N$2:$N$1001,0),0), INDEX($U$1004:$AC$1004,1,MATCH(COLUMNS($U$1006:Z1006),$U$1006:$AC$1006,0)))),"Fix")))</f>
        <v>0</v>
      </c>
      <c r="H78" s="3">
        <f>IF(OR(INDEX($O$2:$O$1001,MATCH(ROWS($N$2:N78),$N$2:$N$1001,0),1)&gt;=100000,INDEX($U$1005:$AC$1005,1,MATCH(COLUMNS($U$1006:AA1006),$U$1006:$AC$1006,0))&gt;=100000), " ",IF(INDEX($U$2:$AC$1001,MATCH(ROWS($N$2:N78),$N$2:$N$1001,0),MATCH(COLUMNS($U$1006:AA1006),$U$1006:$AC$1006,0)), HYPERLINK("#",""), HYPERLINK(CONCATENATE("#metadata!", ADDRESS(INDEX($P$2:$P$1001,MATCH(ROWS($N$2:N78),$N$2:$N$1001,0),0), INDEX($U$1004:$AC$1004,1,MATCH(COLUMNS($U$1006:AA1006),$U$1006:$AC$1006,0)))),"Fix")))</f>
        <v>0</v>
      </c>
      <c r="I78" s="3">
        <f>IF(OR(INDEX($O$2:$O$1001,MATCH(ROWS($N$2:N78),$N$2:$N$1001,0),1)&gt;=100000,INDEX($U$1005:$AC$1005,1,MATCH(COLUMNS($U$1006:AB1006),$U$1006:$AC$1006,0))&gt;=100000), " ",IF(INDEX($U$2:$AC$1001,MATCH(ROWS($N$2:N78),$N$2:$N$1001,0),MATCH(COLUMNS($U$1006:AB1006),$U$1006:$AC$1006,0)), HYPERLINK("#",""), HYPERLINK(CONCATENATE("#metadata!", ADDRESS(INDEX($P$2:$P$1001,MATCH(ROWS($N$2:N78),$N$2:$N$1001,0),0), INDEX($U$1004:$AC$1004,1,MATCH(COLUMNS($U$1006:AB1006),$U$1006:$AC$1006,0)))),"Fix")))</f>
        <v>0</v>
      </c>
      <c r="J78" s="3">
        <f>IF(OR(INDEX($O$2:$O$1001,MATCH(ROWS($N$2:N78),$N$2:$N$1001,0),1)&gt;=100000,INDEX($U$1005:$AC$1005,1,MATCH(COLUMNS($U$1006:AC1006),$U$1006:$AC$1006,0))&gt;=100000), " ",IF(INDEX($U$2:$AC$1001,MATCH(ROWS($N$2:N78),$N$2:$N$1001,0),MATCH(COLUMNS($U$1006:AC1006),$U$1006:$AC$1006,0)), HYPERLINK("#",""), HYPERLINK(CONCATENATE("#metadata!", ADDRESS(INDEX($P$2:$P$1001,MATCH(ROWS($N$2:N78),$N$2:$N$1001,0),0), INDEX($U$1004:$AC$1004,1,MATCH(COLUMNS($U$1006:AC1006),$U$1006:$AC$1006,0)))),"Fix")))</f>
        <v>0</v>
      </c>
      <c r="N78">
        <v>0</v>
      </c>
      <c r="O78">
        <v>0</v>
      </c>
      <c r="P78">
        <v>0</v>
      </c>
      <c r="Q78">
        <f>IF(R78,TRUE,AND(U78:AC78))</f>
        <v>0</v>
      </c>
      <c r="R78">
        <f>COUNTBLANK(metadata!B78:J78)=COLUMNS(metadata!B78:J78)</f>
        <v>0</v>
      </c>
      <c r="S78">
        <v>0</v>
      </c>
      <c r="U78">
        <f>AND(IF(metadata!B78="",FALSE,TRUE),COUNTIF(metadata!B:B, metadata!B78) = 1,NOT(ISERROR(SUMPRODUCT(SEARCH(MID(metadata!B78,ROW(INDIRECT("1:"&amp;LEN(metadata!B78))), 1),"0123456789abcdefghijklmnopqrstuvwxyzABCDEFGHIJKLMNOPQRSTUVWXYZ.")))))</f>
        <v>0</v>
      </c>
      <c r="V78">
        <f>AND(IF(metadata!C78="",FALSE,TRUE),exact(metadata!C78,"UBERON:genitourinary"))</f>
        <v>0</v>
      </c>
      <c r="W78">
        <f>AND(IF(metadata!D78="",FALSE,TRUE),exact(metadata!D78,"UBERON:urine"))</f>
        <v>0</v>
      </c>
      <c r="X78">
        <f>AND(IF(metadata!E78="",FALSE,TRUE),exact(metadata!E78,"UBERON:kidney"))</f>
        <v>0</v>
      </c>
      <c r="Y78">
        <f>AND(IF(metadata!F78="",FALSE,TRUE),exact(metadata!F78,"animal corpus"))</f>
        <v>0</v>
      </c>
      <c r="Z78">
        <f>AND(IF(metadata!G78="",FALSE,TRUE),exact(metadata!G78,"urine"))</f>
        <v>0</v>
      </c>
      <c r="AA78">
        <f>AND(IF(metadata!H78="",FALSE,TRUE),exact(metadata!H78,"urine"))</f>
        <v>0</v>
      </c>
      <c r="AB78">
        <f>AND(IF(metadata!I78="",FALSE,TRUE),exact(metadata!I78,"urine metagenome"))</f>
        <v>0</v>
      </c>
      <c r="AC78">
        <f>AND(IF(metadata!J78="",FALSE,TRUE),exact(metadata!J78,"1346744"))</f>
        <v>0</v>
      </c>
    </row>
    <row r="79" spans="1:29">
      <c r="A79" s="4">
        <f>IF(B79=" "," ",HYPERLINK(CONCATENATE("#metadata!",ADDRESS(INDEX($P$2:$P$1001,MATCH(ROWS($N$2:N79),$N$2:$N$1001,0),0),1)),INDEX($S$2:$S$1001,MATCH(ROWS($N$2:N79),$N$2:$N$1001,0),0)))</f>
        <v>0</v>
      </c>
      <c r="B79" s="3">
        <f>IF(OR(INDEX($O$2:$O$1001,MATCH(ROWS($N$2:N79),$N$2:$N$1001,0),1)&gt;=100000,INDEX($U$1005:$AC$1005,1,MATCH(COLUMNS($U$1006:U1006),$U$1006:$AC$1006,0))&gt;=100000), " ",IF(INDEX($U$2:$AC$1001,MATCH(ROWS($N$2:N79),$N$2:$N$1001,0),MATCH(COLUMNS($U$1006:U1006),$U$1006:$AC$1006,0)), HYPERLINK("#",""), HYPERLINK(CONCATENATE("#metadata!", ADDRESS(INDEX($P$2:$P$1001,MATCH(ROWS($N$2:N79),$N$2:$N$1001,0),0), INDEX($U$1004:$AC$1004,1,MATCH(COLUMNS($U$1006:U1006),$U$1006:$AC$1006,0)))),"Fix")))</f>
        <v>0</v>
      </c>
      <c r="C79" s="3">
        <f>IF(OR(INDEX($O$2:$O$1001,MATCH(ROWS($N$2:N79),$N$2:$N$1001,0),1)&gt;=100000,INDEX($U$1005:$AC$1005,1,MATCH(COLUMNS($U$1006:V1006),$U$1006:$AC$1006,0))&gt;=100000), " ",IF(INDEX($U$2:$AC$1001,MATCH(ROWS($N$2:N79),$N$2:$N$1001,0),MATCH(COLUMNS($U$1006:V1006),$U$1006:$AC$1006,0)), HYPERLINK("#",""), HYPERLINK(CONCATENATE("#metadata!", ADDRESS(INDEX($P$2:$P$1001,MATCH(ROWS($N$2:N79),$N$2:$N$1001,0),0), INDEX($U$1004:$AC$1004,1,MATCH(COLUMNS($U$1006:V1006),$U$1006:$AC$1006,0)))),"Fix")))</f>
        <v>0</v>
      </c>
      <c r="D79" s="3">
        <f>IF(OR(INDEX($O$2:$O$1001,MATCH(ROWS($N$2:N79),$N$2:$N$1001,0),1)&gt;=100000,INDEX($U$1005:$AC$1005,1,MATCH(COLUMNS($U$1006:W1006),$U$1006:$AC$1006,0))&gt;=100000), " ",IF(INDEX($U$2:$AC$1001,MATCH(ROWS($N$2:N79),$N$2:$N$1001,0),MATCH(COLUMNS($U$1006:W1006),$U$1006:$AC$1006,0)), HYPERLINK("#",""), HYPERLINK(CONCATENATE("#metadata!", ADDRESS(INDEX($P$2:$P$1001,MATCH(ROWS($N$2:N79),$N$2:$N$1001,0),0), INDEX($U$1004:$AC$1004,1,MATCH(COLUMNS($U$1006:W1006),$U$1006:$AC$1006,0)))),"Fix")))</f>
        <v>0</v>
      </c>
      <c r="E79" s="3">
        <f>IF(OR(INDEX($O$2:$O$1001,MATCH(ROWS($N$2:N79),$N$2:$N$1001,0),1)&gt;=100000,INDEX($U$1005:$AC$1005,1,MATCH(COLUMNS($U$1006:X1006),$U$1006:$AC$1006,0))&gt;=100000), " ",IF(INDEX($U$2:$AC$1001,MATCH(ROWS($N$2:N79),$N$2:$N$1001,0),MATCH(COLUMNS($U$1006:X1006),$U$1006:$AC$1006,0)), HYPERLINK("#",""), HYPERLINK(CONCATENATE("#metadata!", ADDRESS(INDEX($P$2:$P$1001,MATCH(ROWS($N$2:N79),$N$2:$N$1001,0),0), INDEX($U$1004:$AC$1004,1,MATCH(COLUMNS($U$1006:X1006),$U$1006:$AC$1006,0)))),"Fix")))</f>
        <v>0</v>
      </c>
      <c r="F79" s="3">
        <f>IF(OR(INDEX($O$2:$O$1001,MATCH(ROWS($N$2:N79),$N$2:$N$1001,0),1)&gt;=100000,INDEX($U$1005:$AC$1005,1,MATCH(COLUMNS($U$1006:Y1006),$U$1006:$AC$1006,0))&gt;=100000), " ",IF(INDEX($U$2:$AC$1001,MATCH(ROWS($N$2:N79),$N$2:$N$1001,0),MATCH(COLUMNS($U$1006:Y1006),$U$1006:$AC$1006,0)), HYPERLINK("#",""), HYPERLINK(CONCATENATE("#metadata!", ADDRESS(INDEX($P$2:$P$1001,MATCH(ROWS($N$2:N79),$N$2:$N$1001,0),0), INDEX($U$1004:$AC$1004,1,MATCH(COLUMNS($U$1006:Y1006),$U$1006:$AC$1006,0)))),"Fix")))</f>
        <v>0</v>
      </c>
      <c r="G79" s="3">
        <f>IF(OR(INDEX($O$2:$O$1001,MATCH(ROWS($N$2:N79),$N$2:$N$1001,0),1)&gt;=100000,INDEX($U$1005:$AC$1005,1,MATCH(COLUMNS($U$1006:Z1006),$U$1006:$AC$1006,0))&gt;=100000), " ",IF(INDEX($U$2:$AC$1001,MATCH(ROWS($N$2:N79),$N$2:$N$1001,0),MATCH(COLUMNS($U$1006:Z1006),$U$1006:$AC$1006,0)), HYPERLINK("#",""), HYPERLINK(CONCATENATE("#metadata!", ADDRESS(INDEX($P$2:$P$1001,MATCH(ROWS($N$2:N79),$N$2:$N$1001,0),0), INDEX($U$1004:$AC$1004,1,MATCH(COLUMNS($U$1006:Z1006),$U$1006:$AC$1006,0)))),"Fix")))</f>
        <v>0</v>
      </c>
      <c r="H79" s="3">
        <f>IF(OR(INDEX($O$2:$O$1001,MATCH(ROWS($N$2:N79),$N$2:$N$1001,0),1)&gt;=100000,INDEX($U$1005:$AC$1005,1,MATCH(COLUMNS($U$1006:AA1006),$U$1006:$AC$1006,0))&gt;=100000), " ",IF(INDEX($U$2:$AC$1001,MATCH(ROWS($N$2:N79),$N$2:$N$1001,0),MATCH(COLUMNS($U$1006:AA1006),$U$1006:$AC$1006,0)), HYPERLINK("#",""), HYPERLINK(CONCATENATE("#metadata!", ADDRESS(INDEX($P$2:$P$1001,MATCH(ROWS($N$2:N79),$N$2:$N$1001,0),0), INDEX($U$1004:$AC$1004,1,MATCH(COLUMNS($U$1006:AA1006),$U$1006:$AC$1006,0)))),"Fix")))</f>
        <v>0</v>
      </c>
      <c r="I79" s="3">
        <f>IF(OR(INDEX($O$2:$O$1001,MATCH(ROWS($N$2:N79),$N$2:$N$1001,0),1)&gt;=100000,INDEX($U$1005:$AC$1005,1,MATCH(COLUMNS($U$1006:AB1006),$U$1006:$AC$1006,0))&gt;=100000), " ",IF(INDEX($U$2:$AC$1001,MATCH(ROWS($N$2:N79),$N$2:$N$1001,0),MATCH(COLUMNS($U$1006:AB1006),$U$1006:$AC$1006,0)), HYPERLINK("#",""), HYPERLINK(CONCATENATE("#metadata!", ADDRESS(INDEX($P$2:$P$1001,MATCH(ROWS($N$2:N79),$N$2:$N$1001,0),0), INDEX($U$1004:$AC$1004,1,MATCH(COLUMNS($U$1006:AB1006),$U$1006:$AC$1006,0)))),"Fix")))</f>
        <v>0</v>
      </c>
      <c r="J79" s="3">
        <f>IF(OR(INDEX($O$2:$O$1001,MATCH(ROWS($N$2:N79),$N$2:$N$1001,0),1)&gt;=100000,INDEX($U$1005:$AC$1005,1,MATCH(COLUMNS($U$1006:AC1006),$U$1006:$AC$1006,0))&gt;=100000), " ",IF(INDEX($U$2:$AC$1001,MATCH(ROWS($N$2:N79),$N$2:$N$1001,0),MATCH(COLUMNS($U$1006:AC1006),$U$1006:$AC$1006,0)), HYPERLINK("#",""), HYPERLINK(CONCATENATE("#metadata!", ADDRESS(INDEX($P$2:$P$1001,MATCH(ROWS($N$2:N79),$N$2:$N$1001,0),0), INDEX($U$1004:$AC$1004,1,MATCH(COLUMNS($U$1006:AC1006),$U$1006:$AC$1006,0)))),"Fix")))</f>
        <v>0</v>
      </c>
      <c r="N79">
        <v>0</v>
      </c>
      <c r="O79">
        <v>0</v>
      </c>
      <c r="P79">
        <v>0</v>
      </c>
      <c r="Q79">
        <f>IF(R79,TRUE,AND(U79:AC79))</f>
        <v>0</v>
      </c>
      <c r="R79">
        <f>COUNTBLANK(metadata!B79:J79)=COLUMNS(metadata!B79:J79)</f>
        <v>0</v>
      </c>
      <c r="S79">
        <v>0</v>
      </c>
      <c r="U79">
        <f>AND(IF(metadata!B79="",FALSE,TRUE),COUNTIF(metadata!B:B, metadata!B79) = 1,NOT(ISERROR(SUMPRODUCT(SEARCH(MID(metadata!B79,ROW(INDIRECT("1:"&amp;LEN(metadata!B79))), 1),"0123456789abcdefghijklmnopqrstuvwxyzABCDEFGHIJKLMNOPQRSTUVWXYZ.")))))</f>
        <v>0</v>
      </c>
      <c r="V79">
        <f>AND(IF(metadata!C79="",FALSE,TRUE),exact(metadata!C79,"UBERON:genitourinary"))</f>
        <v>0</v>
      </c>
      <c r="W79">
        <f>AND(IF(metadata!D79="",FALSE,TRUE),exact(metadata!D79,"UBERON:urine"))</f>
        <v>0</v>
      </c>
      <c r="X79">
        <f>AND(IF(metadata!E79="",FALSE,TRUE),exact(metadata!E79,"UBERON:kidney"))</f>
        <v>0</v>
      </c>
      <c r="Y79">
        <f>AND(IF(metadata!F79="",FALSE,TRUE),exact(metadata!F79,"animal corpus"))</f>
        <v>0</v>
      </c>
      <c r="Z79">
        <f>AND(IF(metadata!G79="",FALSE,TRUE),exact(metadata!G79,"urine"))</f>
        <v>0</v>
      </c>
      <c r="AA79">
        <f>AND(IF(metadata!H79="",FALSE,TRUE),exact(metadata!H79,"urine"))</f>
        <v>0</v>
      </c>
      <c r="AB79">
        <f>AND(IF(metadata!I79="",FALSE,TRUE),exact(metadata!I79,"urine metagenome"))</f>
        <v>0</v>
      </c>
      <c r="AC79">
        <f>AND(IF(metadata!J79="",FALSE,TRUE),exact(metadata!J79,"1346744"))</f>
        <v>0</v>
      </c>
    </row>
    <row r="80" spans="1:29">
      <c r="A80" s="4">
        <f>IF(B80=" "," ",HYPERLINK(CONCATENATE("#metadata!",ADDRESS(INDEX($P$2:$P$1001,MATCH(ROWS($N$2:N80),$N$2:$N$1001,0),0),1)),INDEX($S$2:$S$1001,MATCH(ROWS($N$2:N80),$N$2:$N$1001,0),0)))</f>
        <v>0</v>
      </c>
      <c r="B80" s="3">
        <f>IF(OR(INDEX($O$2:$O$1001,MATCH(ROWS($N$2:N80),$N$2:$N$1001,0),1)&gt;=100000,INDEX($U$1005:$AC$1005,1,MATCH(COLUMNS($U$1006:U1006),$U$1006:$AC$1006,0))&gt;=100000), " ",IF(INDEX($U$2:$AC$1001,MATCH(ROWS($N$2:N80),$N$2:$N$1001,0),MATCH(COLUMNS($U$1006:U1006),$U$1006:$AC$1006,0)), HYPERLINK("#",""), HYPERLINK(CONCATENATE("#metadata!", ADDRESS(INDEX($P$2:$P$1001,MATCH(ROWS($N$2:N80),$N$2:$N$1001,0),0), INDEX($U$1004:$AC$1004,1,MATCH(COLUMNS($U$1006:U1006),$U$1006:$AC$1006,0)))),"Fix")))</f>
        <v>0</v>
      </c>
      <c r="C80" s="3">
        <f>IF(OR(INDEX($O$2:$O$1001,MATCH(ROWS($N$2:N80),$N$2:$N$1001,0),1)&gt;=100000,INDEX($U$1005:$AC$1005,1,MATCH(COLUMNS($U$1006:V1006),$U$1006:$AC$1006,0))&gt;=100000), " ",IF(INDEX($U$2:$AC$1001,MATCH(ROWS($N$2:N80),$N$2:$N$1001,0),MATCH(COLUMNS($U$1006:V1006),$U$1006:$AC$1006,0)), HYPERLINK("#",""), HYPERLINK(CONCATENATE("#metadata!", ADDRESS(INDEX($P$2:$P$1001,MATCH(ROWS($N$2:N80),$N$2:$N$1001,0),0), INDEX($U$1004:$AC$1004,1,MATCH(COLUMNS($U$1006:V1006),$U$1006:$AC$1006,0)))),"Fix")))</f>
        <v>0</v>
      </c>
      <c r="D80" s="3">
        <f>IF(OR(INDEX($O$2:$O$1001,MATCH(ROWS($N$2:N80),$N$2:$N$1001,0),1)&gt;=100000,INDEX($U$1005:$AC$1005,1,MATCH(COLUMNS($U$1006:W1006),$U$1006:$AC$1006,0))&gt;=100000), " ",IF(INDEX($U$2:$AC$1001,MATCH(ROWS($N$2:N80),$N$2:$N$1001,0),MATCH(COLUMNS($U$1006:W1006),$U$1006:$AC$1006,0)), HYPERLINK("#",""), HYPERLINK(CONCATENATE("#metadata!", ADDRESS(INDEX($P$2:$P$1001,MATCH(ROWS($N$2:N80),$N$2:$N$1001,0),0), INDEX($U$1004:$AC$1004,1,MATCH(COLUMNS($U$1006:W1006),$U$1006:$AC$1006,0)))),"Fix")))</f>
        <v>0</v>
      </c>
      <c r="E80" s="3">
        <f>IF(OR(INDEX($O$2:$O$1001,MATCH(ROWS($N$2:N80),$N$2:$N$1001,0),1)&gt;=100000,INDEX($U$1005:$AC$1005,1,MATCH(COLUMNS($U$1006:X1006),$U$1006:$AC$1006,0))&gt;=100000), " ",IF(INDEX($U$2:$AC$1001,MATCH(ROWS($N$2:N80),$N$2:$N$1001,0),MATCH(COLUMNS($U$1006:X1006),$U$1006:$AC$1006,0)), HYPERLINK("#",""), HYPERLINK(CONCATENATE("#metadata!", ADDRESS(INDEX($P$2:$P$1001,MATCH(ROWS($N$2:N80),$N$2:$N$1001,0),0), INDEX($U$1004:$AC$1004,1,MATCH(COLUMNS($U$1006:X1006),$U$1006:$AC$1006,0)))),"Fix")))</f>
        <v>0</v>
      </c>
      <c r="F80" s="3">
        <f>IF(OR(INDEX($O$2:$O$1001,MATCH(ROWS($N$2:N80),$N$2:$N$1001,0),1)&gt;=100000,INDEX($U$1005:$AC$1005,1,MATCH(COLUMNS($U$1006:Y1006),$U$1006:$AC$1006,0))&gt;=100000), " ",IF(INDEX($U$2:$AC$1001,MATCH(ROWS($N$2:N80),$N$2:$N$1001,0),MATCH(COLUMNS($U$1006:Y1006),$U$1006:$AC$1006,0)), HYPERLINK("#",""), HYPERLINK(CONCATENATE("#metadata!", ADDRESS(INDEX($P$2:$P$1001,MATCH(ROWS($N$2:N80),$N$2:$N$1001,0),0), INDEX($U$1004:$AC$1004,1,MATCH(COLUMNS($U$1006:Y1006),$U$1006:$AC$1006,0)))),"Fix")))</f>
        <v>0</v>
      </c>
      <c r="G80" s="3">
        <f>IF(OR(INDEX($O$2:$O$1001,MATCH(ROWS($N$2:N80),$N$2:$N$1001,0),1)&gt;=100000,INDEX($U$1005:$AC$1005,1,MATCH(COLUMNS($U$1006:Z1006),$U$1006:$AC$1006,0))&gt;=100000), " ",IF(INDEX($U$2:$AC$1001,MATCH(ROWS($N$2:N80),$N$2:$N$1001,0),MATCH(COLUMNS($U$1006:Z1006),$U$1006:$AC$1006,0)), HYPERLINK("#",""), HYPERLINK(CONCATENATE("#metadata!", ADDRESS(INDEX($P$2:$P$1001,MATCH(ROWS($N$2:N80),$N$2:$N$1001,0),0), INDEX($U$1004:$AC$1004,1,MATCH(COLUMNS($U$1006:Z1006),$U$1006:$AC$1006,0)))),"Fix")))</f>
        <v>0</v>
      </c>
      <c r="H80" s="3">
        <f>IF(OR(INDEX($O$2:$O$1001,MATCH(ROWS($N$2:N80),$N$2:$N$1001,0),1)&gt;=100000,INDEX($U$1005:$AC$1005,1,MATCH(COLUMNS($U$1006:AA1006),$U$1006:$AC$1006,0))&gt;=100000), " ",IF(INDEX($U$2:$AC$1001,MATCH(ROWS($N$2:N80),$N$2:$N$1001,0),MATCH(COLUMNS($U$1006:AA1006),$U$1006:$AC$1006,0)), HYPERLINK("#",""), HYPERLINK(CONCATENATE("#metadata!", ADDRESS(INDEX($P$2:$P$1001,MATCH(ROWS($N$2:N80),$N$2:$N$1001,0),0), INDEX($U$1004:$AC$1004,1,MATCH(COLUMNS($U$1006:AA1006),$U$1006:$AC$1006,0)))),"Fix")))</f>
        <v>0</v>
      </c>
      <c r="I80" s="3">
        <f>IF(OR(INDEX($O$2:$O$1001,MATCH(ROWS($N$2:N80),$N$2:$N$1001,0),1)&gt;=100000,INDEX($U$1005:$AC$1005,1,MATCH(COLUMNS($U$1006:AB1006),$U$1006:$AC$1006,0))&gt;=100000), " ",IF(INDEX($U$2:$AC$1001,MATCH(ROWS($N$2:N80),$N$2:$N$1001,0),MATCH(COLUMNS($U$1006:AB1006),$U$1006:$AC$1006,0)), HYPERLINK("#",""), HYPERLINK(CONCATENATE("#metadata!", ADDRESS(INDEX($P$2:$P$1001,MATCH(ROWS($N$2:N80),$N$2:$N$1001,0),0), INDEX($U$1004:$AC$1004,1,MATCH(COLUMNS($U$1006:AB1006),$U$1006:$AC$1006,0)))),"Fix")))</f>
        <v>0</v>
      </c>
      <c r="J80" s="3">
        <f>IF(OR(INDEX($O$2:$O$1001,MATCH(ROWS($N$2:N80),$N$2:$N$1001,0),1)&gt;=100000,INDEX($U$1005:$AC$1005,1,MATCH(COLUMNS($U$1006:AC1006),$U$1006:$AC$1006,0))&gt;=100000), " ",IF(INDEX($U$2:$AC$1001,MATCH(ROWS($N$2:N80),$N$2:$N$1001,0),MATCH(COLUMNS($U$1006:AC1006),$U$1006:$AC$1006,0)), HYPERLINK("#",""), HYPERLINK(CONCATENATE("#metadata!", ADDRESS(INDEX($P$2:$P$1001,MATCH(ROWS($N$2:N80),$N$2:$N$1001,0),0), INDEX($U$1004:$AC$1004,1,MATCH(COLUMNS($U$1006:AC1006),$U$1006:$AC$1006,0)))),"Fix")))</f>
        <v>0</v>
      </c>
      <c r="N80">
        <v>0</v>
      </c>
      <c r="O80">
        <v>0</v>
      </c>
      <c r="P80">
        <v>0</v>
      </c>
      <c r="Q80">
        <f>IF(R80,TRUE,AND(U80:AC80))</f>
        <v>0</v>
      </c>
      <c r="R80">
        <f>COUNTBLANK(metadata!B80:J80)=COLUMNS(metadata!B80:J80)</f>
        <v>0</v>
      </c>
      <c r="S80">
        <v>0</v>
      </c>
      <c r="U80">
        <f>AND(IF(metadata!B80="",FALSE,TRUE),COUNTIF(metadata!B:B, metadata!B80) = 1,NOT(ISERROR(SUMPRODUCT(SEARCH(MID(metadata!B80,ROW(INDIRECT("1:"&amp;LEN(metadata!B80))), 1),"0123456789abcdefghijklmnopqrstuvwxyzABCDEFGHIJKLMNOPQRSTUVWXYZ.")))))</f>
        <v>0</v>
      </c>
      <c r="V80">
        <f>AND(IF(metadata!C80="",FALSE,TRUE),exact(metadata!C80,"UBERON:genitourinary"))</f>
        <v>0</v>
      </c>
      <c r="W80">
        <f>AND(IF(metadata!D80="",FALSE,TRUE),exact(metadata!D80,"UBERON:urine"))</f>
        <v>0</v>
      </c>
      <c r="X80">
        <f>AND(IF(metadata!E80="",FALSE,TRUE),exact(metadata!E80,"UBERON:kidney"))</f>
        <v>0</v>
      </c>
      <c r="Y80">
        <f>AND(IF(metadata!F80="",FALSE,TRUE),exact(metadata!F80,"animal corpus"))</f>
        <v>0</v>
      </c>
      <c r="Z80">
        <f>AND(IF(metadata!G80="",FALSE,TRUE),exact(metadata!G80,"urine"))</f>
        <v>0</v>
      </c>
      <c r="AA80">
        <f>AND(IF(metadata!H80="",FALSE,TRUE),exact(metadata!H80,"urine"))</f>
        <v>0</v>
      </c>
      <c r="AB80">
        <f>AND(IF(metadata!I80="",FALSE,TRUE),exact(metadata!I80,"urine metagenome"))</f>
        <v>0</v>
      </c>
      <c r="AC80">
        <f>AND(IF(metadata!J80="",FALSE,TRUE),exact(metadata!J80,"1346744"))</f>
        <v>0</v>
      </c>
    </row>
    <row r="81" spans="1:29">
      <c r="A81" s="4">
        <f>IF(B81=" "," ",HYPERLINK(CONCATENATE("#metadata!",ADDRESS(INDEX($P$2:$P$1001,MATCH(ROWS($N$2:N81),$N$2:$N$1001,0),0),1)),INDEX($S$2:$S$1001,MATCH(ROWS($N$2:N81),$N$2:$N$1001,0),0)))</f>
        <v>0</v>
      </c>
      <c r="B81" s="3">
        <f>IF(OR(INDEX($O$2:$O$1001,MATCH(ROWS($N$2:N81),$N$2:$N$1001,0),1)&gt;=100000,INDEX($U$1005:$AC$1005,1,MATCH(COLUMNS($U$1006:U1006),$U$1006:$AC$1006,0))&gt;=100000), " ",IF(INDEX($U$2:$AC$1001,MATCH(ROWS($N$2:N81),$N$2:$N$1001,0),MATCH(COLUMNS($U$1006:U1006),$U$1006:$AC$1006,0)), HYPERLINK("#",""), HYPERLINK(CONCATENATE("#metadata!", ADDRESS(INDEX($P$2:$P$1001,MATCH(ROWS($N$2:N81),$N$2:$N$1001,0),0), INDEX($U$1004:$AC$1004,1,MATCH(COLUMNS($U$1006:U1006),$U$1006:$AC$1006,0)))),"Fix")))</f>
        <v>0</v>
      </c>
      <c r="C81" s="3">
        <f>IF(OR(INDEX($O$2:$O$1001,MATCH(ROWS($N$2:N81),$N$2:$N$1001,0),1)&gt;=100000,INDEX($U$1005:$AC$1005,1,MATCH(COLUMNS($U$1006:V1006),$U$1006:$AC$1006,0))&gt;=100000), " ",IF(INDEX($U$2:$AC$1001,MATCH(ROWS($N$2:N81),$N$2:$N$1001,0),MATCH(COLUMNS($U$1006:V1006),$U$1006:$AC$1006,0)), HYPERLINK("#",""), HYPERLINK(CONCATENATE("#metadata!", ADDRESS(INDEX($P$2:$P$1001,MATCH(ROWS($N$2:N81),$N$2:$N$1001,0),0), INDEX($U$1004:$AC$1004,1,MATCH(COLUMNS($U$1006:V1006),$U$1006:$AC$1006,0)))),"Fix")))</f>
        <v>0</v>
      </c>
      <c r="D81" s="3">
        <f>IF(OR(INDEX($O$2:$O$1001,MATCH(ROWS($N$2:N81),$N$2:$N$1001,0),1)&gt;=100000,INDEX($U$1005:$AC$1005,1,MATCH(COLUMNS($U$1006:W1006),$U$1006:$AC$1006,0))&gt;=100000), " ",IF(INDEX($U$2:$AC$1001,MATCH(ROWS($N$2:N81),$N$2:$N$1001,0),MATCH(COLUMNS($U$1006:W1006),$U$1006:$AC$1006,0)), HYPERLINK("#",""), HYPERLINK(CONCATENATE("#metadata!", ADDRESS(INDEX($P$2:$P$1001,MATCH(ROWS($N$2:N81),$N$2:$N$1001,0),0), INDEX($U$1004:$AC$1004,1,MATCH(COLUMNS($U$1006:W1006),$U$1006:$AC$1006,0)))),"Fix")))</f>
        <v>0</v>
      </c>
      <c r="E81" s="3">
        <f>IF(OR(INDEX($O$2:$O$1001,MATCH(ROWS($N$2:N81),$N$2:$N$1001,0),1)&gt;=100000,INDEX($U$1005:$AC$1005,1,MATCH(COLUMNS($U$1006:X1006),$U$1006:$AC$1006,0))&gt;=100000), " ",IF(INDEX($U$2:$AC$1001,MATCH(ROWS($N$2:N81),$N$2:$N$1001,0),MATCH(COLUMNS($U$1006:X1006),$U$1006:$AC$1006,0)), HYPERLINK("#",""), HYPERLINK(CONCATENATE("#metadata!", ADDRESS(INDEX($P$2:$P$1001,MATCH(ROWS($N$2:N81),$N$2:$N$1001,0),0), INDEX($U$1004:$AC$1004,1,MATCH(COLUMNS($U$1006:X1006),$U$1006:$AC$1006,0)))),"Fix")))</f>
        <v>0</v>
      </c>
      <c r="F81" s="3">
        <f>IF(OR(INDEX($O$2:$O$1001,MATCH(ROWS($N$2:N81),$N$2:$N$1001,0),1)&gt;=100000,INDEX($U$1005:$AC$1005,1,MATCH(COLUMNS($U$1006:Y1006),$U$1006:$AC$1006,0))&gt;=100000), " ",IF(INDEX($U$2:$AC$1001,MATCH(ROWS($N$2:N81),$N$2:$N$1001,0),MATCH(COLUMNS($U$1006:Y1006),$U$1006:$AC$1006,0)), HYPERLINK("#",""), HYPERLINK(CONCATENATE("#metadata!", ADDRESS(INDEX($P$2:$P$1001,MATCH(ROWS($N$2:N81),$N$2:$N$1001,0),0), INDEX($U$1004:$AC$1004,1,MATCH(COLUMNS($U$1006:Y1006),$U$1006:$AC$1006,0)))),"Fix")))</f>
        <v>0</v>
      </c>
      <c r="G81" s="3">
        <f>IF(OR(INDEX($O$2:$O$1001,MATCH(ROWS($N$2:N81),$N$2:$N$1001,0),1)&gt;=100000,INDEX($U$1005:$AC$1005,1,MATCH(COLUMNS($U$1006:Z1006),$U$1006:$AC$1006,0))&gt;=100000), " ",IF(INDEX($U$2:$AC$1001,MATCH(ROWS($N$2:N81),$N$2:$N$1001,0),MATCH(COLUMNS($U$1006:Z1006),$U$1006:$AC$1006,0)), HYPERLINK("#",""), HYPERLINK(CONCATENATE("#metadata!", ADDRESS(INDEX($P$2:$P$1001,MATCH(ROWS($N$2:N81),$N$2:$N$1001,0),0), INDEX($U$1004:$AC$1004,1,MATCH(COLUMNS($U$1006:Z1006),$U$1006:$AC$1006,0)))),"Fix")))</f>
        <v>0</v>
      </c>
      <c r="H81" s="3">
        <f>IF(OR(INDEX($O$2:$O$1001,MATCH(ROWS($N$2:N81),$N$2:$N$1001,0),1)&gt;=100000,INDEX($U$1005:$AC$1005,1,MATCH(COLUMNS($U$1006:AA1006),$U$1006:$AC$1006,0))&gt;=100000), " ",IF(INDEX($U$2:$AC$1001,MATCH(ROWS($N$2:N81),$N$2:$N$1001,0),MATCH(COLUMNS($U$1006:AA1006),$U$1006:$AC$1006,0)), HYPERLINK("#",""), HYPERLINK(CONCATENATE("#metadata!", ADDRESS(INDEX($P$2:$P$1001,MATCH(ROWS($N$2:N81),$N$2:$N$1001,0),0), INDEX($U$1004:$AC$1004,1,MATCH(COLUMNS($U$1006:AA1006),$U$1006:$AC$1006,0)))),"Fix")))</f>
        <v>0</v>
      </c>
      <c r="I81" s="3">
        <f>IF(OR(INDEX($O$2:$O$1001,MATCH(ROWS($N$2:N81),$N$2:$N$1001,0),1)&gt;=100000,INDEX($U$1005:$AC$1005,1,MATCH(COLUMNS($U$1006:AB1006),$U$1006:$AC$1006,0))&gt;=100000), " ",IF(INDEX($U$2:$AC$1001,MATCH(ROWS($N$2:N81),$N$2:$N$1001,0),MATCH(COLUMNS($U$1006:AB1006),$U$1006:$AC$1006,0)), HYPERLINK("#",""), HYPERLINK(CONCATENATE("#metadata!", ADDRESS(INDEX($P$2:$P$1001,MATCH(ROWS($N$2:N81),$N$2:$N$1001,0),0), INDEX($U$1004:$AC$1004,1,MATCH(COLUMNS($U$1006:AB1006),$U$1006:$AC$1006,0)))),"Fix")))</f>
        <v>0</v>
      </c>
      <c r="J81" s="3">
        <f>IF(OR(INDEX($O$2:$O$1001,MATCH(ROWS($N$2:N81),$N$2:$N$1001,0),1)&gt;=100000,INDEX($U$1005:$AC$1005,1,MATCH(COLUMNS($U$1006:AC1006),$U$1006:$AC$1006,0))&gt;=100000), " ",IF(INDEX($U$2:$AC$1001,MATCH(ROWS($N$2:N81),$N$2:$N$1001,0),MATCH(COLUMNS($U$1006:AC1006),$U$1006:$AC$1006,0)), HYPERLINK("#",""), HYPERLINK(CONCATENATE("#metadata!", ADDRESS(INDEX($P$2:$P$1001,MATCH(ROWS($N$2:N81),$N$2:$N$1001,0),0), INDEX($U$1004:$AC$1004,1,MATCH(COLUMNS($U$1006:AC1006),$U$1006:$AC$1006,0)))),"Fix")))</f>
        <v>0</v>
      </c>
      <c r="N81">
        <v>0</v>
      </c>
      <c r="O81">
        <v>0</v>
      </c>
      <c r="P81">
        <v>0</v>
      </c>
      <c r="Q81">
        <f>IF(R81,TRUE,AND(U81:AC81))</f>
        <v>0</v>
      </c>
      <c r="R81">
        <f>COUNTBLANK(metadata!B81:J81)=COLUMNS(metadata!B81:J81)</f>
        <v>0</v>
      </c>
      <c r="S81">
        <v>0</v>
      </c>
      <c r="U81">
        <f>AND(IF(metadata!B81="",FALSE,TRUE),COUNTIF(metadata!B:B, metadata!B81) = 1,NOT(ISERROR(SUMPRODUCT(SEARCH(MID(metadata!B81,ROW(INDIRECT("1:"&amp;LEN(metadata!B81))), 1),"0123456789abcdefghijklmnopqrstuvwxyzABCDEFGHIJKLMNOPQRSTUVWXYZ.")))))</f>
        <v>0</v>
      </c>
      <c r="V81">
        <f>AND(IF(metadata!C81="",FALSE,TRUE),exact(metadata!C81,"UBERON:genitourinary"))</f>
        <v>0</v>
      </c>
      <c r="W81">
        <f>AND(IF(metadata!D81="",FALSE,TRUE),exact(metadata!D81,"UBERON:urine"))</f>
        <v>0</v>
      </c>
      <c r="X81">
        <f>AND(IF(metadata!E81="",FALSE,TRUE),exact(metadata!E81,"UBERON:kidney"))</f>
        <v>0</v>
      </c>
      <c r="Y81">
        <f>AND(IF(metadata!F81="",FALSE,TRUE),exact(metadata!F81,"animal corpus"))</f>
        <v>0</v>
      </c>
      <c r="Z81">
        <f>AND(IF(metadata!G81="",FALSE,TRUE),exact(metadata!G81,"urine"))</f>
        <v>0</v>
      </c>
      <c r="AA81">
        <f>AND(IF(metadata!H81="",FALSE,TRUE),exact(metadata!H81,"urine"))</f>
        <v>0</v>
      </c>
      <c r="AB81">
        <f>AND(IF(metadata!I81="",FALSE,TRUE),exact(metadata!I81,"urine metagenome"))</f>
        <v>0</v>
      </c>
      <c r="AC81">
        <f>AND(IF(metadata!J81="",FALSE,TRUE),exact(metadata!J81,"1346744"))</f>
        <v>0</v>
      </c>
    </row>
    <row r="82" spans="1:29">
      <c r="A82" s="4">
        <f>IF(B82=" "," ",HYPERLINK(CONCATENATE("#metadata!",ADDRESS(INDEX($P$2:$P$1001,MATCH(ROWS($N$2:N82),$N$2:$N$1001,0),0),1)),INDEX($S$2:$S$1001,MATCH(ROWS($N$2:N82),$N$2:$N$1001,0),0)))</f>
        <v>0</v>
      </c>
      <c r="B82" s="3">
        <f>IF(OR(INDEX($O$2:$O$1001,MATCH(ROWS($N$2:N82),$N$2:$N$1001,0),1)&gt;=100000,INDEX($U$1005:$AC$1005,1,MATCH(COLUMNS($U$1006:U1006),$U$1006:$AC$1006,0))&gt;=100000), " ",IF(INDEX($U$2:$AC$1001,MATCH(ROWS($N$2:N82),$N$2:$N$1001,0),MATCH(COLUMNS($U$1006:U1006),$U$1006:$AC$1006,0)), HYPERLINK("#",""), HYPERLINK(CONCATENATE("#metadata!", ADDRESS(INDEX($P$2:$P$1001,MATCH(ROWS($N$2:N82),$N$2:$N$1001,0),0), INDEX($U$1004:$AC$1004,1,MATCH(COLUMNS($U$1006:U1006),$U$1006:$AC$1006,0)))),"Fix")))</f>
        <v>0</v>
      </c>
      <c r="C82" s="3">
        <f>IF(OR(INDEX($O$2:$O$1001,MATCH(ROWS($N$2:N82),$N$2:$N$1001,0),1)&gt;=100000,INDEX($U$1005:$AC$1005,1,MATCH(COLUMNS($U$1006:V1006),$U$1006:$AC$1006,0))&gt;=100000), " ",IF(INDEX($U$2:$AC$1001,MATCH(ROWS($N$2:N82),$N$2:$N$1001,0),MATCH(COLUMNS($U$1006:V1006),$U$1006:$AC$1006,0)), HYPERLINK("#",""), HYPERLINK(CONCATENATE("#metadata!", ADDRESS(INDEX($P$2:$P$1001,MATCH(ROWS($N$2:N82),$N$2:$N$1001,0),0), INDEX($U$1004:$AC$1004,1,MATCH(COLUMNS($U$1006:V1006),$U$1006:$AC$1006,0)))),"Fix")))</f>
        <v>0</v>
      </c>
      <c r="D82" s="3">
        <f>IF(OR(INDEX($O$2:$O$1001,MATCH(ROWS($N$2:N82),$N$2:$N$1001,0),1)&gt;=100000,INDEX($U$1005:$AC$1005,1,MATCH(COLUMNS($U$1006:W1006),$U$1006:$AC$1006,0))&gt;=100000), " ",IF(INDEX($U$2:$AC$1001,MATCH(ROWS($N$2:N82),$N$2:$N$1001,0),MATCH(COLUMNS($U$1006:W1006),$U$1006:$AC$1006,0)), HYPERLINK("#",""), HYPERLINK(CONCATENATE("#metadata!", ADDRESS(INDEX($P$2:$P$1001,MATCH(ROWS($N$2:N82),$N$2:$N$1001,0),0), INDEX($U$1004:$AC$1004,1,MATCH(COLUMNS($U$1006:W1006),$U$1006:$AC$1006,0)))),"Fix")))</f>
        <v>0</v>
      </c>
      <c r="E82" s="3">
        <f>IF(OR(INDEX($O$2:$O$1001,MATCH(ROWS($N$2:N82),$N$2:$N$1001,0),1)&gt;=100000,INDEX($U$1005:$AC$1005,1,MATCH(COLUMNS($U$1006:X1006),$U$1006:$AC$1006,0))&gt;=100000), " ",IF(INDEX($U$2:$AC$1001,MATCH(ROWS($N$2:N82),$N$2:$N$1001,0),MATCH(COLUMNS($U$1006:X1006),$U$1006:$AC$1006,0)), HYPERLINK("#",""), HYPERLINK(CONCATENATE("#metadata!", ADDRESS(INDEX($P$2:$P$1001,MATCH(ROWS($N$2:N82),$N$2:$N$1001,0),0), INDEX($U$1004:$AC$1004,1,MATCH(COLUMNS($U$1006:X1006),$U$1006:$AC$1006,0)))),"Fix")))</f>
        <v>0</v>
      </c>
      <c r="F82" s="3">
        <f>IF(OR(INDEX($O$2:$O$1001,MATCH(ROWS($N$2:N82),$N$2:$N$1001,0),1)&gt;=100000,INDEX($U$1005:$AC$1005,1,MATCH(COLUMNS($U$1006:Y1006),$U$1006:$AC$1006,0))&gt;=100000), " ",IF(INDEX($U$2:$AC$1001,MATCH(ROWS($N$2:N82),$N$2:$N$1001,0),MATCH(COLUMNS($U$1006:Y1006),$U$1006:$AC$1006,0)), HYPERLINK("#",""), HYPERLINK(CONCATENATE("#metadata!", ADDRESS(INDEX($P$2:$P$1001,MATCH(ROWS($N$2:N82),$N$2:$N$1001,0),0), INDEX($U$1004:$AC$1004,1,MATCH(COLUMNS($U$1006:Y1006),$U$1006:$AC$1006,0)))),"Fix")))</f>
        <v>0</v>
      </c>
      <c r="G82" s="3">
        <f>IF(OR(INDEX($O$2:$O$1001,MATCH(ROWS($N$2:N82),$N$2:$N$1001,0),1)&gt;=100000,INDEX($U$1005:$AC$1005,1,MATCH(COLUMNS($U$1006:Z1006),$U$1006:$AC$1006,0))&gt;=100000), " ",IF(INDEX($U$2:$AC$1001,MATCH(ROWS($N$2:N82),$N$2:$N$1001,0),MATCH(COLUMNS($U$1006:Z1006),$U$1006:$AC$1006,0)), HYPERLINK("#",""), HYPERLINK(CONCATENATE("#metadata!", ADDRESS(INDEX($P$2:$P$1001,MATCH(ROWS($N$2:N82),$N$2:$N$1001,0),0), INDEX($U$1004:$AC$1004,1,MATCH(COLUMNS($U$1006:Z1006),$U$1006:$AC$1006,0)))),"Fix")))</f>
        <v>0</v>
      </c>
      <c r="H82" s="3">
        <f>IF(OR(INDEX($O$2:$O$1001,MATCH(ROWS($N$2:N82),$N$2:$N$1001,0),1)&gt;=100000,INDEX($U$1005:$AC$1005,1,MATCH(COLUMNS($U$1006:AA1006),$U$1006:$AC$1006,0))&gt;=100000), " ",IF(INDEX($U$2:$AC$1001,MATCH(ROWS($N$2:N82),$N$2:$N$1001,0),MATCH(COLUMNS($U$1006:AA1006),$U$1006:$AC$1006,0)), HYPERLINK("#",""), HYPERLINK(CONCATENATE("#metadata!", ADDRESS(INDEX($P$2:$P$1001,MATCH(ROWS($N$2:N82),$N$2:$N$1001,0),0), INDEX($U$1004:$AC$1004,1,MATCH(COLUMNS($U$1006:AA1006),$U$1006:$AC$1006,0)))),"Fix")))</f>
        <v>0</v>
      </c>
      <c r="I82" s="3">
        <f>IF(OR(INDEX($O$2:$O$1001,MATCH(ROWS($N$2:N82),$N$2:$N$1001,0),1)&gt;=100000,INDEX($U$1005:$AC$1005,1,MATCH(COLUMNS($U$1006:AB1006),$U$1006:$AC$1006,0))&gt;=100000), " ",IF(INDEX($U$2:$AC$1001,MATCH(ROWS($N$2:N82),$N$2:$N$1001,0),MATCH(COLUMNS($U$1006:AB1006),$U$1006:$AC$1006,0)), HYPERLINK("#",""), HYPERLINK(CONCATENATE("#metadata!", ADDRESS(INDEX($P$2:$P$1001,MATCH(ROWS($N$2:N82),$N$2:$N$1001,0),0), INDEX($U$1004:$AC$1004,1,MATCH(COLUMNS($U$1006:AB1006),$U$1006:$AC$1006,0)))),"Fix")))</f>
        <v>0</v>
      </c>
      <c r="J82" s="3">
        <f>IF(OR(INDEX($O$2:$O$1001,MATCH(ROWS($N$2:N82),$N$2:$N$1001,0),1)&gt;=100000,INDEX($U$1005:$AC$1005,1,MATCH(COLUMNS($U$1006:AC1006),$U$1006:$AC$1006,0))&gt;=100000), " ",IF(INDEX($U$2:$AC$1001,MATCH(ROWS($N$2:N82),$N$2:$N$1001,0),MATCH(COLUMNS($U$1006:AC1006),$U$1006:$AC$1006,0)), HYPERLINK("#",""), HYPERLINK(CONCATENATE("#metadata!", ADDRESS(INDEX($P$2:$P$1001,MATCH(ROWS($N$2:N82),$N$2:$N$1001,0),0), INDEX($U$1004:$AC$1004,1,MATCH(COLUMNS($U$1006:AC1006),$U$1006:$AC$1006,0)))),"Fix")))</f>
        <v>0</v>
      </c>
      <c r="N82">
        <v>0</v>
      </c>
      <c r="O82">
        <v>0</v>
      </c>
      <c r="P82">
        <v>0</v>
      </c>
      <c r="Q82">
        <f>IF(R82,TRUE,AND(U82:AC82))</f>
        <v>0</v>
      </c>
      <c r="R82">
        <f>COUNTBLANK(metadata!B82:J82)=COLUMNS(metadata!B82:J82)</f>
        <v>0</v>
      </c>
      <c r="S82">
        <v>0</v>
      </c>
      <c r="U82">
        <f>AND(IF(metadata!B82="",FALSE,TRUE),COUNTIF(metadata!B:B, metadata!B82) = 1,NOT(ISERROR(SUMPRODUCT(SEARCH(MID(metadata!B82,ROW(INDIRECT("1:"&amp;LEN(metadata!B82))), 1),"0123456789abcdefghijklmnopqrstuvwxyzABCDEFGHIJKLMNOPQRSTUVWXYZ.")))))</f>
        <v>0</v>
      </c>
      <c r="V82">
        <f>AND(IF(metadata!C82="",FALSE,TRUE),exact(metadata!C82,"UBERON:genitourinary"))</f>
        <v>0</v>
      </c>
      <c r="W82">
        <f>AND(IF(metadata!D82="",FALSE,TRUE),exact(metadata!D82,"UBERON:urine"))</f>
        <v>0</v>
      </c>
      <c r="X82">
        <f>AND(IF(metadata!E82="",FALSE,TRUE),exact(metadata!E82,"UBERON:kidney"))</f>
        <v>0</v>
      </c>
      <c r="Y82">
        <f>AND(IF(metadata!F82="",FALSE,TRUE),exact(metadata!F82,"animal corpus"))</f>
        <v>0</v>
      </c>
      <c r="Z82">
        <f>AND(IF(metadata!G82="",FALSE,TRUE),exact(metadata!G82,"urine"))</f>
        <v>0</v>
      </c>
      <c r="AA82">
        <f>AND(IF(metadata!H82="",FALSE,TRUE),exact(metadata!H82,"urine"))</f>
        <v>0</v>
      </c>
      <c r="AB82">
        <f>AND(IF(metadata!I82="",FALSE,TRUE),exact(metadata!I82,"urine metagenome"))</f>
        <v>0</v>
      </c>
      <c r="AC82">
        <f>AND(IF(metadata!J82="",FALSE,TRUE),exact(metadata!J82,"1346744"))</f>
        <v>0</v>
      </c>
    </row>
    <row r="83" spans="1:29">
      <c r="A83" s="4">
        <f>IF(B83=" "," ",HYPERLINK(CONCATENATE("#metadata!",ADDRESS(INDEX($P$2:$P$1001,MATCH(ROWS($N$2:N83),$N$2:$N$1001,0),0),1)),INDEX($S$2:$S$1001,MATCH(ROWS($N$2:N83),$N$2:$N$1001,0),0)))</f>
        <v>0</v>
      </c>
      <c r="B83" s="3">
        <f>IF(OR(INDEX($O$2:$O$1001,MATCH(ROWS($N$2:N83),$N$2:$N$1001,0),1)&gt;=100000,INDEX($U$1005:$AC$1005,1,MATCH(COLUMNS($U$1006:U1006),$U$1006:$AC$1006,0))&gt;=100000), " ",IF(INDEX($U$2:$AC$1001,MATCH(ROWS($N$2:N83),$N$2:$N$1001,0),MATCH(COLUMNS($U$1006:U1006),$U$1006:$AC$1006,0)), HYPERLINK("#",""), HYPERLINK(CONCATENATE("#metadata!", ADDRESS(INDEX($P$2:$P$1001,MATCH(ROWS($N$2:N83),$N$2:$N$1001,0),0), INDEX($U$1004:$AC$1004,1,MATCH(COLUMNS($U$1006:U1006),$U$1006:$AC$1006,0)))),"Fix")))</f>
        <v>0</v>
      </c>
      <c r="C83" s="3">
        <f>IF(OR(INDEX($O$2:$O$1001,MATCH(ROWS($N$2:N83),$N$2:$N$1001,0),1)&gt;=100000,INDEX($U$1005:$AC$1005,1,MATCH(COLUMNS($U$1006:V1006),$U$1006:$AC$1006,0))&gt;=100000), " ",IF(INDEX($U$2:$AC$1001,MATCH(ROWS($N$2:N83),$N$2:$N$1001,0),MATCH(COLUMNS($U$1006:V1006),$U$1006:$AC$1006,0)), HYPERLINK("#",""), HYPERLINK(CONCATENATE("#metadata!", ADDRESS(INDEX($P$2:$P$1001,MATCH(ROWS($N$2:N83),$N$2:$N$1001,0),0), INDEX($U$1004:$AC$1004,1,MATCH(COLUMNS($U$1006:V1006),$U$1006:$AC$1006,0)))),"Fix")))</f>
        <v>0</v>
      </c>
      <c r="D83" s="3">
        <f>IF(OR(INDEX($O$2:$O$1001,MATCH(ROWS($N$2:N83),$N$2:$N$1001,0),1)&gt;=100000,INDEX($U$1005:$AC$1005,1,MATCH(COLUMNS($U$1006:W1006),$U$1006:$AC$1006,0))&gt;=100000), " ",IF(INDEX($U$2:$AC$1001,MATCH(ROWS($N$2:N83),$N$2:$N$1001,0),MATCH(COLUMNS($U$1006:W1006),$U$1006:$AC$1006,0)), HYPERLINK("#",""), HYPERLINK(CONCATENATE("#metadata!", ADDRESS(INDEX($P$2:$P$1001,MATCH(ROWS($N$2:N83),$N$2:$N$1001,0),0), INDEX($U$1004:$AC$1004,1,MATCH(COLUMNS($U$1006:W1006),$U$1006:$AC$1006,0)))),"Fix")))</f>
        <v>0</v>
      </c>
      <c r="E83" s="3">
        <f>IF(OR(INDEX($O$2:$O$1001,MATCH(ROWS($N$2:N83),$N$2:$N$1001,0),1)&gt;=100000,INDEX($U$1005:$AC$1005,1,MATCH(COLUMNS($U$1006:X1006),$U$1006:$AC$1006,0))&gt;=100000), " ",IF(INDEX($U$2:$AC$1001,MATCH(ROWS($N$2:N83),$N$2:$N$1001,0),MATCH(COLUMNS($U$1006:X1006),$U$1006:$AC$1006,0)), HYPERLINK("#",""), HYPERLINK(CONCATENATE("#metadata!", ADDRESS(INDEX($P$2:$P$1001,MATCH(ROWS($N$2:N83),$N$2:$N$1001,0),0), INDEX($U$1004:$AC$1004,1,MATCH(COLUMNS($U$1006:X1006),$U$1006:$AC$1006,0)))),"Fix")))</f>
        <v>0</v>
      </c>
      <c r="F83" s="3">
        <f>IF(OR(INDEX($O$2:$O$1001,MATCH(ROWS($N$2:N83),$N$2:$N$1001,0),1)&gt;=100000,INDEX($U$1005:$AC$1005,1,MATCH(COLUMNS($U$1006:Y1006),$U$1006:$AC$1006,0))&gt;=100000), " ",IF(INDEX($U$2:$AC$1001,MATCH(ROWS($N$2:N83),$N$2:$N$1001,0),MATCH(COLUMNS($U$1006:Y1006),$U$1006:$AC$1006,0)), HYPERLINK("#",""), HYPERLINK(CONCATENATE("#metadata!", ADDRESS(INDEX($P$2:$P$1001,MATCH(ROWS($N$2:N83),$N$2:$N$1001,0),0), INDEX($U$1004:$AC$1004,1,MATCH(COLUMNS($U$1006:Y1006),$U$1006:$AC$1006,0)))),"Fix")))</f>
        <v>0</v>
      </c>
      <c r="G83" s="3">
        <f>IF(OR(INDEX($O$2:$O$1001,MATCH(ROWS($N$2:N83),$N$2:$N$1001,0),1)&gt;=100000,INDEX($U$1005:$AC$1005,1,MATCH(COLUMNS($U$1006:Z1006),$U$1006:$AC$1006,0))&gt;=100000), " ",IF(INDEX($U$2:$AC$1001,MATCH(ROWS($N$2:N83),$N$2:$N$1001,0),MATCH(COLUMNS($U$1006:Z1006),$U$1006:$AC$1006,0)), HYPERLINK("#",""), HYPERLINK(CONCATENATE("#metadata!", ADDRESS(INDEX($P$2:$P$1001,MATCH(ROWS($N$2:N83),$N$2:$N$1001,0),0), INDEX($U$1004:$AC$1004,1,MATCH(COLUMNS($U$1006:Z1006),$U$1006:$AC$1006,0)))),"Fix")))</f>
        <v>0</v>
      </c>
      <c r="H83" s="3">
        <f>IF(OR(INDEX($O$2:$O$1001,MATCH(ROWS($N$2:N83),$N$2:$N$1001,0),1)&gt;=100000,INDEX($U$1005:$AC$1005,1,MATCH(COLUMNS($U$1006:AA1006),$U$1006:$AC$1006,0))&gt;=100000), " ",IF(INDEX($U$2:$AC$1001,MATCH(ROWS($N$2:N83),$N$2:$N$1001,0),MATCH(COLUMNS($U$1006:AA1006),$U$1006:$AC$1006,0)), HYPERLINK("#",""), HYPERLINK(CONCATENATE("#metadata!", ADDRESS(INDEX($P$2:$P$1001,MATCH(ROWS($N$2:N83),$N$2:$N$1001,0),0), INDEX($U$1004:$AC$1004,1,MATCH(COLUMNS($U$1006:AA1006),$U$1006:$AC$1006,0)))),"Fix")))</f>
        <v>0</v>
      </c>
      <c r="I83" s="3">
        <f>IF(OR(INDEX($O$2:$O$1001,MATCH(ROWS($N$2:N83),$N$2:$N$1001,0),1)&gt;=100000,INDEX($U$1005:$AC$1005,1,MATCH(COLUMNS($U$1006:AB1006),$U$1006:$AC$1006,0))&gt;=100000), " ",IF(INDEX($U$2:$AC$1001,MATCH(ROWS($N$2:N83),$N$2:$N$1001,0),MATCH(COLUMNS($U$1006:AB1006),$U$1006:$AC$1006,0)), HYPERLINK("#",""), HYPERLINK(CONCATENATE("#metadata!", ADDRESS(INDEX($P$2:$P$1001,MATCH(ROWS($N$2:N83),$N$2:$N$1001,0),0), INDEX($U$1004:$AC$1004,1,MATCH(COLUMNS($U$1006:AB1006),$U$1006:$AC$1006,0)))),"Fix")))</f>
        <v>0</v>
      </c>
      <c r="J83" s="3">
        <f>IF(OR(INDEX($O$2:$O$1001,MATCH(ROWS($N$2:N83),$N$2:$N$1001,0),1)&gt;=100000,INDEX($U$1005:$AC$1005,1,MATCH(COLUMNS($U$1006:AC1006),$U$1006:$AC$1006,0))&gt;=100000), " ",IF(INDEX($U$2:$AC$1001,MATCH(ROWS($N$2:N83),$N$2:$N$1001,0),MATCH(COLUMNS($U$1006:AC1006),$U$1006:$AC$1006,0)), HYPERLINK("#",""), HYPERLINK(CONCATENATE("#metadata!", ADDRESS(INDEX($P$2:$P$1001,MATCH(ROWS($N$2:N83),$N$2:$N$1001,0),0), INDEX($U$1004:$AC$1004,1,MATCH(COLUMNS($U$1006:AC1006),$U$1006:$AC$1006,0)))),"Fix")))</f>
        <v>0</v>
      </c>
      <c r="N83">
        <v>0</v>
      </c>
      <c r="O83">
        <v>0</v>
      </c>
      <c r="P83">
        <v>0</v>
      </c>
      <c r="Q83">
        <f>IF(R83,TRUE,AND(U83:AC83))</f>
        <v>0</v>
      </c>
      <c r="R83">
        <f>COUNTBLANK(metadata!B83:J83)=COLUMNS(metadata!B83:J83)</f>
        <v>0</v>
      </c>
      <c r="S83">
        <v>0</v>
      </c>
      <c r="U83">
        <f>AND(IF(metadata!B83="",FALSE,TRUE),COUNTIF(metadata!B:B, metadata!B83) = 1,NOT(ISERROR(SUMPRODUCT(SEARCH(MID(metadata!B83,ROW(INDIRECT("1:"&amp;LEN(metadata!B83))), 1),"0123456789abcdefghijklmnopqrstuvwxyzABCDEFGHIJKLMNOPQRSTUVWXYZ.")))))</f>
        <v>0</v>
      </c>
      <c r="V83">
        <f>AND(IF(metadata!C83="",FALSE,TRUE),exact(metadata!C83,"UBERON:genitourinary"))</f>
        <v>0</v>
      </c>
      <c r="W83">
        <f>AND(IF(metadata!D83="",FALSE,TRUE),exact(metadata!D83,"UBERON:urine"))</f>
        <v>0</v>
      </c>
      <c r="X83">
        <f>AND(IF(metadata!E83="",FALSE,TRUE),exact(metadata!E83,"UBERON:kidney"))</f>
        <v>0</v>
      </c>
      <c r="Y83">
        <f>AND(IF(metadata!F83="",FALSE,TRUE),exact(metadata!F83,"animal corpus"))</f>
        <v>0</v>
      </c>
      <c r="Z83">
        <f>AND(IF(metadata!G83="",FALSE,TRUE),exact(metadata!G83,"urine"))</f>
        <v>0</v>
      </c>
      <c r="AA83">
        <f>AND(IF(metadata!H83="",FALSE,TRUE),exact(metadata!H83,"urine"))</f>
        <v>0</v>
      </c>
      <c r="AB83">
        <f>AND(IF(metadata!I83="",FALSE,TRUE),exact(metadata!I83,"urine metagenome"))</f>
        <v>0</v>
      </c>
      <c r="AC83">
        <f>AND(IF(metadata!J83="",FALSE,TRUE),exact(metadata!J83,"1346744"))</f>
        <v>0</v>
      </c>
    </row>
    <row r="84" spans="1:29">
      <c r="A84" s="4">
        <f>IF(B84=" "," ",HYPERLINK(CONCATENATE("#metadata!",ADDRESS(INDEX($P$2:$P$1001,MATCH(ROWS($N$2:N84),$N$2:$N$1001,0),0),1)),INDEX($S$2:$S$1001,MATCH(ROWS($N$2:N84),$N$2:$N$1001,0),0)))</f>
        <v>0</v>
      </c>
      <c r="B84" s="3">
        <f>IF(OR(INDEX($O$2:$O$1001,MATCH(ROWS($N$2:N84),$N$2:$N$1001,0),1)&gt;=100000,INDEX($U$1005:$AC$1005,1,MATCH(COLUMNS($U$1006:U1006),$U$1006:$AC$1006,0))&gt;=100000), " ",IF(INDEX($U$2:$AC$1001,MATCH(ROWS($N$2:N84),$N$2:$N$1001,0),MATCH(COLUMNS($U$1006:U1006),$U$1006:$AC$1006,0)), HYPERLINK("#",""), HYPERLINK(CONCATENATE("#metadata!", ADDRESS(INDEX($P$2:$P$1001,MATCH(ROWS($N$2:N84),$N$2:$N$1001,0),0), INDEX($U$1004:$AC$1004,1,MATCH(COLUMNS($U$1006:U1006),$U$1006:$AC$1006,0)))),"Fix")))</f>
        <v>0</v>
      </c>
      <c r="C84" s="3">
        <f>IF(OR(INDEX($O$2:$O$1001,MATCH(ROWS($N$2:N84),$N$2:$N$1001,0),1)&gt;=100000,INDEX($U$1005:$AC$1005,1,MATCH(COLUMNS($U$1006:V1006),$U$1006:$AC$1006,0))&gt;=100000), " ",IF(INDEX($U$2:$AC$1001,MATCH(ROWS($N$2:N84),$N$2:$N$1001,0),MATCH(COLUMNS($U$1006:V1006),$U$1006:$AC$1006,0)), HYPERLINK("#",""), HYPERLINK(CONCATENATE("#metadata!", ADDRESS(INDEX($P$2:$P$1001,MATCH(ROWS($N$2:N84),$N$2:$N$1001,0),0), INDEX($U$1004:$AC$1004,1,MATCH(COLUMNS($U$1006:V1006),$U$1006:$AC$1006,0)))),"Fix")))</f>
        <v>0</v>
      </c>
      <c r="D84" s="3">
        <f>IF(OR(INDEX($O$2:$O$1001,MATCH(ROWS($N$2:N84),$N$2:$N$1001,0),1)&gt;=100000,INDEX($U$1005:$AC$1005,1,MATCH(COLUMNS($U$1006:W1006),$U$1006:$AC$1006,0))&gt;=100000), " ",IF(INDEX($U$2:$AC$1001,MATCH(ROWS($N$2:N84),$N$2:$N$1001,0),MATCH(COLUMNS($U$1006:W1006),$U$1006:$AC$1006,0)), HYPERLINK("#",""), HYPERLINK(CONCATENATE("#metadata!", ADDRESS(INDEX($P$2:$P$1001,MATCH(ROWS($N$2:N84),$N$2:$N$1001,0),0), INDEX($U$1004:$AC$1004,1,MATCH(COLUMNS($U$1006:W1006),$U$1006:$AC$1006,0)))),"Fix")))</f>
        <v>0</v>
      </c>
      <c r="E84" s="3">
        <f>IF(OR(INDEX($O$2:$O$1001,MATCH(ROWS($N$2:N84),$N$2:$N$1001,0),1)&gt;=100000,INDEX($U$1005:$AC$1005,1,MATCH(COLUMNS($U$1006:X1006),$U$1006:$AC$1006,0))&gt;=100000), " ",IF(INDEX($U$2:$AC$1001,MATCH(ROWS($N$2:N84),$N$2:$N$1001,0),MATCH(COLUMNS($U$1006:X1006),$U$1006:$AC$1006,0)), HYPERLINK("#",""), HYPERLINK(CONCATENATE("#metadata!", ADDRESS(INDEX($P$2:$P$1001,MATCH(ROWS($N$2:N84),$N$2:$N$1001,0),0), INDEX($U$1004:$AC$1004,1,MATCH(COLUMNS($U$1006:X1006),$U$1006:$AC$1006,0)))),"Fix")))</f>
        <v>0</v>
      </c>
      <c r="F84" s="3">
        <f>IF(OR(INDEX($O$2:$O$1001,MATCH(ROWS($N$2:N84),$N$2:$N$1001,0),1)&gt;=100000,INDEX($U$1005:$AC$1005,1,MATCH(COLUMNS($U$1006:Y1006),$U$1006:$AC$1006,0))&gt;=100000), " ",IF(INDEX($U$2:$AC$1001,MATCH(ROWS($N$2:N84),$N$2:$N$1001,0),MATCH(COLUMNS($U$1006:Y1006),$U$1006:$AC$1006,0)), HYPERLINK("#",""), HYPERLINK(CONCATENATE("#metadata!", ADDRESS(INDEX($P$2:$P$1001,MATCH(ROWS($N$2:N84),$N$2:$N$1001,0),0), INDEX($U$1004:$AC$1004,1,MATCH(COLUMNS($U$1006:Y1006),$U$1006:$AC$1006,0)))),"Fix")))</f>
        <v>0</v>
      </c>
      <c r="G84" s="3">
        <f>IF(OR(INDEX($O$2:$O$1001,MATCH(ROWS($N$2:N84),$N$2:$N$1001,0),1)&gt;=100000,INDEX($U$1005:$AC$1005,1,MATCH(COLUMNS($U$1006:Z1006),$U$1006:$AC$1006,0))&gt;=100000), " ",IF(INDEX($U$2:$AC$1001,MATCH(ROWS($N$2:N84),$N$2:$N$1001,0),MATCH(COLUMNS($U$1006:Z1006),$U$1006:$AC$1006,0)), HYPERLINK("#",""), HYPERLINK(CONCATENATE("#metadata!", ADDRESS(INDEX($P$2:$P$1001,MATCH(ROWS($N$2:N84),$N$2:$N$1001,0),0), INDEX($U$1004:$AC$1004,1,MATCH(COLUMNS($U$1006:Z1006),$U$1006:$AC$1006,0)))),"Fix")))</f>
        <v>0</v>
      </c>
      <c r="H84" s="3">
        <f>IF(OR(INDEX($O$2:$O$1001,MATCH(ROWS($N$2:N84),$N$2:$N$1001,0),1)&gt;=100000,INDEX($U$1005:$AC$1005,1,MATCH(COLUMNS($U$1006:AA1006),$U$1006:$AC$1006,0))&gt;=100000), " ",IF(INDEX($U$2:$AC$1001,MATCH(ROWS($N$2:N84),$N$2:$N$1001,0),MATCH(COLUMNS($U$1006:AA1006),$U$1006:$AC$1006,0)), HYPERLINK("#",""), HYPERLINK(CONCATENATE("#metadata!", ADDRESS(INDEX($P$2:$P$1001,MATCH(ROWS($N$2:N84),$N$2:$N$1001,0),0), INDEX($U$1004:$AC$1004,1,MATCH(COLUMNS($U$1006:AA1006),$U$1006:$AC$1006,0)))),"Fix")))</f>
        <v>0</v>
      </c>
      <c r="I84" s="3">
        <f>IF(OR(INDEX($O$2:$O$1001,MATCH(ROWS($N$2:N84),$N$2:$N$1001,0),1)&gt;=100000,INDEX($U$1005:$AC$1005,1,MATCH(COLUMNS($U$1006:AB1006),$U$1006:$AC$1006,0))&gt;=100000), " ",IF(INDEX($U$2:$AC$1001,MATCH(ROWS($N$2:N84),$N$2:$N$1001,0),MATCH(COLUMNS($U$1006:AB1006),$U$1006:$AC$1006,0)), HYPERLINK("#",""), HYPERLINK(CONCATENATE("#metadata!", ADDRESS(INDEX($P$2:$P$1001,MATCH(ROWS($N$2:N84),$N$2:$N$1001,0),0), INDEX($U$1004:$AC$1004,1,MATCH(COLUMNS($U$1006:AB1006),$U$1006:$AC$1006,0)))),"Fix")))</f>
        <v>0</v>
      </c>
      <c r="J84" s="3">
        <f>IF(OR(INDEX($O$2:$O$1001,MATCH(ROWS($N$2:N84),$N$2:$N$1001,0),1)&gt;=100000,INDEX($U$1005:$AC$1005,1,MATCH(COLUMNS($U$1006:AC1006),$U$1006:$AC$1006,0))&gt;=100000), " ",IF(INDEX($U$2:$AC$1001,MATCH(ROWS($N$2:N84),$N$2:$N$1001,0),MATCH(COLUMNS($U$1006:AC1006),$U$1006:$AC$1006,0)), HYPERLINK("#",""), HYPERLINK(CONCATENATE("#metadata!", ADDRESS(INDEX($P$2:$P$1001,MATCH(ROWS($N$2:N84),$N$2:$N$1001,0),0), INDEX($U$1004:$AC$1004,1,MATCH(COLUMNS($U$1006:AC1006),$U$1006:$AC$1006,0)))),"Fix")))</f>
        <v>0</v>
      </c>
      <c r="N84">
        <v>0</v>
      </c>
      <c r="O84">
        <v>0</v>
      </c>
      <c r="P84">
        <v>0</v>
      </c>
      <c r="Q84">
        <f>IF(R84,TRUE,AND(U84:AC84))</f>
        <v>0</v>
      </c>
      <c r="R84">
        <f>COUNTBLANK(metadata!B84:J84)=COLUMNS(metadata!B84:J84)</f>
        <v>0</v>
      </c>
      <c r="S84">
        <v>0</v>
      </c>
      <c r="U84">
        <f>AND(IF(metadata!B84="",FALSE,TRUE),COUNTIF(metadata!B:B, metadata!B84) = 1,NOT(ISERROR(SUMPRODUCT(SEARCH(MID(metadata!B84,ROW(INDIRECT("1:"&amp;LEN(metadata!B84))), 1),"0123456789abcdefghijklmnopqrstuvwxyzABCDEFGHIJKLMNOPQRSTUVWXYZ.")))))</f>
        <v>0</v>
      </c>
      <c r="V84">
        <f>AND(IF(metadata!C84="",FALSE,TRUE),exact(metadata!C84,"UBERON:genitourinary"))</f>
        <v>0</v>
      </c>
      <c r="W84">
        <f>AND(IF(metadata!D84="",FALSE,TRUE),exact(metadata!D84,"UBERON:urine"))</f>
        <v>0</v>
      </c>
      <c r="X84">
        <f>AND(IF(metadata!E84="",FALSE,TRUE),exact(metadata!E84,"UBERON:kidney"))</f>
        <v>0</v>
      </c>
      <c r="Y84">
        <f>AND(IF(metadata!F84="",FALSE,TRUE),exact(metadata!F84,"animal corpus"))</f>
        <v>0</v>
      </c>
      <c r="Z84">
        <f>AND(IF(metadata!G84="",FALSE,TRUE),exact(metadata!G84,"urine"))</f>
        <v>0</v>
      </c>
      <c r="AA84">
        <f>AND(IF(metadata!H84="",FALSE,TRUE),exact(metadata!H84,"urine"))</f>
        <v>0</v>
      </c>
      <c r="AB84">
        <f>AND(IF(metadata!I84="",FALSE,TRUE),exact(metadata!I84,"urine metagenome"))</f>
        <v>0</v>
      </c>
      <c r="AC84">
        <f>AND(IF(metadata!J84="",FALSE,TRUE),exact(metadata!J84,"1346744"))</f>
        <v>0</v>
      </c>
    </row>
    <row r="85" spans="1:29">
      <c r="A85" s="4">
        <f>IF(B85=" "," ",HYPERLINK(CONCATENATE("#metadata!",ADDRESS(INDEX($P$2:$P$1001,MATCH(ROWS($N$2:N85),$N$2:$N$1001,0),0),1)),INDEX($S$2:$S$1001,MATCH(ROWS($N$2:N85),$N$2:$N$1001,0),0)))</f>
        <v>0</v>
      </c>
      <c r="B85" s="3">
        <f>IF(OR(INDEX($O$2:$O$1001,MATCH(ROWS($N$2:N85),$N$2:$N$1001,0),1)&gt;=100000,INDEX($U$1005:$AC$1005,1,MATCH(COLUMNS($U$1006:U1006),$U$1006:$AC$1006,0))&gt;=100000), " ",IF(INDEX($U$2:$AC$1001,MATCH(ROWS($N$2:N85),$N$2:$N$1001,0),MATCH(COLUMNS($U$1006:U1006),$U$1006:$AC$1006,0)), HYPERLINK("#",""), HYPERLINK(CONCATENATE("#metadata!", ADDRESS(INDEX($P$2:$P$1001,MATCH(ROWS($N$2:N85),$N$2:$N$1001,0),0), INDEX($U$1004:$AC$1004,1,MATCH(COLUMNS($U$1006:U1006),$U$1006:$AC$1006,0)))),"Fix")))</f>
        <v>0</v>
      </c>
      <c r="C85" s="3">
        <f>IF(OR(INDEX($O$2:$O$1001,MATCH(ROWS($N$2:N85),$N$2:$N$1001,0),1)&gt;=100000,INDEX($U$1005:$AC$1005,1,MATCH(COLUMNS($U$1006:V1006),$U$1006:$AC$1006,0))&gt;=100000), " ",IF(INDEX($U$2:$AC$1001,MATCH(ROWS($N$2:N85),$N$2:$N$1001,0),MATCH(COLUMNS($U$1006:V1006),$U$1006:$AC$1006,0)), HYPERLINK("#",""), HYPERLINK(CONCATENATE("#metadata!", ADDRESS(INDEX($P$2:$P$1001,MATCH(ROWS($N$2:N85),$N$2:$N$1001,0),0), INDEX($U$1004:$AC$1004,1,MATCH(COLUMNS($U$1006:V1006),$U$1006:$AC$1006,0)))),"Fix")))</f>
        <v>0</v>
      </c>
      <c r="D85" s="3">
        <f>IF(OR(INDEX($O$2:$O$1001,MATCH(ROWS($N$2:N85),$N$2:$N$1001,0),1)&gt;=100000,INDEX($U$1005:$AC$1005,1,MATCH(COLUMNS($U$1006:W1006),$U$1006:$AC$1006,0))&gt;=100000), " ",IF(INDEX($U$2:$AC$1001,MATCH(ROWS($N$2:N85),$N$2:$N$1001,0),MATCH(COLUMNS($U$1006:W1006),$U$1006:$AC$1006,0)), HYPERLINK("#",""), HYPERLINK(CONCATENATE("#metadata!", ADDRESS(INDEX($P$2:$P$1001,MATCH(ROWS($N$2:N85),$N$2:$N$1001,0),0), INDEX($U$1004:$AC$1004,1,MATCH(COLUMNS($U$1006:W1006),$U$1006:$AC$1006,0)))),"Fix")))</f>
        <v>0</v>
      </c>
      <c r="E85" s="3">
        <f>IF(OR(INDEX($O$2:$O$1001,MATCH(ROWS($N$2:N85),$N$2:$N$1001,0),1)&gt;=100000,INDEX($U$1005:$AC$1005,1,MATCH(COLUMNS($U$1006:X1006),$U$1006:$AC$1006,0))&gt;=100000), " ",IF(INDEX($U$2:$AC$1001,MATCH(ROWS($N$2:N85),$N$2:$N$1001,0),MATCH(COLUMNS($U$1006:X1006),$U$1006:$AC$1006,0)), HYPERLINK("#",""), HYPERLINK(CONCATENATE("#metadata!", ADDRESS(INDEX($P$2:$P$1001,MATCH(ROWS($N$2:N85),$N$2:$N$1001,0),0), INDEX($U$1004:$AC$1004,1,MATCH(COLUMNS($U$1006:X1006),$U$1006:$AC$1006,0)))),"Fix")))</f>
        <v>0</v>
      </c>
      <c r="F85" s="3">
        <f>IF(OR(INDEX($O$2:$O$1001,MATCH(ROWS($N$2:N85),$N$2:$N$1001,0),1)&gt;=100000,INDEX($U$1005:$AC$1005,1,MATCH(COLUMNS($U$1006:Y1006),$U$1006:$AC$1006,0))&gt;=100000), " ",IF(INDEX($U$2:$AC$1001,MATCH(ROWS($N$2:N85),$N$2:$N$1001,0),MATCH(COLUMNS($U$1006:Y1006),$U$1006:$AC$1006,0)), HYPERLINK("#",""), HYPERLINK(CONCATENATE("#metadata!", ADDRESS(INDEX($P$2:$P$1001,MATCH(ROWS($N$2:N85),$N$2:$N$1001,0),0), INDEX($U$1004:$AC$1004,1,MATCH(COLUMNS($U$1006:Y1006),$U$1006:$AC$1006,0)))),"Fix")))</f>
        <v>0</v>
      </c>
      <c r="G85" s="3">
        <f>IF(OR(INDEX($O$2:$O$1001,MATCH(ROWS($N$2:N85),$N$2:$N$1001,0),1)&gt;=100000,INDEX($U$1005:$AC$1005,1,MATCH(COLUMNS($U$1006:Z1006),$U$1006:$AC$1006,0))&gt;=100000), " ",IF(INDEX($U$2:$AC$1001,MATCH(ROWS($N$2:N85),$N$2:$N$1001,0),MATCH(COLUMNS($U$1006:Z1006),$U$1006:$AC$1006,0)), HYPERLINK("#",""), HYPERLINK(CONCATENATE("#metadata!", ADDRESS(INDEX($P$2:$P$1001,MATCH(ROWS($N$2:N85),$N$2:$N$1001,0),0), INDEX($U$1004:$AC$1004,1,MATCH(COLUMNS($U$1006:Z1006),$U$1006:$AC$1006,0)))),"Fix")))</f>
        <v>0</v>
      </c>
      <c r="H85" s="3">
        <f>IF(OR(INDEX($O$2:$O$1001,MATCH(ROWS($N$2:N85),$N$2:$N$1001,0),1)&gt;=100000,INDEX($U$1005:$AC$1005,1,MATCH(COLUMNS($U$1006:AA1006),$U$1006:$AC$1006,0))&gt;=100000), " ",IF(INDEX($U$2:$AC$1001,MATCH(ROWS($N$2:N85),$N$2:$N$1001,0),MATCH(COLUMNS($U$1006:AA1006),$U$1006:$AC$1006,0)), HYPERLINK("#",""), HYPERLINK(CONCATENATE("#metadata!", ADDRESS(INDEX($P$2:$P$1001,MATCH(ROWS($N$2:N85),$N$2:$N$1001,0),0), INDEX($U$1004:$AC$1004,1,MATCH(COLUMNS($U$1006:AA1006),$U$1006:$AC$1006,0)))),"Fix")))</f>
        <v>0</v>
      </c>
      <c r="I85" s="3">
        <f>IF(OR(INDEX($O$2:$O$1001,MATCH(ROWS($N$2:N85),$N$2:$N$1001,0),1)&gt;=100000,INDEX($U$1005:$AC$1005,1,MATCH(COLUMNS($U$1006:AB1006),$U$1006:$AC$1006,0))&gt;=100000), " ",IF(INDEX($U$2:$AC$1001,MATCH(ROWS($N$2:N85),$N$2:$N$1001,0),MATCH(COLUMNS($U$1006:AB1006),$U$1006:$AC$1006,0)), HYPERLINK("#",""), HYPERLINK(CONCATENATE("#metadata!", ADDRESS(INDEX($P$2:$P$1001,MATCH(ROWS($N$2:N85),$N$2:$N$1001,0),0), INDEX($U$1004:$AC$1004,1,MATCH(COLUMNS($U$1006:AB1006),$U$1006:$AC$1006,0)))),"Fix")))</f>
        <v>0</v>
      </c>
      <c r="J85" s="3">
        <f>IF(OR(INDEX($O$2:$O$1001,MATCH(ROWS($N$2:N85),$N$2:$N$1001,0),1)&gt;=100000,INDEX($U$1005:$AC$1005,1,MATCH(COLUMNS($U$1006:AC1006),$U$1006:$AC$1006,0))&gt;=100000), " ",IF(INDEX($U$2:$AC$1001,MATCH(ROWS($N$2:N85),$N$2:$N$1001,0),MATCH(COLUMNS($U$1006:AC1006),$U$1006:$AC$1006,0)), HYPERLINK("#",""), HYPERLINK(CONCATENATE("#metadata!", ADDRESS(INDEX($P$2:$P$1001,MATCH(ROWS($N$2:N85),$N$2:$N$1001,0),0), INDEX($U$1004:$AC$1004,1,MATCH(COLUMNS($U$1006:AC1006),$U$1006:$AC$1006,0)))),"Fix")))</f>
        <v>0</v>
      </c>
      <c r="N85">
        <v>0</v>
      </c>
      <c r="O85">
        <v>0</v>
      </c>
      <c r="P85">
        <v>0</v>
      </c>
      <c r="Q85">
        <f>IF(R85,TRUE,AND(U85:AC85))</f>
        <v>0</v>
      </c>
      <c r="R85">
        <f>COUNTBLANK(metadata!B85:J85)=COLUMNS(metadata!B85:J85)</f>
        <v>0</v>
      </c>
      <c r="S85">
        <v>0</v>
      </c>
      <c r="U85">
        <f>AND(IF(metadata!B85="",FALSE,TRUE),COUNTIF(metadata!B:B, metadata!B85) = 1,NOT(ISERROR(SUMPRODUCT(SEARCH(MID(metadata!B85,ROW(INDIRECT("1:"&amp;LEN(metadata!B85))), 1),"0123456789abcdefghijklmnopqrstuvwxyzABCDEFGHIJKLMNOPQRSTUVWXYZ.")))))</f>
        <v>0</v>
      </c>
      <c r="V85">
        <f>AND(IF(metadata!C85="",FALSE,TRUE),exact(metadata!C85,"UBERON:genitourinary"))</f>
        <v>0</v>
      </c>
      <c r="W85">
        <f>AND(IF(metadata!D85="",FALSE,TRUE),exact(metadata!D85,"UBERON:urine"))</f>
        <v>0</v>
      </c>
      <c r="X85">
        <f>AND(IF(metadata!E85="",FALSE,TRUE),exact(metadata!E85,"UBERON:kidney"))</f>
        <v>0</v>
      </c>
      <c r="Y85">
        <f>AND(IF(metadata!F85="",FALSE,TRUE),exact(metadata!F85,"animal corpus"))</f>
        <v>0</v>
      </c>
      <c r="Z85">
        <f>AND(IF(metadata!G85="",FALSE,TRUE),exact(metadata!G85,"urine"))</f>
        <v>0</v>
      </c>
      <c r="AA85">
        <f>AND(IF(metadata!H85="",FALSE,TRUE),exact(metadata!H85,"urine"))</f>
        <v>0</v>
      </c>
      <c r="AB85">
        <f>AND(IF(metadata!I85="",FALSE,TRUE),exact(metadata!I85,"urine metagenome"))</f>
        <v>0</v>
      </c>
      <c r="AC85">
        <f>AND(IF(metadata!J85="",FALSE,TRUE),exact(metadata!J85,"1346744"))</f>
        <v>0</v>
      </c>
    </row>
    <row r="86" spans="1:29">
      <c r="A86" s="4">
        <f>IF(B86=" "," ",HYPERLINK(CONCATENATE("#metadata!",ADDRESS(INDEX($P$2:$P$1001,MATCH(ROWS($N$2:N86),$N$2:$N$1001,0),0),1)),INDEX($S$2:$S$1001,MATCH(ROWS($N$2:N86),$N$2:$N$1001,0),0)))</f>
        <v>0</v>
      </c>
      <c r="B86" s="3">
        <f>IF(OR(INDEX($O$2:$O$1001,MATCH(ROWS($N$2:N86),$N$2:$N$1001,0),1)&gt;=100000,INDEX($U$1005:$AC$1005,1,MATCH(COLUMNS($U$1006:U1006),$U$1006:$AC$1006,0))&gt;=100000), " ",IF(INDEX($U$2:$AC$1001,MATCH(ROWS($N$2:N86),$N$2:$N$1001,0),MATCH(COLUMNS($U$1006:U1006),$U$1006:$AC$1006,0)), HYPERLINK("#",""), HYPERLINK(CONCATENATE("#metadata!", ADDRESS(INDEX($P$2:$P$1001,MATCH(ROWS($N$2:N86),$N$2:$N$1001,0),0), INDEX($U$1004:$AC$1004,1,MATCH(COLUMNS($U$1006:U1006),$U$1006:$AC$1006,0)))),"Fix")))</f>
        <v>0</v>
      </c>
      <c r="C86" s="3">
        <f>IF(OR(INDEX($O$2:$O$1001,MATCH(ROWS($N$2:N86),$N$2:$N$1001,0),1)&gt;=100000,INDEX($U$1005:$AC$1005,1,MATCH(COLUMNS($U$1006:V1006),$U$1006:$AC$1006,0))&gt;=100000), " ",IF(INDEX($U$2:$AC$1001,MATCH(ROWS($N$2:N86),$N$2:$N$1001,0),MATCH(COLUMNS($U$1006:V1006),$U$1006:$AC$1006,0)), HYPERLINK("#",""), HYPERLINK(CONCATENATE("#metadata!", ADDRESS(INDEX($P$2:$P$1001,MATCH(ROWS($N$2:N86),$N$2:$N$1001,0),0), INDEX($U$1004:$AC$1004,1,MATCH(COLUMNS($U$1006:V1006),$U$1006:$AC$1006,0)))),"Fix")))</f>
        <v>0</v>
      </c>
      <c r="D86" s="3">
        <f>IF(OR(INDEX($O$2:$O$1001,MATCH(ROWS($N$2:N86),$N$2:$N$1001,0),1)&gt;=100000,INDEX($U$1005:$AC$1005,1,MATCH(COLUMNS($U$1006:W1006),$U$1006:$AC$1006,0))&gt;=100000), " ",IF(INDEX($U$2:$AC$1001,MATCH(ROWS($N$2:N86),$N$2:$N$1001,0),MATCH(COLUMNS($U$1006:W1006),$U$1006:$AC$1006,0)), HYPERLINK("#",""), HYPERLINK(CONCATENATE("#metadata!", ADDRESS(INDEX($P$2:$P$1001,MATCH(ROWS($N$2:N86),$N$2:$N$1001,0),0), INDEX($U$1004:$AC$1004,1,MATCH(COLUMNS($U$1006:W1006),$U$1006:$AC$1006,0)))),"Fix")))</f>
        <v>0</v>
      </c>
      <c r="E86" s="3">
        <f>IF(OR(INDEX($O$2:$O$1001,MATCH(ROWS($N$2:N86),$N$2:$N$1001,0),1)&gt;=100000,INDEX($U$1005:$AC$1005,1,MATCH(COLUMNS($U$1006:X1006),$U$1006:$AC$1006,0))&gt;=100000), " ",IF(INDEX($U$2:$AC$1001,MATCH(ROWS($N$2:N86),$N$2:$N$1001,0),MATCH(COLUMNS($U$1006:X1006),$U$1006:$AC$1006,0)), HYPERLINK("#",""), HYPERLINK(CONCATENATE("#metadata!", ADDRESS(INDEX($P$2:$P$1001,MATCH(ROWS($N$2:N86),$N$2:$N$1001,0),0), INDEX($U$1004:$AC$1004,1,MATCH(COLUMNS($U$1006:X1006),$U$1006:$AC$1006,0)))),"Fix")))</f>
        <v>0</v>
      </c>
      <c r="F86" s="3">
        <f>IF(OR(INDEX($O$2:$O$1001,MATCH(ROWS($N$2:N86),$N$2:$N$1001,0),1)&gt;=100000,INDEX($U$1005:$AC$1005,1,MATCH(COLUMNS($U$1006:Y1006),$U$1006:$AC$1006,0))&gt;=100000), " ",IF(INDEX($U$2:$AC$1001,MATCH(ROWS($N$2:N86),$N$2:$N$1001,0),MATCH(COLUMNS($U$1006:Y1006),$U$1006:$AC$1006,0)), HYPERLINK("#",""), HYPERLINK(CONCATENATE("#metadata!", ADDRESS(INDEX($P$2:$P$1001,MATCH(ROWS($N$2:N86),$N$2:$N$1001,0),0), INDEX($U$1004:$AC$1004,1,MATCH(COLUMNS($U$1006:Y1006),$U$1006:$AC$1006,0)))),"Fix")))</f>
        <v>0</v>
      </c>
      <c r="G86" s="3">
        <f>IF(OR(INDEX($O$2:$O$1001,MATCH(ROWS($N$2:N86),$N$2:$N$1001,0),1)&gt;=100000,INDEX($U$1005:$AC$1005,1,MATCH(COLUMNS($U$1006:Z1006),$U$1006:$AC$1006,0))&gt;=100000), " ",IF(INDEX($U$2:$AC$1001,MATCH(ROWS($N$2:N86),$N$2:$N$1001,0),MATCH(COLUMNS($U$1006:Z1006),$U$1006:$AC$1006,0)), HYPERLINK("#",""), HYPERLINK(CONCATENATE("#metadata!", ADDRESS(INDEX($P$2:$P$1001,MATCH(ROWS($N$2:N86),$N$2:$N$1001,0),0), INDEX($U$1004:$AC$1004,1,MATCH(COLUMNS($U$1006:Z1006),$U$1006:$AC$1006,0)))),"Fix")))</f>
        <v>0</v>
      </c>
      <c r="H86" s="3">
        <f>IF(OR(INDEX($O$2:$O$1001,MATCH(ROWS($N$2:N86),$N$2:$N$1001,0),1)&gt;=100000,INDEX($U$1005:$AC$1005,1,MATCH(COLUMNS($U$1006:AA1006),$U$1006:$AC$1006,0))&gt;=100000), " ",IF(INDEX($U$2:$AC$1001,MATCH(ROWS($N$2:N86),$N$2:$N$1001,0),MATCH(COLUMNS($U$1006:AA1006),$U$1006:$AC$1006,0)), HYPERLINK("#",""), HYPERLINK(CONCATENATE("#metadata!", ADDRESS(INDEX($P$2:$P$1001,MATCH(ROWS($N$2:N86),$N$2:$N$1001,0),0), INDEX($U$1004:$AC$1004,1,MATCH(COLUMNS($U$1006:AA1006),$U$1006:$AC$1006,0)))),"Fix")))</f>
        <v>0</v>
      </c>
      <c r="I86" s="3">
        <f>IF(OR(INDEX($O$2:$O$1001,MATCH(ROWS($N$2:N86),$N$2:$N$1001,0),1)&gt;=100000,INDEX($U$1005:$AC$1005,1,MATCH(COLUMNS($U$1006:AB1006),$U$1006:$AC$1006,0))&gt;=100000), " ",IF(INDEX($U$2:$AC$1001,MATCH(ROWS($N$2:N86),$N$2:$N$1001,0),MATCH(COLUMNS($U$1006:AB1006),$U$1006:$AC$1006,0)), HYPERLINK("#",""), HYPERLINK(CONCATENATE("#metadata!", ADDRESS(INDEX($P$2:$P$1001,MATCH(ROWS($N$2:N86),$N$2:$N$1001,0),0), INDEX($U$1004:$AC$1004,1,MATCH(COLUMNS($U$1006:AB1006),$U$1006:$AC$1006,0)))),"Fix")))</f>
        <v>0</v>
      </c>
      <c r="J86" s="3">
        <f>IF(OR(INDEX($O$2:$O$1001,MATCH(ROWS($N$2:N86),$N$2:$N$1001,0),1)&gt;=100000,INDEX($U$1005:$AC$1005,1,MATCH(COLUMNS($U$1006:AC1006),$U$1006:$AC$1006,0))&gt;=100000), " ",IF(INDEX($U$2:$AC$1001,MATCH(ROWS($N$2:N86),$N$2:$N$1001,0),MATCH(COLUMNS($U$1006:AC1006),$U$1006:$AC$1006,0)), HYPERLINK("#",""), HYPERLINK(CONCATENATE("#metadata!", ADDRESS(INDEX($P$2:$P$1001,MATCH(ROWS($N$2:N86),$N$2:$N$1001,0),0), INDEX($U$1004:$AC$1004,1,MATCH(COLUMNS($U$1006:AC1006),$U$1006:$AC$1006,0)))),"Fix")))</f>
        <v>0</v>
      </c>
      <c r="N86">
        <v>0</v>
      </c>
      <c r="O86">
        <v>0</v>
      </c>
      <c r="P86">
        <v>0</v>
      </c>
      <c r="Q86">
        <f>IF(R86,TRUE,AND(U86:AC86))</f>
        <v>0</v>
      </c>
      <c r="R86">
        <f>COUNTBLANK(metadata!B86:J86)=COLUMNS(metadata!B86:J86)</f>
        <v>0</v>
      </c>
      <c r="S86">
        <v>0</v>
      </c>
      <c r="U86">
        <f>AND(IF(metadata!B86="",FALSE,TRUE),COUNTIF(metadata!B:B, metadata!B86) = 1,NOT(ISERROR(SUMPRODUCT(SEARCH(MID(metadata!B86,ROW(INDIRECT("1:"&amp;LEN(metadata!B86))), 1),"0123456789abcdefghijklmnopqrstuvwxyzABCDEFGHIJKLMNOPQRSTUVWXYZ.")))))</f>
        <v>0</v>
      </c>
      <c r="V86">
        <f>AND(IF(metadata!C86="",FALSE,TRUE),exact(metadata!C86,"UBERON:genitourinary"))</f>
        <v>0</v>
      </c>
      <c r="W86">
        <f>AND(IF(metadata!D86="",FALSE,TRUE),exact(metadata!D86,"UBERON:urine"))</f>
        <v>0</v>
      </c>
      <c r="X86">
        <f>AND(IF(metadata!E86="",FALSE,TRUE),exact(metadata!E86,"UBERON:kidney"))</f>
        <v>0</v>
      </c>
      <c r="Y86">
        <f>AND(IF(metadata!F86="",FALSE,TRUE),exact(metadata!F86,"animal corpus"))</f>
        <v>0</v>
      </c>
      <c r="Z86">
        <f>AND(IF(metadata!G86="",FALSE,TRUE),exact(metadata!G86,"urine"))</f>
        <v>0</v>
      </c>
      <c r="AA86">
        <f>AND(IF(metadata!H86="",FALSE,TRUE),exact(metadata!H86,"urine"))</f>
        <v>0</v>
      </c>
      <c r="AB86">
        <f>AND(IF(metadata!I86="",FALSE,TRUE),exact(metadata!I86,"urine metagenome"))</f>
        <v>0</v>
      </c>
      <c r="AC86">
        <f>AND(IF(metadata!J86="",FALSE,TRUE),exact(metadata!J86,"1346744"))</f>
        <v>0</v>
      </c>
    </row>
    <row r="87" spans="1:29">
      <c r="A87" s="4">
        <f>IF(B87=" "," ",HYPERLINK(CONCATENATE("#metadata!",ADDRESS(INDEX($P$2:$P$1001,MATCH(ROWS($N$2:N87),$N$2:$N$1001,0),0),1)),INDEX($S$2:$S$1001,MATCH(ROWS($N$2:N87),$N$2:$N$1001,0),0)))</f>
        <v>0</v>
      </c>
      <c r="B87" s="3">
        <f>IF(OR(INDEX($O$2:$O$1001,MATCH(ROWS($N$2:N87),$N$2:$N$1001,0),1)&gt;=100000,INDEX($U$1005:$AC$1005,1,MATCH(COLUMNS($U$1006:U1006),$U$1006:$AC$1006,0))&gt;=100000), " ",IF(INDEX($U$2:$AC$1001,MATCH(ROWS($N$2:N87),$N$2:$N$1001,0),MATCH(COLUMNS($U$1006:U1006),$U$1006:$AC$1006,0)), HYPERLINK("#",""), HYPERLINK(CONCATENATE("#metadata!", ADDRESS(INDEX($P$2:$P$1001,MATCH(ROWS($N$2:N87),$N$2:$N$1001,0),0), INDEX($U$1004:$AC$1004,1,MATCH(COLUMNS($U$1006:U1006),$U$1006:$AC$1006,0)))),"Fix")))</f>
        <v>0</v>
      </c>
      <c r="C87" s="3">
        <f>IF(OR(INDEX($O$2:$O$1001,MATCH(ROWS($N$2:N87),$N$2:$N$1001,0),1)&gt;=100000,INDEX($U$1005:$AC$1005,1,MATCH(COLUMNS($U$1006:V1006),$U$1006:$AC$1006,0))&gt;=100000), " ",IF(INDEX($U$2:$AC$1001,MATCH(ROWS($N$2:N87),$N$2:$N$1001,0),MATCH(COLUMNS($U$1006:V1006),$U$1006:$AC$1006,0)), HYPERLINK("#",""), HYPERLINK(CONCATENATE("#metadata!", ADDRESS(INDEX($P$2:$P$1001,MATCH(ROWS($N$2:N87),$N$2:$N$1001,0),0), INDEX($U$1004:$AC$1004,1,MATCH(COLUMNS($U$1006:V1006),$U$1006:$AC$1006,0)))),"Fix")))</f>
        <v>0</v>
      </c>
      <c r="D87" s="3">
        <f>IF(OR(INDEX($O$2:$O$1001,MATCH(ROWS($N$2:N87),$N$2:$N$1001,0),1)&gt;=100000,INDEX($U$1005:$AC$1005,1,MATCH(COLUMNS($U$1006:W1006),$U$1006:$AC$1006,0))&gt;=100000), " ",IF(INDEX($U$2:$AC$1001,MATCH(ROWS($N$2:N87),$N$2:$N$1001,0),MATCH(COLUMNS($U$1006:W1006),$U$1006:$AC$1006,0)), HYPERLINK("#",""), HYPERLINK(CONCATENATE("#metadata!", ADDRESS(INDEX($P$2:$P$1001,MATCH(ROWS($N$2:N87),$N$2:$N$1001,0),0), INDEX($U$1004:$AC$1004,1,MATCH(COLUMNS($U$1006:W1006),$U$1006:$AC$1006,0)))),"Fix")))</f>
        <v>0</v>
      </c>
      <c r="E87" s="3">
        <f>IF(OR(INDEX($O$2:$O$1001,MATCH(ROWS($N$2:N87),$N$2:$N$1001,0),1)&gt;=100000,INDEX($U$1005:$AC$1005,1,MATCH(COLUMNS($U$1006:X1006),$U$1006:$AC$1006,0))&gt;=100000), " ",IF(INDEX($U$2:$AC$1001,MATCH(ROWS($N$2:N87),$N$2:$N$1001,0),MATCH(COLUMNS($U$1006:X1006),$U$1006:$AC$1006,0)), HYPERLINK("#",""), HYPERLINK(CONCATENATE("#metadata!", ADDRESS(INDEX($P$2:$P$1001,MATCH(ROWS($N$2:N87),$N$2:$N$1001,0),0), INDEX($U$1004:$AC$1004,1,MATCH(COLUMNS($U$1006:X1006),$U$1006:$AC$1006,0)))),"Fix")))</f>
        <v>0</v>
      </c>
      <c r="F87" s="3">
        <f>IF(OR(INDEX($O$2:$O$1001,MATCH(ROWS($N$2:N87),$N$2:$N$1001,0),1)&gt;=100000,INDEX($U$1005:$AC$1005,1,MATCH(COLUMNS($U$1006:Y1006),$U$1006:$AC$1006,0))&gt;=100000), " ",IF(INDEX($U$2:$AC$1001,MATCH(ROWS($N$2:N87),$N$2:$N$1001,0),MATCH(COLUMNS($U$1006:Y1006),$U$1006:$AC$1006,0)), HYPERLINK("#",""), HYPERLINK(CONCATENATE("#metadata!", ADDRESS(INDEX($P$2:$P$1001,MATCH(ROWS($N$2:N87),$N$2:$N$1001,0),0), INDEX($U$1004:$AC$1004,1,MATCH(COLUMNS($U$1006:Y1006),$U$1006:$AC$1006,0)))),"Fix")))</f>
        <v>0</v>
      </c>
      <c r="G87" s="3">
        <f>IF(OR(INDEX($O$2:$O$1001,MATCH(ROWS($N$2:N87),$N$2:$N$1001,0),1)&gt;=100000,INDEX($U$1005:$AC$1005,1,MATCH(COLUMNS($U$1006:Z1006),$U$1006:$AC$1006,0))&gt;=100000), " ",IF(INDEX($U$2:$AC$1001,MATCH(ROWS($N$2:N87),$N$2:$N$1001,0),MATCH(COLUMNS($U$1006:Z1006),$U$1006:$AC$1006,0)), HYPERLINK("#",""), HYPERLINK(CONCATENATE("#metadata!", ADDRESS(INDEX($P$2:$P$1001,MATCH(ROWS($N$2:N87),$N$2:$N$1001,0),0), INDEX($U$1004:$AC$1004,1,MATCH(COLUMNS($U$1006:Z1006),$U$1006:$AC$1006,0)))),"Fix")))</f>
        <v>0</v>
      </c>
      <c r="H87" s="3">
        <f>IF(OR(INDEX($O$2:$O$1001,MATCH(ROWS($N$2:N87),$N$2:$N$1001,0),1)&gt;=100000,INDEX($U$1005:$AC$1005,1,MATCH(COLUMNS($U$1006:AA1006),$U$1006:$AC$1006,0))&gt;=100000), " ",IF(INDEX($U$2:$AC$1001,MATCH(ROWS($N$2:N87),$N$2:$N$1001,0),MATCH(COLUMNS($U$1006:AA1006),$U$1006:$AC$1006,0)), HYPERLINK("#",""), HYPERLINK(CONCATENATE("#metadata!", ADDRESS(INDEX($P$2:$P$1001,MATCH(ROWS($N$2:N87),$N$2:$N$1001,0),0), INDEX($U$1004:$AC$1004,1,MATCH(COLUMNS($U$1006:AA1006),$U$1006:$AC$1006,0)))),"Fix")))</f>
        <v>0</v>
      </c>
      <c r="I87" s="3">
        <f>IF(OR(INDEX($O$2:$O$1001,MATCH(ROWS($N$2:N87),$N$2:$N$1001,0),1)&gt;=100000,INDEX($U$1005:$AC$1005,1,MATCH(COLUMNS($U$1006:AB1006),$U$1006:$AC$1006,0))&gt;=100000), " ",IF(INDEX($U$2:$AC$1001,MATCH(ROWS($N$2:N87),$N$2:$N$1001,0),MATCH(COLUMNS($U$1006:AB1006),$U$1006:$AC$1006,0)), HYPERLINK("#",""), HYPERLINK(CONCATENATE("#metadata!", ADDRESS(INDEX($P$2:$P$1001,MATCH(ROWS($N$2:N87),$N$2:$N$1001,0),0), INDEX($U$1004:$AC$1004,1,MATCH(COLUMNS($U$1006:AB1006),$U$1006:$AC$1006,0)))),"Fix")))</f>
        <v>0</v>
      </c>
      <c r="J87" s="3">
        <f>IF(OR(INDEX($O$2:$O$1001,MATCH(ROWS($N$2:N87),$N$2:$N$1001,0),1)&gt;=100000,INDEX($U$1005:$AC$1005,1,MATCH(COLUMNS($U$1006:AC1006),$U$1006:$AC$1006,0))&gt;=100000), " ",IF(INDEX($U$2:$AC$1001,MATCH(ROWS($N$2:N87),$N$2:$N$1001,0),MATCH(COLUMNS($U$1006:AC1006),$U$1006:$AC$1006,0)), HYPERLINK("#",""), HYPERLINK(CONCATENATE("#metadata!", ADDRESS(INDEX($P$2:$P$1001,MATCH(ROWS($N$2:N87),$N$2:$N$1001,0),0), INDEX($U$1004:$AC$1004,1,MATCH(COLUMNS($U$1006:AC1006),$U$1006:$AC$1006,0)))),"Fix")))</f>
        <v>0</v>
      </c>
      <c r="N87">
        <v>0</v>
      </c>
      <c r="O87">
        <v>0</v>
      </c>
      <c r="P87">
        <v>0</v>
      </c>
      <c r="Q87">
        <f>IF(R87,TRUE,AND(U87:AC87))</f>
        <v>0</v>
      </c>
      <c r="R87">
        <f>COUNTBLANK(metadata!B87:J87)=COLUMNS(metadata!B87:J87)</f>
        <v>0</v>
      </c>
      <c r="S87">
        <v>0</v>
      </c>
      <c r="U87">
        <f>AND(IF(metadata!B87="",FALSE,TRUE),COUNTIF(metadata!B:B, metadata!B87) = 1,NOT(ISERROR(SUMPRODUCT(SEARCH(MID(metadata!B87,ROW(INDIRECT("1:"&amp;LEN(metadata!B87))), 1),"0123456789abcdefghijklmnopqrstuvwxyzABCDEFGHIJKLMNOPQRSTUVWXYZ.")))))</f>
        <v>0</v>
      </c>
      <c r="V87">
        <f>AND(IF(metadata!C87="",FALSE,TRUE),exact(metadata!C87,"UBERON:genitourinary"))</f>
        <v>0</v>
      </c>
      <c r="W87">
        <f>AND(IF(metadata!D87="",FALSE,TRUE),exact(metadata!D87,"UBERON:urine"))</f>
        <v>0</v>
      </c>
      <c r="X87">
        <f>AND(IF(metadata!E87="",FALSE,TRUE),exact(metadata!E87,"UBERON:kidney"))</f>
        <v>0</v>
      </c>
      <c r="Y87">
        <f>AND(IF(metadata!F87="",FALSE,TRUE),exact(metadata!F87,"animal corpus"))</f>
        <v>0</v>
      </c>
      <c r="Z87">
        <f>AND(IF(metadata!G87="",FALSE,TRUE),exact(metadata!G87,"urine"))</f>
        <v>0</v>
      </c>
      <c r="AA87">
        <f>AND(IF(metadata!H87="",FALSE,TRUE),exact(metadata!H87,"urine"))</f>
        <v>0</v>
      </c>
      <c r="AB87">
        <f>AND(IF(metadata!I87="",FALSE,TRUE),exact(metadata!I87,"urine metagenome"))</f>
        <v>0</v>
      </c>
      <c r="AC87">
        <f>AND(IF(metadata!J87="",FALSE,TRUE),exact(metadata!J87,"1346744"))</f>
        <v>0</v>
      </c>
    </row>
    <row r="88" spans="1:29">
      <c r="A88" s="4">
        <f>IF(B88=" "," ",HYPERLINK(CONCATENATE("#metadata!",ADDRESS(INDEX($P$2:$P$1001,MATCH(ROWS($N$2:N88),$N$2:$N$1001,0),0),1)),INDEX($S$2:$S$1001,MATCH(ROWS($N$2:N88),$N$2:$N$1001,0),0)))</f>
        <v>0</v>
      </c>
      <c r="B88" s="3">
        <f>IF(OR(INDEX($O$2:$O$1001,MATCH(ROWS($N$2:N88),$N$2:$N$1001,0),1)&gt;=100000,INDEX($U$1005:$AC$1005,1,MATCH(COLUMNS($U$1006:U1006),$U$1006:$AC$1006,0))&gt;=100000), " ",IF(INDEX($U$2:$AC$1001,MATCH(ROWS($N$2:N88),$N$2:$N$1001,0),MATCH(COLUMNS($U$1006:U1006),$U$1006:$AC$1006,0)), HYPERLINK("#",""), HYPERLINK(CONCATENATE("#metadata!", ADDRESS(INDEX($P$2:$P$1001,MATCH(ROWS($N$2:N88),$N$2:$N$1001,0),0), INDEX($U$1004:$AC$1004,1,MATCH(COLUMNS($U$1006:U1006),$U$1006:$AC$1006,0)))),"Fix")))</f>
        <v>0</v>
      </c>
      <c r="C88" s="3">
        <f>IF(OR(INDEX($O$2:$O$1001,MATCH(ROWS($N$2:N88),$N$2:$N$1001,0),1)&gt;=100000,INDEX($U$1005:$AC$1005,1,MATCH(COLUMNS($U$1006:V1006),$U$1006:$AC$1006,0))&gt;=100000), " ",IF(INDEX($U$2:$AC$1001,MATCH(ROWS($N$2:N88),$N$2:$N$1001,0),MATCH(COLUMNS($U$1006:V1006),$U$1006:$AC$1006,0)), HYPERLINK("#",""), HYPERLINK(CONCATENATE("#metadata!", ADDRESS(INDEX($P$2:$P$1001,MATCH(ROWS($N$2:N88),$N$2:$N$1001,0),0), INDEX($U$1004:$AC$1004,1,MATCH(COLUMNS($U$1006:V1006),$U$1006:$AC$1006,0)))),"Fix")))</f>
        <v>0</v>
      </c>
      <c r="D88" s="3">
        <f>IF(OR(INDEX($O$2:$O$1001,MATCH(ROWS($N$2:N88),$N$2:$N$1001,0),1)&gt;=100000,INDEX($U$1005:$AC$1005,1,MATCH(COLUMNS($U$1006:W1006),$U$1006:$AC$1006,0))&gt;=100000), " ",IF(INDEX($U$2:$AC$1001,MATCH(ROWS($N$2:N88),$N$2:$N$1001,0),MATCH(COLUMNS($U$1006:W1006),$U$1006:$AC$1006,0)), HYPERLINK("#",""), HYPERLINK(CONCATENATE("#metadata!", ADDRESS(INDEX($P$2:$P$1001,MATCH(ROWS($N$2:N88),$N$2:$N$1001,0),0), INDEX($U$1004:$AC$1004,1,MATCH(COLUMNS($U$1006:W1006),$U$1006:$AC$1006,0)))),"Fix")))</f>
        <v>0</v>
      </c>
      <c r="E88" s="3">
        <f>IF(OR(INDEX($O$2:$O$1001,MATCH(ROWS($N$2:N88),$N$2:$N$1001,0),1)&gt;=100000,INDEX($U$1005:$AC$1005,1,MATCH(COLUMNS($U$1006:X1006),$U$1006:$AC$1006,0))&gt;=100000), " ",IF(INDEX($U$2:$AC$1001,MATCH(ROWS($N$2:N88),$N$2:$N$1001,0),MATCH(COLUMNS($U$1006:X1006),$U$1006:$AC$1006,0)), HYPERLINK("#",""), HYPERLINK(CONCATENATE("#metadata!", ADDRESS(INDEX($P$2:$P$1001,MATCH(ROWS($N$2:N88),$N$2:$N$1001,0),0), INDEX($U$1004:$AC$1004,1,MATCH(COLUMNS($U$1006:X1006),$U$1006:$AC$1006,0)))),"Fix")))</f>
        <v>0</v>
      </c>
      <c r="F88" s="3">
        <f>IF(OR(INDEX($O$2:$O$1001,MATCH(ROWS($N$2:N88),$N$2:$N$1001,0),1)&gt;=100000,INDEX($U$1005:$AC$1005,1,MATCH(COLUMNS($U$1006:Y1006),$U$1006:$AC$1006,0))&gt;=100000), " ",IF(INDEX($U$2:$AC$1001,MATCH(ROWS($N$2:N88),$N$2:$N$1001,0),MATCH(COLUMNS($U$1006:Y1006),$U$1006:$AC$1006,0)), HYPERLINK("#",""), HYPERLINK(CONCATENATE("#metadata!", ADDRESS(INDEX($P$2:$P$1001,MATCH(ROWS($N$2:N88),$N$2:$N$1001,0),0), INDEX($U$1004:$AC$1004,1,MATCH(COLUMNS($U$1006:Y1006),$U$1006:$AC$1006,0)))),"Fix")))</f>
        <v>0</v>
      </c>
      <c r="G88" s="3">
        <f>IF(OR(INDEX($O$2:$O$1001,MATCH(ROWS($N$2:N88),$N$2:$N$1001,0),1)&gt;=100000,INDEX($U$1005:$AC$1005,1,MATCH(COLUMNS($U$1006:Z1006),$U$1006:$AC$1006,0))&gt;=100000), " ",IF(INDEX($U$2:$AC$1001,MATCH(ROWS($N$2:N88),$N$2:$N$1001,0),MATCH(COLUMNS($U$1006:Z1006),$U$1006:$AC$1006,0)), HYPERLINK("#",""), HYPERLINK(CONCATENATE("#metadata!", ADDRESS(INDEX($P$2:$P$1001,MATCH(ROWS($N$2:N88),$N$2:$N$1001,0),0), INDEX($U$1004:$AC$1004,1,MATCH(COLUMNS($U$1006:Z1006),$U$1006:$AC$1006,0)))),"Fix")))</f>
        <v>0</v>
      </c>
      <c r="H88" s="3">
        <f>IF(OR(INDEX($O$2:$O$1001,MATCH(ROWS($N$2:N88),$N$2:$N$1001,0),1)&gt;=100000,INDEX($U$1005:$AC$1005,1,MATCH(COLUMNS($U$1006:AA1006),$U$1006:$AC$1006,0))&gt;=100000), " ",IF(INDEX($U$2:$AC$1001,MATCH(ROWS($N$2:N88),$N$2:$N$1001,0),MATCH(COLUMNS($U$1006:AA1006),$U$1006:$AC$1006,0)), HYPERLINK("#",""), HYPERLINK(CONCATENATE("#metadata!", ADDRESS(INDEX($P$2:$P$1001,MATCH(ROWS($N$2:N88),$N$2:$N$1001,0),0), INDEX($U$1004:$AC$1004,1,MATCH(COLUMNS($U$1006:AA1006),$U$1006:$AC$1006,0)))),"Fix")))</f>
        <v>0</v>
      </c>
      <c r="I88" s="3">
        <f>IF(OR(INDEX($O$2:$O$1001,MATCH(ROWS($N$2:N88),$N$2:$N$1001,0),1)&gt;=100000,INDEX($U$1005:$AC$1005,1,MATCH(COLUMNS($U$1006:AB1006),$U$1006:$AC$1006,0))&gt;=100000), " ",IF(INDEX($U$2:$AC$1001,MATCH(ROWS($N$2:N88),$N$2:$N$1001,0),MATCH(COLUMNS($U$1006:AB1006),$U$1006:$AC$1006,0)), HYPERLINK("#",""), HYPERLINK(CONCATENATE("#metadata!", ADDRESS(INDEX($P$2:$P$1001,MATCH(ROWS($N$2:N88),$N$2:$N$1001,0),0), INDEX($U$1004:$AC$1004,1,MATCH(COLUMNS($U$1006:AB1006),$U$1006:$AC$1006,0)))),"Fix")))</f>
        <v>0</v>
      </c>
      <c r="J88" s="3">
        <f>IF(OR(INDEX($O$2:$O$1001,MATCH(ROWS($N$2:N88),$N$2:$N$1001,0),1)&gt;=100000,INDEX($U$1005:$AC$1005,1,MATCH(COLUMNS($U$1006:AC1006),$U$1006:$AC$1006,0))&gt;=100000), " ",IF(INDEX($U$2:$AC$1001,MATCH(ROWS($N$2:N88),$N$2:$N$1001,0),MATCH(COLUMNS($U$1006:AC1006),$U$1006:$AC$1006,0)), HYPERLINK("#",""), HYPERLINK(CONCATENATE("#metadata!", ADDRESS(INDEX($P$2:$P$1001,MATCH(ROWS($N$2:N88),$N$2:$N$1001,0),0), INDEX($U$1004:$AC$1004,1,MATCH(COLUMNS($U$1006:AC1006),$U$1006:$AC$1006,0)))),"Fix")))</f>
        <v>0</v>
      </c>
      <c r="N88">
        <v>0</v>
      </c>
      <c r="O88">
        <v>0</v>
      </c>
      <c r="P88">
        <v>0</v>
      </c>
      <c r="Q88">
        <f>IF(R88,TRUE,AND(U88:AC88))</f>
        <v>0</v>
      </c>
      <c r="R88">
        <f>COUNTBLANK(metadata!B88:J88)=COLUMNS(metadata!B88:J88)</f>
        <v>0</v>
      </c>
      <c r="S88">
        <v>0</v>
      </c>
      <c r="U88">
        <f>AND(IF(metadata!B88="",FALSE,TRUE),COUNTIF(metadata!B:B, metadata!B88) = 1,NOT(ISERROR(SUMPRODUCT(SEARCH(MID(metadata!B88,ROW(INDIRECT("1:"&amp;LEN(metadata!B88))), 1),"0123456789abcdefghijklmnopqrstuvwxyzABCDEFGHIJKLMNOPQRSTUVWXYZ.")))))</f>
        <v>0</v>
      </c>
      <c r="V88">
        <f>AND(IF(metadata!C88="",FALSE,TRUE),exact(metadata!C88,"UBERON:genitourinary"))</f>
        <v>0</v>
      </c>
      <c r="W88">
        <f>AND(IF(metadata!D88="",FALSE,TRUE),exact(metadata!D88,"UBERON:urine"))</f>
        <v>0</v>
      </c>
      <c r="X88">
        <f>AND(IF(metadata!E88="",FALSE,TRUE),exact(metadata!E88,"UBERON:kidney"))</f>
        <v>0</v>
      </c>
      <c r="Y88">
        <f>AND(IF(metadata!F88="",FALSE,TRUE),exact(metadata!F88,"animal corpus"))</f>
        <v>0</v>
      </c>
      <c r="Z88">
        <f>AND(IF(metadata!G88="",FALSE,TRUE),exact(metadata!G88,"urine"))</f>
        <v>0</v>
      </c>
      <c r="AA88">
        <f>AND(IF(metadata!H88="",FALSE,TRUE),exact(metadata!H88,"urine"))</f>
        <v>0</v>
      </c>
      <c r="AB88">
        <f>AND(IF(metadata!I88="",FALSE,TRUE),exact(metadata!I88,"urine metagenome"))</f>
        <v>0</v>
      </c>
      <c r="AC88">
        <f>AND(IF(metadata!J88="",FALSE,TRUE),exact(metadata!J88,"1346744"))</f>
        <v>0</v>
      </c>
    </row>
    <row r="89" spans="1:29">
      <c r="A89" s="4">
        <f>IF(B89=" "," ",HYPERLINK(CONCATENATE("#metadata!",ADDRESS(INDEX($P$2:$P$1001,MATCH(ROWS($N$2:N89),$N$2:$N$1001,0),0),1)),INDEX($S$2:$S$1001,MATCH(ROWS($N$2:N89),$N$2:$N$1001,0),0)))</f>
        <v>0</v>
      </c>
      <c r="B89" s="3">
        <f>IF(OR(INDEX($O$2:$O$1001,MATCH(ROWS($N$2:N89),$N$2:$N$1001,0),1)&gt;=100000,INDEX($U$1005:$AC$1005,1,MATCH(COLUMNS($U$1006:U1006),$U$1006:$AC$1006,0))&gt;=100000), " ",IF(INDEX($U$2:$AC$1001,MATCH(ROWS($N$2:N89),$N$2:$N$1001,0),MATCH(COLUMNS($U$1006:U1006),$U$1006:$AC$1006,0)), HYPERLINK("#",""), HYPERLINK(CONCATENATE("#metadata!", ADDRESS(INDEX($P$2:$P$1001,MATCH(ROWS($N$2:N89),$N$2:$N$1001,0),0), INDEX($U$1004:$AC$1004,1,MATCH(COLUMNS($U$1006:U1006),$U$1006:$AC$1006,0)))),"Fix")))</f>
        <v>0</v>
      </c>
      <c r="C89" s="3">
        <f>IF(OR(INDEX($O$2:$O$1001,MATCH(ROWS($N$2:N89),$N$2:$N$1001,0),1)&gt;=100000,INDEX($U$1005:$AC$1005,1,MATCH(COLUMNS($U$1006:V1006),$U$1006:$AC$1006,0))&gt;=100000), " ",IF(INDEX($U$2:$AC$1001,MATCH(ROWS($N$2:N89),$N$2:$N$1001,0),MATCH(COLUMNS($U$1006:V1006),$U$1006:$AC$1006,0)), HYPERLINK("#",""), HYPERLINK(CONCATENATE("#metadata!", ADDRESS(INDEX($P$2:$P$1001,MATCH(ROWS($N$2:N89),$N$2:$N$1001,0),0), INDEX($U$1004:$AC$1004,1,MATCH(COLUMNS($U$1006:V1006),$U$1006:$AC$1006,0)))),"Fix")))</f>
        <v>0</v>
      </c>
      <c r="D89" s="3">
        <f>IF(OR(INDEX($O$2:$O$1001,MATCH(ROWS($N$2:N89),$N$2:$N$1001,0),1)&gt;=100000,INDEX($U$1005:$AC$1005,1,MATCH(COLUMNS($U$1006:W1006),$U$1006:$AC$1006,0))&gt;=100000), " ",IF(INDEX($U$2:$AC$1001,MATCH(ROWS($N$2:N89),$N$2:$N$1001,0),MATCH(COLUMNS($U$1006:W1006),$U$1006:$AC$1006,0)), HYPERLINK("#",""), HYPERLINK(CONCATENATE("#metadata!", ADDRESS(INDEX($P$2:$P$1001,MATCH(ROWS($N$2:N89),$N$2:$N$1001,0),0), INDEX($U$1004:$AC$1004,1,MATCH(COLUMNS($U$1006:W1006),$U$1006:$AC$1006,0)))),"Fix")))</f>
        <v>0</v>
      </c>
      <c r="E89" s="3">
        <f>IF(OR(INDEX($O$2:$O$1001,MATCH(ROWS($N$2:N89),$N$2:$N$1001,0),1)&gt;=100000,INDEX($U$1005:$AC$1005,1,MATCH(COLUMNS($U$1006:X1006),$U$1006:$AC$1006,0))&gt;=100000), " ",IF(INDEX($U$2:$AC$1001,MATCH(ROWS($N$2:N89),$N$2:$N$1001,0),MATCH(COLUMNS($U$1006:X1006),$U$1006:$AC$1006,0)), HYPERLINK("#",""), HYPERLINK(CONCATENATE("#metadata!", ADDRESS(INDEX($P$2:$P$1001,MATCH(ROWS($N$2:N89),$N$2:$N$1001,0),0), INDEX($U$1004:$AC$1004,1,MATCH(COLUMNS($U$1006:X1006),$U$1006:$AC$1006,0)))),"Fix")))</f>
        <v>0</v>
      </c>
      <c r="F89" s="3">
        <f>IF(OR(INDEX($O$2:$O$1001,MATCH(ROWS($N$2:N89),$N$2:$N$1001,0),1)&gt;=100000,INDEX($U$1005:$AC$1005,1,MATCH(COLUMNS($U$1006:Y1006),$U$1006:$AC$1006,0))&gt;=100000), " ",IF(INDEX($U$2:$AC$1001,MATCH(ROWS($N$2:N89),$N$2:$N$1001,0),MATCH(COLUMNS($U$1006:Y1006),$U$1006:$AC$1006,0)), HYPERLINK("#",""), HYPERLINK(CONCATENATE("#metadata!", ADDRESS(INDEX($P$2:$P$1001,MATCH(ROWS($N$2:N89),$N$2:$N$1001,0),0), INDEX($U$1004:$AC$1004,1,MATCH(COLUMNS($U$1006:Y1006),$U$1006:$AC$1006,0)))),"Fix")))</f>
        <v>0</v>
      </c>
      <c r="G89" s="3">
        <f>IF(OR(INDEX($O$2:$O$1001,MATCH(ROWS($N$2:N89),$N$2:$N$1001,0),1)&gt;=100000,INDEX($U$1005:$AC$1005,1,MATCH(COLUMNS($U$1006:Z1006),$U$1006:$AC$1006,0))&gt;=100000), " ",IF(INDEX($U$2:$AC$1001,MATCH(ROWS($N$2:N89),$N$2:$N$1001,0),MATCH(COLUMNS($U$1006:Z1006),$U$1006:$AC$1006,0)), HYPERLINK("#",""), HYPERLINK(CONCATENATE("#metadata!", ADDRESS(INDEX($P$2:$P$1001,MATCH(ROWS($N$2:N89),$N$2:$N$1001,0),0), INDEX($U$1004:$AC$1004,1,MATCH(COLUMNS($U$1006:Z1006),$U$1006:$AC$1006,0)))),"Fix")))</f>
        <v>0</v>
      </c>
      <c r="H89" s="3">
        <f>IF(OR(INDEX($O$2:$O$1001,MATCH(ROWS($N$2:N89),$N$2:$N$1001,0),1)&gt;=100000,INDEX($U$1005:$AC$1005,1,MATCH(COLUMNS($U$1006:AA1006),$U$1006:$AC$1006,0))&gt;=100000), " ",IF(INDEX($U$2:$AC$1001,MATCH(ROWS($N$2:N89),$N$2:$N$1001,0),MATCH(COLUMNS($U$1006:AA1006),$U$1006:$AC$1006,0)), HYPERLINK("#",""), HYPERLINK(CONCATENATE("#metadata!", ADDRESS(INDEX($P$2:$P$1001,MATCH(ROWS($N$2:N89),$N$2:$N$1001,0),0), INDEX($U$1004:$AC$1004,1,MATCH(COLUMNS($U$1006:AA1006),$U$1006:$AC$1006,0)))),"Fix")))</f>
        <v>0</v>
      </c>
      <c r="I89" s="3">
        <f>IF(OR(INDEX($O$2:$O$1001,MATCH(ROWS($N$2:N89),$N$2:$N$1001,0),1)&gt;=100000,INDEX($U$1005:$AC$1005,1,MATCH(COLUMNS($U$1006:AB1006),$U$1006:$AC$1006,0))&gt;=100000), " ",IF(INDEX($U$2:$AC$1001,MATCH(ROWS($N$2:N89),$N$2:$N$1001,0),MATCH(COLUMNS($U$1006:AB1006),$U$1006:$AC$1006,0)), HYPERLINK("#",""), HYPERLINK(CONCATENATE("#metadata!", ADDRESS(INDEX($P$2:$P$1001,MATCH(ROWS($N$2:N89),$N$2:$N$1001,0),0), INDEX($U$1004:$AC$1004,1,MATCH(COLUMNS($U$1006:AB1006),$U$1006:$AC$1006,0)))),"Fix")))</f>
        <v>0</v>
      </c>
      <c r="J89" s="3">
        <f>IF(OR(INDEX($O$2:$O$1001,MATCH(ROWS($N$2:N89),$N$2:$N$1001,0),1)&gt;=100000,INDEX($U$1005:$AC$1005,1,MATCH(COLUMNS($U$1006:AC1006),$U$1006:$AC$1006,0))&gt;=100000), " ",IF(INDEX($U$2:$AC$1001,MATCH(ROWS($N$2:N89),$N$2:$N$1001,0),MATCH(COLUMNS($U$1006:AC1006),$U$1006:$AC$1006,0)), HYPERLINK("#",""), HYPERLINK(CONCATENATE("#metadata!", ADDRESS(INDEX($P$2:$P$1001,MATCH(ROWS($N$2:N89),$N$2:$N$1001,0),0), INDEX($U$1004:$AC$1004,1,MATCH(COLUMNS($U$1006:AC1006),$U$1006:$AC$1006,0)))),"Fix")))</f>
        <v>0</v>
      </c>
      <c r="N89">
        <v>0</v>
      </c>
      <c r="O89">
        <v>0</v>
      </c>
      <c r="P89">
        <v>0</v>
      </c>
      <c r="Q89">
        <f>IF(R89,TRUE,AND(U89:AC89))</f>
        <v>0</v>
      </c>
      <c r="R89">
        <f>COUNTBLANK(metadata!B89:J89)=COLUMNS(metadata!B89:J89)</f>
        <v>0</v>
      </c>
      <c r="S89">
        <v>0</v>
      </c>
      <c r="U89">
        <f>AND(IF(metadata!B89="",FALSE,TRUE),COUNTIF(metadata!B:B, metadata!B89) = 1,NOT(ISERROR(SUMPRODUCT(SEARCH(MID(metadata!B89,ROW(INDIRECT("1:"&amp;LEN(metadata!B89))), 1),"0123456789abcdefghijklmnopqrstuvwxyzABCDEFGHIJKLMNOPQRSTUVWXYZ.")))))</f>
        <v>0</v>
      </c>
      <c r="V89">
        <f>AND(IF(metadata!C89="",FALSE,TRUE),exact(metadata!C89,"UBERON:genitourinary"))</f>
        <v>0</v>
      </c>
      <c r="W89">
        <f>AND(IF(metadata!D89="",FALSE,TRUE),exact(metadata!D89,"UBERON:urine"))</f>
        <v>0</v>
      </c>
      <c r="X89">
        <f>AND(IF(metadata!E89="",FALSE,TRUE),exact(metadata!E89,"UBERON:kidney"))</f>
        <v>0</v>
      </c>
      <c r="Y89">
        <f>AND(IF(metadata!F89="",FALSE,TRUE),exact(metadata!F89,"animal corpus"))</f>
        <v>0</v>
      </c>
      <c r="Z89">
        <f>AND(IF(metadata!G89="",FALSE,TRUE),exact(metadata!G89,"urine"))</f>
        <v>0</v>
      </c>
      <c r="AA89">
        <f>AND(IF(metadata!H89="",FALSE,TRUE),exact(metadata!H89,"urine"))</f>
        <v>0</v>
      </c>
      <c r="AB89">
        <f>AND(IF(metadata!I89="",FALSE,TRUE),exact(metadata!I89,"urine metagenome"))</f>
        <v>0</v>
      </c>
      <c r="AC89">
        <f>AND(IF(metadata!J89="",FALSE,TRUE),exact(metadata!J89,"1346744"))</f>
        <v>0</v>
      </c>
    </row>
    <row r="90" spans="1:29">
      <c r="A90" s="4">
        <f>IF(B90=" "," ",HYPERLINK(CONCATENATE("#metadata!",ADDRESS(INDEX($P$2:$P$1001,MATCH(ROWS($N$2:N90),$N$2:$N$1001,0),0),1)),INDEX($S$2:$S$1001,MATCH(ROWS($N$2:N90),$N$2:$N$1001,0),0)))</f>
        <v>0</v>
      </c>
      <c r="B90" s="3">
        <f>IF(OR(INDEX($O$2:$O$1001,MATCH(ROWS($N$2:N90),$N$2:$N$1001,0),1)&gt;=100000,INDEX($U$1005:$AC$1005,1,MATCH(COLUMNS($U$1006:U1006),$U$1006:$AC$1006,0))&gt;=100000), " ",IF(INDEX($U$2:$AC$1001,MATCH(ROWS($N$2:N90),$N$2:$N$1001,0),MATCH(COLUMNS($U$1006:U1006),$U$1006:$AC$1006,0)), HYPERLINK("#",""), HYPERLINK(CONCATENATE("#metadata!", ADDRESS(INDEX($P$2:$P$1001,MATCH(ROWS($N$2:N90),$N$2:$N$1001,0),0), INDEX($U$1004:$AC$1004,1,MATCH(COLUMNS($U$1006:U1006),$U$1006:$AC$1006,0)))),"Fix")))</f>
        <v>0</v>
      </c>
      <c r="C90" s="3">
        <f>IF(OR(INDEX($O$2:$O$1001,MATCH(ROWS($N$2:N90),$N$2:$N$1001,0),1)&gt;=100000,INDEX($U$1005:$AC$1005,1,MATCH(COLUMNS($U$1006:V1006),$U$1006:$AC$1006,0))&gt;=100000), " ",IF(INDEX($U$2:$AC$1001,MATCH(ROWS($N$2:N90),$N$2:$N$1001,0),MATCH(COLUMNS($U$1006:V1006),$U$1006:$AC$1006,0)), HYPERLINK("#",""), HYPERLINK(CONCATENATE("#metadata!", ADDRESS(INDEX($P$2:$P$1001,MATCH(ROWS($N$2:N90),$N$2:$N$1001,0),0), INDEX($U$1004:$AC$1004,1,MATCH(COLUMNS($U$1006:V1006),$U$1006:$AC$1006,0)))),"Fix")))</f>
        <v>0</v>
      </c>
      <c r="D90" s="3">
        <f>IF(OR(INDEX($O$2:$O$1001,MATCH(ROWS($N$2:N90),$N$2:$N$1001,0),1)&gt;=100000,INDEX($U$1005:$AC$1005,1,MATCH(COLUMNS($U$1006:W1006),$U$1006:$AC$1006,0))&gt;=100000), " ",IF(INDEX($U$2:$AC$1001,MATCH(ROWS($N$2:N90),$N$2:$N$1001,0),MATCH(COLUMNS($U$1006:W1006),$U$1006:$AC$1006,0)), HYPERLINK("#",""), HYPERLINK(CONCATENATE("#metadata!", ADDRESS(INDEX($P$2:$P$1001,MATCH(ROWS($N$2:N90),$N$2:$N$1001,0),0), INDEX($U$1004:$AC$1004,1,MATCH(COLUMNS($U$1006:W1006),$U$1006:$AC$1006,0)))),"Fix")))</f>
        <v>0</v>
      </c>
      <c r="E90" s="3">
        <f>IF(OR(INDEX($O$2:$O$1001,MATCH(ROWS($N$2:N90),$N$2:$N$1001,0),1)&gt;=100000,INDEX($U$1005:$AC$1005,1,MATCH(COLUMNS($U$1006:X1006),$U$1006:$AC$1006,0))&gt;=100000), " ",IF(INDEX($U$2:$AC$1001,MATCH(ROWS($N$2:N90),$N$2:$N$1001,0),MATCH(COLUMNS($U$1006:X1006),$U$1006:$AC$1006,0)), HYPERLINK("#",""), HYPERLINK(CONCATENATE("#metadata!", ADDRESS(INDEX($P$2:$P$1001,MATCH(ROWS($N$2:N90),$N$2:$N$1001,0),0), INDEX($U$1004:$AC$1004,1,MATCH(COLUMNS($U$1006:X1006),$U$1006:$AC$1006,0)))),"Fix")))</f>
        <v>0</v>
      </c>
      <c r="F90" s="3">
        <f>IF(OR(INDEX($O$2:$O$1001,MATCH(ROWS($N$2:N90),$N$2:$N$1001,0),1)&gt;=100000,INDEX($U$1005:$AC$1005,1,MATCH(COLUMNS($U$1006:Y1006),$U$1006:$AC$1006,0))&gt;=100000), " ",IF(INDEX($U$2:$AC$1001,MATCH(ROWS($N$2:N90),$N$2:$N$1001,0),MATCH(COLUMNS($U$1006:Y1006),$U$1006:$AC$1006,0)), HYPERLINK("#",""), HYPERLINK(CONCATENATE("#metadata!", ADDRESS(INDEX($P$2:$P$1001,MATCH(ROWS($N$2:N90),$N$2:$N$1001,0),0), INDEX($U$1004:$AC$1004,1,MATCH(COLUMNS($U$1006:Y1006),$U$1006:$AC$1006,0)))),"Fix")))</f>
        <v>0</v>
      </c>
      <c r="G90" s="3">
        <f>IF(OR(INDEX($O$2:$O$1001,MATCH(ROWS($N$2:N90),$N$2:$N$1001,0),1)&gt;=100000,INDEX($U$1005:$AC$1005,1,MATCH(COLUMNS($U$1006:Z1006),$U$1006:$AC$1006,0))&gt;=100000), " ",IF(INDEX($U$2:$AC$1001,MATCH(ROWS($N$2:N90),$N$2:$N$1001,0),MATCH(COLUMNS($U$1006:Z1006),$U$1006:$AC$1006,0)), HYPERLINK("#",""), HYPERLINK(CONCATENATE("#metadata!", ADDRESS(INDEX($P$2:$P$1001,MATCH(ROWS($N$2:N90),$N$2:$N$1001,0),0), INDEX($U$1004:$AC$1004,1,MATCH(COLUMNS($U$1006:Z1006),$U$1006:$AC$1006,0)))),"Fix")))</f>
        <v>0</v>
      </c>
      <c r="H90" s="3">
        <f>IF(OR(INDEX($O$2:$O$1001,MATCH(ROWS($N$2:N90),$N$2:$N$1001,0),1)&gt;=100000,INDEX($U$1005:$AC$1005,1,MATCH(COLUMNS($U$1006:AA1006),$U$1006:$AC$1006,0))&gt;=100000), " ",IF(INDEX($U$2:$AC$1001,MATCH(ROWS($N$2:N90),$N$2:$N$1001,0),MATCH(COLUMNS($U$1006:AA1006),$U$1006:$AC$1006,0)), HYPERLINK("#",""), HYPERLINK(CONCATENATE("#metadata!", ADDRESS(INDEX($P$2:$P$1001,MATCH(ROWS($N$2:N90),$N$2:$N$1001,0),0), INDEX($U$1004:$AC$1004,1,MATCH(COLUMNS($U$1006:AA1006),$U$1006:$AC$1006,0)))),"Fix")))</f>
        <v>0</v>
      </c>
      <c r="I90" s="3">
        <f>IF(OR(INDEX($O$2:$O$1001,MATCH(ROWS($N$2:N90),$N$2:$N$1001,0),1)&gt;=100000,INDEX($U$1005:$AC$1005,1,MATCH(COLUMNS($U$1006:AB1006),$U$1006:$AC$1006,0))&gt;=100000), " ",IF(INDEX($U$2:$AC$1001,MATCH(ROWS($N$2:N90),$N$2:$N$1001,0),MATCH(COLUMNS($U$1006:AB1006),$U$1006:$AC$1006,0)), HYPERLINK("#",""), HYPERLINK(CONCATENATE("#metadata!", ADDRESS(INDEX($P$2:$P$1001,MATCH(ROWS($N$2:N90),$N$2:$N$1001,0),0), INDEX($U$1004:$AC$1004,1,MATCH(COLUMNS($U$1006:AB1006),$U$1006:$AC$1006,0)))),"Fix")))</f>
        <v>0</v>
      </c>
      <c r="J90" s="3">
        <f>IF(OR(INDEX($O$2:$O$1001,MATCH(ROWS($N$2:N90),$N$2:$N$1001,0),1)&gt;=100000,INDEX($U$1005:$AC$1005,1,MATCH(COLUMNS($U$1006:AC1006),$U$1006:$AC$1006,0))&gt;=100000), " ",IF(INDEX($U$2:$AC$1001,MATCH(ROWS($N$2:N90),$N$2:$N$1001,0),MATCH(COLUMNS($U$1006:AC1006),$U$1006:$AC$1006,0)), HYPERLINK("#",""), HYPERLINK(CONCATENATE("#metadata!", ADDRESS(INDEX($P$2:$P$1001,MATCH(ROWS($N$2:N90),$N$2:$N$1001,0),0), INDEX($U$1004:$AC$1004,1,MATCH(COLUMNS($U$1006:AC1006),$U$1006:$AC$1006,0)))),"Fix")))</f>
        <v>0</v>
      </c>
      <c r="N90">
        <v>0</v>
      </c>
      <c r="O90">
        <v>0</v>
      </c>
      <c r="P90">
        <v>0</v>
      </c>
      <c r="Q90">
        <f>IF(R90,TRUE,AND(U90:AC90))</f>
        <v>0</v>
      </c>
      <c r="R90">
        <f>COUNTBLANK(metadata!B90:J90)=COLUMNS(metadata!B90:J90)</f>
        <v>0</v>
      </c>
      <c r="S90">
        <v>0</v>
      </c>
      <c r="U90">
        <f>AND(IF(metadata!B90="",FALSE,TRUE),COUNTIF(metadata!B:B, metadata!B90) = 1,NOT(ISERROR(SUMPRODUCT(SEARCH(MID(metadata!B90,ROW(INDIRECT("1:"&amp;LEN(metadata!B90))), 1),"0123456789abcdefghijklmnopqrstuvwxyzABCDEFGHIJKLMNOPQRSTUVWXYZ.")))))</f>
        <v>0</v>
      </c>
      <c r="V90">
        <f>AND(IF(metadata!C90="",FALSE,TRUE),exact(metadata!C90,"UBERON:genitourinary"))</f>
        <v>0</v>
      </c>
      <c r="W90">
        <f>AND(IF(metadata!D90="",FALSE,TRUE),exact(metadata!D90,"UBERON:urine"))</f>
        <v>0</v>
      </c>
      <c r="X90">
        <f>AND(IF(metadata!E90="",FALSE,TRUE),exact(metadata!E90,"UBERON:kidney"))</f>
        <v>0</v>
      </c>
      <c r="Y90">
        <f>AND(IF(metadata!F90="",FALSE,TRUE),exact(metadata!F90,"animal corpus"))</f>
        <v>0</v>
      </c>
      <c r="Z90">
        <f>AND(IF(metadata!G90="",FALSE,TRUE),exact(metadata!G90,"urine"))</f>
        <v>0</v>
      </c>
      <c r="AA90">
        <f>AND(IF(metadata!H90="",FALSE,TRUE),exact(metadata!H90,"urine"))</f>
        <v>0</v>
      </c>
      <c r="AB90">
        <f>AND(IF(metadata!I90="",FALSE,TRUE),exact(metadata!I90,"urine metagenome"))</f>
        <v>0</v>
      </c>
      <c r="AC90">
        <f>AND(IF(metadata!J90="",FALSE,TRUE),exact(metadata!J90,"1346744"))</f>
        <v>0</v>
      </c>
    </row>
    <row r="91" spans="1:29">
      <c r="A91" s="4">
        <f>IF(B91=" "," ",HYPERLINK(CONCATENATE("#metadata!",ADDRESS(INDEX($P$2:$P$1001,MATCH(ROWS($N$2:N91),$N$2:$N$1001,0),0),1)),INDEX($S$2:$S$1001,MATCH(ROWS($N$2:N91),$N$2:$N$1001,0),0)))</f>
        <v>0</v>
      </c>
      <c r="B91" s="3">
        <f>IF(OR(INDEX($O$2:$O$1001,MATCH(ROWS($N$2:N91),$N$2:$N$1001,0),1)&gt;=100000,INDEX($U$1005:$AC$1005,1,MATCH(COLUMNS($U$1006:U1006),$U$1006:$AC$1006,0))&gt;=100000), " ",IF(INDEX($U$2:$AC$1001,MATCH(ROWS($N$2:N91),$N$2:$N$1001,0),MATCH(COLUMNS($U$1006:U1006),$U$1006:$AC$1006,0)), HYPERLINK("#",""), HYPERLINK(CONCATENATE("#metadata!", ADDRESS(INDEX($P$2:$P$1001,MATCH(ROWS($N$2:N91),$N$2:$N$1001,0),0), INDEX($U$1004:$AC$1004,1,MATCH(COLUMNS($U$1006:U1006),$U$1006:$AC$1006,0)))),"Fix")))</f>
        <v>0</v>
      </c>
      <c r="C91" s="3">
        <f>IF(OR(INDEX($O$2:$O$1001,MATCH(ROWS($N$2:N91),$N$2:$N$1001,0),1)&gt;=100000,INDEX($U$1005:$AC$1005,1,MATCH(COLUMNS($U$1006:V1006),$U$1006:$AC$1006,0))&gt;=100000), " ",IF(INDEX($U$2:$AC$1001,MATCH(ROWS($N$2:N91),$N$2:$N$1001,0),MATCH(COLUMNS($U$1006:V1006),$U$1006:$AC$1006,0)), HYPERLINK("#",""), HYPERLINK(CONCATENATE("#metadata!", ADDRESS(INDEX($P$2:$P$1001,MATCH(ROWS($N$2:N91),$N$2:$N$1001,0),0), INDEX($U$1004:$AC$1004,1,MATCH(COLUMNS($U$1006:V1006),$U$1006:$AC$1006,0)))),"Fix")))</f>
        <v>0</v>
      </c>
      <c r="D91" s="3">
        <f>IF(OR(INDEX($O$2:$O$1001,MATCH(ROWS($N$2:N91),$N$2:$N$1001,0),1)&gt;=100000,INDEX($U$1005:$AC$1005,1,MATCH(COLUMNS($U$1006:W1006),$U$1006:$AC$1006,0))&gt;=100000), " ",IF(INDEX($U$2:$AC$1001,MATCH(ROWS($N$2:N91),$N$2:$N$1001,0),MATCH(COLUMNS($U$1006:W1006),$U$1006:$AC$1006,0)), HYPERLINK("#",""), HYPERLINK(CONCATENATE("#metadata!", ADDRESS(INDEX($P$2:$P$1001,MATCH(ROWS($N$2:N91),$N$2:$N$1001,0),0), INDEX($U$1004:$AC$1004,1,MATCH(COLUMNS($U$1006:W1006),$U$1006:$AC$1006,0)))),"Fix")))</f>
        <v>0</v>
      </c>
      <c r="E91" s="3">
        <f>IF(OR(INDEX($O$2:$O$1001,MATCH(ROWS($N$2:N91),$N$2:$N$1001,0),1)&gt;=100000,INDEX($U$1005:$AC$1005,1,MATCH(COLUMNS($U$1006:X1006),$U$1006:$AC$1006,0))&gt;=100000), " ",IF(INDEX($U$2:$AC$1001,MATCH(ROWS($N$2:N91),$N$2:$N$1001,0),MATCH(COLUMNS($U$1006:X1006),$U$1006:$AC$1006,0)), HYPERLINK("#",""), HYPERLINK(CONCATENATE("#metadata!", ADDRESS(INDEX($P$2:$P$1001,MATCH(ROWS($N$2:N91),$N$2:$N$1001,0),0), INDEX($U$1004:$AC$1004,1,MATCH(COLUMNS($U$1006:X1006),$U$1006:$AC$1006,0)))),"Fix")))</f>
        <v>0</v>
      </c>
      <c r="F91" s="3">
        <f>IF(OR(INDEX($O$2:$O$1001,MATCH(ROWS($N$2:N91),$N$2:$N$1001,0),1)&gt;=100000,INDEX($U$1005:$AC$1005,1,MATCH(COLUMNS($U$1006:Y1006),$U$1006:$AC$1006,0))&gt;=100000), " ",IF(INDEX($U$2:$AC$1001,MATCH(ROWS($N$2:N91),$N$2:$N$1001,0),MATCH(COLUMNS($U$1006:Y1006),$U$1006:$AC$1006,0)), HYPERLINK("#",""), HYPERLINK(CONCATENATE("#metadata!", ADDRESS(INDEX($P$2:$P$1001,MATCH(ROWS($N$2:N91),$N$2:$N$1001,0),0), INDEX($U$1004:$AC$1004,1,MATCH(COLUMNS($U$1006:Y1006),$U$1006:$AC$1006,0)))),"Fix")))</f>
        <v>0</v>
      </c>
      <c r="G91" s="3">
        <f>IF(OR(INDEX($O$2:$O$1001,MATCH(ROWS($N$2:N91),$N$2:$N$1001,0),1)&gt;=100000,INDEX($U$1005:$AC$1005,1,MATCH(COLUMNS($U$1006:Z1006),$U$1006:$AC$1006,0))&gt;=100000), " ",IF(INDEX($U$2:$AC$1001,MATCH(ROWS($N$2:N91),$N$2:$N$1001,0),MATCH(COLUMNS($U$1006:Z1006),$U$1006:$AC$1006,0)), HYPERLINK("#",""), HYPERLINK(CONCATENATE("#metadata!", ADDRESS(INDEX($P$2:$P$1001,MATCH(ROWS($N$2:N91),$N$2:$N$1001,0),0), INDEX($U$1004:$AC$1004,1,MATCH(COLUMNS($U$1006:Z1006),$U$1006:$AC$1006,0)))),"Fix")))</f>
        <v>0</v>
      </c>
      <c r="H91" s="3">
        <f>IF(OR(INDEX($O$2:$O$1001,MATCH(ROWS($N$2:N91),$N$2:$N$1001,0),1)&gt;=100000,INDEX($U$1005:$AC$1005,1,MATCH(COLUMNS($U$1006:AA1006),$U$1006:$AC$1006,0))&gt;=100000), " ",IF(INDEX($U$2:$AC$1001,MATCH(ROWS($N$2:N91),$N$2:$N$1001,0),MATCH(COLUMNS($U$1006:AA1006),$U$1006:$AC$1006,0)), HYPERLINK("#",""), HYPERLINK(CONCATENATE("#metadata!", ADDRESS(INDEX($P$2:$P$1001,MATCH(ROWS($N$2:N91),$N$2:$N$1001,0),0), INDEX($U$1004:$AC$1004,1,MATCH(COLUMNS($U$1006:AA1006),$U$1006:$AC$1006,0)))),"Fix")))</f>
        <v>0</v>
      </c>
      <c r="I91" s="3">
        <f>IF(OR(INDEX($O$2:$O$1001,MATCH(ROWS($N$2:N91),$N$2:$N$1001,0),1)&gt;=100000,INDEX($U$1005:$AC$1005,1,MATCH(COLUMNS($U$1006:AB1006),$U$1006:$AC$1006,0))&gt;=100000), " ",IF(INDEX($U$2:$AC$1001,MATCH(ROWS($N$2:N91),$N$2:$N$1001,0),MATCH(COLUMNS($U$1006:AB1006),$U$1006:$AC$1006,0)), HYPERLINK("#",""), HYPERLINK(CONCATENATE("#metadata!", ADDRESS(INDEX($P$2:$P$1001,MATCH(ROWS($N$2:N91),$N$2:$N$1001,0),0), INDEX($U$1004:$AC$1004,1,MATCH(COLUMNS($U$1006:AB1006),$U$1006:$AC$1006,0)))),"Fix")))</f>
        <v>0</v>
      </c>
      <c r="J91" s="3">
        <f>IF(OR(INDEX($O$2:$O$1001,MATCH(ROWS($N$2:N91),$N$2:$N$1001,0),1)&gt;=100000,INDEX($U$1005:$AC$1005,1,MATCH(COLUMNS($U$1006:AC1006),$U$1006:$AC$1006,0))&gt;=100000), " ",IF(INDEX($U$2:$AC$1001,MATCH(ROWS($N$2:N91),$N$2:$N$1001,0),MATCH(COLUMNS($U$1006:AC1006),$U$1006:$AC$1006,0)), HYPERLINK("#",""), HYPERLINK(CONCATENATE("#metadata!", ADDRESS(INDEX($P$2:$P$1001,MATCH(ROWS($N$2:N91),$N$2:$N$1001,0),0), INDEX($U$1004:$AC$1004,1,MATCH(COLUMNS($U$1006:AC1006),$U$1006:$AC$1006,0)))),"Fix")))</f>
        <v>0</v>
      </c>
      <c r="N91">
        <v>0</v>
      </c>
      <c r="O91">
        <v>0</v>
      </c>
      <c r="P91">
        <v>0</v>
      </c>
      <c r="Q91">
        <f>IF(R91,TRUE,AND(U91:AC91))</f>
        <v>0</v>
      </c>
      <c r="R91">
        <f>COUNTBLANK(metadata!B91:J91)=COLUMNS(metadata!B91:J91)</f>
        <v>0</v>
      </c>
      <c r="S91">
        <v>0</v>
      </c>
      <c r="U91">
        <f>AND(IF(metadata!B91="",FALSE,TRUE),COUNTIF(metadata!B:B, metadata!B91) = 1,NOT(ISERROR(SUMPRODUCT(SEARCH(MID(metadata!B91,ROW(INDIRECT("1:"&amp;LEN(metadata!B91))), 1),"0123456789abcdefghijklmnopqrstuvwxyzABCDEFGHIJKLMNOPQRSTUVWXYZ.")))))</f>
        <v>0</v>
      </c>
      <c r="V91">
        <f>AND(IF(metadata!C91="",FALSE,TRUE),exact(metadata!C91,"UBERON:genitourinary"))</f>
        <v>0</v>
      </c>
      <c r="W91">
        <f>AND(IF(metadata!D91="",FALSE,TRUE),exact(metadata!D91,"UBERON:urine"))</f>
        <v>0</v>
      </c>
      <c r="X91">
        <f>AND(IF(metadata!E91="",FALSE,TRUE),exact(metadata!E91,"UBERON:kidney"))</f>
        <v>0</v>
      </c>
      <c r="Y91">
        <f>AND(IF(metadata!F91="",FALSE,TRUE),exact(metadata!F91,"animal corpus"))</f>
        <v>0</v>
      </c>
      <c r="Z91">
        <f>AND(IF(metadata!G91="",FALSE,TRUE),exact(metadata!G91,"urine"))</f>
        <v>0</v>
      </c>
      <c r="AA91">
        <f>AND(IF(metadata!H91="",FALSE,TRUE),exact(metadata!H91,"urine"))</f>
        <v>0</v>
      </c>
      <c r="AB91">
        <f>AND(IF(metadata!I91="",FALSE,TRUE),exact(metadata!I91,"urine metagenome"))</f>
        <v>0</v>
      </c>
      <c r="AC91">
        <f>AND(IF(metadata!J91="",FALSE,TRUE),exact(metadata!J91,"1346744"))</f>
        <v>0</v>
      </c>
    </row>
    <row r="92" spans="1:29">
      <c r="A92" s="4">
        <f>IF(B92=" "," ",HYPERLINK(CONCATENATE("#metadata!",ADDRESS(INDEX($P$2:$P$1001,MATCH(ROWS($N$2:N92),$N$2:$N$1001,0),0),1)),INDEX($S$2:$S$1001,MATCH(ROWS($N$2:N92),$N$2:$N$1001,0),0)))</f>
        <v>0</v>
      </c>
      <c r="B92" s="3">
        <f>IF(OR(INDEX($O$2:$O$1001,MATCH(ROWS($N$2:N92),$N$2:$N$1001,0),1)&gt;=100000,INDEX($U$1005:$AC$1005,1,MATCH(COLUMNS($U$1006:U1006),$U$1006:$AC$1006,0))&gt;=100000), " ",IF(INDEX($U$2:$AC$1001,MATCH(ROWS($N$2:N92),$N$2:$N$1001,0),MATCH(COLUMNS($U$1006:U1006),$U$1006:$AC$1006,0)), HYPERLINK("#",""), HYPERLINK(CONCATENATE("#metadata!", ADDRESS(INDEX($P$2:$P$1001,MATCH(ROWS($N$2:N92),$N$2:$N$1001,0),0), INDEX($U$1004:$AC$1004,1,MATCH(COLUMNS($U$1006:U1006),$U$1006:$AC$1006,0)))),"Fix")))</f>
        <v>0</v>
      </c>
      <c r="C92" s="3">
        <f>IF(OR(INDEX($O$2:$O$1001,MATCH(ROWS($N$2:N92),$N$2:$N$1001,0),1)&gt;=100000,INDEX($U$1005:$AC$1005,1,MATCH(COLUMNS($U$1006:V1006),$U$1006:$AC$1006,0))&gt;=100000), " ",IF(INDEX($U$2:$AC$1001,MATCH(ROWS($N$2:N92),$N$2:$N$1001,0),MATCH(COLUMNS($U$1006:V1006),$U$1006:$AC$1006,0)), HYPERLINK("#",""), HYPERLINK(CONCATENATE("#metadata!", ADDRESS(INDEX($P$2:$P$1001,MATCH(ROWS($N$2:N92),$N$2:$N$1001,0),0), INDEX($U$1004:$AC$1004,1,MATCH(COLUMNS($U$1006:V1006),$U$1006:$AC$1006,0)))),"Fix")))</f>
        <v>0</v>
      </c>
      <c r="D92" s="3">
        <f>IF(OR(INDEX($O$2:$O$1001,MATCH(ROWS($N$2:N92),$N$2:$N$1001,0),1)&gt;=100000,INDEX($U$1005:$AC$1005,1,MATCH(COLUMNS($U$1006:W1006),$U$1006:$AC$1006,0))&gt;=100000), " ",IF(INDEX($U$2:$AC$1001,MATCH(ROWS($N$2:N92),$N$2:$N$1001,0),MATCH(COLUMNS($U$1006:W1006),$U$1006:$AC$1006,0)), HYPERLINK("#",""), HYPERLINK(CONCATENATE("#metadata!", ADDRESS(INDEX($P$2:$P$1001,MATCH(ROWS($N$2:N92),$N$2:$N$1001,0),0), INDEX($U$1004:$AC$1004,1,MATCH(COLUMNS($U$1006:W1006),$U$1006:$AC$1006,0)))),"Fix")))</f>
        <v>0</v>
      </c>
      <c r="E92" s="3">
        <f>IF(OR(INDEX($O$2:$O$1001,MATCH(ROWS($N$2:N92),$N$2:$N$1001,0),1)&gt;=100000,INDEX($U$1005:$AC$1005,1,MATCH(COLUMNS($U$1006:X1006),$U$1006:$AC$1006,0))&gt;=100000), " ",IF(INDEX($U$2:$AC$1001,MATCH(ROWS($N$2:N92),$N$2:$N$1001,0),MATCH(COLUMNS($U$1006:X1006),$U$1006:$AC$1006,0)), HYPERLINK("#",""), HYPERLINK(CONCATENATE("#metadata!", ADDRESS(INDEX($P$2:$P$1001,MATCH(ROWS($N$2:N92),$N$2:$N$1001,0),0), INDEX($U$1004:$AC$1004,1,MATCH(COLUMNS($U$1006:X1006),$U$1006:$AC$1006,0)))),"Fix")))</f>
        <v>0</v>
      </c>
      <c r="F92" s="3">
        <f>IF(OR(INDEX($O$2:$O$1001,MATCH(ROWS($N$2:N92),$N$2:$N$1001,0),1)&gt;=100000,INDEX($U$1005:$AC$1005,1,MATCH(COLUMNS($U$1006:Y1006),$U$1006:$AC$1006,0))&gt;=100000), " ",IF(INDEX($U$2:$AC$1001,MATCH(ROWS($N$2:N92),$N$2:$N$1001,0),MATCH(COLUMNS($U$1006:Y1006),$U$1006:$AC$1006,0)), HYPERLINK("#",""), HYPERLINK(CONCATENATE("#metadata!", ADDRESS(INDEX($P$2:$P$1001,MATCH(ROWS($N$2:N92),$N$2:$N$1001,0),0), INDEX($U$1004:$AC$1004,1,MATCH(COLUMNS($U$1006:Y1006),$U$1006:$AC$1006,0)))),"Fix")))</f>
        <v>0</v>
      </c>
      <c r="G92" s="3">
        <f>IF(OR(INDEX($O$2:$O$1001,MATCH(ROWS($N$2:N92),$N$2:$N$1001,0),1)&gt;=100000,INDEX($U$1005:$AC$1005,1,MATCH(COLUMNS($U$1006:Z1006),$U$1006:$AC$1006,0))&gt;=100000), " ",IF(INDEX($U$2:$AC$1001,MATCH(ROWS($N$2:N92),$N$2:$N$1001,0),MATCH(COLUMNS($U$1006:Z1006),$U$1006:$AC$1006,0)), HYPERLINK("#",""), HYPERLINK(CONCATENATE("#metadata!", ADDRESS(INDEX($P$2:$P$1001,MATCH(ROWS($N$2:N92),$N$2:$N$1001,0),0), INDEX($U$1004:$AC$1004,1,MATCH(COLUMNS($U$1006:Z1006),$U$1006:$AC$1006,0)))),"Fix")))</f>
        <v>0</v>
      </c>
      <c r="H92" s="3">
        <f>IF(OR(INDEX($O$2:$O$1001,MATCH(ROWS($N$2:N92),$N$2:$N$1001,0),1)&gt;=100000,INDEX($U$1005:$AC$1005,1,MATCH(COLUMNS($U$1006:AA1006),$U$1006:$AC$1006,0))&gt;=100000), " ",IF(INDEX($U$2:$AC$1001,MATCH(ROWS($N$2:N92),$N$2:$N$1001,0),MATCH(COLUMNS($U$1006:AA1006),$U$1006:$AC$1006,0)), HYPERLINK("#",""), HYPERLINK(CONCATENATE("#metadata!", ADDRESS(INDEX($P$2:$P$1001,MATCH(ROWS($N$2:N92),$N$2:$N$1001,0),0), INDEX($U$1004:$AC$1004,1,MATCH(COLUMNS($U$1006:AA1006),$U$1006:$AC$1006,0)))),"Fix")))</f>
        <v>0</v>
      </c>
      <c r="I92" s="3">
        <f>IF(OR(INDEX($O$2:$O$1001,MATCH(ROWS($N$2:N92),$N$2:$N$1001,0),1)&gt;=100000,INDEX($U$1005:$AC$1005,1,MATCH(COLUMNS($U$1006:AB1006),$U$1006:$AC$1006,0))&gt;=100000), " ",IF(INDEX($U$2:$AC$1001,MATCH(ROWS($N$2:N92),$N$2:$N$1001,0),MATCH(COLUMNS($U$1006:AB1006),$U$1006:$AC$1006,0)), HYPERLINK("#",""), HYPERLINK(CONCATENATE("#metadata!", ADDRESS(INDEX($P$2:$P$1001,MATCH(ROWS($N$2:N92),$N$2:$N$1001,0),0), INDEX($U$1004:$AC$1004,1,MATCH(COLUMNS($U$1006:AB1006),$U$1006:$AC$1006,0)))),"Fix")))</f>
        <v>0</v>
      </c>
      <c r="J92" s="3">
        <f>IF(OR(INDEX($O$2:$O$1001,MATCH(ROWS($N$2:N92),$N$2:$N$1001,0),1)&gt;=100000,INDEX($U$1005:$AC$1005,1,MATCH(COLUMNS($U$1006:AC1006),$U$1006:$AC$1006,0))&gt;=100000), " ",IF(INDEX($U$2:$AC$1001,MATCH(ROWS($N$2:N92),$N$2:$N$1001,0),MATCH(COLUMNS($U$1006:AC1006),$U$1006:$AC$1006,0)), HYPERLINK("#",""), HYPERLINK(CONCATENATE("#metadata!", ADDRESS(INDEX($P$2:$P$1001,MATCH(ROWS($N$2:N92),$N$2:$N$1001,0),0), INDEX($U$1004:$AC$1004,1,MATCH(COLUMNS($U$1006:AC1006),$U$1006:$AC$1006,0)))),"Fix")))</f>
        <v>0</v>
      </c>
      <c r="N92">
        <v>0</v>
      </c>
      <c r="O92">
        <v>0</v>
      </c>
      <c r="P92">
        <v>0</v>
      </c>
      <c r="Q92">
        <f>IF(R92,TRUE,AND(U92:AC92))</f>
        <v>0</v>
      </c>
      <c r="R92">
        <f>COUNTBLANK(metadata!B92:J92)=COLUMNS(metadata!B92:J92)</f>
        <v>0</v>
      </c>
      <c r="S92">
        <v>0</v>
      </c>
      <c r="U92">
        <f>AND(IF(metadata!B92="",FALSE,TRUE),COUNTIF(metadata!B:B, metadata!B92) = 1,NOT(ISERROR(SUMPRODUCT(SEARCH(MID(metadata!B92,ROW(INDIRECT("1:"&amp;LEN(metadata!B92))), 1),"0123456789abcdefghijklmnopqrstuvwxyzABCDEFGHIJKLMNOPQRSTUVWXYZ.")))))</f>
        <v>0</v>
      </c>
      <c r="V92">
        <f>AND(IF(metadata!C92="",FALSE,TRUE),exact(metadata!C92,"UBERON:genitourinary"))</f>
        <v>0</v>
      </c>
      <c r="W92">
        <f>AND(IF(metadata!D92="",FALSE,TRUE),exact(metadata!D92,"UBERON:urine"))</f>
        <v>0</v>
      </c>
      <c r="X92">
        <f>AND(IF(metadata!E92="",FALSE,TRUE),exact(metadata!E92,"UBERON:kidney"))</f>
        <v>0</v>
      </c>
      <c r="Y92">
        <f>AND(IF(metadata!F92="",FALSE,TRUE),exact(metadata!F92,"animal corpus"))</f>
        <v>0</v>
      </c>
      <c r="Z92">
        <f>AND(IF(metadata!G92="",FALSE,TRUE),exact(metadata!G92,"urine"))</f>
        <v>0</v>
      </c>
      <c r="AA92">
        <f>AND(IF(metadata!H92="",FALSE,TRUE),exact(metadata!H92,"urine"))</f>
        <v>0</v>
      </c>
      <c r="AB92">
        <f>AND(IF(metadata!I92="",FALSE,TRUE),exact(metadata!I92,"urine metagenome"))</f>
        <v>0</v>
      </c>
      <c r="AC92">
        <f>AND(IF(metadata!J92="",FALSE,TRUE),exact(metadata!J92,"1346744"))</f>
        <v>0</v>
      </c>
    </row>
    <row r="93" spans="1:29">
      <c r="A93" s="4">
        <f>IF(B93=" "," ",HYPERLINK(CONCATENATE("#metadata!",ADDRESS(INDEX($P$2:$P$1001,MATCH(ROWS($N$2:N93),$N$2:$N$1001,0),0),1)),INDEX($S$2:$S$1001,MATCH(ROWS($N$2:N93),$N$2:$N$1001,0),0)))</f>
        <v>0</v>
      </c>
      <c r="B93" s="3">
        <f>IF(OR(INDEX($O$2:$O$1001,MATCH(ROWS($N$2:N93),$N$2:$N$1001,0),1)&gt;=100000,INDEX($U$1005:$AC$1005,1,MATCH(COLUMNS($U$1006:U1006),$U$1006:$AC$1006,0))&gt;=100000), " ",IF(INDEX($U$2:$AC$1001,MATCH(ROWS($N$2:N93),$N$2:$N$1001,0),MATCH(COLUMNS($U$1006:U1006),$U$1006:$AC$1006,0)), HYPERLINK("#",""), HYPERLINK(CONCATENATE("#metadata!", ADDRESS(INDEX($P$2:$P$1001,MATCH(ROWS($N$2:N93),$N$2:$N$1001,0),0), INDEX($U$1004:$AC$1004,1,MATCH(COLUMNS($U$1006:U1006),$U$1006:$AC$1006,0)))),"Fix")))</f>
        <v>0</v>
      </c>
      <c r="C93" s="3">
        <f>IF(OR(INDEX($O$2:$O$1001,MATCH(ROWS($N$2:N93),$N$2:$N$1001,0),1)&gt;=100000,INDEX($U$1005:$AC$1005,1,MATCH(COLUMNS($U$1006:V1006),$U$1006:$AC$1006,0))&gt;=100000), " ",IF(INDEX($U$2:$AC$1001,MATCH(ROWS($N$2:N93),$N$2:$N$1001,0),MATCH(COLUMNS($U$1006:V1006),$U$1006:$AC$1006,0)), HYPERLINK("#",""), HYPERLINK(CONCATENATE("#metadata!", ADDRESS(INDEX($P$2:$P$1001,MATCH(ROWS($N$2:N93),$N$2:$N$1001,0),0), INDEX($U$1004:$AC$1004,1,MATCH(COLUMNS($U$1006:V1006),$U$1006:$AC$1006,0)))),"Fix")))</f>
        <v>0</v>
      </c>
      <c r="D93" s="3">
        <f>IF(OR(INDEX($O$2:$O$1001,MATCH(ROWS($N$2:N93),$N$2:$N$1001,0),1)&gt;=100000,INDEX($U$1005:$AC$1005,1,MATCH(COLUMNS($U$1006:W1006),$U$1006:$AC$1006,0))&gt;=100000), " ",IF(INDEX($U$2:$AC$1001,MATCH(ROWS($N$2:N93),$N$2:$N$1001,0),MATCH(COLUMNS($U$1006:W1006),$U$1006:$AC$1006,0)), HYPERLINK("#",""), HYPERLINK(CONCATENATE("#metadata!", ADDRESS(INDEX($P$2:$P$1001,MATCH(ROWS($N$2:N93),$N$2:$N$1001,0),0), INDEX($U$1004:$AC$1004,1,MATCH(COLUMNS($U$1006:W1006),$U$1006:$AC$1006,0)))),"Fix")))</f>
        <v>0</v>
      </c>
      <c r="E93" s="3">
        <f>IF(OR(INDEX($O$2:$O$1001,MATCH(ROWS($N$2:N93),$N$2:$N$1001,0),1)&gt;=100000,INDEX($U$1005:$AC$1005,1,MATCH(COLUMNS($U$1006:X1006),$U$1006:$AC$1006,0))&gt;=100000), " ",IF(INDEX($U$2:$AC$1001,MATCH(ROWS($N$2:N93),$N$2:$N$1001,0),MATCH(COLUMNS($U$1006:X1006),$U$1006:$AC$1006,0)), HYPERLINK("#",""), HYPERLINK(CONCATENATE("#metadata!", ADDRESS(INDEX($P$2:$P$1001,MATCH(ROWS($N$2:N93),$N$2:$N$1001,0),0), INDEX($U$1004:$AC$1004,1,MATCH(COLUMNS($U$1006:X1006),$U$1006:$AC$1006,0)))),"Fix")))</f>
        <v>0</v>
      </c>
      <c r="F93" s="3">
        <f>IF(OR(INDEX($O$2:$O$1001,MATCH(ROWS($N$2:N93),$N$2:$N$1001,0),1)&gt;=100000,INDEX($U$1005:$AC$1005,1,MATCH(COLUMNS($U$1006:Y1006),$U$1006:$AC$1006,0))&gt;=100000), " ",IF(INDEX($U$2:$AC$1001,MATCH(ROWS($N$2:N93),$N$2:$N$1001,0),MATCH(COLUMNS($U$1006:Y1006),$U$1006:$AC$1006,0)), HYPERLINK("#",""), HYPERLINK(CONCATENATE("#metadata!", ADDRESS(INDEX($P$2:$P$1001,MATCH(ROWS($N$2:N93),$N$2:$N$1001,0),0), INDEX($U$1004:$AC$1004,1,MATCH(COLUMNS($U$1006:Y1006),$U$1006:$AC$1006,0)))),"Fix")))</f>
        <v>0</v>
      </c>
      <c r="G93" s="3">
        <f>IF(OR(INDEX($O$2:$O$1001,MATCH(ROWS($N$2:N93),$N$2:$N$1001,0),1)&gt;=100000,INDEX($U$1005:$AC$1005,1,MATCH(COLUMNS($U$1006:Z1006),$U$1006:$AC$1006,0))&gt;=100000), " ",IF(INDEX($U$2:$AC$1001,MATCH(ROWS($N$2:N93),$N$2:$N$1001,0),MATCH(COLUMNS($U$1006:Z1006),$U$1006:$AC$1006,0)), HYPERLINK("#",""), HYPERLINK(CONCATENATE("#metadata!", ADDRESS(INDEX($P$2:$P$1001,MATCH(ROWS($N$2:N93),$N$2:$N$1001,0),0), INDEX($U$1004:$AC$1004,1,MATCH(COLUMNS($U$1006:Z1006),$U$1006:$AC$1006,0)))),"Fix")))</f>
        <v>0</v>
      </c>
      <c r="H93" s="3">
        <f>IF(OR(INDEX($O$2:$O$1001,MATCH(ROWS($N$2:N93),$N$2:$N$1001,0),1)&gt;=100000,INDEX($U$1005:$AC$1005,1,MATCH(COLUMNS($U$1006:AA1006),$U$1006:$AC$1006,0))&gt;=100000), " ",IF(INDEX($U$2:$AC$1001,MATCH(ROWS($N$2:N93),$N$2:$N$1001,0),MATCH(COLUMNS($U$1006:AA1006),$U$1006:$AC$1006,0)), HYPERLINK("#",""), HYPERLINK(CONCATENATE("#metadata!", ADDRESS(INDEX($P$2:$P$1001,MATCH(ROWS($N$2:N93),$N$2:$N$1001,0),0), INDEX($U$1004:$AC$1004,1,MATCH(COLUMNS($U$1006:AA1006),$U$1006:$AC$1006,0)))),"Fix")))</f>
        <v>0</v>
      </c>
      <c r="I93" s="3">
        <f>IF(OR(INDEX($O$2:$O$1001,MATCH(ROWS($N$2:N93),$N$2:$N$1001,0),1)&gt;=100000,INDEX($U$1005:$AC$1005,1,MATCH(COLUMNS($U$1006:AB1006),$U$1006:$AC$1006,0))&gt;=100000), " ",IF(INDEX($U$2:$AC$1001,MATCH(ROWS($N$2:N93),$N$2:$N$1001,0),MATCH(COLUMNS($U$1006:AB1006),$U$1006:$AC$1006,0)), HYPERLINK("#",""), HYPERLINK(CONCATENATE("#metadata!", ADDRESS(INDEX($P$2:$P$1001,MATCH(ROWS($N$2:N93),$N$2:$N$1001,0),0), INDEX($U$1004:$AC$1004,1,MATCH(COLUMNS($U$1006:AB1006),$U$1006:$AC$1006,0)))),"Fix")))</f>
        <v>0</v>
      </c>
      <c r="J93" s="3">
        <f>IF(OR(INDEX($O$2:$O$1001,MATCH(ROWS($N$2:N93),$N$2:$N$1001,0),1)&gt;=100000,INDEX($U$1005:$AC$1005,1,MATCH(COLUMNS($U$1006:AC1006),$U$1006:$AC$1006,0))&gt;=100000), " ",IF(INDEX($U$2:$AC$1001,MATCH(ROWS($N$2:N93),$N$2:$N$1001,0),MATCH(COLUMNS($U$1006:AC1006),$U$1006:$AC$1006,0)), HYPERLINK("#",""), HYPERLINK(CONCATENATE("#metadata!", ADDRESS(INDEX($P$2:$P$1001,MATCH(ROWS($N$2:N93),$N$2:$N$1001,0),0), INDEX($U$1004:$AC$1004,1,MATCH(COLUMNS($U$1006:AC1006),$U$1006:$AC$1006,0)))),"Fix")))</f>
        <v>0</v>
      </c>
      <c r="N93">
        <v>0</v>
      </c>
      <c r="O93">
        <v>0</v>
      </c>
      <c r="P93">
        <v>0</v>
      </c>
      <c r="Q93">
        <f>IF(R93,TRUE,AND(U93:AC93))</f>
        <v>0</v>
      </c>
      <c r="R93">
        <f>COUNTBLANK(metadata!B93:J93)=COLUMNS(metadata!B93:J93)</f>
        <v>0</v>
      </c>
      <c r="S93">
        <v>0</v>
      </c>
      <c r="U93">
        <f>AND(IF(metadata!B93="",FALSE,TRUE),COUNTIF(metadata!B:B, metadata!B93) = 1,NOT(ISERROR(SUMPRODUCT(SEARCH(MID(metadata!B93,ROW(INDIRECT("1:"&amp;LEN(metadata!B93))), 1),"0123456789abcdefghijklmnopqrstuvwxyzABCDEFGHIJKLMNOPQRSTUVWXYZ.")))))</f>
        <v>0</v>
      </c>
      <c r="V93">
        <f>AND(IF(metadata!C93="",FALSE,TRUE),exact(metadata!C93,"UBERON:genitourinary"))</f>
        <v>0</v>
      </c>
      <c r="W93">
        <f>AND(IF(metadata!D93="",FALSE,TRUE),exact(metadata!D93,"UBERON:urine"))</f>
        <v>0</v>
      </c>
      <c r="X93">
        <f>AND(IF(metadata!E93="",FALSE,TRUE),exact(metadata!E93,"UBERON:kidney"))</f>
        <v>0</v>
      </c>
      <c r="Y93">
        <f>AND(IF(metadata!F93="",FALSE,TRUE),exact(metadata!F93,"animal corpus"))</f>
        <v>0</v>
      </c>
      <c r="Z93">
        <f>AND(IF(metadata!G93="",FALSE,TRUE),exact(metadata!G93,"urine"))</f>
        <v>0</v>
      </c>
      <c r="AA93">
        <f>AND(IF(metadata!H93="",FALSE,TRUE),exact(metadata!H93,"urine"))</f>
        <v>0</v>
      </c>
      <c r="AB93">
        <f>AND(IF(metadata!I93="",FALSE,TRUE),exact(metadata!I93,"urine metagenome"))</f>
        <v>0</v>
      </c>
      <c r="AC93">
        <f>AND(IF(metadata!J93="",FALSE,TRUE),exact(metadata!J93,"1346744"))</f>
        <v>0</v>
      </c>
    </row>
    <row r="94" spans="1:29">
      <c r="A94" s="4">
        <f>IF(B94=" "," ",HYPERLINK(CONCATENATE("#metadata!",ADDRESS(INDEX($P$2:$P$1001,MATCH(ROWS($N$2:N94),$N$2:$N$1001,0),0),1)),INDEX($S$2:$S$1001,MATCH(ROWS($N$2:N94),$N$2:$N$1001,0),0)))</f>
        <v>0</v>
      </c>
      <c r="B94" s="3">
        <f>IF(OR(INDEX($O$2:$O$1001,MATCH(ROWS($N$2:N94),$N$2:$N$1001,0),1)&gt;=100000,INDEX($U$1005:$AC$1005,1,MATCH(COLUMNS($U$1006:U1006),$U$1006:$AC$1006,0))&gt;=100000), " ",IF(INDEX($U$2:$AC$1001,MATCH(ROWS($N$2:N94),$N$2:$N$1001,0),MATCH(COLUMNS($U$1006:U1006),$U$1006:$AC$1006,0)), HYPERLINK("#",""), HYPERLINK(CONCATENATE("#metadata!", ADDRESS(INDEX($P$2:$P$1001,MATCH(ROWS($N$2:N94),$N$2:$N$1001,0),0), INDEX($U$1004:$AC$1004,1,MATCH(COLUMNS($U$1006:U1006),$U$1006:$AC$1006,0)))),"Fix")))</f>
        <v>0</v>
      </c>
      <c r="C94" s="3">
        <f>IF(OR(INDEX($O$2:$O$1001,MATCH(ROWS($N$2:N94),$N$2:$N$1001,0),1)&gt;=100000,INDEX($U$1005:$AC$1005,1,MATCH(COLUMNS($U$1006:V1006),$U$1006:$AC$1006,0))&gt;=100000), " ",IF(INDEX($U$2:$AC$1001,MATCH(ROWS($N$2:N94),$N$2:$N$1001,0),MATCH(COLUMNS($U$1006:V1006),$U$1006:$AC$1006,0)), HYPERLINK("#",""), HYPERLINK(CONCATENATE("#metadata!", ADDRESS(INDEX($P$2:$P$1001,MATCH(ROWS($N$2:N94),$N$2:$N$1001,0),0), INDEX($U$1004:$AC$1004,1,MATCH(COLUMNS($U$1006:V1006),$U$1006:$AC$1006,0)))),"Fix")))</f>
        <v>0</v>
      </c>
      <c r="D94" s="3">
        <f>IF(OR(INDEX($O$2:$O$1001,MATCH(ROWS($N$2:N94),$N$2:$N$1001,0),1)&gt;=100000,INDEX($U$1005:$AC$1005,1,MATCH(COLUMNS($U$1006:W1006),$U$1006:$AC$1006,0))&gt;=100000), " ",IF(INDEX($U$2:$AC$1001,MATCH(ROWS($N$2:N94),$N$2:$N$1001,0),MATCH(COLUMNS($U$1006:W1006),$U$1006:$AC$1006,0)), HYPERLINK("#",""), HYPERLINK(CONCATENATE("#metadata!", ADDRESS(INDEX($P$2:$P$1001,MATCH(ROWS($N$2:N94),$N$2:$N$1001,0),0), INDEX($U$1004:$AC$1004,1,MATCH(COLUMNS($U$1006:W1006),$U$1006:$AC$1006,0)))),"Fix")))</f>
        <v>0</v>
      </c>
      <c r="E94" s="3">
        <f>IF(OR(INDEX($O$2:$O$1001,MATCH(ROWS($N$2:N94),$N$2:$N$1001,0),1)&gt;=100000,INDEX($U$1005:$AC$1005,1,MATCH(COLUMNS($U$1006:X1006),$U$1006:$AC$1006,0))&gt;=100000), " ",IF(INDEX($U$2:$AC$1001,MATCH(ROWS($N$2:N94),$N$2:$N$1001,0),MATCH(COLUMNS($U$1006:X1006),$U$1006:$AC$1006,0)), HYPERLINK("#",""), HYPERLINK(CONCATENATE("#metadata!", ADDRESS(INDEX($P$2:$P$1001,MATCH(ROWS($N$2:N94),$N$2:$N$1001,0),0), INDEX($U$1004:$AC$1004,1,MATCH(COLUMNS($U$1006:X1006),$U$1006:$AC$1006,0)))),"Fix")))</f>
        <v>0</v>
      </c>
      <c r="F94" s="3">
        <f>IF(OR(INDEX($O$2:$O$1001,MATCH(ROWS($N$2:N94),$N$2:$N$1001,0),1)&gt;=100000,INDEX($U$1005:$AC$1005,1,MATCH(COLUMNS($U$1006:Y1006),$U$1006:$AC$1006,0))&gt;=100000), " ",IF(INDEX($U$2:$AC$1001,MATCH(ROWS($N$2:N94),$N$2:$N$1001,0),MATCH(COLUMNS($U$1006:Y1006),$U$1006:$AC$1006,0)), HYPERLINK("#",""), HYPERLINK(CONCATENATE("#metadata!", ADDRESS(INDEX($P$2:$P$1001,MATCH(ROWS($N$2:N94),$N$2:$N$1001,0),0), INDEX($U$1004:$AC$1004,1,MATCH(COLUMNS($U$1006:Y1006),$U$1006:$AC$1006,0)))),"Fix")))</f>
        <v>0</v>
      </c>
      <c r="G94" s="3">
        <f>IF(OR(INDEX($O$2:$O$1001,MATCH(ROWS($N$2:N94),$N$2:$N$1001,0),1)&gt;=100000,INDEX($U$1005:$AC$1005,1,MATCH(COLUMNS($U$1006:Z1006),$U$1006:$AC$1006,0))&gt;=100000), " ",IF(INDEX($U$2:$AC$1001,MATCH(ROWS($N$2:N94),$N$2:$N$1001,0),MATCH(COLUMNS($U$1006:Z1006),$U$1006:$AC$1006,0)), HYPERLINK("#",""), HYPERLINK(CONCATENATE("#metadata!", ADDRESS(INDEX($P$2:$P$1001,MATCH(ROWS($N$2:N94),$N$2:$N$1001,0),0), INDEX($U$1004:$AC$1004,1,MATCH(COLUMNS($U$1006:Z1006),$U$1006:$AC$1006,0)))),"Fix")))</f>
        <v>0</v>
      </c>
      <c r="H94" s="3">
        <f>IF(OR(INDEX($O$2:$O$1001,MATCH(ROWS($N$2:N94),$N$2:$N$1001,0),1)&gt;=100000,INDEX($U$1005:$AC$1005,1,MATCH(COLUMNS($U$1006:AA1006),$U$1006:$AC$1006,0))&gt;=100000), " ",IF(INDEX($U$2:$AC$1001,MATCH(ROWS($N$2:N94),$N$2:$N$1001,0),MATCH(COLUMNS($U$1006:AA1006),$U$1006:$AC$1006,0)), HYPERLINK("#",""), HYPERLINK(CONCATENATE("#metadata!", ADDRESS(INDEX($P$2:$P$1001,MATCH(ROWS($N$2:N94),$N$2:$N$1001,0),0), INDEX($U$1004:$AC$1004,1,MATCH(COLUMNS($U$1006:AA1006),$U$1006:$AC$1006,0)))),"Fix")))</f>
        <v>0</v>
      </c>
      <c r="I94" s="3">
        <f>IF(OR(INDEX($O$2:$O$1001,MATCH(ROWS($N$2:N94),$N$2:$N$1001,0),1)&gt;=100000,INDEX($U$1005:$AC$1005,1,MATCH(COLUMNS($U$1006:AB1006),$U$1006:$AC$1006,0))&gt;=100000), " ",IF(INDEX($U$2:$AC$1001,MATCH(ROWS($N$2:N94),$N$2:$N$1001,0),MATCH(COLUMNS($U$1006:AB1006),$U$1006:$AC$1006,0)), HYPERLINK("#",""), HYPERLINK(CONCATENATE("#metadata!", ADDRESS(INDEX($P$2:$P$1001,MATCH(ROWS($N$2:N94),$N$2:$N$1001,0),0), INDEX($U$1004:$AC$1004,1,MATCH(COLUMNS($U$1006:AB1006),$U$1006:$AC$1006,0)))),"Fix")))</f>
        <v>0</v>
      </c>
      <c r="J94" s="3">
        <f>IF(OR(INDEX($O$2:$O$1001,MATCH(ROWS($N$2:N94),$N$2:$N$1001,0),1)&gt;=100000,INDEX($U$1005:$AC$1005,1,MATCH(COLUMNS($U$1006:AC1006),$U$1006:$AC$1006,0))&gt;=100000), " ",IF(INDEX($U$2:$AC$1001,MATCH(ROWS($N$2:N94),$N$2:$N$1001,0),MATCH(COLUMNS($U$1006:AC1006),$U$1006:$AC$1006,0)), HYPERLINK("#",""), HYPERLINK(CONCATENATE("#metadata!", ADDRESS(INDEX($P$2:$P$1001,MATCH(ROWS($N$2:N94),$N$2:$N$1001,0),0), INDEX($U$1004:$AC$1004,1,MATCH(COLUMNS($U$1006:AC1006),$U$1006:$AC$1006,0)))),"Fix")))</f>
        <v>0</v>
      </c>
      <c r="N94">
        <v>0</v>
      </c>
      <c r="O94">
        <v>0</v>
      </c>
      <c r="P94">
        <v>0</v>
      </c>
      <c r="Q94">
        <f>IF(R94,TRUE,AND(U94:AC94))</f>
        <v>0</v>
      </c>
      <c r="R94">
        <f>COUNTBLANK(metadata!B94:J94)=COLUMNS(metadata!B94:J94)</f>
        <v>0</v>
      </c>
      <c r="S94">
        <v>0</v>
      </c>
      <c r="U94">
        <f>AND(IF(metadata!B94="",FALSE,TRUE),COUNTIF(metadata!B:B, metadata!B94) = 1,NOT(ISERROR(SUMPRODUCT(SEARCH(MID(metadata!B94,ROW(INDIRECT("1:"&amp;LEN(metadata!B94))), 1),"0123456789abcdefghijklmnopqrstuvwxyzABCDEFGHIJKLMNOPQRSTUVWXYZ.")))))</f>
        <v>0</v>
      </c>
      <c r="V94">
        <f>AND(IF(metadata!C94="",FALSE,TRUE),exact(metadata!C94,"UBERON:genitourinary"))</f>
        <v>0</v>
      </c>
      <c r="W94">
        <f>AND(IF(metadata!D94="",FALSE,TRUE),exact(metadata!D94,"UBERON:urine"))</f>
        <v>0</v>
      </c>
      <c r="X94">
        <f>AND(IF(metadata!E94="",FALSE,TRUE),exact(metadata!E94,"UBERON:kidney"))</f>
        <v>0</v>
      </c>
      <c r="Y94">
        <f>AND(IF(metadata!F94="",FALSE,TRUE),exact(metadata!F94,"animal corpus"))</f>
        <v>0</v>
      </c>
      <c r="Z94">
        <f>AND(IF(metadata!G94="",FALSE,TRUE),exact(metadata!G94,"urine"))</f>
        <v>0</v>
      </c>
      <c r="AA94">
        <f>AND(IF(metadata!H94="",FALSE,TRUE),exact(metadata!H94,"urine"))</f>
        <v>0</v>
      </c>
      <c r="AB94">
        <f>AND(IF(metadata!I94="",FALSE,TRUE),exact(metadata!I94,"urine metagenome"))</f>
        <v>0</v>
      </c>
      <c r="AC94">
        <f>AND(IF(metadata!J94="",FALSE,TRUE),exact(metadata!J94,"1346744"))</f>
        <v>0</v>
      </c>
    </row>
    <row r="95" spans="1:29">
      <c r="A95" s="4">
        <f>IF(B95=" "," ",HYPERLINK(CONCATENATE("#metadata!",ADDRESS(INDEX($P$2:$P$1001,MATCH(ROWS($N$2:N95),$N$2:$N$1001,0),0),1)),INDEX($S$2:$S$1001,MATCH(ROWS($N$2:N95),$N$2:$N$1001,0),0)))</f>
        <v>0</v>
      </c>
      <c r="B95" s="3">
        <f>IF(OR(INDEX($O$2:$O$1001,MATCH(ROWS($N$2:N95),$N$2:$N$1001,0),1)&gt;=100000,INDEX($U$1005:$AC$1005,1,MATCH(COLUMNS($U$1006:U1006),$U$1006:$AC$1006,0))&gt;=100000), " ",IF(INDEX($U$2:$AC$1001,MATCH(ROWS($N$2:N95),$N$2:$N$1001,0),MATCH(COLUMNS($U$1006:U1006),$U$1006:$AC$1006,0)), HYPERLINK("#",""), HYPERLINK(CONCATENATE("#metadata!", ADDRESS(INDEX($P$2:$P$1001,MATCH(ROWS($N$2:N95),$N$2:$N$1001,0),0), INDEX($U$1004:$AC$1004,1,MATCH(COLUMNS($U$1006:U1006),$U$1006:$AC$1006,0)))),"Fix")))</f>
        <v>0</v>
      </c>
      <c r="C95" s="3">
        <f>IF(OR(INDEX($O$2:$O$1001,MATCH(ROWS($N$2:N95),$N$2:$N$1001,0),1)&gt;=100000,INDEX($U$1005:$AC$1005,1,MATCH(COLUMNS($U$1006:V1006),$U$1006:$AC$1006,0))&gt;=100000), " ",IF(INDEX($U$2:$AC$1001,MATCH(ROWS($N$2:N95),$N$2:$N$1001,0),MATCH(COLUMNS($U$1006:V1006),$U$1006:$AC$1006,0)), HYPERLINK("#",""), HYPERLINK(CONCATENATE("#metadata!", ADDRESS(INDEX($P$2:$P$1001,MATCH(ROWS($N$2:N95),$N$2:$N$1001,0),0), INDEX($U$1004:$AC$1004,1,MATCH(COLUMNS($U$1006:V1006),$U$1006:$AC$1006,0)))),"Fix")))</f>
        <v>0</v>
      </c>
      <c r="D95" s="3">
        <f>IF(OR(INDEX($O$2:$O$1001,MATCH(ROWS($N$2:N95),$N$2:$N$1001,0),1)&gt;=100000,INDEX($U$1005:$AC$1005,1,MATCH(COLUMNS($U$1006:W1006),$U$1006:$AC$1006,0))&gt;=100000), " ",IF(INDEX($U$2:$AC$1001,MATCH(ROWS($N$2:N95),$N$2:$N$1001,0),MATCH(COLUMNS($U$1006:W1006),$U$1006:$AC$1006,0)), HYPERLINK("#",""), HYPERLINK(CONCATENATE("#metadata!", ADDRESS(INDEX($P$2:$P$1001,MATCH(ROWS($N$2:N95),$N$2:$N$1001,0),0), INDEX($U$1004:$AC$1004,1,MATCH(COLUMNS($U$1006:W1006),$U$1006:$AC$1006,0)))),"Fix")))</f>
        <v>0</v>
      </c>
      <c r="E95" s="3">
        <f>IF(OR(INDEX($O$2:$O$1001,MATCH(ROWS($N$2:N95),$N$2:$N$1001,0),1)&gt;=100000,INDEX($U$1005:$AC$1005,1,MATCH(COLUMNS($U$1006:X1006),$U$1006:$AC$1006,0))&gt;=100000), " ",IF(INDEX($U$2:$AC$1001,MATCH(ROWS($N$2:N95),$N$2:$N$1001,0),MATCH(COLUMNS($U$1006:X1006),$U$1006:$AC$1006,0)), HYPERLINK("#",""), HYPERLINK(CONCATENATE("#metadata!", ADDRESS(INDEX($P$2:$P$1001,MATCH(ROWS($N$2:N95),$N$2:$N$1001,0),0), INDEX($U$1004:$AC$1004,1,MATCH(COLUMNS($U$1006:X1006),$U$1006:$AC$1006,0)))),"Fix")))</f>
        <v>0</v>
      </c>
      <c r="F95" s="3">
        <f>IF(OR(INDEX($O$2:$O$1001,MATCH(ROWS($N$2:N95),$N$2:$N$1001,0),1)&gt;=100000,INDEX($U$1005:$AC$1005,1,MATCH(COLUMNS($U$1006:Y1006),$U$1006:$AC$1006,0))&gt;=100000), " ",IF(INDEX($U$2:$AC$1001,MATCH(ROWS($N$2:N95),$N$2:$N$1001,0),MATCH(COLUMNS($U$1006:Y1006),$U$1006:$AC$1006,0)), HYPERLINK("#",""), HYPERLINK(CONCATENATE("#metadata!", ADDRESS(INDEX($P$2:$P$1001,MATCH(ROWS($N$2:N95),$N$2:$N$1001,0),0), INDEX($U$1004:$AC$1004,1,MATCH(COLUMNS($U$1006:Y1006),$U$1006:$AC$1006,0)))),"Fix")))</f>
        <v>0</v>
      </c>
      <c r="G95" s="3">
        <f>IF(OR(INDEX($O$2:$O$1001,MATCH(ROWS($N$2:N95),$N$2:$N$1001,0),1)&gt;=100000,INDEX($U$1005:$AC$1005,1,MATCH(COLUMNS($U$1006:Z1006),$U$1006:$AC$1006,0))&gt;=100000), " ",IF(INDEX($U$2:$AC$1001,MATCH(ROWS($N$2:N95),$N$2:$N$1001,0),MATCH(COLUMNS($U$1006:Z1006),$U$1006:$AC$1006,0)), HYPERLINK("#",""), HYPERLINK(CONCATENATE("#metadata!", ADDRESS(INDEX($P$2:$P$1001,MATCH(ROWS($N$2:N95),$N$2:$N$1001,0),0), INDEX($U$1004:$AC$1004,1,MATCH(COLUMNS($U$1006:Z1006),$U$1006:$AC$1006,0)))),"Fix")))</f>
        <v>0</v>
      </c>
      <c r="H95" s="3">
        <f>IF(OR(INDEX($O$2:$O$1001,MATCH(ROWS($N$2:N95),$N$2:$N$1001,0),1)&gt;=100000,INDEX($U$1005:$AC$1005,1,MATCH(COLUMNS($U$1006:AA1006),$U$1006:$AC$1006,0))&gt;=100000), " ",IF(INDEX($U$2:$AC$1001,MATCH(ROWS($N$2:N95),$N$2:$N$1001,0),MATCH(COLUMNS($U$1006:AA1006),$U$1006:$AC$1006,0)), HYPERLINK("#",""), HYPERLINK(CONCATENATE("#metadata!", ADDRESS(INDEX($P$2:$P$1001,MATCH(ROWS($N$2:N95),$N$2:$N$1001,0),0), INDEX($U$1004:$AC$1004,1,MATCH(COLUMNS($U$1006:AA1006),$U$1006:$AC$1006,0)))),"Fix")))</f>
        <v>0</v>
      </c>
      <c r="I95" s="3">
        <f>IF(OR(INDEX($O$2:$O$1001,MATCH(ROWS($N$2:N95),$N$2:$N$1001,0),1)&gt;=100000,INDEX($U$1005:$AC$1005,1,MATCH(COLUMNS($U$1006:AB1006),$U$1006:$AC$1006,0))&gt;=100000), " ",IF(INDEX($U$2:$AC$1001,MATCH(ROWS($N$2:N95),$N$2:$N$1001,0),MATCH(COLUMNS($U$1006:AB1006),$U$1006:$AC$1006,0)), HYPERLINK("#",""), HYPERLINK(CONCATENATE("#metadata!", ADDRESS(INDEX($P$2:$P$1001,MATCH(ROWS($N$2:N95),$N$2:$N$1001,0),0), INDEX($U$1004:$AC$1004,1,MATCH(COLUMNS($U$1006:AB1006),$U$1006:$AC$1006,0)))),"Fix")))</f>
        <v>0</v>
      </c>
      <c r="J95" s="3">
        <f>IF(OR(INDEX($O$2:$O$1001,MATCH(ROWS($N$2:N95),$N$2:$N$1001,0),1)&gt;=100000,INDEX($U$1005:$AC$1005,1,MATCH(COLUMNS($U$1006:AC1006),$U$1006:$AC$1006,0))&gt;=100000), " ",IF(INDEX($U$2:$AC$1001,MATCH(ROWS($N$2:N95),$N$2:$N$1001,0),MATCH(COLUMNS($U$1006:AC1006),$U$1006:$AC$1006,0)), HYPERLINK("#",""), HYPERLINK(CONCATENATE("#metadata!", ADDRESS(INDEX($P$2:$P$1001,MATCH(ROWS($N$2:N95),$N$2:$N$1001,0),0), INDEX($U$1004:$AC$1004,1,MATCH(COLUMNS($U$1006:AC1006),$U$1006:$AC$1006,0)))),"Fix")))</f>
        <v>0</v>
      </c>
      <c r="N95">
        <v>0</v>
      </c>
      <c r="O95">
        <v>0</v>
      </c>
      <c r="P95">
        <v>0</v>
      </c>
      <c r="Q95">
        <f>IF(R95,TRUE,AND(U95:AC95))</f>
        <v>0</v>
      </c>
      <c r="R95">
        <f>COUNTBLANK(metadata!B95:J95)=COLUMNS(metadata!B95:J95)</f>
        <v>0</v>
      </c>
      <c r="S95">
        <v>0</v>
      </c>
      <c r="U95">
        <f>AND(IF(metadata!B95="",FALSE,TRUE),COUNTIF(metadata!B:B, metadata!B95) = 1,NOT(ISERROR(SUMPRODUCT(SEARCH(MID(metadata!B95,ROW(INDIRECT("1:"&amp;LEN(metadata!B95))), 1),"0123456789abcdefghijklmnopqrstuvwxyzABCDEFGHIJKLMNOPQRSTUVWXYZ.")))))</f>
        <v>0</v>
      </c>
      <c r="V95">
        <f>AND(IF(metadata!C95="",FALSE,TRUE),exact(metadata!C95,"UBERON:genitourinary"))</f>
        <v>0</v>
      </c>
      <c r="W95">
        <f>AND(IF(metadata!D95="",FALSE,TRUE),exact(metadata!D95,"UBERON:urine"))</f>
        <v>0</v>
      </c>
      <c r="X95">
        <f>AND(IF(metadata!E95="",FALSE,TRUE),exact(metadata!E95,"UBERON:kidney"))</f>
        <v>0</v>
      </c>
      <c r="Y95">
        <f>AND(IF(metadata!F95="",FALSE,TRUE),exact(metadata!F95,"animal corpus"))</f>
        <v>0</v>
      </c>
      <c r="Z95">
        <f>AND(IF(metadata!G95="",FALSE,TRUE),exact(metadata!G95,"urine"))</f>
        <v>0</v>
      </c>
      <c r="AA95">
        <f>AND(IF(metadata!H95="",FALSE,TRUE),exact(metadata!H95,"urine"))</f>
        <v>0</v>
      </c>
      <c r="AB95">
        <f>AND(IF(metadata!I95="",FALSE,TRUE),exact(metadata!I95,"urine metagenome"))</f>
        <v>0</v>
      </c>
      <c r="AC95">
        <f>AND(IF(metadata!J95="",FALSE,TRUE),exact(metadata!J95,"1346744"))</f>
        <v>0</v>
      </c>
    </row>
    <row r="96" spans="1:29">
      <c r="A96" s="4">
        <f>IF(B96=" "," ",HYPERLINK(CONCATENATE("#metadata!",ADDRESS(INDEX($P$2:$P$1001,MATCH(ROWS($N$2:N96),$N$2:$N$1001,0),0),1)),INDEX($S$2:$S$1001,MATCH(ROWS($N$2:N96),$N$2:$N$1001,0),0)))</f>
        <v>0</v>
      </c>
      <c r="B96" s="3">
        <f>IF(OR(INDEX($O$2:$O$1001,MATCH(ROWS($N$2:N96),$N$2:$N$1001,0),1)&gt;=100000,INDEX($U$1005:$AC$1005,1,MATCH(COLUMNS($U$1006:U1006),$U$1006:$AC$1006,0))&gt;=100000), " ",IF(INDEX($U$2:$AC$1001,MATCH(ROWS($N$2:N96),$N$2:$N$1001,0),MATCH(COLUMNS($U$1006:U1006),$U$1006:$AC$1006,0)), HYPERLINK("#",""), HYPERLINK(CONCATENATE("#metadata!", ADDRESS(INDEX($P$2:$P$1001,MATCH(ROWS($N$2:N96),$N$2:$N$1001,0),0), INDEX($U$1004:$AC$1004,1,MATCH(COLUMNS($U$1006:U1006),$U$1006:$AC$1006,0)))),"Fix")))</f>
        <v>0</v>
      </c>
      <c r="C96" s="3">
        <f>IF(OR(INDEX($O$2:$O$1001,MATCH(ROWS($N$2:N96),$N$2:$N$1001,0),1)&gt;=100000,INDEX($U$1005:$AC$1005,1,MATCH(COLUMNS($U$1006:V1006),$U$1006:$AC$1006,0))&gt;=100000), " ",IF(INDEX($U$2:$AC$1001,MATCH(ROWS($N$2:N96),$N$2:$N$1001,0),MATCH(COLUMNS($U$1006:V1006),$U$1006:$AC$1006,0)), HYPERLINK("#",""), HYPERLINK(CONCATENATE("#metadata!", ADDRESS(INDEX($P$2:$P$1001,MATCH(ROWS($N$2:N96),$N$2:$N$1001,0),0), INDEX($U$1004:$AC$1004,1,MATCH(COLUMNS($U$1006:V1006),$U$1006:$AC$1006,0)))),"Fix")))</f>
        <v>0</v>
      </c>
      <c r="D96" s="3">
        <f>IF(OR(INDEX($O$2:$O$1001,MATCH(ROWS($N$2:N96),$N$2:$N$1001,0),1)&gt;=100000,INDEX($U$1005:$AC$1005,1,MATCH(COLUMNS($U$1006:W1006),$U$1006:$AC$1006,0))&gt;=100000), " ",IF(INDEX($U$2:$AC$1001,MATCH(ROWS($N$2:N96),$N$2:$N$1001,0),MATCH(COLUMNS($U$1006:W1006),$U$1006:$AC$1006,0)), HYPERLINK("#",""), HYPERLINK(CONCATENATE("#metadata!", ADDRESS(INDEX($P$2:$P$1001,MATCH(ROWS($N$2:N96),$N$2:$N$1001,0),0), INDEX($U$1004:$AC$1004,1,MATCH(COLUMNS($U$1006:W1006),$U$1006:$AC$1006,0)))),"Fix")))</f>
        <v>0</v>
      </c>
      <c r="E96" s="3">
        <f>IF(OR(INDEX($O$2:$O$1001,MATCH(ROWS($N$2:N96),$N$2:$N$1001,0),1)&gt;=100000,INDEX($U$1005:$AC$1005,1,MATCH(COLUMNS($U$1006:X1006),$U$1006:$AC$1006,0))&gt;=100000), " ",IF(INDEX($U$2:$AC$1001,MATCH(ROWS($N$2:N96),$N$2:$N$1001,0),MATCH(COLUMNS($U$1006:X1006),$U$1006:$AC$1006,0)), HYPERLINK("#",""), HYPERLINK(CONCATENATE("#metadata!", ADDRESS(INDEX($P$2:$P$1001,MATCH(ROWS($N$2:N96),$N$2:$N$1001,0),0), INDEX($U$1004:$AC$1004,1,MATCH(COLUMNS($U$1006:X1006),$U$1006:$AC$1006,0)))),"Fix")))</f>
        <v>0</v>
      </c>
      <c r="F96" s="3">
        <f>IF(OR(INDEX($O$2:$O$1001,MATCH(ROWS($N$2:N96),$N$2:$N$1001,0),1)&gt;=100000,INDEX($U$1005:$AC$1005,1,MATCH(COLUMNS($U$1006:Y1006),$U$1006:$AC$1006,0))&gt;=100000), " ",IF(INDEX($U$2:$AC$1001,MATCH(ROWS($N$2:N96),$N$2:$N$1001,0),MATCH(COLUMNS($U$1006:Y1006),$U$1006:$AC$1006,0)), HYPERLINK("#",""), HYPERLINK(CONCATENATE("#metadata!", ADDRESS(INDEX($P$2:$P$1001,MATCH(ROWS($N$2:N96),$N$2:$N$1001,0),0), INDEX($U$1004:$AC$1004,1,MATCH(COLUMNS($U$1006:Y1006),$U$1006:$AC$1006,0)))),"Fix")))</f>
        <v>0</v>
      </c>
      <c r="G96" s="3">
        <f>IF(OR(INDEX($O$2:$O$1001,MATCH(ROWS($N$2:N96),$N$2:$N$1001,0),1)&gt;=100000,INDEX($U$1005:$AC$1005,1,MATCH(COLUMNS($U$1006:Z1006),$U$1006:$AC$1006,0))&gt;=100000), " ",IF(INDEX($U$2:$AC$1001,MATCH(ROWS($N$2:N96),$N$2:$N$1001,0),MATCH(COLUMNS($U$1006:Z1006),$U$1006:$AC$1006,0)), HYPERLINK("#",""), HYPERLINK(CONCATENATE("#metadata!", ADDRESS(INDEX($P$2:$P$1001,MATCH(ROWS($N$2:N96),$N$2:$N$1001,0),0), INDEX($U$1004:$AC$1004,1,MATCH(COLUMNS($U$1006:Z1006),$U$1006:$AC$1006,0)))),"Fix")))</f>
        <v>0</v>
      </c>
      <c r="H96" s="3">
        <f>IF(OR(INDEX($O$2:$O$1001,MATCH(ROWS($N$2:N96),$N$2:$N$1001,0),1)&gt;=100000,INDEX($U$1005:$AC$1005,1,MATCH(COLUMNS($U$1006:AA1006),$U$1006:$AC$1006,0))&gt;=100000), " ",IF(INDEX($U$2:$AC$1001,MATCH(ROWS($N$2:N96),$N$2:$N$1001,0),MATCH(COLUMNS($U$1006:AA1006),$U$1006:$AC$1006,0)), HYPERLINK("#",""), HYPERLINK(CONCATENATE("#metadata!", ADDRESS(INDEX($P$2:$P$1001,MATCH(ROWS($N$2:N96),$N$2:$N$1001,0),0), INDEX($U$1004:$AC$1004,1,MATCH(COLUMNS($U$1006:AA1006),$U$1006:$AC$1006,0)))),"Fix")))</f>
        <v>0</v>
      </c>
      <c r="I96" s="3">
        <f>IF(OR(INDEX($O$2:$O$1001,MATCH(ROWS($N$2:N96),$N$2:$N$1001,0),1)&gt;=100000,INDEX($U$1005:$AC$1005,1,MATCH(COLUMNS($U$1006:AB1006),$U$1006:$AC$1006,0))&gt;=100000), " ",IF(INDEX($U$2:$AC$1001,MATCH(ROWS($N$2:N96),$N$2:$N$1001,0),MATCH(COLUMNS($U$1006:AB1006),$U$1006:$AC$1006,0)), HYPERLINK("#",""), HYPERLINK(CONCATENATE("#metadata!", ADDRESS(INDEX($P$2:$P$1001,MATCH(ROWS($N$2:N96),$N$2:$N$1001,0),0), INDEX($U$1004:$AC$1004,1,MATCH(COLUMNS($U$1006:AB1006),$U$1006:$AC$1006,0)))),"Fix")))</f>
        <v>0</v>
      </c>
      <c r="J96" s="3">
        <f>IF(OR(INDEX($O$2:$O$1001,MATCH(ROWS($N$2:N96),$N$2:$N$1001,0),1)&gt;=100000,INDEX($U$1005:$AC$1005,1,MATCH(COLUMNS($U$1006:AC1006),$U$1006:$AC$1006,0))&gt;=100000), " ",IF(INDEX($U$2:$AC$1001,MATCH(ROWS($N$2:N96),$N$2:$N$1001,0),MATCH(COLUMNS($U$1006:AC1006),$U$1006:$AC$1006,0)), HYPERLINK("#",""), HYPERLINK(CONCATENATE("#metadata!", ADDRESS(INDEX($P$2:$P$1001,MATCH(ROWS($N$2:N96),$N$2:$N$1001,0),0), INDEX($U$1004:$AC$1004,1,MATCH(COLUMNS($U$1006:AC1006),$U$1006:$AC$1006,0)))),"Fix")))</f>
        <v>0</v>
      </c>
      <c r="N96">
        <v>0</v>
      </c>
      <c r="O96">
        <v>0</v>
      </c>
      <c r="P96">
        <v>0</v>
      </c>
      <c r="Q96">
        <f>IF(R96,TRUE,AND(U96:AC96))</f>
        <v>0</v>
      </c>
      <c r="R96">
        <f>COUNTBLANK(metadata!B96:J96)=COLUMNS(metadata!B96:J96)</f>
        <v>0</v>
      </c>
      <c r="S96">
        <v>0</v>
      </c>
      <c r="U96">
        <f>AND(IF(metadata!B96="",FALSE,TRUE),COUNTIF(metadata!B:B, metadata!B96) = 1,NOT(ISERROR(SUMPRODUCT(SEARCH(MID(metadata!B96,ROW(INDIRECT("1:"&amp;LEN(metadata!B96))), 1),"0123456789abcdefghijklmnopqrstuvwxyzABCDEFGHIJKLMNOPQRSTUVWXYZ.")))))</f>
        <v>0</v>
      </c>
      <c r="V96">
        <f>AND(IF(metadata!C96="",FALSE,TRUE),exact(metadata!C96,"UBERON:genitourinary"))</f>
        <v>0</v>
      </c>
      <c r="W96">
        <f>AND(IF(metadata!D96="",FALSE,TRUE),exact(metadata!D96,"UBERON:urine"))</f>
        <v>0</v>
      </c>
      <c r="X96">
        <f>AND(IF(metadata!E96="",FALSE,TRUE),exact(metadata!E96,"UBERON:kidney"))</f>
        <v>0</v>
      </c>
      <c r="Y96">
        <f>AND(IF(metadata!F96="",FALSE,TRUE),exact(metadata!F96,"animal corpus"))</f>
        <v>0</v>
      </c>
      <c r="Z96">
        <f>AND(IF(metadata!G96="",FALSE,TRUE),exact(metadata!G96,"urine"))</f>
        <v>0</v>
      </c>
      <c r="AA96">
        <f>AND(IF(metadata!H96="",FALSE,TRUE),exact(metadata!H96,"urine"))</f>
        <v>0</v>
      </c>
      <c r="AB96">
        <f>AND(IF(metadata!I96="",FALSE,TRUE),exact(metadata!I96,"urine metagenome"))</f>
        <v>0</v>
      </c>
      <c r="AC96">
        <f>AND(IF(metadata!J96="",FALSE,TRUE),exact(metadata!J96,"1346744"))</f>
        <v>0</v>
      </c>
    </row>
    <row r="97" spans="1:29">
      <c r="A97" s="4">
        <f>IF(B97=" "," ",HYPERLINK(CONCATENATE("#metadata!",ADDRESS(INDEX($P$2:$P$1001,MATCH(ROWS($N$2:N97),$N$2:$N$1001,0),0),1)),INDEX($S$2:$S$1001,MATCH(ROWS($N$2:N97),$N$2:$N$1001,0),0)))</f>
        <v>0</v>
      </c>
      <c r="B97" s="3">
        <f>IF(OR(INDEX($O$2:$O$1001,MATCH(ROWS($N$2:N97),$N$2:$N$1001,0),1)&gt;=100000,INDEX($U$1005:$AC$1005,1,MATCH(COLUMNS($U$1006:U1006),$U$1006:$AC$1006,0))&gt;=100000), " ",IF(INDEX($U$2:$AC$1001,MATCH(ROWS($N$2:N97),$N$2:$N$1001,0),MATCH(COLUMNS($U$1006:U1006),$U$1006:$AC$1006,0)), HYPERLINK("#",""), HYPERLINK(CONCATENATE("#metadata!", ADDRESS(INDEX($P$2:$P$1001,MATCH(ROWS($N$2:N97),$N$2:$N$1001,0),0), INDEX($U$1004:$AC$1004,1,MATCH(COLUMNS($U$1006:U1006),$U$1006:$AC$1006,0)))),"Fix")))</f>
        <v>0</v>
      </c>
      <c r="C97" s="3">
        <f>IF(OR(INDEX($O$2:$O$1001,MATCH(ROWS($N$2:N97),$N$2:$N$1001,0),1)&gt;=100000,INDEX($U$1005:$AC$1005,1,MATCH(COLUMNS($U$1006:V1006),$U$1006:$AC$1006,0))&gt;=100000), " ",IF(INDEX($U$2:$AC$1001,MATCH(ROWS($N$2:N97),$N$2:$N$1001,0),MATCH(COLUMNS($U$1006:V1006),$U$1006:$AC$1006,0)), HYPERLINK("#",""), HYPERLINK(CONCATENATE("#metadata!", ADDRESS(INDEX($P$2:$P$1001,MATCH(ROWS($N$2:N97),$N$2:$N$1001,0),0), INDEX($U$1004:$AC$1004,1,MATCH(COLUMNS($U$1006:V1006),$U$1006:$AC$1006,0)))),"Fix")))</f>
        <v>0</v>
      </c>
      <c r="D97" s="3">
        <f>IF(OR(INDEX($O$2:$O$1001,MATCH(ROWS($N$2:N97),$N$2:$N$1001,0),1)&gt;=100000,INDEX($U$1005:$AC$1005,1,MATCH(COLUMNS($U$1006:W1006),$U$1006:$AC$1006,0))&gt;=100000), " ",IF(INDEX($U$2:$AC$1001,MATCH(ROWS($N$2:N97),$N$2:$N$1001,0),MATCH(COLUMNS($U$1006:W1006),$U$1006:$AC$1006,0)), HYPERLINK("#",""), HYPERLINK(CONCATENATE("#metadata!", ADDRESS(INDEX($P$2:$P$1001,MATCH(ROWS($N$2:N97),$N$2:$N$1001,0),0), INDEX($U$1004:$AC$1004,1,MATCH(COLUMNS($U$1006:W1006),$U$1006:$AC$1006,0)))),"Fix")))</f>
        <v>0</v>
      </c>
      <c r="E97" s="3">
        <f>IF(OR(INDEX($O$2:$O$1001,MATCH(ROWS($N$2:N97),$N$2:$N$1001,0),1)&gt;=100000,INDEX($U$1005:$AC$1005,1,MATCH(COLUMNS($U$1006:X1006),$U$1006:$AC$1006,0))&gt;=100000), " ",IF(INDEX($U$2:$AC$1001,MATCH(ROWS($N$2:N97),$N$2:$N$1001,0),MATCH(COLUMNS($U$1006:X1006),$U$1006:$AC$1006,0)), HYPERLINK("#",""), HYPERLINK(CONCATENATE("#metadata!", ADDRESS(INDEX($P$2:$P$1001,MATCH(ROWS($N$2:N97),$N$2:$N$1001,0),0), INDEX($U$1004:$AC$1004,1,MATCH(COLUMNS($U$1006:X1006),$U$1006:$AC$1006,0)))),"Fix")))</f>
        <v>0</v>
      </c>
      <c r="F97" s="3">
        <f>IF(OR(INDEX($O$2:$O$1001,MATCH(ROWS($N$2:N97),$N$2:$N$1001,0),1)&gt;=100000,INDEX($U$1005:$AC$1005,1,MATCH(COLUMNS($U$1006:Y1006),$U$1006:$AC$1006,0))&gt;=100000), " ",IF(INDEX($U$2:$AC$1001,MATCH(ROWS($N$2:N97),$N$2:$N$1001,0),MATCH(COLUMNS($U$1006:Y1006),$U$1006:$AC$1006,0)), HYPERLINK("#",""), HYPERLINK(CONCATENATE("#metadata!", ADDRESS(INDEX($P$2:$P$1001,MATCH(ROWS($N$2:N97),$N$2:$N$1001,0),0), INDEX($U$1004:$AC$1004,1,MATCH(COLUMNS($U$1006:Y1006),$U$1006:$AC$1006,0)))),"Fix")))</f>
        <v>0</v>
      </c>
      <c r="G97" s="3">
        <f>IF(OR(INDEX($O$2:$O$1001,MATCH(ROWS($N$2:N97),$N$2:$N$1001,0),1)&gt;=100000,INDEX($U$1005:$AC$1005,1,MATCH(COLUMNS($U$1006:Z1006),$U$1006:$AC$1006,0))&gt;=100000), " ",IF(INDEX($U$2:$AC$1001,MATCH(ROWS($N$2:N97),$N$2:$N$1001,0),MATCH(COLUMNS($U$1006:Z1006),$U$1006:$AC$1006,0)), HYPERLINK("#",""), HYPERLINK(CONCATENATE("#metadata!", ADDRESS(INDEX($P$2:$P$1001,MATCH(ROWS($N$2:N97),$N$2:$N$1001,0),0), INDEX($U$1004:$AC$1004,1,MATCH(COLUMNS($U$1006:Z1006),$U$1006:$AC$1006,0)))),"Fix")))</f>
        <v>0</v>
      </c>
      <c r="H97" s="3">
        <f>IF(OR(INDEX($O$2:$O$1001,MATCH(ROWS($N$2:N97),$N$2:$N$1001,0),1)&gt;=100000,INDEX($U$1005:$AC$1005,1,MATCH(COLUMNS($U$1006:AA1006),$U$1006:$AC$1006,0))&gt;=100000), " ",IF(INDEX($U$2:$AC$1001,MATCH(ROWS($N$2:N97),$N$2:$N$1001,0),MATCH(COLUMNS($U$1006:AA1006),$U$1006:$AC$1006,0)), HYPERLINK("#",""), HYPERLINK(CONCATENATE("#metadata!", ADDRESS(INDEX($P$2:$P$1001,MATCH(ROWS($N$2:N97),$N$2:$N$1001,0),0), INDEX($U$1004:$AC$1004,1,MATCH(COLUMNS($U$1006:AA1006),$U$1006:$AC$1006,0)))),"Fix")))</f>
        <v>0</v>
      </c>
      <c r="I97" s="3">
        <f>IF(OR(INDEX($O$2:$O$1001,MATCH(ROWS($N$2:N97),$N$2:$N$1001,0),1)&gt;=100000,INDEX($U$1005:$AC$1005,1,MATCH(COLUMNS($U$1006:AB1006),$U$1006:$AC$1006,0))&gt;=100000), " ",IF(INDEX($U$2:$AC$1001,MATCH(ROWS($N$2:N97),$N$2:$N$1001,0),MATCH(COLUMNS($U$1006:AB1006),$U$1006:$AC$1006,0)), HYPERLINK("#",""), HYPERLINK(CONCATENATE("#metadata!", ADDRESS(INDEX($P$2:$P$1001,MATCH(ROWS($N$2:N97),$N$2:$N$1001,0),0), INDEX($U$1004:$AC$1004,1,MATCH(COLUMNS($U$1006:AB1006),$U$1006:$AC$1006,0)))),"Fix")))</f>
        <v>0</v>
      </c>
      <c r="J97" s="3">
        <f>IF(OR(INDEX($O$2:$O$1001,MATCH(ROWS($N$2:N97),$N$2:$N$1001,0),1)&gt;=100000,INDEX($U$1005:$AC$1005,1,MATCH(COLUMNS($U$1006:AC1006),$U$1006:$AC$1006,0))&gt;=100000), " ",IF(INDEX($U$2:$AC$1001,MATCH(ROWS($N$2:N97),$N$2:$N$1001,0),MATCH(COLUMNS($U$1006:AC1006),$U$1006:$AC$1006,0)), HYPERLINK("#",""), HYPERLINK(CONCATENATE("#metadata!", ADDRESS(INDEX($P$2:$P$1001,MATCH(ROWS($N$2:N97),$N$2:$N$1001,0),0), INDEX($U$1004:$AC$1004,1,MATCH(COLUMNS($U$1006:AC1006),$U$1006:$AC$1006,0)))),"Fix")))</f>
        <v>0</v>
      </c>
      <c r="N97">
        <v>0</v>
      </c>
      <c r="O97">
        <v>0</v>
      </c>
      <c r="P97">
        <v>0</v>
      </c>
      <c r="Q97">
        <f>IF(R97,TRUE,AND(U97:AC97))</f>
        <v>0</v>
      </c>
      <c r="R97">
        <f>COUNTBLANK(metadata!B97:J97)=COLUMNS(metadata!B97:J97)</f>
        <v>0</v>
      </c>
      <c r="S97">
        <v>0</v>
      </c>
      <c r="U97">
        <f>AND(IF(metadata!B97="",FALSE,TRUE),COUNTIF(metadata!B:B, metadata!B97) = 1,NOT(ISERROR(SUMPRODUCT(SEARCH(MID(metadata!B97,ROW(INDIRECT("1:"&amp;LEN(metadata!B97))), 1),"0123456789abcdefghijklmnopqrstuvwxyzABCDEFGHIJKLMNOPQRSTUVWXYZ.")))))</f>
        <v>0</v>
      </c>
      <c r="V97">
        <f>AND(IF(metadata!C97="",FALSE,TRUE),exact(metadata!C97,"UBERON:genitourinary"))</f>
        <v>0</v>
      </c>
      <c r="W97">
        <f>AND(IF(metadata!D97="",FALSE,TRUE),exact(metadata!D97,"UBERON:urine"))</f>
        <v>0</v>
      </c>
      <c r="X97">
        <f>AND(IF(metadata!E97="",FALSE,TRUE),exact(metadata!E97,"UBERON:kidney"))</f>
        <v>0</v>
      </c>
      <c r="Y97">
        <f>AND(IF(metadata!F97="",FALSE,TRUE),exact(metadata!F97,"animal corpus"))</f>
        <v>0</v>
      </c>
      <c r="Z97">
        <f>AND(IF(metadata!G97="",FALSE,TRUE),exact(metadata!G97,"urine"))</f>
        <v>0</v>
      </c>
      <c r="AA97">
        <f>AND(IF(metadata!H97="",FALSE,TRUE),exact(metadata!H97,"urine"))</f>
        <v>0</v>
      </c>
      <c r="AB97">
        <f>AND(IF(metadata!I97="",FALSE,TRUE),exact(metadata!I97,"urine metagenome"))</f>
        <v>0</v>
      </c>
      <c r="AC97">
        <f>AND(IF(metadata!J97="",FALSE,TRUE),exact(metadata!J97,"1346744"))</f>
        <v>0</v>
      </c>
    </row>
    <row r="98" spans="1:29">
      <c r="A98" s="4">
        <f>IF(B98=" "," ",HYPERLINK(CONCATENATE("#metadata!",ADDRESS(INDEX($P$2:$P$1001,MATCH(ROWS($N$2:N98),$N$2:$N$1001,0),0),1)),INDEX($S$2:$S$1001,MATCH(ROWS($N$2:N98),$N$2:$N$1001,0),0)))</f>
        <v>0</v>
      </c>
      <c r="B98" s="3">
        <f>IF(OR(INDEX($O$2:$O$1001,MATCH(ROWS($N$2:N98),$N$2:$N$1001,0),1)&gt;=100000,INDEX($U$1005:$AC$1005,1,MATCH(COLUMNS($U$1006:U1006),$U$1006:$AC$1006,0))&gt;=100000), " ",IF(INDEX($U$2:$AC$1001,MATCH(ROWS($N$2:N98),$N$2:$N$1001,0),MATCH(COLUMNS($U$1006:U1006),$U$1006:$AC$1006,0)), HYPERLINK("#",""), HYPERLINK(CONCATENATE("#metadata!", ADDRESS(INDEX($P$2:$P$1001,MATCH(ROWS($N$2:N98),$N$2:$N$1001,0),0), INDEX($U$1004:$AC$1004,1,MATCH(COLUMNS($U$1006:U1006),$U$1006:$AC$1006,0)))),"Fix")))</f>
        <v>0</v>
      </c>
      <c r="C98" s="3">
        <f>IF(OR(INDEX($O$2:$O$1001,MATCH(ROWS($N$2:N98),$N$2:$N$1001,0),1)&gt;=100000,INDEX($U$1005:$AC$1005,1,MATCH(COLUMNS($U$1006:V1006),$U$1006:$AC$1006,0))&gt;=100000), " ",IF(INDEX($U$2:$AC$1001,MATCH(ROWS($N$2:N98),$N$2:$N$1001,0),MATCH(COLUMNS($U$1006:V1006),$U$1006:$AC$1006,0)), HYPERLINK("#",""), HYPERLINK(CONCATENATE("#metadata!", ADDRESS(INDEX($P$2:$P$1001,MATCH(ROWS($N$2:N98),$N$2:$N$1001,0),0), INDEX($U$1004:$AC$1004,1,MATCH(COLUMNS($U$1006:V1006),$U$1006:$AC$1006,0)))),"Fix")))</f>
        <v>0</v>
      </c>
      <c r="D98" s="3">
        <f>IF(OR(INDEX($O$2:$O$1001,MATCH(ROWS($N$2:N98),$N$2:$N$1001,0),1)&gt;=100000,INDEX($U$1005:$AC$1005,1,MATCH(COLUMNS($U$1006:W1006),$U$1006:$AC$1006,0))&gt;=100000), " ",IF(INDEX($U$2:$AC$1001,MATCH(ROWS($N$2:N98),$N$2:$N$1001,0),MATCH(COLUMNS($U$1006:W1006),$U$1006:$AC$1006,0)), HYPERLINK("#",""), HYPERLINK(CONCATENATE("#metadata!", ADDRESS(INDEX($P$2:$P$1001,MATCH(ROWS($N$2:N98),$N$2:$N$1001,0),0), INDEX($U$1004:$AC$1004,1,MATCH(COLUMNS($U$1006:W1006),$U$1006:$AC$1006,0)))),"Fix")))</f>
        <v>0</v>
      </c>
      <c r="E98" s="3">
        <f>IF(OR(INDEX($O$2:$O$1001,MATCH(ROWS($N$2:N98),$N$2:$N$1001,0),1)&gt;=100000,INDEX($U$1005:$AC$1005,1,MATCH(COLUMNS($U$1006:X1006),$U$1006:$AC$1006,0))&gt;=100000), " ",IF(INDEX($U$2:$AC$1001,MATCH(ROWS($N$2:N98),$N$2:$N$1001,0),MATCH(COLUMNS($U$1006:X1006),$U$1006:$AC$1006,0)), HYPERLINK("#",""), HYPERLINK(CONCATENATE("#metadata!", ADDRESS(INDEX($P$2:$P$1001,MATCH(ROWS($N$2:N98),$N$2:$N$1001,0),0), INDEX($U$1004:$AC$1004,1,MATCH(COLUMNS($U$1006:X1006),$U$1006:$AC$1006,0)))),"Fix")))</f>
        <v>0</v>
      </c>
      <c r="F98" s="3">
        <f>IF(OR(INDEX($O$2:$O$1001,MATCH(ROWS($N$2:N98),$N$2:$N$1001,0),1)&gt;=100000,INDEX($U$1005:$AC$1005,1,MATCH(COLUMNS($U$1006:Y1006),$U$1006:$AC$1006,0))&gt;=100000), " ",IF(INDEX($U$2:$AC$1001,MATCH(ROWS($N$2:N98),$N$2:$N$1001,0),MATCH(COLUMNS($U$1006:Y1006),$U$1006:$AC$1006,0)), HYPERLINK("#",""), HYPERLINK(CONCATENATE("#metadata!", ADDRESS(INDEX($P$2:$P$1001,MATCH(ROWS($N$2:N98),$N$2:$N$1001,0),0), INDEX($U$1004:$AC$1004,1,MATCH(COLUMNS($U$1006:Y1006),$U$1006:$AC$1006,0)))),"Fix")))</f>
        <v>0</v>
      </c>
      <c r="G98" s="3">
        <f>IF(OR(INDEX($O$2:$O$1001,MATCH(ROWS($N$2:N98),$N$2:$N$1001,0),1)&gt;=100000,INDEX($U$1005:$AC$1005,1,MATCH(COLUMNS($U$1006:Z1006),$U$1006:$AC$1006,0))&gt;=100000), " ",IF(INDEX($U$2:$AC$1001,MATCH(ROWS($N$2:N98),$N$2:$N$1001,0),MATCH(COLUMNS($U$1006:Z1006),$U$1006:$AC$1006,0)), HYPERLINK("#",""), HYPERLINK(CONCATENATE("#metadata!", ADDRESS(INDEX($P$2:$P$1001,MATCH(ROWS($N$2:N98),$N$2:$N$1001,0),0), INDEX($U$1004:$AC$1004,1,MATCH(COLUMNS($U$1006:Z1006),$U$1006:$AC$1006,0)))),"Fix")))</f>
        <v>0</v>
      </c>
      <c r="H98" s="3">
        <f>IF(OR(INDEX($O$2:$O$1001,MATCH(ROWS($N$2:N98),$N$2:$N$1001,0),1)&gt;=100000,INDEX($U$1005:$AC$1005,1,MATCH(COLUMNS($U$1006:AA1006),$U$1006:$AC$1006,0))&gt;=100000), " ",IF(INDEX($U$2:$AC$1001,MATCH(ROWS($N$2:N98),$N$2:$N$1001,0),MATCH(COLUMNS($U$1006:AA1006),$U$1006:$AC$1006,0)), HYPERLINK("#",""), HYPERLINK(CONCATENATE("#metadata!", ADDRESS(INDEX($P$2:$P$1001,MATCH(ROWS($N$2:N98),$N$2:$N$1001,0),0), INDEX($U$1004:$AC$1004,1,MATCH(COLUMNS($U$1006:AA1006),$U$1006:$AC$1006,0)))),"Fix")))</f>
        <v>0</v>
      </c>
      <c r="I98" s="3">
        <f>IF(OR(INDEX($O$2:$O$1001,MATCH(ROWS($N$2:N98),$N$2:$N$1001,0),1)&gt;=100000,INDEX($U$1005:$AC$1005,1,MATCH(COLUMNS($U$1006:AB1006),$U$1006:$AC$1006,0))&gt;=100000), " ",IF(INDEX($U$2:$AC$1001,MATCH(ROWS($N$2:N98),$N$2:$N$1001,0),MATCH(COLUMNS($U$1006:AB1006),$U$1006:$AC$1006,0)), HYPERLINK("#",""), HYPERLINK(CONCATENATE("#metadata!", ADDRESS(INDEX($P$2:$P$1001,MATCH(ROWS($N$2:N98),$N$2:$N$1001,0),0), INDEX($U$1004:$AC$1004,1,MATCH(COLUMNS($U$1006:AB1006),$U$1006:$AC$1006,0)))),"Fix")))</f>
        <v>0</v>
      </c>
      <c r="J98" s="3">
        <f>IF(OR(INDEX($O$2:$O$1001,MATCH(ROWS($N$2:N98),$N$2:$N$1001,0),1)&gt;=100000,INDEX($U$1005:$AC$1005,1,MATCH(COLUMNS($U$1006:AC1006),$U$1006:$AC$1006,0))&gt;=100000), " ",IF(INDEX($U$2:$AC$1001,MATCH(ROWS($N$2:N98),$N$2:$N$1001,0),MATCH(COLUMNS($U$1006:AC1006),$U$1006:$AC$1006,0)), HYPERLINK("#",""), HYPERLINK(CONCATENATE("#metadata!", ADDRESS(INDEX($P$2:$P$1001,MATCH(ROWS($N$2:N98),$N$2:$N$1001,0),0), INDEX($U$1004:$AC$1004,1,MATCH(COLUMNS($U$1006:AC1006),$U$1006:$AC$1006,0)))),"Fix")))</f>
        <v>0</v>
      </c>
      <c r="N98">
        <v>0</v>
      </c>
      <c r="O98">
        <v>0</v>
      </c>
      <c r="P98">
        <v>0</v>
      </c>
      <c r="Q98">
        <f>IF(R98,TRUE,AND(U98:AC98))</f>
        <v>0</v>
      </c>
      <c r="R98">
        <f>COUNTBLANK(metadata!B98:J98)=COLUMNS(metadata!B98:J98)</f>
        <v>0</v>
      </c>
      <c r="S98">
        <v>0</v>
      </c>
      <c r="U98">
        <f>AND(IF(metadata!B98="",FALSE,TRUE),COUNTIF(metadata!B:B, metadata!B98) = 1,NOT(ISERROR(SUMPRODUCT(SEARCH(MID(metadata!B98,ROW(INDIRECT("1:"&amp;LEN(metadata!B98))), 1),"0123456789abcdefghijklmnopqrstuvwxyzABCDEFGHIJKLMNOPQRSTUVWXYZ.")))))</f>
        <v>0</v>
      </c>
      <c r="V98">
        <f>AND(IF(metadata!C98="",FALSE,TRUE),exact(metadata!C98,"UBERON:genitourinary"))</f>
        <v>0</v>
      </c>
      <c r="W98">
        <f>AND(IF(metadata!D98="",FALSE,TRUE),exact(metadata!D98,"UBERON:urine"))</f>
        <v>0</v>
      </c>
      <c r="X98">
        <f>AND(IF(metadata!E98="",FALSE,TRUE),exact(metadata!E98,"UBERON:kidney"))</f>
        <v>0</v>
      </c>
      <c r="Y98">
        <f>AND(IF(metadata!F98="",FALSE,TRUE),exact(metadata!F98,"animal corpus"))</f>
        <v>0</v>
      </c>
      <c r="Z98">
        <f>AND(IF(metadata!G98="",FALSE,TRUE),exact(metadata!G98,"urine"))</f>
        <v>0</v>
      </c>
      <c r="AA98">
        <f>AND(IF(metadata!H98="",FALSE,TRUE),exact(metadata!H98,"urine"))</f>
        <v>0</v>
      </c>
      <c r="AB98">
        <f>AND(IF(metadata!I98="",FALSE,TRUE),exact(metadata!I98,"urine metagenome"))</f>
        <v>0</v>
      </c>
      <c r="AC98">
        <f>AND(IF(metadata!J98="",FALSE,TRUE),exact(metadata!J98,"1346744"))</f>
        <v>0</v>
      </c>
    </row>
    <row r="99" spans="1:29">
      <c r="A99" s="4">
        <f>IF(B99=" "," ",HYPERLINK(CONCATENATE("#metadata!",ADDRESS(INDEX($P$2:$P$1001,MATCH(ROWS($N$2:N99),$N$2:$N$1001,0),0),1)),INDEX($S$2:$S$1001,MATCH(ROWS($N$2:N99),$N$2:$N$1001,0),0)))</f>
        <v>0</v>
      </c>
      <c r="B99" s="3">
        <f>IF(OR(INDEX($O$2:$O$1001,MATCH(ROWS($N$2:N99),$N$2:$N$1001,0),1)&gt;=100000,INDEX($U$1005:$AC$1005,1,MATCH(COLUMNS($U$1006:U1006),$U$1006:$AC$1006,0))&gt;=100000), " ",IF(INDEX($U$2:$AC$1001,MATCH(ROWS($N$2:N99),$N$2:$N$1001,0),MATCH(COLUMNS($U$1006:U1006),$U$1006:$AC$1006,0)), HYPERLINK("#",""), HYPERLINK(CONCATENATE("#metadata!", ADDRESS(INDEX($P$2:$P$1001,MATCH(ROWS($N$2:N99),$N$2:$N$1001,0),0), INDEX($U$1004:$AC$1004,1,MATCH(COLUMNS($U$1006:U1006),$U$1006:$AC$1006,0)))),"Fix")))</f>
        <v>0</v>
      </c>
      <c r="C99" s="3">
        <f>IF(OR(INDEX($O$2:$O$1001,MATCH(ROWS($N$2:N99),$N$2:$N$1001,0),1)&gt;=100000,INDEX($U$1005:$AC$1005,1,MATCH(COLUMNS($U$1006:V1006),$U$1006:$AC$1006,0))&gt;=100000), " ",IF(INDEX($U$2:$AC$1001,MATCH(ROWS($N$2:N99),$N$2:$N$1001,0),MATCH(COLUMNS($U$1006:V1006),$U$1006:$AC$1006,0)), HYPERLINK("#",""), HYPERLINK(CONCATENATE("#metadata!", ADDRESS(INDEX($P$2:$P$1001,MATCH(ROWS($N$2:N99),$N$2:$N$1001,0),0), INDEX($U$1004:$AC$1004,1,MATCH(COLUMNS($U$1006:V1006),$U$1006:$AC$1006,0)))),"Fix")))</f>
        <v>0</v>
      </c>
      <c r="D99" s="3">
        <f>IF(OR(INDEX($O$2:$O$1001,MATCH(ROWS($N$2:N99),$N$2:$N$1001,0),1)&gt;=100000,INDEX($U$1005:$AC$1005,1,MATCH(COLUMNS($U$1006:W1006),$U$1006:$AC$1006,0))&gt;=100000), " ",IF(INDEX($U$2:$AC$1001,MATCH(ROWS($N$2:N99),$N$2:$N$1001,0),MATCH(COLUMNS($U$1006:W1006),$U$1006:$AC$1006,0)), HYPERLINK("#",""), HYPERLINK(CONCATENATE("#metadata!", ADDRESS(INDEX($P$2:$P$1001,MATCH(ROWS($N$2:N99),$N$2:$N$1001,0),0), INDEX($U$1004:$AC$1004,1,MATCH(COLUMNS($U$1006:W1006),$U$1006:$AC$1006,0)))),"Fix")))</f>
        <v>0</v>
      </c>
      <c r="E99" s="3">
        <f>IF(OR(INDEX($O$2:$O$1001,MATCH(ROWS($N$2:N99),$N$2:$N$1001,0),1)&gt;=100000,INDEX($U$1005:$AC$1005,1,MATCH(COLUMNS($U$1006:X1006),$U$1006:$AC$1006,0))&gt;=100000), " ",IF(INDEX($U$2:$AC$1001,MATCH(ROWS($N$2:N99),$N$2:$N$1001,0),MATCH(COLUMNS($U$1006:X1006),$U$1006:$AC$1006,0)), HYPERLINK("#",""), HYPERLINK(CONCATENATE("#metadata!", ADDRESS(INDEX($P$2:$P$1001,MATCH(ROWS($N$2:N99),$N$2:$N$1001,0),0), INDEX($U$1004:$AC$1004,1,MATCH(COLUMNS($U$1006:X1006),$U$1006:$AC$1006,0)))),"Fix")))</f>
        <v>0</v>
      </c>
      <c r="F99" s="3">
        <f>IF(OR(INDEX($O$2:$O$1001,MATCH(ROWS($N$2:N99),$N$2:$N$1001,0),1)&gt;=100000,INDEX($U$1005:$AC$1005,1,MATCH(COLUMNS($U$1006:Y1006),$U$1006:$AC$1006,0))&gt;=100000), " ",IF(INDEX($U$2:$AC$1001,MATCH(ROWS($N$2:N99),$N$2:$N$1001,0),MATCH(COLUMNS($U$1006:Y1006),$U$1006:$AC$1006,0)), HYPERLINK("#",""), HYPERLINK(CONCATENATE("#metadata!", ADDRESS(INDEX($P$2:$P$1001,MATCH(ROWS($N$2:N99),$N$2:$N$1001,0),0), INDEX($U$1004:$AC$1004,1,MATCH(COLUMNS($U$1006:Y1006),$U$1006:$AC$1006,0)))),"Fix")))</f>
        <v>0</v>
      </c>
      <c r="G99" s="3">
        <f>IF(OR(INDEX($O$2:$O$1001,MATCH(ROWS($N$2:N99),$N$2:$N$1001,0),1)&gt;=100000,INDEX($U$1005:$AC$1005,1,MATCH(COLUMNS($U$1006:Z1006),$U$1006:$AC$1006,0))&gt;=100000), " ",IF(INDEX($U$2:$AC$1001,MATCH(ROWS($N$2:N99),$N$2:$N$1001,0),MATCH(COLUMNS($U$1006:Z1006),$U$1006:$AC$1006,0)), HYPERLINK("#",""), HYPERLINK(CONCATENATE("#metadata!", ADDRESS(INDEX($P$2:$P$1001,MATCH(ROWS($N$2:N99),$N$2:$N$1001,0),0), INDEX($U$1004:$AC$1004,1,MATCH(COLUMNS($U$1006:Z1006),$U$1006:$AC$1006,0)))),"Fix")))</f>
        <v>0</v>
      </c>
      <c r="H99" s="3">
        <f>IF(OR(INDEX($O$2:$O$1001,MATCH(ROWS($N$2:N99),$N$2:$N$1001,0),1)&gt;=100000,INDEX($U$1005:$AC$1005,1,MATCH(COLUMNS($U$1006:AA1006),$U$1006:$AC$1006,0))&gt;=100000), " ",IF(INDEX($U$2:$AC$1001,MATCH(ROWS($N$2:N99),$N$2:$N$1001,0),MATCH(COLUMNS($U$1006:AA1006),$U$1006:$AC$1006,0)), HYPERLINK("#",""), HYPERLINK(CONCATENATE("#metadata!", ADDRESS(INDEX($P$2:$P$1001,MATCH(ROWS($N$2:N99),$N$2:$N$1001,0),0), INDEX($U$1004:$AC$1004,1,MATCH(COLUMNS($U$1006:AA1006),$U$1006:$AC$1006,0)))),"Fix")))</f>
        <v>0</v>
      </c>
      <c r="I99" s="3">
        <f>IF(OR(INDEX($O$2:$O$1001,MATCH(ROWS($N$2:N99),$N$2:$N$1001,0),1)&gt;=100000,INDEX($U$1005:$AC$1005,1,MATCH(COLUMNS($U$1006:AB1006),$U$1006:$AC$1006,0))&gt;=100000), " ",IF(INDEX($U$2:$AC$1001,MATCH(ROWS($N$2:N99),$N$2:$N$1001,0),MATCH(COLUMNS($U$1006:AB1006),$U$1006:$AC$1006,0)), HYPERLINK("#",""), HYPERLINK(CONCATENATE("#metadata!", ADDRESS(INDEX($P$2:$P$1001,MATCH(ROWS($N$2:N99),$N$2:$N$1001,0),0), INDEX($U$1004:$AC$1004,1,MATCH(COLUMNS($U$1006:AB1006),$U$1006:$AC$1006,0)))),"Fix")))</f>
        <v>0</v>
      </c>
      <c r="J99" s="3">
        <f>IF(OR(INDEX($O$2:$O$1001,MATCH(ROWS($N$2:N99),$N$2:$N$1001,0),1)&gt;=100000,INDEX($U$1005:$AC$1005,1,MATCH(COLUMNS($U$1006:AC1006),$U$1006:$AC$1006,0))&gt;=100000), " ",IF(INDEX($U$2:$AC$1001,MATCH(ROWS($N$2:N99),$N$2:$N$1001,0),MATCH(COLUMNS($U$1006:AC1006),$U$1006:$AC$1006,0)), HYPERLINK("#",""), HYPERLINK(CONCATENATE("#metadata!", ADDRESS(INDEX($P$2:$P$1001,MATCH(ROWS($N$2:N99),$N$2:$N$1001,0),0), INDEX($U$1004:$AC$1004,1,MATCH(COLUMNS($U$1006:AC1006),$U$1006:$AC$1006,0)))),"Fix")))</f>
        <v>0</v>
      </c>
      <c r="N99">
        <v>0</v>
      </c>
      <c r="O99">
        <v>0</v>
      </c>
      <c r="P99">
        <v>0</v>
      </c>
      <c r="Q99">
        <f>IF(R99,TRUE,AND(U99:AC99))</f>
        <v>0</v>
      </c>
      <c r="R99">
        <f>COUNTBLANK(metadata!B99:J99)=COLUMNS(metadata!B99:J99)</f>
        <v>0</v>
      </c>
      <c r="S99">
        <v>0</v>
      </c>
      <c r="U99">
        <f>AND(IF(metadata!B99="",FALSE,TRUE),COUNTIF(metadata!B:B, metadata!B99) = 1,NOT(ISERROR(SUMPRODUCT(SEARCH(MID(metadata!B99,ROW(INDIRECT("1:"&amp;LEN(metadata!B99))), 1),"0123456789abcdefghijklmnopqrstuvwxyzABCDEFGHIJKLMNOPQRSTUVWXYZ.")))))</f>
        <v>0</v>
      </c>
      <c r="V99">
        <f>AND(IF(metadata!C99="",FALSE,TRUE),exact(metadata!C99,"UBERON:genitourinary"))</f>
        <v>0</v>
      </c>
      <c r="W99">
        <f>AND(IF(metadata!D99="",FALSE,TRUE),exact(metadata!D99,"UBERON:urine"))</f>
        <v>0</v>
      </c>
      <c r="X99">
        <f>AND(IF(metadata!E99="",FALSE,TRUE),exact(metadata!E99,"UBERON:kidney"))</f>
        <v>0</v>
      </c>
      <c r="Y99">
        <f>AND(IF(metadata!F99="",FALSE,TRUE),exact(metadata!F99,"animal corpus"))</f>
        <v>0</v>
      </c>
      <c r="Z99">
        <f>AND(IF(metadata!G99="",FALSE,TRUE),exact(metadata!G99,"urine"))</f>
        <v>0</v>
      </c>
      <c r="AA99">
        <f>AND(IF(metadata!H99="",FALSE,TRUE),exact(metadata!H99,"urine"))</f>
        <v>0</v>
      </c>
      <c r="AB99">
        <f>AND(IF(metadata!I99="",FALSE,TRUE),exact(metadata!I99,"urine metagenome"))</f>
        <v>0</v>
      </c>
      <c r="AC99">
        <f>AND(IF(metadata!J99="",FALSE,TRUE),exact(metadata!J99,"1346744"))</f>
        <v>0</v>
      </c>
    </row>
    <row r="100" spans="1:29">
      <c r="A100" s="4">
        <f>IF(B100=" "," ",HYPERLINK(CONCATENATE("#metadata!",ADDRESS(INDEX($P$2:$P$1001,MATCH(ROWS($N$2:N100),$N$2:$N$1001,0),0),1)),INDEX($S$2:$S$1001,MATCH(ROWS($N$2:N100),$N$2:$N$1001,0),0)))</f>
        <v>0</v>
      </c>
      <c r="B100" s="3">
        <f>IF(OR(INDEX($O$2:$O$1001,MATCH(ROWS($N$2:N100),$N$2:$N$1001,0),1)&gt;=100000,INDEX($U$1005:$AC$1005,1,MATCH(COLUMNS($U$1006:U1006),$U$1006:$AC$1006,0))&gt;=100000), " ",IF(INDEX($U$2:$AC$1001,MATCH(ROWS($N$2:N100),$N$2:$N$1001,0),MATCH(COLUMNS($U$1006:U1006),$U$1006:$AC$1006,0)), HYPERLINK("#",""), HYPERLINK(CONCATENATE("#metadata!", ADDRESS(INDEX($P$2:$P$1001,MATCH(ROWS($N$2:N100),$N$2:$N$1001,0),0), INDEX($U$1004:$AC$1004,1,MATCH(COLUMNS($U$1006:U1006),$U$1006:$AC$1006,0)))),"Fix")))</f>
        <v>0</v>
      </c>
      <c r="C100" s="3">
        <f>IF(OR(INDEX($O$2:$O$1001,MATCH(ROWS($N$2:N100),$N$2:$N$1001,0),1)&gt;=100000,INDEX($U$1005:$AC$1005,1,MATCH(COLUMNS($U$1006:V1006),$U$1006:$AC$1006,0))&gt;=100000), " ",IF(INDEX($U$2:$AC$1001,MATCH(ROWS($N$2:N100),$N$2:$N$1001,0),MATCH(COLUMNS($U$1006:V1006),$U$1006:$AC$1006,0)), HYPERLINK("#",""), HYPERLINK(CONCATENATE("#metadata!", ADDRESS(INDEX($P$2:$P$1001,MATCH(ROWS($N$2:N100),$N$2:$N$1001,0),0), INDEX($U$1004:$AC$1004,1,MATCH(COLUMNS($U$1006:V1006),$U$1006:$AC$1006,0)))),"Fix")))</f>
        <v>0</v>
      </c>
      <c r="D100" s="3">
        <f>IF(OR(INDEX($O$2:$O$1001,MATCH(ROWS($N$2:N100),$N$2:$N$1001,0),1)&gt;=100000,INDEX($U$1005:$AC$1005,1,MATCH(COLUMNS($U$1006:W1006),$U$1006:$AC$1006,0))&gt;=100000), " ",IF(INDEX($U$2:$AC$1001,MATCH(ROWS($N$2:N100),$N$2:$N$1001,0),MATCH(COLUMNS($U$1006:W1006),$U$1006:$AC$1006,0)), HYPERLINK("#",""), HYPERLINK(CONCATENATE("#metadata!", ADDRESS(INDEX($P$2:$P$1001,MATCH(ROWS($N$2:N100),$N$2:$N$1001,0),0), INDEX($U$1004:$AC$1004,1,MATCH(COLUMNS($U$1006:W1006),$U$1006:$AC$1006,0)))),"Fix")))</f>
        <v>0</v>
      </c>
      <c r="E100" s="3">
        <f>IF(OR(INDEX($O$2:$O$1001,MATCH(ROWS($N$2:N100),$N$2:$N$1001,0),1)&gt;=100000,INDEX($U$1005:$AC$1005,1,MATCH(COLUMNS($U$1006:X1006),$U$1006:$AC$1006,0))&gt;=100000), " ",IF(INDEX($U$2:$AC$1001,MATCH(ROWS($N$2:N100),$N$2:$N$1001,0),MATCH(COLUMNS($U$1006:X1006),$U$1006:$AC$1006,0)), HYPERLINK("#",""), HYPERLINK(CONCATENATE("#metadata!", ADDRESS(INDEX($P$2:$P$1001,MATCH(ROWS($N$2:N100),$N$2:$N$1001,0),0), INDEX($U$1004:$AC$1004,1,MATCH(COLUMNS($U$1006:X1006),$U$1006:$AC$1006,0)))),"Fix")))</f>
        <v>0</v>
      </c>
      <c r="F100" s="3">
        <f>IF(OR(INDEX($O$2:$O$1001,MATCH(ROWS($N$2:N100),$N$2:$N$1001,0),1)&gt;=100000,INDEX($U$1005:$AC$1005,1,MATCH(COLUMNS($U$1006:Y1006),$U$1006:$AC$1006,0))&gt;=100000), " ",IF(INDEX($U$2:$AC$1001,MATCH(ROWS($N$2:N100),$N$2:$N$1001,0),MATCH(COLUMNS($U$1006:Y1006),$U$1006:$AC$1006,0)), HYPERLINK("#",""), HYPERLINK(CONCATENATE("#metadata!", ADDRESS(INDEX($P$2:$P$1001,MATCH(ROWS($N$2:N100),$N$2:$N$1001,0),0), INDEX($U$1004:$AC$1004,1,MATCH(COLUMNS($U$1006:Y1006),$U$1006:$AC$1006,0)))),"Fix")))</f>
        <v>0</v>
      </c>
      <c r="G100" s="3">
        <f>IF(OR(INDEX($O$2:$O$1001,MATCH(ROWS($N$2:N100),$N$2:$N$1001,0),1)&gt;=100000,INDEX($U$1005:$AC$1005,1,MATCH(COLUMNS($U$1006:Z1006),$U$1006:$AC$1006,0))&gt;=100000), " ",IF(INDEX($U$2:$AC$1001,MATCH(ROWS($N$2:N100),$N$2:$N$1001,0),MATCH(COLUMNS($U$1006:Z1006),$U$1006:$AC$1006,0)), HYPERLINK("#",""), HYPERLINK(CONCATENATE("#metadata!", ADDRESS(INDEX($P$2:$P$1001,MATCH(ROWS($N$2:N100),$N$2:$N$1001,0),0), INDEX($U$1004:$AC$1004,1,MATCH(COLUMNS($U$1006:Z1006),$U$1006:$AC$1006,0)))),"Fix")))</f>
        <v>0</v>
      </c>
      <c r="H100" s="3">
        <f>IF(OR(INDEX($O$2:$O$1001,MATCH(ROWS($N$2:N100),$N$2:$N$1001,0),1)&gt;=100000,INDEX($U$1005:$AC$1005,1,MATCH(COLUMNS($U$1006:AA1006),$U$1006:$AC$1006,0))&gt;=100000), " ",IF(INDEX($U$2:$AC$1001,MATCH(ROWS($N$2:N100),$N$2:$N$1001,0),MATCH(COLUMNS($U$1006:AA1006),$U$1006:$AC$1006,0)), HYPERLINK("#",""), HYPERLINK(CONCATENATE("#metadata!", ADDRESS(INDEX($P$2:$P$1001,MATCH(ROWS($N$2:N100),$N$2:$N$1001,0),0), INDEX($U$1004:$AC$1004,1,MATCH(COLUMNS($U$1006:AA1006),$U$1006:$AC$1006,0)))),"Fix")))</f>
        <v>0</v>
      </c>
      <c r="I100" s="3">
        <f>IF(OR(INDEX($O$2:$O$1001,MATCH(ROWS($N$2:N100),$N$2:$N$1001,0),1)&gt;=100000,INDEX($U$1005:$AC$1005,1,MATCH(COLUMNS($U$1006:AB1006),$U$1006:$AC$1006,0))&gt;=100000), " ",IF(INDEX($U$2:$AC$1001,MATCH(ROWS($N$2:N100),$N$2:$N$1001,0),MATCH(COLUMNS($U$1006:AB1006),$U$1006:$AC$1006,0)), HYPERLINK("#",""), HYPERLINK(CONCATENATE("#metadata!", ADDRESS(INDEX($P$2:$P$1001,MATCH(ROWS($N$2:N100),$N$2:$N$1001,0),0), INDEX($U$1004:$AC$1004,1,MATCH(COLUMNS($U$1006:AB1006),$U$1006:$AC$1006,0)))),"Fix")))</f>
        <v>0</v>
      </c>
      <c r="J100" s="3">
        <f>IF(OR(INDEX($O$2:$O$1001,MATCH(ROWS($N$2:N100),$N$2:$N$1001,0),1)&gt;=100000,INDEX($U$1005:$AC$1005,1,MATCH(COLUMNS($U$1006:AC1006),$U$1006:$AC$1006,0))&gt;=100000), " ",IF(INDEX($U$2:$AC$1001,MATCH(ROWS($N$2:N100),$N$2:$N$1001,0),MATCH(COLUMNS($U$1006:AC1006),$U$1006:$AC$1006,0)), HYPERLINK("#",""), HYPERLINK(CONCATENATE("#metadata!", ADDRESS(INDEX($P$2:$P$1001,MATCH(ROWS($N$2:N100),$N$2:$N$1001,0),0), INDEX($U$1004:$AC$1004,1,MATCH(COLUMNS($U$1006:AC1006),$U$1006:$AC$1006,0)))),"Fix")))</f>
        <v>0</v>
      </c>
      <c r="N100">
        <v>0</v>
      </c>
      <c r="O100">
        <v>0</v>
      </c>
      <c r="P100">
        <v>0</v>
      </c>
      <c r="Q100">
        <f>IF(R100,TRUE,AND(U100:AC100))</f>
        <v>0</v>
      </c>
      <c r="R100">
        <f>COUNTBLANK(metadata!B100:J100)=COLUMNS(metadata!B100:J100)</f>
        <v>0</v>
      </c>
      <c r="S100">
        <v>0</v>
      </c>
      <c r="U100">
        <f>AND(IF(metadata!B100="",FALSE,TRUE),COUNTIF(metadata!B:B, metadata!B100) = 1,NOT(ISERROR(SUMPRODUCT(SEARCH(MID(metadata!B100,ROW(INDIRECT("1:"&amp;LEN(metadata!B100))), 1),"0123456789abcdefghijklmnopqrstuvwxyzABCDEFGHIJKLMNOPQRSTUVWXYZ.")))))</f>
        <v>0</v>
      </c>
      <c r="V100">
        <f>AND(IF(metadata!C100="",FALSE,TRUE),exact(metadata!C100,"UBERON:genitourinary"))</f>
        <v>0</v>
      </c>
      <c r="W100">
        <f>AND(IF(metadata!D100="",FALSE,TRUE),exact(metadata!D100,"UBERON:urine"))</f>
        <v>0</v>
      </c>
      <c r="X100">
        <f>AND(IF(metadata!E100="",FALSE,TRUE),exact(metadata!E100,"UBERON:kidney"))</f>
        <v>0</v>
      </c>
      <c r="Y100">
        <f>AND(IF(metadata!F100="",FALSE,TRUE),exact(metadata!F100,"animal corpus"))</f>
        <v>0</v>
      </c>
      <c r="Z100">
        <f>AND(IF(metadata!G100="",FALSE,TRUE),exact(metadata!G100,"urine"))</f>
        <v>0</v>
      </c>
      <c r="AA100">
        <f>AND(IF(metadata!H100="",FALSE,TRUE),exact(metadata!H100,"urine"))</f>
        <v>0</v>
      </c>
      <c r="AB100">
        <f>AND(IF(metadata!I100="",FALSE,TRUE),exact(metadata!I100,"urine metagenome"))</f>
        <v>0</v>
      </c>
      <c r="AC100">
        <f>AND(IF(metadata!J100="",FALSE,TRUE),exact(metadata!J100,"1346744"))</f>
        <v>0</v>
      </c>
    </row>
    <row r="101" spans="1:29">
      <c r="A101" s="4">
        <f>IF(B101=" "," ",HYPERLINK(CONCATENATE("#metadata!",ADDRESS(INDEX($P$2:$P$1001,MATCH(ROWS($N$2:N101),$N$2:$N$1001,0),0),1)),INDEX($S$2:$S$1001,MATCH(ROWS($N$2:N101),$N$2:$N$1001,0),0)))</f>
        <v>0</v>
      </c>
      <c r="B101" s="3">
        <f>IF(OR(INDEX($O$2:$O$1001,MATCH(ROWS($N$2:N101),$N$2:$N$1001,0),1)&gt;=100000,INDEX($U$1005:$AC$1005,1,MATCH(COLUMNS($U$1006:U1006),$U$1006:$AC$1006,0))&gt;=100000), " ",IF(INDEX($U$2:$AC$1001,MATCH(ROWS($N$2:N101),$N$2:$N$1001,0),MATCH(COLUMNS($U$1006:U1006),$U$1006:$AC$1006,0)), HYPERLINK("#",""), HYPERLINK(CONCATENATE("#metadata!", ADDRESS(INDEX($P$2:$P$1001,MATCH(ROWS($N$2:N101),$N$2:$N$1001,0),0), INDEX($U$1004:$AC$1004,1,MATCH(COLUMNS($U$1006:U1006),$U$1006:$AC$1006,0)))),"Fix")))</f>
        <v>0</v>
      </c>
      <c r="C101" s="3">
        <f>IF(OR(INDEX($O$2:$O$1001,MATCH(ROWS($N$2:N101),$N$2:$N$1001,0),1)&gt;=100000,INDEX($U$1005:$AC$1005,1,MATCH(COLUMNS($U$1006:V1006),$U$1006:$AC$1006,0))&gt;=100000), " ",IF(INDEX($U$2:$AC$1001,MATCH(ROWS($N$2:N101),$N$2:$N$1001,0),MATCH(COLUMNS($U$1006:V1006),$U$1006:$AC$1006,0)), HYPERLINK("#",""), HYPERLINK(CONCATENATE("#metadata!", ADDRESS(INDEX($P$2:$P$1001,MATCH(ROWS($N$2:N101),$N$2:$N$1001,0),0), INDEX($U$1004:$AC$1004,1,MATCH(COLUMNS($U$1006:V1006),$U$1006:$AC$1006,0)))),"Fix")))</f>
        <v>0</v>
      </c>
      <c r="D101" s="3">
        <f>IF(OR(INDEX($O$2:$O$1001,MATCH(ROWS($N$2:N101),$N$2:$N$1001,0),1)&gt;=100000,INDEX($U$1005:$AC$1005,1,MATCH(COLUMNS($U$1006:W1006),$U$1006:$AC$1006,0))&gt;=100000), " ",IF(INDEX($U$2:$AC$1001,MATCH(ROWS($N$2:N101),$N$2:$N$1001,0),MATCH(COLUMNS($U$1006:W1006),$U$1006:$AC$1006,0)), HYPERLINK("#",""), HYPERLINK(CONCATENATE("#metadata!", ADDRESS(INDEX($P$2:$P$1001,MATCH(ROWS($N$2:N101),$N$2:$N$1001,0),0), INDEX($U$1004:$AC$1004,1,MATCH(COLUMNS($U$1006:W1006),$U$1006:$AC$1006,0)))),"Fix")))</f>
        <v>0</v>
      </c>
      <c r="E101" s="3">
        <f>IF(OR(INDEX($O$2:$O$1001,MATCH(ROWS($N$2:N101),$N$2:$N$1001,0),1)&gt;=100000,INDEX($U$1005:$AC$1005,1,MATCH(COLUMNS($U$1006:X1006),$U$1006:$AC$1006,0))&gt;=100000), " ",IF(INDEX($U$2:$AC$1001,MATCH(ROWS($N$2:N101),$N$2:$N$1001,0),MATCH(COLUMNS($U$1006:X1006),$U$1006:$AC$1006,0)), HYPERLINK("#",""), HYPERLINK(CONCATENATE("#metadata!", ADDRESS(INDEX($P$2:$P$1001,MATCH(ROWS($N$2:N101),$N$2:$N$1001,0),0), INDEX($U$1004:$AC$1004,1,MATCH(COLUMNS($U$1006:X1006),$U$1006:$AC$1006,0)))),"Fix")))</f>
        <v>0</v>
      </c>
      <c r="F101" s="3">
        <f>IF(OR(INDEX($O$2:$O$1001,MATCH(ROWS($N$2:N101),$N$2:$N$1001,0),1)&gt;=100000,INDEX($U$1005:$AC$1005,1,MATCH(COLUMNS($U$1006:Y1006),$U$1006:$AC$1006,0))&gt;=100000), " ",IF(INDEX($U$2:$AC$1001,MATCH(ROWS($N$2:N101),$N$2:$N$1001,0),MATCH(COLUMNS($U$1006:Y1006),$U$1006:$AC$1006,0)), HYPERLINK("#",""), HYPERLINK(CONCATENATE("#metadata!", ADDRESS(INDEX($P$2:$P$1001,MATCH(ROWS($N$2:N101),$N$2:$N$1001,0),0), INDEX($U$1004:$AC$1004,1,MATCH(COLUMNS($U$1006:Y1006),$U$1006:$AC$1006,0)))),"Fix")))</f>
        <v>0</v>
      </c>
      <c r="G101" s="3">
        <f>IF(OR(INDEX($O$2:$O$1001,MATCH(ROWS($N$2:N101),$N$2:$N$1001,0),1)&gt;=100000,INDEX($U$1005:$AC$1005,1,MATCH(COLUMNS($U$1006:Z1006),$U$1006:$AC$1006,0))&gt;=100000), " ",IF(INDEX($U$2:$AC$1001,MATCH(ROWS($N$2:N101),$N$2:$N$1001,0),MATCH(COLUMNS($U$1006:Z1006),$U$1006:$AC$1006,0)), HYPERLINK("#",""), HYPERLINK(CONCATENATE("#metadata!", ADDRESS(INDEX($P$2:$P$1001,MATCH(ROWS($N$2:N101),$N$2:$N$1001,0),0), INDEX($U$1004:$AC$1004,1,MATCH(COLUMNS($U$1006:Z1006),$U$1006:$AC$1006,0)))),"Fix")))</f>
        <v>0</v>
      </c>
      <c r="H101" s="3">
        <f>IF(OR(INDEX($O$2:$O$1001,MATCH(ROWS($N$2:N101),$N$2:$N$1001,0),1)&gt;=100000,INDEX($U$1005:$AC$1005,1,MATCH(COLUMNS($U$1006:AA1006),$U$1006:$AC$1006,0))&gt;=100000), " ",IF(INDEX($U$2:$AC$1001,MATCH(ROWS($N$2:N101),$N$2:$N$1001,0),MATCH(COLUMNS($U$1006:AA1006),$U$1006:$AC$1006,0)), HYPERLINK("#",""), HYPERLINK(CONCATENATE("#metadata!", ADDRESS(INDEX($P$2:$P$1001,MATCH(ROWS($N$2:N101),$N$2:$N$1001,0),0), INDEX($U$1004:$AC$1004,1,MATCH(COLUMNS($U$1006:AA1006),$U$1006:$AC$1006,0)))),"Fix")))</f>
        <v>0</v>
      </c>
      <c r="I101" s="3">
        <f>IF(OR(INDEX($O$2:$O$1001,MATCH(ROWS($N$2:N101),$N$2:$N$1001,0),1)&gt;=100000,INDEX($U$1005:$AC$1005,1,MATCH(COLUMNS($U$1006:AB1006),$U$1006:$AC$1006,0))&gt;=100000), " ",IF(INDEX($U$2:$AC$1001,MATCH(ROWS($N$2:N101),$N$2:$N$1001,0),MATCH(COLUMNS($U$1006:AB1006),$U$1006:$AC$1006,0)), HYPERLINK("#",""), HYPERLINK(CONCATENATE("#metadata!", ADDRESS(INDEX($P$2:$P$1001,MATCH(ROWS($N$2:N101),$N$2:$N$1001,0),0), INDEX($U$1004:$AC$1004,1,MATCH(COLUMNS($U$1006:AB1006),$U$1006:$AC$1006,0)))),"Fix")))</f>
        <v>0</v>
      </c>
      <c r="J101" s="3">
        <f>IF(OR(INDEX($O$2:$O$1001,MATCH(ROWS($N$2:N101),$N$2:$N$1001,0),1)&gt;=100000,INDEX($U$1005:$AC$1005,1,MATCH(COLUMNS($U$1006:AC1006),$U$1006:$AC$1006,0))&gt;=100000), " ",IF(INDEX($U$2:$AC$1001,MATCH(ROWS($N$2:N101),$N$2:$N$1001,0),MATCH(COLUMNS($U$1006:AC1006),$U$1006:$AC$1006,0)), HYPERLINK("#",""), HYPERLINK(CONCATENATE("#metadata!", ADDRESS(INDEX($P$2:$P$1001,MATCH(ROWS($N$2:N101),$N$2:$N$1001,0),0), INDEX($U$1004:$AC$1004,1,MATCH(COLUMNS($U$1006:AC1006),$U$1006:$AC$1006,0)))),"Fix")))</f>
        <v>0</v>
      </c>
      <c r="N101">
        <v>0</v>
      </c>
      <c r="O101">
        <v>0</v>
      </c>
      <c r="P101">
        <v>0</v>
      </c>
      <c r="Q101">
        <f>IF(R101,TRUE,AND(U101:AC101))</f>
        <v>0</v>
      </c>
      <c r="R101">
        <f>COUNTBLANK(metadata!B101:J101)=COLUMNS(metadata!B101:J101)</f>
        <v>0</v>
      </c>
      <c r="S101">
        <v>0</v>
      </c>
      <c r="U101">
        <f>AND(IF(metadata!B101="",FALSE,TRUE),COUNTIF(metadata!B:B, metadata!B101) = 1,NOT(ISERROR(SUMPRODUCT(SEARCH(MID(metadata!B101,ROW(INDIRECT("1:"&amp;LEN(metadata!B101))), 1),"0123456789abcdefghijklmnopqrstuvwxyzABCDEFGHIJKLMNOPQRSTUVWXYZ.")))))</f>
        <v>0</v>
      </c>
      <c r="V101">
        <f>AND(IF(metadata!C101="",FALSE,TRUE),exact(metadata!C101,"UBERON:genitourinary"))</f>
        <v>0</v>
      </c>
      <c r="W101">
        <f>AND(IF(metadata!D101="",FALSE,TRUE),exact(metadata!D101,"UBERON:urine"))</f>
        <v>0</v>
      </c>
      <c r="X101">
        <f>AND(IF(metadata!E101="",FALSE,TRUE),exact(metadata!E101,"UBERON:kidney"))</f>
        <v>0</v>
      </c>
      <c r="Y101">
        <f>AND(IF(metadata!F101="",FALSE,TRUE),exact(metadata!F101,"animal corpus"))</f>
        <v>0</v>
      </c>
      <c r="Z101">
        <f>AND(IF(metadata!G101="",FALSE,TRUE),exact(metadata!G101,"urine"))</f>
        <v>0</v>
      </c>
      <c r="AA101">
        <f>AND(IF(metadata!H101="",FALSE,TRUE),exact(metadata!H101,"urine"))</f>
        <v>0</v>
      </c>
      <c r="AB101">
        <f>AND(IF(metadata!I101="",FALSE,TRUE),exact(metadata!I101,"urine metagenome"))</f>
        <v>0</v>
      </c>
      <c r="AC101">
        <f>AND(IF(metadata!J101="",FALSE,TRUE),exact(metadata!J101,"1346744"))</f>
        <v>0</v>
      </c>
    </row>
    <row r="102" spans="1:29">
      <c r="A102" s="4">
        <f>IF(B102=" "," ",HYPERLINK(CONCATENATE("#metadata!",ADDRESS(INDEX($P$2:$P$1001,MATCH(ROWS($N$2:N102),$N$2:$N$1001,0),0),1)),INDEX($S$2:$S$1001,MATCH(ROWS($N$2:N102),$N$2:$N$1001,0),0)))</f>
        <v>0</v>
      </c>
      <c r="B102" s="3">
        <f>IF(OR(INDEX($O$2:$O$1001,MATCH(ROWS($N$2:N102),$N$2:$N$1001,0),1)&gt;=100000,INDEX($U$1005:$AC$1005,1,MATCH(COLUMNS($U$1006:U1006),$U$1006:$AC$1006,0))&gt;=100000), " ",IF(INDEX($U$2:$AC$1001,MATCH(ROWS($N$2:N102),$N$2:$N$1001,0),MATCH(COLUMNS($U$1006:U1006),$U$1006:$AC$1006,0)), HYPERLINK("#",""), HYPERLINK(CONCATENATE("#metadata!", ADDRESS(INDEX($P$2:$P$1001,MATCH(ROWS($N$2:N102),$N$2:$N$1001,0),0), INDEX($U$1004:$AC$1004,1,MATCH(COLUMNS($U$1006:U1006),$U$1006:$AC$1006,0)))),"Fix")))</f>
        <v>0</v>
      </c>
      <c r="C102" s="3">
        <f>IF(OR(INDEX($O$2:$O$1001,MATCH(ROWS($N$2:N102),$N$2:$N$1001,0),1)&gt;=100000,INDEX($U$1005:$AC$1005,1,MATCH(COLUMNS($U$1006:V1006),$U$1006:$AC$1006,0))&gt;=100000), " ",IF(INDEX($U$2:$AC$1001,MATCH(ROWS($N$2:N102),$N$2:$N$1001,0),MATCH(COLUMNS($U$1006:V1006),$U$1006:$AC$1006,0)), HYPERLINK("#",""), HYPERLINK(CONCATENATE("#metadata!", ADDRESS(INDEX($P$2:$P$1001,MATCH(ROWS($N$2:N102),$N$2:$N$1001,0),0), INDEX($U$1004:$AC$1004,1,MATCH(COLUMNS($U$1006:V1006),$U$1006:$AC$1006,0)))),"Fix")))</f>
        <v>0</v>
      </c>
      <c r="D102" s="3">
        <f>IF(OR(INDEX($O$2:$O$1001,MATCH(ROWS($N$2:N102),$N$2:$N$1001,0),1)&gt;=100000,INDEX($U$1005:$AC$1005,1,MATCH(COLUMNS($U$1006:W1006),$U$1006:$AC$1006,0))&gt;=100000), " ",IF(INDEX($U$2:$AC$1001,MATCH(ROWS($N$2:N102),$N$2:$N$1001,0),MATCH(COLUMNS($U$1006:W1006),$U$1006:$AC$1006,0)), HYPERLINK("#",""), HYPERLINK(CONCATENATE("#metadata!", ADDRESS(INDEX($P$2:$P$1001,MATCH(ROWS($N$2:N102),$N$2:$N$1001,0),0), INDEX($U$1004:$AC$1004,1,MATCH(COLUMNS($U$1006:W1006),$U$1006:$AC$1006,0)))),"Fix")))</f>
        <v>0</v>
      </c>
      <c r="E102" s="3">
        <f>IF(OR(INDEX($O$2:$O$1001,MATCH(ROWS($N$2:N102),$N$2:$N$1001,0),1)&gt;=100000,INDEX($U$1005:$AC$1005,1,MATCH(COLUMNS($U$1006:X1006),$U$1006:$AC$1006,0))&gt;=100000), " ",IF(INDEX($U$2:$AC$1001,MATCH(ROWS($N$2:N102),$N$2:$N$1001,0),MATCH(COLUMNS($U$1006:X1006),$U$1006:$AC$1006,0)), HYPERLINK("#",""), HYPERLINK(CONCATENATE("#metadata!", ADDRESS(INDEX($P$2:$P$1001,MATCH(ROWS($N$2:N102),$N$2:$N$1001,0),0), INDEX($U$1004:$AC$1004,1,MATCH(COLUMNS($U$1006:X1006),$U$1006:$AC$1006,0)))),"Fix")))</f>
        <v>0</v>
      </c>
      <c r="F102" s="3">
        <f>IF(OR(INDEX($O$2:$O$1001,MATCH(ROWS($N$2:N102),$N$2:$N$1001,0),1)&gt;=100000,INDEX($U$1005:$AC$1005,1,MATCH(COLUMNS($U$1006:Y1006),$U$1006:$AC$1006,0))&gt;=100000), " ",IF(INDEX($U$2:$AC$1001,MATCH(ROWS($N$2:N102),$N$2:$N$1001,0),MATCH(COLUMNS($U$1006:Y1006),$U$1006:$AC$1006,0)), HYPERLINK("#",""), HYPERLINK(CONCATENATE("#metadata!", ADDRESS(INDEX($P$2:$P$1001,MATCH(ROWS($N$2:N102),$N$2:$N$1001,0),0), INDEX($U$1004:$AC$1004,1,MATCH(COLUMNS($U$1006:Y1006),$U$1006:$AC$1006,0)))),"Fix")))</f>
        <v>0</v>
      </c>
      <c r="G102" s="3">
        <f>IF(OR(INDEX($O$2:$O$1001,MATCH(ROWS($N$2:N102),$N$2:$N$1001,0),1)&gt;=100000,INDEX($U$1005:$AC$1005,1,MATCH(COLUMNS($U$1006:Z1006),$U$1006:$AC$1006,0))&gt;=100000), " ",IF(INDEX($U$2:$AC$1001,MATCH(ROWS($N$2:N102),$N$2:$N$1001,0),MATCH(COLUMNS($U$1006:Z1006),$U$1006:$AC$1006,0)), HYPERLINK("#",""), HYPERLINK(CONCATENATE("#metadata!", ADDRESS(INDEX($P$2:$P$1001,MATCH(ROWS($N$2:N102),$N$2:$N$1001,0),0), INDEX($U$1004:$AC$1004,1,MATCH(COLUMNS($U$1006:Z1006),$U$1006:$AC$1006,0)))),"Fix")))</f>
        <v>0</v>
      </c>
      <c r="H102" s="3">
        <f>IF(OR(INDEX($O$2:$O$1001,MATCH(ROWS($N$2:N102),$N$2:$N$1001,0),1)&gt;=100000,INDEX($U$1005:$AC$1005,1,MATCH(COLUMNS($U$1006:AA1006),$U$1006:$AC$1006,0))&gt;=100000), " ",IF(INDEX($U$2:$AC$1001,MATCH(ROWS($N$2:N102),$N$2:$N$1001,0),MATCH(COLUMNS($U$1006:AA1006),$U$1006:$AC$1006,0)), HYPERLINK("#",""), HYPERLINK(CONCATENATE("#metadata!", ADDRESS(INDEX($P$2:$P$1001,MATCH(ROWS($N$2:N102),$N$2:$N$1001,0),0), INDEX($U$1004:$AC$1004,1,MATCH(COLUMNS($U$1006:AA1006),$U$1006:$AC$1006,0)))),"Fix")))</f>
        <v>0</v>
      </c>
      <c r="I102" s="3">
        <f>IF(OR(INDEX($O$2:$O$1001,MATCH(ROWS($N$2:N102),$N$2:$N$1001,0),1)&gt;=100000,INDEX($U$1005:$AC$1005,1,MATCH(COLUMNS($U$1006:AB1006),$U$1006:$AC$1006,0))&gt;=100000), " ",IF(INDEX($U$2:$AC$1001,MATCH(ROWS($N$2:N102),$N$2:$N$1001,0),MATCH(COLUMNS($U$1006:AB1006),$U$1006:$AC$1006,0)), HYPERLINK("#",""), HYPERLINK(CONCATENATE("#metadata!", ADDRESS(INDEX($P$2:$P$1001,MATCH(ROWS($N$2:N102),$N$2:$N$1001,0),0), INDEX($U$1004:$AC$1004,1,MATCH(COLUMNS($U$1006:AB1006),$U$1006:$AC$1006,0)))),"Fix")))</f>
        <v>0</v>
      </c>
      <c r="J102" s="3">
        <f>IF(OR(INDEX($O$2:$O$1001,MATCH(ROWS($N$2:N102),$N$2:$N$1001,0),1)&gt;=100000,INDEX($U$1005:$AC$1005,1,MATCH(COLUMNS($U$1006:AC1006),$U$1006:$AC$1006,0))&gt;=100000), " ",IF(INDEX($U$2:$AC$1001,MATCH(ROWS($N$2:N102),$N$2:$N$1001,0),MATCH(COLUMNS($U$1006:AC1006),$U$1006:$AC$1006,0)), HYPERLINK("#",""), HYPERLINK(CONCATENATE("#metadata!", ADDRESS(INDEX($P$2:$P$1001,MATCH(ROWS($N$2:N102),$N$2:$N$1001,0),0), INDEX($U$1004:$AC$1004,1,MATCH(COLUMNS($U$1006:AC1006),$U$1006:$AC$1006,0)))),"Fix")))</f>
        <v>0</v>
      </c>
      <c r="N102">
        <v>0</v>
      </c>
      <c r="O102">
        <v>0</v>
      </c>
      <c r="P102">
        <v>0</v>
      </c>
      <c r="Q102">
        <f>IF(R102,TRUE,AND(U102:AC102))</f>
        <v>0</v>
      </c>
      <c r="R102">
        <f>COUNTBLANK(metadata!B102:J102)=COLUMNS(metadata!B102:J102)</f>
        <v>0</v>
      </c>
      <c r="S102">
        <v>0</v>
      </c>
      <c r="U102">
        <f>AND(IF(metadata!B102="",FALSE,TRUE),COUNTIF(metadata!B:B, metadata!B102) = 1,NOT(ISERROR(SUMPRODUCT(SEARCH(MID(metadata!B102,ROW(INDIRECT("1:"&amp;LEN(metadata!B102))), 1),"0123456789abcdefghijklmnopqrstuvwxyzABCDEFGHIJKLMNOPQRSTUVWXYZ.")))))</f>
        <v>0</v>
      </c>
      <c r="V102">
        <f>AND(IF(metadata!C102="",FALSE,TRUE),exact(metadata!C102,"UBERON:genitourinary"))</f>
        <v>0</v>
      </c>
      <c r="W102">
        <f>AND(IF(metadata!D102="",FALSE,TRUE),exact(metadata!D102,"UBERON:urine"))</f>
        <v>0</v>
      </c>
      <c r="X102">
        <f>AND(IF(metadata!E102="",FALSE,TRUE),exact(metadata!E102,"UBERON:kidney"))</f>
        <v>0</v>
      </c>
      <c r="Y102">
        <f>AND(IF(metadata!F102="",FALSE,TRUE),exact(metadata!F102,"animal corpus"))</f>
        <v>0</v>
      </c>
      <c r="Z102">
        <f>AND(IF(metadata!G102="",FALSE,TRUE),exact(metadata!G102,"urine"))</f>
        <v>0</v>
      </c>
      <c r="AA102">
        <f>AND(IF(metadata!H102="",FALSE,TRUE),exact(metadata!H102,"urine"))</f>
        <v>0</v>
      </c>
      <c r="AB102">
        <f>AND(IF(metadata!I102="",FALSE,TRUE),exact(metadata!I102,"urine metagenome"))</f>
        <v>0</v>
      </c>
      <c r="AC102">
        <f>AND(IF(metadata!J102="",FALSE,TRUE),exact(metadata!J102,"1346744"))</f>
        <v>0</v>
      </c>
    </row>
    <row r="103" spans="1:29">
      <c r="A103" s="4">
        <f>IF(B103=" "," ",HYPERLINK(CONCATENATE("#metadata!",ADDRESS(INDEX($P$2:$P$1001,MATCH(ROWS($N$2:N103),$N$2:$N$1001,0),0),1)),INDEX($S$2:$S$1001,MATCH(ROWS($N$2:N103),$N$2:$N$1001,0),0)))</f>
        <v>0</v>
      </c>
      <c r="B103" s="3">
        <f>IF(OR(INDEX($O$2:$O$1001,MATCH(ROWS($N$2:N103),$N$2:$N$1001,0),1)&gt;=100000,INDEX($U$1005:$AC$1005,1,MATCH(COLUMNS($U$1006:U1006),$U$1006:$AC$1006,0))&gt;=100000), " ",IF(INDEX($U$2:$AC$1001,MATCH(ROWS($N$2:N103),$N$2:$N$1001,0),MATCH(COLUMNS($U$1006:U1006),$U$1006:$AC$1006,0)), HYPERLINK("#",""), HYPERLINK(CONCATENATE("#metadata!", ADDRESS(INDEX($P$2:$P$1001,MATCH(ROWS($N$2:N103),$N$2:$N$1001,0),0), INDEX($U$1004:$AC$1004,1,MATCH(COLUMNS($U$1006:U1006),$U$1006:$AC$1006,0)))),"Fix")))</f>
        <v>0</v>
      </c>
      <c r="C103" s="3">
        <f>IF(OR(INDEX($O$2:$O$1001,MATCH(ROWS($N$2:N103),$N$2:$N$1001,0),1)&gt;=100000,INDEX($U$1005:$AC$1005,1,MATCH(COLUMNS($U$1006:V1006),$U$1006:$AC$1006,0))&gt;=100000), " ",IF(INDEX($U$2:$AC$1001,MATCH(ROWS($N$2:N103),$N$2:$N$1001,0),MATCH(COLUMNS($U$1006:V1006),$U$1006:$AC$1006,0)), HYPERLINK("#",""), HYPERLINK(CONCATENATE("#metadata!", ADDRESS(INDEX($P$2:$P$1001,MATCH(ROWS($N$2:N103),$N$2:$N$1001,0),0), INDEX($U$1004:$AC$1004,1,MATCH(COLUMNS($U$1006:V1006),$U$1006:$AC$1006,0)))),"Fix")))</f>
        <v>0</v>
      </c>
      <c r="D103" s="3">
        <f>IF(OR(INDEX($O$2:$O$1001,MATCH(ROWS($N$2:N103),$N$2:$N$1001,0),1)&gt;=100000,INDEX($U$1005:$AC$1005,1,MATCH(COLUMNS($U$1006:W1006),$U$1006:$AC$1006,0))&gt;=100000), " ",IF(INDEX($U$2:$AC$1001,MATCH(ROWS($N$2:N103),$N$2:$N$1001,0),MATCH(COLUMNS($U$1006:W1006),$U$1006:$AC$1006,0)), HYPERLINK("#",""), HYPERLINK(CONCATENATE("#metadata!", ADDRESS(INDEX($P$2:$P$1001,MATCH(ROWS($N$2:N103),$N$2:$N$1001,0),0), INDEX($U$1004:$AC$1004,1,MATCH(COLUMNS($U$1006:W1006),$U$1006:$AC$1006,0)))),"Fix")))</f>
        <v>0</v>
      </c>
      <c r="E103" s="3">
        <f>IF(OR(INDEX($O$2:$O$1001,MATCH(ROWS($N$2:N103),$N$2:$N$1001,0),1)&gt;=100000,INDEX($U$1005:$AC$1005,1,MATCH(COLUMNS($U$1006:X1006),$U$1006:$AC$1006,0))&gt;=100000), " ",IF(INDEX($U$2:$AC$1001,MATCH(ROWS($N$2:N103),$N$2:$N$1001,0),MATCH(COLUMNS($U$1006:X1006),$U$1006:$AC$1006,0)), HYPERLINK("#",""), HYPERLINK(CONCATENATE("#metadata!", ADDRESS(INDEX($P$2:$P$1001,MATCH(ROWS($N$2:N103),$N$2:$N$1001,0),0), INDEX($U$1004:$AC$1004,1,MATCH(COLUMNS($U$1006:X1006),$U$1006:$AC$1006,0)))),"Fix")))</f>
        <v>0</v>
      </c>
      <c r="F103" s="3">
        <f>IF(OR(INDEX($O$2:$O$1001,MATCH(ROWS($N$2:N103),$N$2:$N$1001,0),1)&gt;=100000,INDEX($U$1005:$AC$1005,1,MATCH(COLUMNS($U$1006:Y1006),$U$1006:$AC$1006,0))&gt;=100000), " ",IF(INDEX($U$2:$AC$1001,MATCH(ROWS($N$2:N103),$N$2:$N$1001,0),MATCH(COLUMNS($U$1006:Y1006),$U$1006:$AC$1006,0)), HYPERLINK("#",""), HYPERLINK(CONCATENATE("#metadata!", ADDRESS(INDEX($P$2:$P$1001,MATCH(ROWS($N$2:N103),$N$2:$N$1001,0),0), INDEX($U$1004:$AC$1004,1,MATCH(COLUMNS($U$1006:Y1006),$U$1006:$AC$1006,0)))),"Fix")))</f>
        <v>0</v>
      </c>
      <c r="G103" s="3">
        <f>IF(OR(INDEX($O$2:$O$1001,MATCH(ROWS($N$2:N103),$N$2:$N$1001,0),1)&gt;=100000,INDEX($U$1005:$AC$1005,1,MATCH(COLUMNS($U$1006:Z1006),$U$1006:$AC$1006,0))&gt;=100000), " ",IF(INDEX($U$2:$AC$1001,MATCH(ROWS($N$2:N103),$N$2:$N$1001,0),MATCH(COLUMNS($U$1006:Z1006),$U$1006:$AC$1006,0)), HYPERLINK("#",""), HYPERLINK(CONCATENATE("#metadata!", ADDRESS(INDEX($P$2:$P$1001,MATCH(ROWS($N$2:N103),$N$2:$N$1001,0),0), INDEX($U$1004:$AC$1004,1,MATCH(COLUMNS($U$1006:Z1006),$U$1006:$AC$1006,0)))),"Fix")))</f>
        <v>0</v>
      </c>
      <c r="H103" s="3">
        <f>IF(OR(INDEX($O$2:$O$1001,MATCH(ROWS($N$2:N103),$N$2:$N$1001,0),1)&gt;=100000,INDEX($U$1005:$AC$1005,1,MATCH(COLUMNS($U$1006:AA1006),$U$1006:$AC$1006,0))&gt;=100000), " ",IF(INDEX($U$2:$AC$1001,MATCH(ROWS($N$2:N103),$N$2:$N$1001,0),MATCH(COLUMNS($U$1006:AA1006),$U$1006:$AC$1006,0)), HYPERLINK("#",""), HYPERLINK(CONCATENATE("#metadata!", ADDRESS(INDEX($P$2:$P$1001,MATCH(ROWS($N$2:N103),$N$2:$N$1001,0),0), INDEX($U$1004:$AC$1004,1,MATCH(COLUMNS($U$1006:AA1006),$U$1006:$AC$1006,0)))),"Fix")))</f>
        <v>0</v>
      </c>
      <c r="I103" s="3">
        <f>IF(OR(INDEX($O$2:$O$1001,MATCH(ROWS($N$2:N103),$N$2:$N$1001,0),1)&gt;=100000,INDEX($U$1005:$AC$1005,1,MATCH(COLUMNS($U$1006:AB1006),$U$1006:$AC$1006,0))&gt;=100000), " ",IF(INDEX($U$2:$AC$1001,MATCH(ROWS($N$2:N103),$N$2:$N$1001,0),MATCH(COLUMNS($U$1006:AB1006),$U$1006:$AC$1006,0)), HYPERLINK("#",""), HYPERLINK(CONCATENATE("#metadata!", ADDRESS(INDEX($P$2:$P$1001,MATCH(ROWS($N$2:N103),$N$2:$N$1001,0),0), INDEX($U$1004:$AC$1004,1,MATCH(COLUMNS($U$1006:AB1006),$U$1006:$AC$1006,0)))),"Fix")))</f>
        <v>0</v>
      </c>
      <c r="J103" s="3">
        <f>IF(OR(INDEX($O$2:$O$1001,MATCH(ROWS($N$2:N103),$N$2:$N$1001,0),1)&gt;=100000,INDEX($U$1005:$AC$1005,1,MATCH(COLUMNS($U$1006:AC1006),$U$1006:$AC$1006,0))&gt;=100000), " ",IF(INDEX($U$2:$AC$1001,MATCH(ROWS($N$2:N103),$N$2:$N$1001,0),MATCH(COLUMNS($U$1006:AC1006),$U$1006:$AC$1006,0)), HYPERLINK("#",""), HYPERLINK(CONCATENATE("#metadata!", ADDRESS(INDEX($P$2:$P$1001,MATCH(ROWS($N$2:N103),$N$2:$N$1001,0),0), INDEX($U$1004:$AC$1004,1,MATCH(COLUMNS($U$1006:AC1006),$U$1006:$AC$1006,0)))),"Fix")))</f>
        <v>0</v>
      </c>
      <c r="N103">
        <v>0</v>
      </c>
      <c r="O103">
        <v>0</v>
      </c>
      <c r="P103">
        <v>0</v>
      </c>
      <c r="Q103">
        <f>IF(R103,TRUE,AND(U103:AC103))</f>
        <v>0</v>
      </c>
      <c r="R103">
        <f>COUNTBLANK(metadata!B103:J103)=COLUMNS(metadata!B103:J103)</f>
        <v>0</v>
      </c>
      <c r="S103">
        <v>0</v>
      </c>
      <c r="U103">
        <f>AND(IF(metadata!B103="",FALSE,TRUE),COUNTIF(metadata!B:B, metadata!B103) = 1,NOT(ISERROR(SUMPRODUCT(SEARCH(MID(metadata!B103,ROW(INDIRECT("1:"&amp;LEN(metadata!B103))), 1),"0123456789abcdefghijklmnopqrstuvwxyzABCDEFGHIJKLMNOPQRSTUVWXYZ.")))))</f>
        <v>0</v>
      </c>
      <c r="V103">
        <f>AND(IF(metadata!C103="",FALSE,TRUE),exact(metadata!C103,"UBERON:genitourinary"))</f>
        <v>0</v>
      </c>
      <c r="W103">
        <f>AND(IF(metadata!D103="",FALSE,TRUE),exact(metadata!D103,"UBERON:urine"))</f>
        <v>0</v>
      </c>
      <c r="X103">
        <f>AND(IF(metadata!E103="",FALSE,TRUE),exact(metadata!E103,"UBERON:kidney"))</f>
        <v>0</v>
      </c>
      <c r="Y103">
        <f>AND(IF(metadata!F103="",FALSE,TRUE),exact(metadata!F103,"animal corpus"))</f>
        <v>0</v>
      </c>
      <c r="Z103">
        <f>AND(IF(metadata!G103="",FALSE,TRUE),exact(metadata!G103,"urine"))</f>
        <v>0</v>
      </c>
      <c r="AA103">
        <f>AND(IF(metadata!H103="",FALSE,TRUE),exact(metadata!H103,"urine"))</f>
        <v>0</v>
      </c>
      <c r="AB103">
        <f>AND(IF(metadata!I103="",FALSE,TRUE),exact(metadata!I103,"urine metagenome"))</f>
        <v>0</v>
      </c>
      <c r="AC103">
        <f>AND(IF(metadata!J103="",FALSE,TRUE),exact(metadata!J103,"1346744"))</f>
        <v>0</v>
      </c>
    </row>
    <row r="104" spans="1:29">
      <c r="A104" s="4">
        <f>IF(B104=" "," ",HYPERLINK(CONCATENATE("#metadata!",ADDRESS(INDEX($P$2:$P$1001,MATCH(ROWS($N$2:N104),$N$2:$N$1001,0),0),1)),INDEX($S$2:$S$1001,MATCH(ROWS($N$2:N104),$N$2:$N$1001,0),0)))</f>
        <v>0</v>
      </c>
      <c r="B104" s="3">
        <f>IF(OR(INDEX($O$2:$O$1001,MATCH(ROWS($N$2:N104),$N$2:$N$1001,0),1)&gt;=100000,INDEX($U$1005:$AC$1005,1,MATCH(COLUMNS($U$1006:U1006),$U$1006:$AC$1006,0))&gt;=100000), " ",IF(INDEX($U$2:$AC$1001,MATCH(ROWS($N$2:N104),$N$2:$N$1001,0),MATCH(COLUMNS($U$1006:U1006),$U$1006:$AC$1006,0)), HYPERLINK("#",""), HYPERLINK(CONCATENATE("#metadata!", ADDRESS(INDEX($P$2:$P$1001,MATCH(ROWS($N$2:N104),$N$2:$N$1001,0),0), INDEX($U$1004:$AC$1004,1,MATCH(COLUMNS($U$1006:U1006),$U$1006:$AC$1006,0)))),"Fix")))</f>
        <v>0</v>
      </c>
      <c r="C104" s="3">
        <f>IF(OR(INDEX($O$2:$O$1001,MATCH(ROWS($N$2:N104),$N$2:$N$1001,0),1)&gt;=100000,INDEX($U$1005:$AC$1005,1,MATCH(COLUMNS($U$1006:V1006),$U$1006:$AC$1006,0))&gt;=100000), " ",IF(INDEX($U$2:$AC$1001,MATCH(ROWS($N$2:N104),$N$2:$N$1001,0),MATCH(COLUMNS($U$1006:V1006),$U$1006:$AC$1006,0)), HYPERLINK("#",""), HYPERLINK(CONCATENATE("#metadata!", ADDRESS(INDEX($P$2:$P$1001,MATCH(ROWS($N$2:N104),$N$2:$N$1001,0),0), INDEX($U$1004:$AC$1004,1,MATCH(COLUMNS($U$1006:V1006),$U$1006:$AC$1006,0)))),"Fix")))</f>
        <v>0</v>
      </c>
      <c r="D104" s="3">
        <f>IF(OR(INDEX($O$2:$O$1001,MATCH(ROWS($N$2:N104),$N$2:$N$1001,0),1)&gt;=100000,INDEX($U$1005:$AC$1005,1,MATCH(COLUMNS($U$1006:W1006),$U$1006:$AC$1006,0))&gt;=100000), " ",IF(INDEX($U$2:$AC$1001,MATCH(ROWS($N$2:N104),$N$2:$N$1001,0),MATCH(COLUMNS($U$1006:W1006),$U$1006:$AC$1006,0)), HYPERLINK("#",""), HYPERLINK(CONCATENATE("#metadata!", ADDRESS(INDEX($P$2:$P$1001,MATCH(ROWS($N$2:N104),$N$2:$N$1001,0),0), INDEX($U$1004:$AC$1004,1,MATCH(COLUMNS($U$1006:W1006),$U$1006:$AC$1006,0)))),"Fix")))</f>
        <v>0</v>
      </c>
      <c r="E104" s="3">
        <f>IF(OR(INDEX($O$2:$O$1001,MATCH(ROWS($N$2:N104),$N$2:$N$1001,0),1)&gt;=100000,INDEX($U$1005:$AC$1005,1,MATCH(COLUMNS($U$1006:X1006),$U$1006:$AC$1006,0))&gt;=100000), " ",IF(INDEX($U$2:$AC$1001,MATCH(ROWS($N$2:N104),$N$2:$N$1001,0),MATCH(COLUMNS($U$1006:X1006),$U$1006:$AC$1006,0)), HYPERLINK("#",""), HYPERLINK(CONCATENATE("#metadata!", ADDRESS(INDEX($P$2:$P$1001,MATCH(ROWS($N$2:N104),$N$2:$N$1001,0),0), INDEX($U$1004:$AC$1004,1,MATCH(COLUMNS($U$1006:X1006),$U$1006:$AC$1006,0)))),"Fix")))</f>
        <v>0</v>
      </c>
      <c r="F104" s="3">
        <f>IF(OR(INDEX($O$2:$O$1001,MATCH(ROWS($N$2:N104),$N$2:$N$1001,0),1)&gt;=100000,INDEX($U$1005:$AC$1005,1,MATCH(COLUMNS($U$1006:Y1006),$U$1006:$AC$1006,0))&gt;=100000), " ",IF(INDEX($U$2:$AC$1001,MATCH(ROWS($N$2:N104),$N$2:$N$1001,0),MATCH(COLUMNS($U$1006:Y1006),$U$1006:$AC$1006,0)), HYPERLINK("#",""), HYPERLINK(CONCATENATE("#metadata!", ADDRESS(INDEX($P$2:$P$1001,MATCH(ROWS($N$2:N104),$N$2:$N$1001,0),0), INDEX($U$1004:$AC$1004,1,MATCH(COLUMNS($U$1006:Y1006),$U$1006:$AC$1006,0)))),"Fix")))</f>
        <v>0</v>
      </c>
      <c r="G104" s="3">
        <f>IF(OR(INDEX($O$2:$O$1001,MATCH(ROWS($N$2:N104),$N$2:$N$1001,0),1)&gt;=100000,INDEX($U$1005:$AC$1005,1,MATCH(COLUMNS($U$1006:Z1006),$U$1006:$AC$1006,0))&gt;=100000), " ",IF(INDEX($U$2:$AC$1001,MATCH(ROWS($N$2:N104),$N$2:$N$1001,0),MATCH(COLUMNS($U$1006:Z1006),$U$1006:$AC$1006,0)), HYPERLINK("#",""), HYPERLINK(CONCATENATE("#metadata!", ADDRESS(INDEX($P$2:$P$1001,MATCH(ROWS($N$2:N104),$N$2:$N$1001,0),0), INDEX($U$1004:$AC$1004,1,MATCH(COLUMNS($U$1006:Z1006),$U$1006:$AC$1006,0)))),"Fix")))</f>
        <v>0</v>
      </c>
      <c r="H104" s="3">
        <f>IF(OR(INDEX($O$2:$O$1001,MATCH(ROWS($N$2:N104),$N$2:$N$1001,0),1)&gt;=100000,INDEX($U$1005:$AC$1005,1,MATCH(COLUMNS($U$1006:AA1006),$U$1006:$AC$1006,0))&gt;=100000), " ",IF(INDEX($U$2:$AC$1001,MATCH(ROWS($N$2:N104),$N$2:$N$1001,0),MATCH(COLUMNS($U$1006:AA1006),$U$1006:$AC$1006,0)), HYPERLINK("#",""), HYPERLINK(CONCATENATE("#metadata!", ADDRESS(INDEX($P$2:$P$1001,MATCH(ROWS($N$2:N104),$N$2:$N$1001,0),0), INDEX($U$1004:$AC$1004,1,MATCH(COLUMNS($U$1006:AA1006),$U$1006:$AC$1006,0)))),"Fix")))</f>
        <v>0</v>
      </c>
      <c r="I104" s="3">
        <f>IF(OR(INDEX($O$2:$O$1001,MATCH(ROWS($N$2:N104),$N$2:$N$1001,0),1)&gt;=100000,INDEX($U$1005:$AC$1005,1,MATCH(COLUMNS($U$1006:AB1006),$U$1006:$AC$1006,0))&gt;=100000), " ",IF(INDEX($U$2:$AC$1001,MATCH(ROWS($N$2:N104),$N$2:$N$1001,0),MATCH(COLUMNS($U$1006:AB1006),$U$1006:$AC$1006,0)), HYPERLINK("#",""), HYPERLINK(CONCATENATE("#metadata!", ADDRESS(INDEX($P$2:$P$1001,MATCH(ROWS($N$2:N104),$N$2:$N$1001,0),0), INDEX($U$1004:$AC$1004,1,MATCH(COLUMNS($U$1006:AB1006),$U$1006:$AC$1006,0)))),"Fix")))</f>
        <v>0</v>
      </c>
      <c r="J104" s="3">
        <f>IF(OR(INDEX($O$2:$O$1001,MATCH(ROWS($N$2:N104),$N$2:$N$1001,0),1)&gt;=100000,INDEX($U$1005:$AC$1005,1,MATCH(COLUMNS($U$1006:AC1006),$U$1006:$AC$1006,0))&gt;=100000), " ",IF(INDEX($U$2:$AC$1001,MATCH(ROWS($N$2:N104),$N$2:$N$1001,0),MATCH(COLUMNS($U$1006:AC1006),$U$1006:$AC$1006,0)), HYPERLINK("#",""), HYPERLINK(CONCATENATE("#metadata!", ADDRESS(INDEX($P$2:$P$1001,MATCH(ROWS($N$2:N104),$N$2:$N$1001,0),0), INDEX($U$1004:$AC$1004,1,MATCH(COLUMNS($U$1006:AC1006),$U$1006:$AC$1006,0)))),"Fix")))</f>
        <v>0</v>
      </c>
      <c r="N104">
        <v>0</v>
      </c>
      <c r="O104">
        <v>0</v>
      </c>
      <c r="P104">
        <v>0</v>
      </c>
      <c r="Q104">
        <f>IF(R104,TRUE,AND(U104:AC104))</f>
        <v>0</v>
      </c>
      <c r="R104">
        <f>COUNTBLANK(metadata!B104:J104)=COLUMNS(metadata!B104:J104)</f>
        <v>0</v>
      </c>
      <c r="S104">
        <v>0</v>
      </c>
      <c r="U104">
        <f>AND(IF(metadata!B104="",FALSE,TRUE),COUNTIF(metadata!B:B, metadata!B104) = 1,NOT(ISERROR(SUMPRODUCT(SEARCH(MID(metadata!B104,ROW(INDIRECT("1:"&amp;LEN(metadata!B104))), 1),"0123456789abcdefghijklmnopqrstuvwxyzABCDEFGHIJKLMNOPQRSTUVWXYZ.")))))</f>
        <v>0</v>
      </c>
      <c r="V104">
        <f>AND(IF(metadata!C104="",FALSE,TRUE),exact(metadata!C104,"UBERON:genitourinary"))</f>
        <v>0</v>
      </c>
      <c r="W104">
        <f>AND(IF(metadata!D104="",FALSE,TRUE),exact(metadata!D104,"UBERON:urine"))</f>
        <v>0</v>
      </c>
      <c r="X104">
        <f>AND(IF(metadata!E104="",FALSE,TRUE),exact(metadata!E104,"UBERON:kidney"))</f>
        <v>0</v>
      </c>
      <c r="Y104">
        <f>AND(IF(metadata!F104="",FALSE,TRUE),exact(metadata!F104,"animal corpus"))</f>
        <v>0</v>
      </c>
      <c r="Z104">
        <f>AND(IF(metadata!G104="",FALSE,TRUE),exact(metadata!G104,"urine"))</f>
        <v>0</v>
      </c>
      <c r="AA104">
        <f>AND(IF(metadata!H104="",FALSE,TRUE),exact(metadata!H104,"urine"))</f>
        <v>0</v>
      </c>
      <c r="AB104">
        <f>AND(IF(metadata!I104="",FALSE,TRUE),exact(metadata!I104,"urine metagenome"))</f>
        <v>0</v>
      </c>
      <c r="AC104">
        <f>AND(IF(metadata!J104="",FALSE,TRUE),exact(metadata!J104,"1346744"))</f>
        <v>0</v>
      </c>
    </row>
    <row r="105" spans="1:29">
      <c r="A105" s="4">
        <f>IF(B105=" "," ",HYPERLINK(CONCATENATE("#metadata!",ADDRESS(INDEX($P$2:$P$1001,MATCH(ROWS($N$2:N105),$N$2:$N$1001,0),0),1)),INDEX($S$2:$S$1001,MATCH(ROWS($N$2:N105),$N$2:$N$1001,0),0)))</f>
        <v>0</v>
      </c>
      <c r="B105" s="3">
        <f>IF(OR(INDEX($O$2:$O$1001,MATCH(ROWS($N$2:N105),$N$2:$N$1001,0),1)&gt;=100000,INDEX($U$1005:$AC$1005,1,MATCH(COLUMNS($U$1006:U1006),$U$1006:$AC$1006,0))&gt;=100000), " ",IF(INDEX($U$2:$AC$1001,MATCH(ROWS($N$2:N105),$N$2:$N$1001,0),MATCH(COLUMNS($U$1006:U1006),$U$1006:$AC$1006,0)), HYPERLINK("#",""), HYPERLINK(CONCATENATE("#metadata!", ADDRESS(INDEX($P$2:$P$1001,MATCH(ROWS($N$2:N105),$N$2:$N$1001,0),0), INDEX($U$1004:$AC$1004,1,MATCH(COLUMNS($U$1006:U1006),$U$1006:$AC$1006,0)))),"Fix")))</f>
        <v>0</v>
      </c>
      <c r="C105" s="3">
        <f>IF(OR(INDEX($O$2:$O$1001,MATCH(ROWS($N$2:N105),$N$2:$N$1001,0),1)&gt;=100000,INDEX($U$1005:$AC$1005,1,MATCH(COLUMNS($U$1006:V1006),$U$1006:$AC$1006,0))&gt;=100000), " ",IF(INDEX($U$2:$AC$1001,MATCH(ROWS($N$2:N105),$N$2:$N$1001,0),MATCH(COLUMNS($U$1006:V1006),$U$1006:$AC$1006,0)), HYPERLINK("#",""), HYPERLINK(CONCATENATE("#metadata!", ADDRESS(INDEX($P$2:$P$1001,MATCH(ROWS($N$2:N105),$N$2:$N$1001,0),0), INDEX($U$1004:$AC$1004,1,MATCH(COLUMNS($U$1006:V1006),$U$1006:$AC$1006,0)))),"Fix")))</f>
        <v>0</v>
      </c>
      <c r="D105" s="3">
        <f>IF(OR(INDEX($O$2:$O$1001,MATCH(ROWS($N$2:N105),$N$2:$N$1001,0),1)&gt;=100000,INDEX($U$1005:$AC$1005,1,MATCH(COLUMNS($U$1006:W1006),$U$1006:$AC$1006,0))&gt;=100000), " ",IF(INDEX($U$2:$AC$1001,MATCH(ROWS($N$2:N105),$N$2:$N$1001,0),MATCH(COLUMNS($U$1006:W1006),$U$1006:$AC$1006,0)), HYPERLINK("#",""), HYPERLINK(CONCATENATE("#metadata!", ADDRESS(INDEX($P$2:$P$1001,MATCH(ROWS($N$2:N105),$N$2:$N$1001,0),0), INDEX($U$1004:$AC$1004,1,MATCH(COLUMNS($U$1006:W1006),$U$1006:$AC$1006,0)))),"Fix")))</f>
        <v>0</v>
      </c>
      <c r="E105" s="3">
        <f>IF(OR(INDEX($O$2:$O$1001,MATCH(ROWS($N$2:N105),$N$2:$N$1001,0),1)&gt;=100000,INDEX($U$1005:$AC$1005,1,MATCH(COLUMNS($U$1006:X1006),$U$1006:$AC$1006,0))&gt;=100000), " ",IF(INDEX($U$2:$AC$1001,MATCH(ROWS($N$2:N105),$N$2:$N$1001,0),MATCH(COLUMNS($U$1006:X1006),$U$1006:$AC$1006,0)), HYPERLINK("#",""), HYPERLINK(CONCATENATE("#metadata!", ADDRESS(INDEX($P$2:$P$1001,MATCH(ROWS($N$2:N105),$N$2:$N$1001,0),0), INDEX($U$1004:$AC$1004,1,MATCH(COLUMNS($U$1006:X1006),$U$1006:$AC$1006,0)))),"Fix")))</f>
        <v>0</v>
      </c>
      <c r="F105" s="3">
        <f>IF(OR(INDEX($O$2:$O$1001,MATCH(ROWS($N$2:N105),$N$2:$N$1001,0),1)&gt;=100000,INDEX($U$1005:$AC$1005,1,MATCH(COLUMNS($U$1006:Y1006),$U$1006:$AC$1006,0))&gt;=100000), " ",IF(INDEX($U$2:$AC$1001,MATCH(ROWS($N$2:N105),$N$2:$N$1001,0),MATCH(COLUMNS($U$1006:Y1006),$U$1006:$AC$1006,0)), HYPERLINK("#",""), HYPERLINK(CONCATENATE("#metadata!", ADDRESS(INDEX($P$2:$P$1001,MATCH(ROWS($N$2:N105),$N$2:$N$1001,0),0), INDEX($U$1004:$AC$1004,1,MATCH(COLUMNS($U$1006:Y1006),$U$1006:$AC$1006,0)))),"Fix")))</f>
        <v>0</v>
      </c>
      <c r="G105" s="3">
        <f>IF(OR(INDEX($O$2:$O$1001,MATCH(ROWS($N$2:N105),$N$2:$N$1001,0),1)&gt;=100000,INDEX($U$1005:$AC$1005,1,MATCH(COLUMNS($U$1006:Z1006),$U$1006:$AC$1006,0))&gt;=100000), " ",IF(INDEX($U$2:$AC$1001,MATCH(ROWS($N$2:N105),$N$2:$N$1001,0),MATCH(COLUMNS($U$1006:Z1006),$U$1006:$AC$1006,0)), HYPERLINK("#",""), HYPERLINK(CONCATENATE("#metadata!", ADDRESS(INDEX($P$2:$P$1001,MATCH(ROWS($N$2:N105),$N$2:$N$1001,0),0), INDEX($U$1004:$AC$1004,1,MATCH(COLUMNS($U$1006:Z1006),$U$1006:$AC$1006,0)))),"Fix")))</f>
        <v>0</v>
      </c>
      <c r="H105" s="3">
        <f>IF(OR(INDEX($O$2:$O$1001,MATCH(ROWS($N$2:N105),$N$2:$N$1001,0),1)&gt;=100000,INDEX($U$1005:$AC$1005,1,MATCH(COLUMNS($U$1006:AA1006),$U$1006:$AC$1006,0))&gt;=100000), " ",IF(INDEX($U$2:$AC$1001,MATCH(ROWS($N$2:N105),$N$2:$N$1001,0),MATCH(COLUMNS($U$1006:AA1006),$U$1006:$AC$1006,0)), HYPERLINK("#",""), HYPERLINK(CONCATENATE("#metadata!", ADDRESS(INDEX($P$2:$P$1001,MATCH(ROWS($N$2:N105),$N$2:$N$1001,0),0), INDEX($U$1004:$AC$1004,1,MATCH(COLUMNS($U$1006:AA1006),$U$1006:$AC$1006,0)))),"Fix")))</f>
        <v>0</v>
      </c>
      <c r="I105" s="3">
        <f>IF(OR(INDEX($O$2:$O$1001,MATCH(ROWS($N$2:N105),$N$2:$N$1001,0),1)&gt;=100000,INDEX($U$1005:$AC$1005,1,MATCH(COLUMNS($U$1006:AB1006),$U$1006:$AC$1006,0))&gt;=100000), " ",IF(INDEX($U$2:$AC$1001,MATCH(ROWS($N$2:N105),$N$2:$N$1001,0),MATCH(COLUMNS($U$1006:AB1006),$U$1006:$AC$1006,0)), HYPERLINK("#",""), HYPERLINK(CONCATENATE("#metadata!", ADDRESS(INDEX($P$2:$P$1001,MATCH(ROWS($N$2:N105),$N$2:$N$1001,0),0), INDEX($U$1004:$AC$1004,1,MATCH(COLUMNS($U$1006:AB1006),$U$1006:$AC$1006,0)))),"Fix")))</f>
        <v>0</v>
      </c>
      <c r="J105" s="3">
        <f>IF(OR(INDEX($O$2:$O$1001,MATCH(ROWS($N$2:N105),$N$2:$N$1001,0),1)&gt;=100000,INDEX($U$1005:$AC$1005,1,MATCH(COLUMNS($U$1006:AC1006),$U$1006:$AC$1006,0))&gt;=100000), " ",IF(INDEX($U$2:$AC$1001,MATCH(ROWS($N$2:N105),$N$2:$N$1001,0),MATCH(COLUMNS($U$1006:AC1006),$U$1006:$AC$1006,0)), HYPERLINK("#",""), HYPERLINK(CONCATENATE("#metadata!", ADDRESS(INDEX($P$2:$P$1001,MATCH(ROWS($N$2:N105),$N$2:$N$1001,0),0), INDEX($U$1004:$AC$1004,1,MATCH(COLUMNS($U$1006:AC1006),$U$1006:$AC$1006,0)))),"Fix")))</f>
        <v>0</v>
      </c>
      <c r="N105">
        <v>0</v>
      </c>
      <c r="O105">
        <v>0</v>
      </c>
      <c r="P105">
        <v>0</v>
      </c>
      <c r="Q105">
        <f>IF(R105,TRUE,AND(U105:AC105))</f>
        <v>0</v>
      </c>
      <c r="R105">
        <f>COUNTBLANK(metadata!B105:J105)=COLUMNS(metadata!B105:J105)</f>
        <v>0</v>
      </c>
      <c r="S105">
        <v>0</v>
      </c>
      <c r="U105">
        <f>AND(IF(metadata!B105="",FALSE,TRUE),COUNTIF(metadata!B:B, metadata!B105) = 1,NOT(ISERROR(SUMPRODUCT(SEARCH(MID(metadata!B105,ROW(INDIRECT("1:"&amp;LEN(metadata!B105))), 1),"0123456789abcdefghijklmnopqrstuvwxyzABCDEFGHIJKLMNOPQRSTUVWXYZ.")))))</f>
        <v>0</v>
      </c>
      <c r="V105">
        <f>AND(IF(metadata!C105="",FALSE,TRUE),exact(metadata!C105,"UBERON:genitourinary"))</f>
        <v>0</v>
      </c>
      <c r="W105">
        <f>AND(IF(metadata!D105="",FALSE,TRUE),exact(metadata!D105,"UBERON:urine"))</f>
        <v>0</v>
      </c>
      <c r="X105">
        <f>AND(IF(metadata!E105="",FALSE,TRUE),exact(metadata!E105,"UBERON:kidney"))</f>
        <v>0</v>
      </c>
      <c r="Y105">
        <f>AND(IF(metadata!F105="",FALSE,TRUE),exact(metadata!F105,"animal corpus"))</f>
        <v>0</v>
      </c>
      <c r="Z105">
        <f>AND(IF(metadata!G105="",FALSE,TRUE),exact(metadata!G105,"urine"))</f>
        <v>0</v>
      </c>
      <c r="AA105">
        <f>AND(IF(metadata!H105="",FALSE,TRUE),exact(metadata!H105,"urine"))</f>
        <v>0</v>
      </c>
      <c r="AB105">
        <f>AND(IF(metadata!I105="",FALSE,TRUE),exact(metadata!I105,"urine metagenome"))</f>
        <v>0</v>
      </c>
      <c r="AC105">
        <f>AND(IF(metadata!J105="",FALSE,TRUE),exact(metadata!J105,"1346744"))</f>
        <v>0</v>
      </c>
    </row>
    <row r="106" spans="1:29">
      <c r="A106" s="4">
        <f>IF(B106=" "," ",HYPERLINK(CONCATENATE("#metadata!",ADDRESS(INDEX($P$2:$P$1001,MATCH(ROWS($N$2:N106),$N$2:$N$1001,0),0),1)),INDEX($S$2:$S$1001,MATCH(ROWS($N$2:N106),$N$2:$N$1001,0),0)))</f>
        <v>0</v>
      </c>
      <c r="B106" s="3">
        <f>IF(OR(INDEX($O$2:$O$1001,MATCH(ROWS($N$2:N106),$N$2:$N$1001,0),1)&gt;=100000,INDEX($U$1005:$AC$1005,1,MATCH(COLUMNS($U$1006:U1006),$U$1006:$AC$1006,0))&gt;=100000), " ",IF(INDEX($U$2:$AC$1001,MATCH(ROWS($N$2:N106),$N$2:$N$1001,0),MATCH(COLUMNS($U$1006:U1006),$U$1006:$AC$1006,0)), HYPERLINK("#",""), HYPERLINK(CONCATENATE("#metadata!", ADDRESS(INDEX($P$2:$P$1001,MATCH(ROWS($N$2:N106),$N$2:$N$1001,0),0), INDEX($U$1004:$AC$1004,1,MATCH(COLUMNS($U$1006:U1006),$U$1006:$AC$1006,0)))),"Fix")))</f>
        <v>0</v>
      </c>
      <c r="C106" s="3">
        <f>IF(OR(INDEX($O$2:$O$1001,MATCH(ROWS($N$2:N106),$N$2:$N$1001,0),1)&gt;=100000,INDEX($U$1005:$AC$1005,1,MATCH(COLUMNS($U$1006:V1006),$U$1006:$AC$1006,0))&gt;=100000), " ",IF(INDEX($U$2:$AC$1001,MATCH(ROWS($N$2:N106),$N$2:$N$1001,0),MATCH(COLUMNS($U$1006:V1006),$U$1006:$AC$1006,0)), HYPERLINK("#",""), HYPERLINK(CONCATENATE("#metadata!", ADDRESS(INDEX($P$2:$P$1001,MATCH(ROWS($N$2:N106),$N$2:$N$1001,0),0), INDEX($U$1004:$AC$1004,1,MATCH(COLUMNS($U$1006:V1006),$U$1006:$AC$1006,0)))),"Fix")))</f>
        <v>0</v>
      </c>
      <c r="D106" s="3">
        <f>IF(OR(INDEX($O$2:$O$1001,MATCH(ROWS($N$2:N106),$N$2:$N$1001,0),1)&gt;=100000,INDEX($U$1005:$AC$1005,1,MATCH(COLUMNS($U$1006:W1006),$U$1006:$AC$1006,0))&gt;=100000), " ",IF(INDEX($U$2:$AC$1001,MATCH(ROWS($N$2:N106),$N$2:$N$1001,0),MATCH(COLUMNS($U$1006:W1006),$U$1006:$AC$1006,0)), HYPERLINK("#",""), HYPERLINK(CONCATENATE("#metadata!", ADDRESS(INDEX($P$2:$P$1001,MATCH(ROWS($N$2:N106),$N$2:$N$1001,0),0), INDEX($U$1004:$AC$1004,1,MATCH(COLUMNS($U$1006:W1006),$U$1006:$AC$1006,0)))),"Fix")))</f>
        <v>0</v>
      </c>
      <c r="E106" s="3">
        <f>IF(OR(INDEX($O$2:$O$1001,MATCH(ROWS($N$2:N106),$N$2:$N$1001,0),1)&gt;=100000,INDEX($U$1005:$AC$1005,1,MATCH(COLUMNS($U$1006:X1006),$U$1006:$AC$1006,0))&gt;=100000), " ",IF(INDEX($U$2:$AC$1001,MATCH(ROWS($N$2:N106),$N$2:$N$1001,0),MATCH(COLUMNS($U$1006:X1006),$U$1006:$AC$1006,0)), HYPERLINK("#",""), HYPERLINK(CONCATENATE("#metadata!", ADDRESS(INDEX($P$2:$P$1001,MATCH(ROWS($N$2:N106),$N$2:$N$1001,0),0), INDEX($U$1004:$AC$1004,1,MATCH(COLUMNS($U$1006:X1006),$U$1006:$AC$1006,0)))),"Fix")))</f>
        <v>0</v>
      </c>
      <c r="F106" s="3">
        <f>IF(OR(INDEX($O$2:$O$1001,MATCH(ROWS($N$2:N106),$N$2:$N$1001,0),1)&gt;=100000,INDEX($U$1005:$AC$1005,1,MATCH(COLUMNS($U$1006:Y1006),$U$1006:$AC$1006,0))&gt;=100000), " ",IF(INDEX($U$2:$AC$1001,MATCH(ROWS($N$2:N106),$N$2:$N$1001,0),MATCH(COLUMNS($U$1006:Y1006),$U$1006:$AC$1006,0)), HYPERLINK("#",""), HYPERLINK(CONCATENATE("#metadata!", ADDRESS(INDEX($P$2:$P$1001,MATCH(ROWS($N$2:N106),$N$2:$N$1001,0),0), INDEX($U$1004:$AC$1004,1,MATCH(COLUMNS($U$1006:Y1006),$U$1006:$AC$1006,0)))),"Fix")))</f>
        <v>0</v>
      </c>
      <c r="G106" s="3">
        <f>IF(OR(INDEX($O$2:$O$1001,MATCH(ROWS($N$2:N106),$N$2:$N$1001,0),1)&gt;=100000,INDEX($U$1005:$AC$1005,1,MATCH(COLUMNS($U$1006:Z1006),$U$1006:$AC$1006,0))&gt;=100000), " ",IF(INDEX($U$2:$AC$1001,MATCH(ROWS($N$2:N106),$N$2:$N$1001,0),MATCH(COLUMNS($U$1006:Z1006),$U$1006:$AC$1006,0)), HYPERLINK("#",""), HYPERLINK(CONCATENATE("#metadata!", ADDRESS(INDEX($P$2:$P$1001,MATCH(ROWS($N$2:N106),$N$2:$N$1001,0),0), INDEX($U$1004:$AC$1004,1,MATCH(COLUMNS($U$1006:Z1006),$U$1006:$AC$1006,0)))),"Fix")))</f>
        <v>0</v>
      </c>
      <c r="H106" s="3">
        <f>IF(OR(INDEX($O$2:$O$1001,MATCH(ROWS($N$2:N106),$N$2:$N$1001,0),1)&gt;=100000,INDEX($U$1005:$AC$1005,1,MATCH(COLUMNS($U$1006:AA1006),$U$1006:$AC$1006,0))&gt;=100000), " ",IF(INDEX($U$2:$AC$1001,MATCH(ROWS($N$2:N106),$N$2:$N$1001,0),MATCH(COLUMNS($U$1006:AA1006),$U$1006:$AC$1006,0)), HYPERLINK("#",""), HYPERLINK(CONCATENATE("#metadata!", ADDRESS(INDEX($P$2:$P$1001,MATCH(ROWS($N$2:N106),$N$2:$N$1001,0),0), INDEX($U$1004:$AC$1004,1,MATCH(COLUMNS($U$1006:AA1006),$U$1006:$AC$1006,0)))),"Fix")))</f>
        <v>0</v>
      </c>
      <c r="I106" s="3">
        <f>IF(OR(INDEX($O$2:$O$1001,MATCH(ROWS($N$2:N106),$N$2:$N$1001,0),1)&gt;=100000,INDEX($U$1005:$AC$1005,1,MATCH(COLUMNS($U$1006:AB1006),$U$1006:$AC$1006,0))&gt;=100000), " ",IF(INDEX($U$2:$AC$1001,MATCH(ROWS($N$2:N106),$N$2:$N$1001,0),MATCH(COLUMNS($U$1006:AB1006),$U$1006:$AC$1006,0)), HYPERLINK("#",""), HYPERLINK(CONCATENATE("#metadata!", ADDRESS(INDEX($P$2:$P$1001,MATCH(ROWS($N$2:N106),$N$2:$N$1001,0),0), INDEX($U$1004:$AC$1004,1,MATCH(COLUMNS($U$1006:AB1006),$U$1006:$AC$1006,0)))),"Fix")))</f>
        <v>0</v>
      </c>
      <c r="J106" s="3">
        <f>IF(OR(INDEX($O$2:$O$1001,MATCH(ROWS($N$2:N106),$N$2:$N$1001,0),1)&gt;=100000,INDEX($U$1005:$AC$1005,1,MATCH(COLUMNS($U$1006:AC1006),$U$1006:$AC$1006,0))&gt;=100000), " ",IF(INDEX($U$2:$AC$1001,MATCH(ROWS($N$2:N106),$N$2:$N$1001,0),MATCH(COLUMNS($U$1006:AC1006),$U$1006:$AC$1006,0)), HYPERLINK("#",""), HYPERLINK(CONCATENATE("#metadata!", ADDRESS(INDEX($P$2:$P$1001,MATCH(ROWS($N$2:N106),$N$2:$N$1001,0),0), INDEX($U$1004:$AC$1004,1,MATCH(COLUMNS($U$1006:AC1006),$U$1006:$AC$1006,0)))),"Fix")))</f>
        <v>0</v>
      </c>
      <c r="N106">
        <v>0</v>
      </c>
      <c r="O106">
        <v>0</v>
      </c>
      <c r="P106">
        <v>0</v>
      </c>
      <c r="Q106">
        <f>IF(R106,TRUE,AND(U106:AC106))</f>
        <v>0</v>
      </c>
      <c r="R106">
        <f>COUNTBLANK(metadata!B106:J106)=COLUMNS(metadata!B106:J106)</f>
        <v>0</v>
      </c>
      <c r="S106">
        <v>0</v>
      </c>
      <c r="U106">
        <f>AND(IF(metadata!B106="",FALSE,TRUE),COUNTIF(metadata!B:B, metadata!B106) = 1,NOT(ISERROR(SUMPRODUCT(SEARCH(MID(metadata!B106,ROW(INDIRECT("1:"&amp;LEN(metadata!B106))), 1),"0123456789abcdefghijklmnopqrstuvwxyzABCDEFGHIJKLMNOPQRSTUVWXYZ.")))))</f>
        <v>0</v>
      </c>
      <c r="V106">
        <f>AND(IF(metadata!C106="",FALSE,TRUE),exact(metadata!C106,"UBERON:genitourinary"))</f>
        <v>0</v>
      </c>
      <c r="W106">
        <f>AND(IF(metadata!D106="",FALSE,TRUE),exact(metadata!D106,"UBERON:urine"))</f>
        <v>0</v>
      </c>
      <c r="X106">
        <f>AND(IF(metadata!E106="",FALSE,TRUE),exact(metadata!E106,"UBERON:kidney"))</f>
        <v>0</v>
      </c>
      <c r="Y106">
        <f>AND(IF(metadata!F106="",FALSE,TRUE),exact(metadata!F106,"animal corpus"))</f>
        <v>0</v>
      </c>
      <c r="Z106">
        <f>AND(IF(metadata!G106="",FALSE,TRUE),exact(metadata!G106,"urine"))</f>
        <v>0</v>
      </c>
      <c r="AA106">
        <f>AND(IF(metadata!H106="",FALSE,TRUE),exact(metadata!H106,"urine"))</f>
        <v>0</v>
      </c>
      <c r="AB106">
        <f>AND(IF(metadata!I106="",FALSE,TRUE),exact(metadata!I106,"urine metagenome"))</f>
        <v>0</v>
      </c>
      <c r="AC106">
        <f>AND(IF(metadata!J106="",FALSE,TRUE),exact(metadata!J106,"1346744"))</f>
        <v>0</v>
      </c>
    </row>
    <row r="107" spans="1:29">
      <c r="A107" s="4">
        <f>IF(B107=" "," ",HYPERLINK(CONCATENATE("#metadata!",ADDRESS(INDEX($P$2:$P$1001,MATCH(ROWS($N$2:N107),$N$2:$N$1001,0),0),1)),INDEX($S$2:$S$1001,MATCH(ROWS($N$2:N107),$N$2:$N$1001,0),0)))</f>
        <v>0</v>
      </c>
      <c r="B107" s="3">
        <f>IF(OR(INDEX($O$2:$O$1001,MATCH(ROWS($N$2:N107),$N$2:$N$1001,0),1)&gt;=100000,INDEX($U$1005:$AC$1005,1,MATCH(COLUMNS($U$1006:U1006),$U$1006:$AC$1006,0))&gt;=100000), " ",IF(INDEX($U$2:$AC$1001,MATCH(ROWS($N$2:N107),$N$2:$N$1001,0),MATCH(COLUMNS($U$1006:U1006),$U$1006:$AC$1006,0)), HYPERLINK("#",""), HYPERLINK(CONCATENATE("#metadata!", ADDRESS(INDEX($P$2:$P$1001,MATCH(ROWS($N$2:N107),$N$2:$N$1001,0),0), INDEX($U$1004:$AC$1004,1,MATCH(COLUMNS($U$1006:U1006),$U$1006:$AC$1006,0)))),"Fix")))</f>
        <v>0</v>
      </c>
      <c r="C107" s="3">
        <f>IF(OR(INDEX($O$2:$O$1001,MATCH(ROWS($N$2:N107),$N$2:$N$1001,0),1)&gt;=100000,INDEX($U$1005:$AC$1005,1,MATCH(COLUMNS($U$1006:V1006),$U$1006:$AC$1006,0))&gt;=100000), " ",IF(INDEX($U$2:$AC$1001,MATCH(ROWS($N$2:N107),$N$2:$N$1001,0),MATCH(COLUMNS($U$1006:V1006),$U$1006:$AC$1006,0)), HYPERLINK("#",""), HYPERLINK(CONCATENATE("#metadata!", ADDRESS(INDEX($P$2:$P$1001,MATCH(ROWS($N$2:N107),$N$2:$N$1001,0),0), INDEX($U$1004:$AC$1004,1,MATCH(COLUMNS($U$1006:V1006),$U$1006:$AC$1006,0)))),"Fix")))</f>
        <v>0</v>
      </c>
      <c r="D107" s="3">
        <f>IF(OR(INDEX($O$2:$O$1001,MATCH(ROWS($N$2:N107),$N$2:$N$1001,0),1)&gt;=100000,INDEX($U$1005:$AC$1005,1,MATCH(COLUMNS($U$1006:W1006),$U$1006:$AC$1006,0))&gt;=100000), " ",IF(INDEX($U$2:$AC$1001,MATCH(ROWS($N$2:N107),$N$2:$N$1001,0),MATCH(COLUMNS($U$1006:W1006),$U$1006:$AC$1006,0)), HYPERLINK("#",""), HYPERLINK(CONCATENATE("#metadata!", ADDRESS(INDEX($P$2:$P$1001,MATCH(ROWS($N$2:N107),$N$2:$N$1001,0),0), INDEX($U$1004:$AC$1004,1,MATCH(COLUMNS($U$1006:W1006),$U$1006:$AC$1006,0)))),"Fix")))</f>
        <v>0</v>
      </c>
      <c r="E107" s="3">
        <f>IF(OR(INDEX($O$2:$O$1001,MATCH(ROWS($N$2:N107),$N$2:$N$1001,0),1)&gt;=100000,INDEX($U$1005:$AC$1005,1,MATCH(COLUMNS($U$1006:X1006),$U$1006:$AC$1006,0))&gt;=100000), " ",IF(INDEX($U$2:$AC$1001,MATCH(ROWS($N$2:N107),$N$2:$N$1001,0),MATCH(COLUMNS($U$1006:X1006),$U$1006:$AC$1006,0)), HYPERLINK("#",""), HYPERLINK(CONCATENATE("#metadata!", ADDRESS(INDEX($P$2:$P$1001,MATCH(ROWS($N$2:N107),$N$2:$N$1001,0),0), INDEX($U$1004:$AC$1004,1,MATCH(COLUMNS($U$1006:X1006),$U$1006:$AC$1006,0)))),"Fix")))</f>
        <v>0</v>
      </c>
      <c r="F107" s="3">
        <f>IF(OR(INDEX($O$2:$O$1001,MATCH(ROWS($N$2:N107),$N$2:$N$1001,0),1)&gt;=100000,INDEX($U$1005:$AC$1005,1,MATCH(COLUMNS($U$1006:Y1006),$U$1006:$AC$1006,0))&gt;=100000), " ",IF(INDEX($U$2:$AC$1001,MATCH(ROWS($N$2:N107),$N$2:$N$1001,0),MATCH(COLUMNS($U$1006:Y1006),$U$1006:$AC$1006,0)), HYPERLINK("#",""), HYPERLINK(CONCATENATE("#metadata!", ADDRESS(INDEX($P$2:$P$1001,MATCH(ROWS($N$2:N107),$N$2:$N$1001,0),0), INDEX($U$1004:$AC$1004,1,MATCH(COLUMNS($U$1006:Y1006),$U$1006:$AC$1006,0)))),"Fix")))</f>
        <v>0</v>
      </c>
      <c r="G107" s="3">
        <f>IF(OR(INDEX($O$2:$O$1001,MATCH(ROWS($N$2:N107),$N$2:$N$1001,0),1)&gt;=100000,INDEX($U$1005:$AC$1005,1,MATCH(COLUMNS($U$1006:Z1006),$U$1006:$AC$1006,0))&gt;=100000), " ",IF(INDEX($U$2:$AC$1001,MATCH(ROWS($N$2:N107),$N$2:$N$1001,0),MATCH(COLUMNS($U$1006:Z1006),$U$1006:$AC$1006,0)), HYPERLINK("#",""), HYPERLINK(CONCATENATE("#metadata!", ADDRESS(INDEX($P$2:$P$1001,MATCH(ROWS($N$2:N107),$N$2:$N$1001,0),0), INDEX($U$1004:$AC$1004,1,MATCH(COLUMNS($U$1006:Z1006),$U$1006:$AC$1006,0)))),"Fix")))</f>
        <v>0</v>
      </c>
      <c r="H107" s="3">
        <f>IF(OR(INDEX($O$2:$O$1001,MATCH(ROWS($N$2:N107),$N$2:$N$1001,0),1)&gt;=100000,INDEX($U$1005:$AC$1005,1,MATCH(COLUMNS($U$1006:AA1006),$U$1006:$AC$1006,0))&gt;=100000), " ",IF(INDEX($U$2:$AC$1001,MATCH(ROWS($N$2:N107),$N$2:$N$1001,0),MATCH(COLUMNS($U$1006:AA1006),$U$1006:$AC$1006,0)), HYPERLINK("#",""), HYPERLINK(CONCATENATE("#metadata!", ADDRESS(INDEX($P$2:$P$1001,MATCH(ROWS($N$2:N107),$N$2:$N$1001,0),0), INDEX($U$1004:$AC$1004,1,MATCH(COLUMNS($U$1006:AA1006),$U$1006:$AC$1006,0)))),"Fix")))</f>
        <v>0</v>
      </c>
      <c r="I107" s="3">
        <f>IF(OR(INDEX($O$2:$O$1001,MATCH(ROWS($N$2:N107),$N$2:$N$1001,0),1)&gt;=100000,INDEX($U$1005:$AC$1005,1,MATCH(COLUMNS($U$1006:AB1006),$U$1006:$AC$1006,0))&gt;=100000), " ",IF(INDEX($U$2:$AC$1001,MATCH(ROWS($N$2:N107),$N$2:$N$1001,0),MATCH(COLUMNS($U$1006:AB1006),$U$1006:$AC$1006,0)), HYPERLINK("#",""), HYPERLINK(CONCATENATE("#metadata!", ADDRESS(INDEX($P$2:$P$1001,MATCH(ROWS($N$2:N107),$N$2:$N$1001,0),0), INDEX($U$1004:$AC$1004,1,MATCH(COLUMNS($U$1006:AB1006),$U$1006:$AC$1006,0)))),"Fix")))</f>
        <v>0</v>
      </c>
      <c r="J107" s="3">
        <f>IF(OR(INDEX($O$2:$O$1001,MATCH(ROWS($N$2:N107),$N$2:$N$1001,0),1)&gt;=100000,INDEX($U$1005:$AC$1005,1,MATCH(COLUMNS($U$1006:AC1006),$U$1006:$AC$1006,0))&gt;=100000), " ",IF(INDEX($U$2:$AC$1001,MATCH(ROWS($N$2:N107),$N$2:$N$1001,0),MATCH(COLUMNS($U$1006:AC1006),$U$1006:$AC$1006,0)), HYPERLINK("#",""), HYPERLINK(CONCATENATE("#metadata!", ADDRESS(INDEX($P$2:$P$1001,MATCH(ROWS($N$2:N107),$N$2:$N$1001,0),0), INDEX($U$1004:$AC$1004,1,MATCH(COLUMNS($U$1006:AC1006),$U$1006:$AC$1006,0)))),"Fix")))</f>
        <v>0</v>
      </c>
      <c r="N107">
        <v>0</v>
      </c>
      <c r="O107">
        <v>0</v>
      </c>
      <c r="P107">
        <v>0</v>
      </c>
      <c r="Q107">
        <f>IF(R107,TRUE,AND(U107:AC107))</f>
        <v>0</v>
      </c>
      <c r="R107">
        <f>COUNTBLANK(metadata!B107:J107)=COLUMNS(metadata!B107:J107)</f>
        <v>0</v>
      </c>
      <c r="S107">
        <v>0</v>
      </c>
      <c r="U107">
        <f>AND(IF(metadata!B107="",FALSE,TRUE),COUNTIF(metadata!B:B, metadata!B107) = 1,NOT(ISERROR(SUMPRODUCT(SEARCH(MID(metadata!B107,ROW(INDIRECT("1:"&amp;LEN(metadata!B107))), 1),"0123456789abcdefghijklmnopqrstuvwxyzABCDEFGHIJKLMNOPQRSTUVWXYZ.")))))</f>
        <v>0</v>
      </c>
      <c r="V107">
        <f>AND(IF(metadata!C107="",FALSE,TRUE),exact(metadata!C107,"UBERON:genitourinary"))</f>
        <v>0</v>
      </c>
      <c r="W107">
        <f>AND(IF(metadata!D107="",FALSE,TRUE),exact(metadata!D107,"UBERON:urine"))</f>
        <v>0</v>
      </c>
      <c r="X107">
        <f>AND(IF(metadata!E107="",FALSE,TRUE),exact(metadata!E107,"UBERON:kidney"))</f>
        <v>0</v>
      </c>
      <c r="Y107">
        <f>AND(IF(metadata!F107="",FALSE,TRUE),exact(metadata!F107,"animal corpus"))</f>
        <v>0</v>
      </c>
      <c r="Z107">
        <f>AND(IF(metadata!G107="",FALSE,TRUE),exact(metadata!G107,"urine"))</f>
        <v>0</v>
      </c>
      <c r="AA107">
        <f>AND(IF(metadata!H107="",FALSE,TRUE),exact(metadata!H107,"urine"))</f>
        <v>0</v>
      </c>
      <c r="AB107">
        <f>AND(IF(metadata!I107="",FALSE,TRUE),exact(metadata!I107,"urine metagenome"))</f>
        <v>0</v>
      </c>
      <c r="AC107">
        <f>AND(IF(metadata!J107="",FALSE,TRUE),exact(metadata!J107,"1346744"))</f>
        <v>0</v>
      </c>
    </row>
    <row r="108" spans="1:29">
      <c r="A108" s="4">
        <f>IF(B108=" "," ",HYPERLINK(CONCATENATE("#metadata!",ADDRESS(INDEX($P$2:$P$1001,MATCH(ROWS($N$2:N108),$N$2:$N$1001,0),0),1)),INDEX($S$2:$S$1001,MATCH(ROWS($N$2:N108),$N$2:$N$1001,0),0)))</f>
        <v>0</v>
      </c>
      <c r="B108" s="3">
        <f>IF(OR(INDEX($O$2:$O$1001,MATCH(ROWS($N$2:N108),$N$2:$N$1001,0),1)&gt;=100000,INDEX($U$1005:$AC$1005,1,MATCH(COLUMNS($U$1006:U1006),$U$1006:$AC$1006,0))&gt;=100000), " ",IF(INDEX($U$2:$AC$1001,MATCH(ROWS($N$2:N108),$N$2:$N$1001,0),MATCH(COLUMNS($U$1006:U1006),$U$1006:$AC$1006,0)), HYPERLINK("#",""), HYPERLINK(CONCATENATE("#metadata!", ADDRESS(INDEX($P$2:$P$1001,MATCH(ROWS($N$2:N108),$N$2:$N$1001,0),0), INDEX($U$1004:$AC$1004,1,MATCH(COLUMNS($U$1006:U1006),$U$1006:$AC$1006,0)))),"Fix")))</f>
        <v>0</v>
      </c>
      <c r="C108" s="3">
        <f>IF(OR(INDEX($O$2:$O$1001,MATCH(ROWS($N$2:N108),$N$2:$N$1001,0),1)&gt;=100000,INDEX($U$1005:$AC$1005,1,MATCH(COLUMNS($U$1006:V1006),$U$1006:$AC$1006,0))&gt;=100000), " ",IF(INDEX($U$2:$AC$1001,MATCH(ROWS($N$2:N108),$N$2:$N$1001,0),MATCH(COLUMNS($U$1006:V1006),$U$1006:$AC$1006,0)), HYPERLINK("#",""), HYPERLINK(CONCATENATE("#metadata!", ADDRESS(INDEX($P$2:$P$1001,MATCH(ROWS($N$2:N108),$N$2:$N$1001,0),0), INDEX($U$1004:$AC$1004,1,MATCH(COLUMNS($U$1006:V1006),$U$1006:$AC$1006,0)))),"Fix")))</f>
        <v>0</v>
      </c>
      <c r="D108" s="3">
        <f>IF(OR(INDEX($O$2:$O$1001,MATCH(ROWS($N$2:N108),$N$2:$N$1001,0),1)&gt;=100000,INDEX($U$1005:$AC$1005,1,MATCH(COLUMNS($U$1006:W1006),$U$1006:$AC$1006,0))&gt;=100000), " ",IF(INDEX($U$2:$AC$1001,MATCH(ROWS($N$2:N108),$N$2:$N$1001,0),MATCH(COLUMNS($U$1006:W1006),$U$1006:$AC$1006,0)), HYPERLINK("#",""), HYPERLINK(CONCATENATE("#metadata!", ADDRESS(INDEX($P$2:$P$1001,MATCH(ROWS($N$2:N108),$N$2:$N$1001,0),0), INDEX($U$1004:$AC$1004,1,MATCH(COLUMNS($U$1006:W1006),$U$1006:$AC$1006,0)))),"Fix")))</f>
        <v>0</v>
      </c>
      <c r="E108" s="3">
        <f>IF(OR(INDEX($O$2:$O$1001,MATCH(ROWS($N$2:N108),$N$2:$N$1001,0),1)&gt;=100000,INDEX($U$1005:$AC$1005,1,MATCH(COLUMNS($U$1006:X1006),$U$1006:$AC$1006,0))&gt;=100000), " ",IF(INDEX($U$2:$AC$1001,MATCH(ROWS($N$2:N108),$N$2:$N$1001,0),MATCH(COLUMNS($U$1006:X1006),$U$1006:$AC$1006,0)), HYPERLINK("#",""), HYPERLINK(CONCATENATE("#metadata!", ADDRESS(INDEX($P$2:$P$1001,MATCH(ROWS($N$2:N108),$N$2:$N$1001,0),0), INDEX($U$1004:$AC$1004,1,MATCH(COLUMNS($U$1006:X1006),$U$1006:$AC$1006,0)))),"Fix")))</f>
        <v>0</v>
      </c>
      <c r="F108" s="3">
        <f>IF(OR(INDEX($O$2:$O$1001,MATCH(ROWS($N$2:N108),$N$2:$N$1001,0),1)&gt;=100000,INDEX($U$1005:$AC$1005,1,MATCH(COLUMNS($U$1006:Y1006),$U$1006:$AC$1006,0))&gt;=100000), " ",IF(INDEX($U$2:$AC$1001,MATCH(ROWS($N$2:N108),$N$2:$N$1001,0),MATCH(COLUMNS($U$1006:Y1006),$U$1006:$AC$1006,0)), HYPERLINK("#",""), HYPERLINK(CONCATENATE("#metadata!", ADDRESS(INDEX($P$2:$P$1001,MATCH(ROWS($N$2:N108),$N$2:$N$1001,0),0), INDEX($U$1004:$AC$1004,1,MATCH(COLUMNS($U$1006:Y1006),$U$1006:$AC$1006,0)))),"Fix")))</f>
        <v>0</v>
      </c>
      <c r="G108" s="3">
        <f>IF(OR(INDEX($O$2:$O$1001,MATCH(ROWS($N$2:N108),$N$2:$N$1001,0),1)&gt;=100000,INDEX($U$1005:$AC$1005,1,MATCH(COLUMNS($U$1006:Z1006),$U$1006:$AC$1006,0))&gt;=100000), " ",IF(INDEX($U$2:$AC$1001,MATCH(ROWS($N$2:N108),$N$2:$N$1001,0),MATCH(COLUMNS($U$1006:Z1006),$U$1006:$AC$1006,0)), HYPERLINK("#",""), HYPERLINK(CONCATENATE("#metadata!", ADDRESS(INDEX($P$2:$P$1001,MATCH(ROWS($N$2:N108),$N$2:$N$1001,0),0), INDEX($U$1004:$AC$1004,1,MATCH(COLUMNS($U$1006:Z1006),$U$1006:$AC$1006,0)))),"Fix")))</f>
        <v>0</v>
      </c>
      <c r="H108" s="3">
        <f>IF(OR(INDEX($O$2:$O$1001,MATCH(ROWS($N$2:N108),$N$2:$N$1001,0),1)&gt;=100000,INDEX($U$1005:$AC$1005,1,MATCH(COLUMNS($U$1006:AA1006),$U$1006:$AC$1006,0))&gt;=100000), " ",IF(INDEX($U$2:$AC$1001,MATCH(ROWS($N$2:N108),$N$2:$N$1001,0),MATCH(COLUMNS($U$1006:AA1006),$U$1006:$AC$1006,0)), HYPERLINK("#",""), HYPERLINK(CONCATENATE("#metadata!", ADDRESS(INDEX($P$2:$P$1001,MATCH(ROWS($N$2:N108),$N$2:$N$1001,0),0), INDEX($U$1004:$AC$1004,1,MATCH(COLUMNS($U$1006:AA1006),$U$1006:$AC$1006,0)))),"Fix")))</f>
        <v>0</v>
      </c>
      <c r="I108" s="3">
        <f>IF(OR(INDEX($O$2:$O$1001,MATCH(ROWS($N$2:N108),$N$2:$N$1001,0),1)&gt;=100000,INDEX($U$1005:$AC$1005,1,MATCH(COLUMNS($U$1006:AB1006),$U$1006:$AC$1006,0))&gt;=100000), " ",IF(INDEX($U$2:$AC$1001,MATCH(ROWS($N$2:N108),$N$2:$N$1001,0),MATCH(COLUMNS($U$1006:AB1006),$U$1006:$AC$1006,0)), HYPERLINK("#",""), HYPERLINK(CONCATENATE("#metadata!", ADDRESS(INDEX($P$2:$P$1001,MATCH(ROWS($N$2:N108),$N$2:$N$1001,0),0), INDEX($U$1004:$AC$1004,1,MATCH(COLUMNS($U$1006:AB1006),$U$1006:$AC$1006,0)))),"Fix")))</f>
        <v>0</v>
      </c>
      <c r="J108" s="3">
        <f>IF(OR(INDEX($O$2:$O$1001,MATCH(ROWS($N$2:N108),$N$2:$N$1001,0),1)&gt;=100000,INDEX($U$1005:$AC$1005,1,MATCH(COLUMNS($U$1006:AC1006),$U$1006:$AC$1006,0))&gt;=100000), " ",IF(INDEX($U$2:$AC$1001,MATCH(ROWS($N$2:N108),$N$2:$N$1001,0),MATCH(COLUMNS($U$1006:AC1006),$U$1006:$AC$1006,0)), HYPERLINK("#",""), HYPERLINK(CONCATENATE("#metadata!", ADDRESS(INDEX($P$2:$P$1001,MATCH(ROWS($N$2:N108),$N$2:$N$1001,0),0), INDEX($U$1004:$AC$1004,1,MATCH(COLUMNS($U$1006:AC1006),$U$1006:$AC$1006,0)))),"Fix")))</f>
        <v>0</v>
      </c>
      <c r="N108">
        <v>0</v>
      </c>
      <c r="O108">
        <v>0</v>
      </c>
      <c r="P108">
        <v>0</v>
      </c>
      <c r="Q108">
        <f>IF(R108,TRUE,AND(U108:AC108))</f>
        <v>0</v>
      </c>
      <c r="R108">
        <f>COUNTBLANK(metadata!B108:J108)=COLUMNS(metadata!B108:J108)</f>
        <v>0</v>
      </c>
      <c r="S108">
        <v>0</v>
      </c>
      <c r="U108">
        <f>AND(IF(metadata!B108="",FALSE,TRUE),COUNTIF(metadata!B:B, metadata!B108) = 1,NOT(ISERROR(SUMPRODUCT(SEARCH(MID(metadata!B108,ROW(INDIRECT("1:"&amp;LEN(metadata!B108))), 1),"0123456789abcdefghijklmnopqrstuvwxyzABCDEFGHIJKLMNOPQRSTUVWXYZ.")))))</f>
        <v>0</v>
      </c>
      <c r="V108">
        <f>AND(IF(metadata!C108="",FALSE,TRUE),exact(metadata!C108,"UBERON:genitourinary"))</f>
        <v>0</v>
      </c>
      <c r="W108">
        <f>AND(IF(metadata!D108="",FALSE,TRUE),exact(metadata!D108,"UBERON:urine"))</f>
        <v>0</v>
      </c>
      <c r="X108">
        <f>AND(IF(metadata!E108="",FALSE,TRUE),exact(metadata!E108,"UBERON:kidney"))</f>
        <v>0</v>
      </c>
      <c r="Y108">
        <f>AND(IF(metadata!F108="",FALSE,TRUE),exact(metadata!F108,"animal corpus"))</f>
        <v>0</v>
      </c>
      <c r="Z108">
        <f>AND(IF(metadata!G108="",FALSE,TRUE),exact(metadata!G108,"urine"))</f>
        <v>0</v>
      </c>
      <c r="AA108">
        <f>AND(IF(metadata!H108="",FALSE,TRUE),exact(metadata!H108,"urine"))</f>
        <v>0</v>
      </c>
      <c r="AB108">
        <f>AND(IF(metadata!I108="",FALSE,TRUE),exact(metadata!I108,"urine metagenome"))</f>
        <v>0</v>
      </c>
      <c r="AC108">
        <f>AND(IF(metadata!J108="",FALSE,TRUE),exact(metadata!J108,"1346744"))</f>
        <v>0</v>
      </c>
    </row>
    <row r="109" spans="1:29">
      <c r="A109" s="4">
        <f>IF(B109=" "," ",HYPERLINK(CONCATENATE("#metadata!",ADDRESS(INDEX($P$2:$P$1001,MATCH(ROWS($N$2:N109),$N$2:$N$1001,0),0),1)),INDEX($S$2:$S$1001,MATCH(ROWS($N$2:N109),$N$2:$N$1001,0),0)))</f>
        <v>0</v>
      </c>
      <c r="B109" s="3">
        <f>IF(OR(INDEX($O$2:$O$1001,MATCH(ROWS($N$2:N109),$N$2:$N$1001,0),1)&gt;=100000,INDEX($U$1005:$AC$1005,1,MATCH(COLUMNS($U$1006:U1006),$U$1006:$AC$1006,0))&gt;=100000), " ",IF(INDEX($U$2:$AC$1001,MATCH(ROWS($N$2:N109),$N$2:$N$1001,0),MATCH(COLUMNS($U$1006:U1006),$U$1006:$AC$1006,0)), HYPERLINK("#",""), HYPERLINK(CONCATENATE("#metadata!", ADDRESS(INDEX($P$2:$P$1001,MATCH(ROWS($N$2:N109),$N$2:$N$1001,0),0), INDEX($U$1004:$AC$1004,1,MATCH(COLUMNS($U$1006:U1006),$U$1006:$AC$1006,0)))),"Fix")))</f>
        <v>0</v>
      </c>
      <c r="C109" s="3">
        <f>IF(OR(INDEX($O$2:$O$1001,MATCH(ROWS($N$2:N109),$N$2:$N$1001,0),1)&gt;=100000,INDEX($U$1005:$AC$1005,1,MATCH(COLUMNS($U$1006:V1006),$U$1006:$AC$1006,0))&gt;=100000), " ",IF(INDEX($U$2:$AC$1001,MATCH(ROWS($N$2:N109),$N$2:$N$1001,0),MATCH(COLUMNS($U$1006:V1006),$U$1006:$AC$1006,0)), HYPERLINK("#",""), HYPERLINK(CONCATENATE("#metadata!", ADDRESS(INDEX($P$2:$P$1001,MATCH(ROWS($N$2:N109),$N$2:$N$1001,0),0), INDEX($U$1004:$AC$1004,1,MATCH(COLUMNS($U$1006:V1006),$U$1006:$AC$1006,0)))),"Fix")))</f>
        <v>0</v>
      </c>
      <c r="D109" s="3">
        <f>IF(OR(INDEX($O$2:$O$1001,MATCH(ROWS($N$2:N109),$N$2:$N$1001,0),1)&gt;=100000,INDEX($U$1005:$AC$1005,1,MATCH(COLUMNS($U$1006:W1006),$U$1006:$AC$1006,0))&gt;=100000), " ",IF(INDEX($U$2:$AC$1001,MATCH(ROWS($N$2:N109),$N$2:$N$1001,0),MATCH(COLUMNS($U$1006:W1006),$U$1006:$AC$1006,0)), HYPERLINK("#",""), HYPERLINK(CONCATENATE("#metadata!", ADDRESS(INDEX($P$2:$P$1001,MATCH(ROWS($N$2:N109),$N$2:$N$1001,0),0), INDEX($U$1004:$AC$1004,1,MATCH(COLUMNS($U$1006:W1006),$U$1006:$AC$1006,0)))),"Fix")))</f>
        <v>0</v>
      </c>
      <c r="E109" s="3">
        <f>IF(OR(INDEX($O$2:$O$1001,MATCH(ROWS($N$2:N109),$N$2:$N$1001,0),1)&gt;=100000,INDEX($U$1005:$AC$1005,1,MATCH(COLUMNS($U$1006:X1006),$U$1006:$AC$1006,0))&gt;=100000), " ",IF(INDEX($U$2:$AC$1001,MATCH(ROWS($N$2:N109),$N$2:$N$1001,0),MATCH(COLUMNS($U$1006:X1006),$U$1006:$AC$1006,0)), HYPERLINK("#",""), HYPERLINK(CONCATENATE("#metadata!", ADDRESS(INDEX($P$2:$P$1001,MATCH(ROWS($N$2:N109),$N$2:$N$1001,0),0), INDEX($U$1004:$AC$1004,1,MATCH(COLUMNS($U$1006:X1006),$U$1006:$AC$1006,0)))),"Fix")))</f>
        <v>0</v>
      </c>
      <c r="F109" s="3">
        <f>IF(OR(INDEX($O$2:$O$1001,MATCH(ROWS($N$2:N109),$N$2:$N$1001,0),1)&gt;=100000,INDEX($U$1005:$AC$1005,1,MATCH(COLUMNS($U$1006:Y1006),$U$1006:$AC$1006,0))&gt;=100000), " ",IF(INDEX($U$2:$AC$1001,MATCH(ROWS($N$2:N109),$N$2:$N$1001,0),MATCH(COLUMNS($U$1006:Y1006),$U$1006:$AC$1006,0)), HYPERLINK("#",""), HYPERLINK(CONCATENATE("#metadata!", ADDRESS(INDEX($P$2:$P$1001,MATCH(ROWS($N$2:N109),$N$2:$N$1001,0),0), INDEX($U$1004:$AC$1004,1,MATCH(COLUMNS($U$1006:Y1006),$U$1006:$AC$1006,0)))),"Fix")))</f>
        <v>0</v>
      </c>
      <c r="G109" s="3">
        <f>IF(OR(INDEX($O$2:$O$1001,MATCH(ROWS($N$2:N109),$N$2:$N$1001,0),1)&gt;=100000,INDEX($U$1005:$AC$1005,1,MATCH(COLUMNS($U$1006:Z1006),$U$1006:$AC$1006,0))&gt;=100000), " ",IF(INDEX($U$2:$AC$1001,MATCH(ROWS($N$2:N109),$N$2:$N$1001,0),MATCH(COLUMNS($U$1006:Z1006),$U$1006:$AC$1006,0)), HYPERLINK("#",""), HYPERLINK(CONCATENATE("#metadata!", ADDRESS(INDEX($P$2:$P$1001,MATCH(ROWS($N$2:N109),$N$2:$N$1001,0),0), INDEX($U$1004:$AC$1004,1,MATCH(COLUMNS($U$1006:Z1006),$U$1006:$AC$1006,0)))),"Fix")))</f>
        <v>0</v>
      </c>
      <c r="H109" s="3">
        <f>IF(OR(INDEX($O$2:$O$1001,MATCH(ROWS($N$2:N109),$N$2:$N$1001,0),1)&gt;=100000,INDEX($U$1005:$AC$1005,1,MATCH(COLUMNS($U$1006:AA1006),$U$1006:$AC$1006,0))&gt;=100000), " ",IF(INDEX($U$2:$AC$1001,MATCH(ROWS($N$2:N109),$N$2:$N$1001,0),MATCH(COLUMNS($U$1006:AA1006),$U$1006:$AC$1006,0)), HYPERLINK("#",""), HYPERLINK(CONCATENATE("#metadata!", ADDRESS(INDEX($P$2:$P$1001,MATCH(ROWS($N$2:N109),$N$2:$N$1001,0),0), INDEX($U$1004:$AC$1004,1,MATCH(COLUMNS($U$1006:AA1006),$U$1006:$AC$1006,0)))),"Fix")))</f>
        <v>0</v>
      </c>
      <c r="I109" s="3">
        <f>IF(OR(INDEX($O$2:$O$1001,MATCH(ROWS($N$2:N109),$N$2:$N$1001,0),1)&gt;=100000,INDEX($U$1005:$AC$1005,1,MATCH(COLUMNS($U$1006:AB1006),$U$1006:$AC$1006,0))&gt;=100000), " ",IF(INDEX($U$2:$AC$1001,MATCH(ROWS($N$2:N109),$N$2:$N$1001,0),MATCH(COLUMNS($U$1006:AB1006),$U$1006:$AC$1006,0)), HYPERLINK("#",""), HYPERLINK(CONCATENATE("#metadata!", ADDRESS(INDEX($P$2:$P$1001,MATCH(ROWS($N$2:N109),$N$2:$N$1001,0),0), INDEX($U$1004:$AC$1004,1,MATCH(COLUMNS($U$1006:AB1006),$U$1006:$AC$1006,0)))),"Fix")))</f>
        <v>0</v>
      </c>
      <c r="J109" s="3">
        <f>IF(OR(INDEX($O$2:$O$1001,MATCH(ROWS($N$2:N109),$N$2:$N$1001,0),1)&gt;=100000,INDEX($U$1005:$AC$1005,1,MATCH(COLUMNS($U$1006:AC1006),$U$1006:$AC$1006,0))&gt;=100000), " ",IF(INDEX($U$2:$AC$1001,MATCH(ROWS($N$2:N109),$N$2:$N$1001,0),MATCH(COLUMNS($U$1006:AC1006),$U$1006:$AC$1006,0)), HYPERLINK("#",""), HYPERLINK(CONCATENATE("#metadata!", ADDRESS(INDEX($P$2:$P$1001,MATCH(ROWS($N$2:N109),$N$2:$N$1001,0),0), INDEX($U$1004:$AC$1004,1,MATCH(COLUMNS($U$1006:AC1006),$U$1006:$AC$1006,0)))),"Fix")))</f>
        <v>0</v>
      </c>
      <c r="N109">
        <v>0</v>
      </c>
      <c r="O109">
        <v>0</v>
      </c>
      <c r="P109">
        <v>0</v>
      </c>
      <c r="Q109">
        <f>IF(R109,TRUE,AND(U109:AC109))</f>
        <v>0</v>
      </c>
      <c r="R109">
        <f>COUNTBLANK(metadata!B109:J109)=COLUMNS(metadata!B109:J109)</f>
        <v>0</v>
      </c>
      <c r="S109">
        <v>0</v>
      </c>
      <c r="U109">
        <f>AND(IF(metadata!B109="",FALSE,TRUE),COUNTIF(metadata!B:B, metadata!B109) = 1,NOT(ISERROR(SUMPRODUCT(SEARCH(MID(metadata!B109,ROW(INDIRECT("1:"&amp;LEN(metadata!B109))), 1),"0123456789abcdefghijklmnopqrstuvwxyzABCDEFGHIJKLMNOPQRSTUVWXYZ.")))))</f>
        <v>0</v>
      </c>
      <c r="V109">
        <f>AND(IF(metadata!C109="",FALSE,TRUE),exact(metadata!C109,"UBERON:genitourinary"))</f>
        <v>0</v>
      </c>
      <c r="W109">
        <f>AND(IF(metadata!D109="",FALSE,TRUE),exact(metadata!D109,"UBERON:urine"))</f>
        <v>0</v>
      </c>
      <c r="X109">
        <f>AND(IF(metadata!E109="",FALSE,TRUE),exact(metadata!E109,"UBERON:kidney"))</f>
        <v>0</v>
      </c>
      <c r="Y109">
        <f>AND(IF(metadata!F109="",FALSE,TRUE),exact(metadata!F109,"animal corpus"))</f>
        <v>0</v>
      </c>
      <c r="Z109">
        <f>AND(IF(metadata!G109="",FALSE,TRUE),exact(metadata!G109,"urine"))</f>
        <v>0</v>
      </c>
      <c r="AA109">
        <f>AND(IF(metadata!H109="",FALSE,TRUE),exact(metadata!H109,"urine"))</f>
        <v>0</v>
      </c>
      <c r="AB109">
        <f>AND(IF(metadata!I109="",FALSE,TRUE),exact(metadata!I109,"urine metagenome"))</f>
        <v>0</v>
      </c>
      <c r="AC109">
        <f>AND(IF(metadata!J109="",FALSE,TRUE),exact(metadata!J109,"1346744"))</f>
        <v>0</v>
      </c>
    </row>
    <row r="110" spans="1:29">
      <c r="A110" s="4">
        <f>IF(B110=" "," ",HYPERLINK(CONCATENATE("#metadata!",ADDRESS(INDEX($P$2:$P$1001,MATCH(ROWS($N$2:N110),$N$2:$N$1001,0),0),1)),INDEX($S$2:$S$1001,MATCH(ROWS($N$2:N110),$N$2:$N$1001,0),0)))</f>
        <v>0</v>
      </c>
      <c r="B110" s="3">
        <f>IF(OR(INDEX($O$2:$O$1001,MATCH(ROWS($N$2:N110),$N$2:$N$1001,0),1)&gt;=100000,INDEX($U$1005:$AC$1005,1,MATCH(COLUMNS($U$1006:U1006),$U$1006:$AC$1006,0))&gt;=100000), " ",IF(INDEX($U$2:$AC$1001,MATCH(ROWS($N$2:N110),$N$2:$N$1001,0),MATCH(COLUMNS($U$1006:U1006),$U$1006:$AC$1006,0)), HYPERLINK("#",""), HYPERLINK(CONCATENATE("#metadata!", ADDRESS(INDEX($P$2:$P$1001,MATCH(ROWS($N$2:N110),$N$2:$N$1001,0),0), INDEX($U$1004:$AC$1004,1,MATCH(COLUMNS($U$1006:U1006),$U$1006:$AC$1006,0)))),"Fix")))</f>
        <v>0</v>
      </c>
      <c r="C110" s="3">
        <f>IF(OR(INDEX($O$2:$O$1001,MATCH(ROWS($N$2:N110),$N$2:$N$1001,0),1)&gt;=100000,INDEX($U$1005:$AC$1005,1,MATCH(COLUMNS($U$1006:V1006),$U$1006:$AC$1006,0))&gt;=100000), " ",IF(INDEX($U$2:$AC$1001,MATCH(ROWS($N$2:N110),$N$2:$N$1001,0),MATCH(COLUMNS($U$1006:V1006),$U$1006:$AC$1006,0)), HYPERLINK("#",""), HYPERLINK(CONCATENATE("#metadata!", ADDRESS(INDEX($P$2:$P$1001,MATCH(ROWS($N$2:N110),$N$2:$N$1001,0),0), INDEX($U$1004:$AC$1004,1,MATCH(COLUMNS($U$1006:V1006),$U$1006:$AC$1006,0)))),"Fix")))</f>
        <v>0</v>
      </c>
      <c r="D110" s="3">
        <f>IF(OR(INDEX($O$2:$O$1001,MATCH(ROWS($N$2:N110),$N$2:$N$1001,0),1)&gt;=100000,INDEX($U$1005:$AC$1005,1,MATCH(COLUMNS($U$1006:W1006),$U$1006:$AC$1006,0))&gt;=100000), " ",IF(INDEX($U$2:$AC$1001,MATCH(ROWS($N$2:N110),$N$2:$N$1001,0),MATCH(COLUMNS($U$1006:W1006),$U$1006:$AC$1006,0)), HYPERLINK("#",""), HYPERLINK(CONCATENATE("#metadata!", ADDRESS(INDEX($P$2:$P$1001,MATCH(ROWS($N$2:N110),$N$2:$N$1001,0),0), INDEX($U$1004:$AC$1004,1,MATCH(COLUMNS($U$1006:W1006),$U$1006:$AC$1006,0)))),"Fix")))</f>
        <v>0</v>
      </c>
      <c r="E110" s="3">
        <f>IF(OR(INDEX($O$2:$O$1001,MATCH(ROWS($N$2:N110),$N$2:$N$1001,0),1)&gt;=100000,INDEX($U$1005:$AC$1005,1,MATCH(COLUMNS($U$1006:X1006),$U$1006:$AC$1006,0))&gt;=100000), " ",IF(INDEX($U$2:$AC$1001,MATCH(ROWS($N$2:N110),$N$2:$N$1001,0),MATCH(COLUMNS($U$1006:X1006),$U$1006:$AC$1006,0)), HYPERLINK("#",""), HYPERLINK(CONCATENATE("#metadata!", ADDRESS(INDEX($P$2:$P$1001,MATCH(ROWS($N$2:N110),$N$2:$N$1001,0),0), INDEX($U$1004:$AC$1004,1,MATCH(COLUMNS($U$1006:X1006),$U$1006:$AC$1006,0)))),"Fix")))</f>
        <v>0</v>
      </c>
      <c r="F110" s="3">
        <f>IF(OR(INDEX($O$2:$O$1001,MATCH(ROWS($N$2:N110),$N$2:$N$1001,0),1)&gt;=100000,INDEX($U$1005:$AC$1005,1,MATCH(COLUMNS($U$1006:Y1006),$U$1006:$AC$1006,0))&gt;=100000), " ",IF(INDEX($U$2:$AC$1001,MATCH(ROWS($N$2:N110),$N$2:$N$1001,0),MATCH(COLUMNS($U$1006:Y1006),$U$1006:$AC$1006,0)), HYPERLINK("#",""), HYPERLINK(CONCATENATE("#metadata!", ADDRESS(INDEX($P$2:$P$1001,MATCH(ROWS($N$2:N110),$N$2:$N$1001,0),0), INDEX($U$1004:$AC$1004,1,MATCH(COLUMNS($U$1006:Y1006),$U$1006:$AC$1006,0)))),"Fix")))</f>
        <v>0</v>
      </c>
      <c r="G110" s="3">
        <f>IF(OR(INDEX($O$2:$O$1001,MATCH(ROWS($N$2:N110),$N$2:$N$1001,0),1)&gt;=100000,INDEX($U$1005:$AC$1005,1,MATCH(COLUMNS($U$1006:Z1006),$U$1006:$AC$1006,0))&gt;=100000), " ",IF(INDEX($U$2:$AC$1001,MATCH(ROWS($N$2:N110),$N$2:$N$1001,0),MATCH(COLUMNS($U$1006:Z1006),$U$1006:$AC$1006,0)), HYPERLINK("#",""), HYPERLINK(CONCATENATE("#metadata!", ADDRESS(INDEX($P$2:$P$1001,MATCH(ROWS($N$2:N110),$N$2:$N$1001,0),0), INDEX($U$1004:$AC$1004,1,MATCH(COLUMNS($U$1006:Z1006),$U$1006:$AC$1006,0)))),"Fix")))</f>
        <v>0</v>
      </c>
      <c r="H110" s="3">
        <f>IF(OR(INDEX($O$2:$O$1001,MATCH(ROWS($N$2:N110),$N$2:$N$1001,0),1)&gt;=100000,INDEX($U$1005:$AC$1005,1,MATCH(COLUMNS($U$1006:AA1006),$U$1006:$AC$1006,0))&gt;=100000), " ",IF(INDEX($U$2:$AC$1001,MATCH(ROWS($N$2:N110),$N$2:$N$1001,0),MATCH(COLUMNS($U$1006:AA1006),$U$1006:$AC$1006,0)), HYPERLINK("#",""), HYPERLINK(CONCATENATE("#metadata!", ADDRESS(INDEX($P$2:$P$1001,MATCH(ROWS($N$2:N110),$N$2:$N$1001,0),0), INDEX($U$1004:$AC$1004,1,MATCH(COLUMNS($U$1006:AA1006),$U$1006:$AC$1006,0)))),"Fix")))</f>
        <v>0</v>
      </c>
      <c r="I110" s="3">
        <f>IF(OR(INDEX($O$2:$O$1001,MATCH(ROWS($N$2:N110),$N$2:$N$1001,0),1)&gt;=100000,INDEX($U$1005:$AC$1005,1,MATCH(COLUMNS($U$1006:AB1006),$U$1006:$AC$1006,0))&gt;=100000), " ",IF(INDEX($U$2:$AC$1001,MATCH(ROWS($N$2:N110),$N$2:$N$1001,0),MATCH(COLUMNS($U$1006:AB1006),$U$1006:$AC$1006,0)), HYPERLINK("#",""), HYPERLINK(CONCATENATE("#metadata!", ADDRESS(INDEX($P$2:$P$1001,MATCH(ROWS($N$2:N110),$N$2:$N$1001,0),0), INDEX($U$1004:$AC$1004,1,MATCH(COLUMNS($U$1006:AB1006),$U$1006:$AC$1006,0)))),"Fix")))</f>
        <v>0</v>
      </c>
      <c r="J110" s="3">
        <f>IF(OR(INDEX($O$2:$O$1001,MATCH(ROWS($N$2:N110),$N$2:$N$1001,0),1)&gt;=100000,INDEX($U$1005:$AC$1005,1,MATCH(COLUMNS($U$1006:AC1006),$U$1006:$AC$1006,0))&gt;=100000), " ",IF(INDEX($U$2:$AC$1001,MATCH(ROWS($N$2:N110),$N$2:$N$1001,0),MATCH(COLUMNS($U$1006:AC1006),$U$1006:$AC$1006,0)), HYPERLINK("#",""), HYPERLINK(CONCATENATE("#metadata!", ADDRESS(INDEX($P$2:$P$1001,MATCH(ROWS($N$2:N110),$N$2:$N$1001,0),0), INDEX($U$1004:$AC$1004,1,MATCH(COLUMNS($U$1006:AC1006),$U$1006:$AC$1006,0)))),"Fix")))</f>
        <v>0</v>
      </c>
      <c r="N110">
        <v>0</v>
      </c>
      <c r="O110">
        <v>0</v>
      </c>
      <c r="P110">
        <v>0</v>
      </c>
      <c r="Q110">
        <f>IF(R110,TRUE,AND(U110:AC110))</f>
        <v>0</v>
      </c>
      <c r="R110">
        <f>COUNTBLANK(metadata!B110:J110)=COLUMNS(metadata!B110:J110)</f>
        <v>0</v>
      </c>
      <c r="S110">
        <v>0</v>
      </c>
      <c r="U110">
        <f>AND(IF(metadata!B110="",FALSE,TRUE),COUNTIF(metadata!B:B, metadata!B110) = 1,NOT(ISERROR(SUMPRODUCT(SEARCH(MID(metadata!B110,ROW(INDIRECT("1:"&amp;LEN(metadata!B110))), 1),"0123456789abcdefghijklmnopqrstuvwxyzABCDEFGHIJKLMNOPQRSTUVWXYZ.")))))</f>
        <v>0</v>
      </c>
      <c r="V110">
        <f>AND(IF(metadata!C110="",FALSE,TRUE),exact(metadata!C110,"UBERON:genitourinary"))</f>
        <v>0</v>
      </c>
      <c r="W110">
        <f>AND(IF(metadata!D110="",FALSE,TRUE),exact(metadata!D110,"UBERON:urine"))</f>
        <v>0</v>
      </c>
      <c r="X110">
        <f>AND(IF(metadata!E110="",FALSE,TRUE),exact(metadata!E110,"UBERON:kidney"))</f>
        <v>0</v>
      </c>
      <c r="Y110">
        <f>AND(IF(metadata!F110="",FALSE,TRUE),exact(metadata!F110,"animal corpus"))</f>
        <v>0</v>
      </c>
      <c r="Z110">
        <f>AND(IF(metadata!G110="",FALSE,TRUE),exact(metadata!G110,"urine"))</f>
        <v>0</v>
      </c>
      <c r="AA110">
        <f>AND(IF(metadata!H110="",FALSE,TRUE),exact(metadata!H110,"urine"))</f>
        <v>0</v>
      </c>
      <c r="AB110">
        <f>AND(IF(metadata!I110="",FALSE,TRUE),exact(metadata!I110,"urine metagenome"))</f>
        <v>0</v>
      </c>
      <c r="AC110">
        <f>AND(IF(metadata!J110="",FALSE,TRUE),exact(metadata!J110,"1346744"))</f>
        <v>0</v>
      </c>
    </row>
    <row r="111" spans="1:29">
      <c r="A111" s="4">
        <f>IF(B111=" "," ",HYPERLINK(CONCATENATE("#metadata!",ADDRESS(INDEX($P$2:$P$1001,MATCH(ROWS($N$2:N111),$N$2:$N$1001,0),0),1)),INDEX($S$2:$S$1001,MATCH(ROWS($N$2:N111),$N$2:$N$1001,0),0)))</f>
        <v>0</v>
      </c>
      <c r="B111" s="3">
        <f>IF(OR(INDEX($O$2:$O$1001,MATCH(ROWS($N$2:N111),$N$2:$N$1001,0),1)&gt;=100000,INDEX($U$1005:$AC$1005,1,MATCH(COLUMNS($U$1006:U1006),$U$1006:$AC$1006,0))&gt;=100000), " ",IF(INDEX($U$2:$AC$1001,MATCH(ROWS($N$2:N111),$N$2:$N$1001,0),MATCH(COLUMNS($U$1006:U1006),$U$1006:$AC$1006,0)), HYPERLINK("#",""), HYPERLINK(CONCATENATE("#metadata!", ADDRESS(INDEX($P$2:$P$1001,MATCH(ROWS($N$2:N111),$N$2:$N$1001,0),0), INDEX($U$1004:$AC$1004,1,MATCH(COLUMNS($U$1006:U1006),$U$1006:$AC$1006,0)))),"Fix")))</f>
        <v>0</v>
      </c>
      <c r="C111" s="3">
        <f>IF(OR(INDEX($O$2:$O$1001,MATCH(ROWS($N$2:N111),$N$2:$N$1001,0),1)&gt;=100000,INDEX($U$1005:$AC$1005,1,MATCH(COLUMNS($U$1006:V1006),$U$1006:$AC$1006,0))&gt;=100000), " ",IF(INDEX($U$2:$AC$1001,MATCH(ROWS($N$2:N111),$N$2:$N$1001,0),MATCH(COLUMNS($U$1006:V1006),$U$1006:$AC$1006,0)), HYPERLINK("#",""), HYPERLINK(CONCATENATE("#metadata!", ADDRESS(INDEX($P$2:$P$1001,MATCH(ROWS($N$2:N111),$N$2:$N$1001,0),0), INDEX($U$1004:$AC$1004,1,MATCH(COLUMNS($U$1006:V1006),$U$1006:$AC$1006,0)))),"Fix")))</f>
        <v>0</v>
      </c>
      <c r="D111" s="3">
        <f>IF(OR(INDEX($O$2:$O$1001,MATCH(ROWS($N$2:N111),$N$2:$N$1001,0),1)&gt;=100000,INDEX($U$1005:$AC$1005,1,MATCH(COLUMNS($U$1006:W1006),$U$1006:$AC$1006,0))&gt;=100000), " ",IF(INDEX($U$2:$AC$1001,MATCH(ROWS($N$2:N111),$N$2:$N$1001,0),MATCH(COLUMNS($U$1006:W1006),$U$1006:$AC$1006,0)), HYPERLINK("#",""), HYPERLINK(CONCATENATE("#metadata!", ADDRESS(INDEX($P$2:$P$1001,MATCH(ROWS($N$2:N111),$N$2:$N$1001,0),0), INDEX($U$1004:$AC$1004,1,MATCH(COLUMNS($U$1006:W1006),$U$1006:$AC$1006,0)))),"Fix")))</f>
        <v>0</v>
      </c>
      <c r="E111" s="3">
        <f>IF(OR(INDEX($O$2:$O$1001,MATCH(ROWS($N$2:N111),$N$2:$N$1001,0),1)&gt;=100000,INDEX($U$1005:$AC$1005,1,MATCH(COLUMNS($U$1006:X1006),$U$1006:$AC$1006,0))&gt;=100000), " ",IF(INDEX($U$2:$AC$1001,MATCH(ROWS($N$2:N111),$N$2:$N$1001,0),MATCH(COLUMNS($U$1006:X1006),$U$1006:$AC$1006,0)), HYPERLINK("#",""), HYPERLINK(CONCATENATE("#metadata!", ADDRESS(INDEX($P$2:$P$1001,MATCH(ROWS($N$2:N111),$N$2:$N$1001,0),0), INDEX($U$1004:$AC$1004,1,MATCH(COLUMNS($U$1006:X1006),$U$1006:$AC$1006,0)))),"Fix")))</f>
        <v>0</v>
      </c>
      <c r="F111" s="3">
        <f>IF(OR(INDEX($O$2:$O$1001,MATCH(ROWS($N$2:N111),$N$2:$N$1001,0),1)&gt;=100000,INDEX($U$1005:$AC$1005,1,MATCH(COLUMNS($U$1006:Y1006),$U$1006:$AC$1006,0))&gt;=100000), " ",IF(INDEX($U$2:$AC$1001,MATCH(ROWS($N$2:N111),$N$2:$N$1001,0),MATCH(COLUMNS($U$1006:Y1006),$U$1006:$AC$1006,0)), HYPERLINK("#",""), HYPERLINK(CONCATENATE("#metadata!", ADDRESS(INDEX($P$2:$P$1001,MATCH(ROWS($N$2:N111),$N$2:$N$1001,0),0), INDEX($U$1004:$AC$1004,1,MATCH(COLUMNS($U$1006:Y1006),$U$1006:$AC$1006,0)))),"Fix")))</f>
        <v>0</v>
      </c>
      <c r="G111" s="3">
        <f>IF(OR(INDEX($O$2:$O$1001,MATCH(ROWS($N$2:N111),$N$2:$N$1001,0),1)&gt;=100000,INDEX($U$1005:$AC$1005,1,MATCH(COLUMNS($U$1006:Z1006),$U$1006:$AC$1006,0))&gt;=100000), " ",IF(INDEX($U$2:$AC$1001,MATCH(ROWS($N$2:N111),$N$2:$N$1001,0),MATCH(COLUMNS($U$1006:Z1006),$U$1006:$AC$1006,0)), HYPERLINK("#",""), HYPERLINK(CONCATENATE("#metadata!", ADDRESS(INDEX($P$2:$P$1001,MATCH(ROWS($N$2:N111),$N$2:$N$1001,0),0), INDEX($U$1004:$AC$1004,1,MATCH(COLUMNS($U$1006:Z1006),$U$1006:$AC$1006,0)))),"Fix")))</f>
        <v>0</v>
      </c>
      <c r="H111" s="3">
        <f>IF(OR(INDEX($O$2:$O$1001,MATCH(ROWS($N$2:N111),$N$2:$N$1001,0),1)&gt;=100000,INDEX($U$1005:$AC$1005,1,MATCH(COLUMNS($U$1006:AA1006),$U$1006:$AC$1006,0))&gt;=100000), " ",IF(INDEX($U$2:$AC$1001,MATCH(ROWS($N$2:N111),$N$2:$N$1001,0),MATCH(COLUMNS($U$1006:AA1006),$U$1006:$AC$1006,0)), HYPERLINK("#",""), HYPERLINK(CONCATENATE("#metadata!", ADDRESS(INDEX($P$2:$P$1001,MATCH(ROWS($N$2:N111),$N$2:$N$1001,0),0), INDEX($U$1004:$AC$1004,1,MATCH(COLUMNS($U$1006:AA1006),$U$1006:$AC$1006,0)))),"Fix")))</f>
        <v>0</v>
      </c>
      <c r="I111" s="3">
        <f>IF(OR(INDEX($O$2:$O$1001,MATCH(ROWS($N$2:N111),$N$2:$N$1001,0),1)&gt;=100000,INDEX($U$1005:$AC$1005,1,MATCH(COLUMNS($U$1006:AB1006),$U$1006:$AC$1006,0))&gt;=100000), " ",IF(INDEX($U$2:$AC$1001,MATCH(ROWS($N$2:N111),$N$2:$N$1001,0),MATCH(COLUMNS($U$1006:AB1006),$U$1006:$AC$1006,0)), HYPERLINK("#",""), HYPERLINK(CONCATENATE("#metadata!", ADDRESS(INDEX($P$2:$P$1001,MATCH(ROWS($N$2:N111),$N$2:$N$1001,0),0), INDEX($U$1004:$AC$1004,1,MATCH(COLUMNS($U$1006:AB1006),$U$1006:$AC$1006,0)))),"Fix")))</f>
        <v>0</v>
      </c>
      <c r="J111" s="3">
        <f>IF(OR(INDEX($O$2:$O$1001,MATCH(ROWS($N$2:N111),$N$2:$N$1001,0),1)&gt;=100000,INDEX($U$1005:$AC$1005,1,MATCH(COLUMNS($U$1006:AC1006),$U$1006:$AC$1006,0))&gt;=100000), " ",IF(INDEX($U$2:$AC$1001,MATCH(ROWS($N$2:N111),$N$2:$N$1001,0),MATCH(COLUMNS($U$1006:AC1006),$U$1006:$AC$1006,0)), HYPERLINK("#",""), HYPERLINK(CONCATENATE("#metadata!", ADDRESS(INDEX($P$2:$P$1001,MATCH(ROWS($N$2:N111),$N$2:$N$1001,0),0), INDEX($U$1004:$AC$1004,1,MATCH(COLUMNS($U$1006:AC1006),$U$1006:$AC$1006,0)))),"Fix")))</f>
        <v>0</v>
      </c>
      <c r="N111">
        <v>0</v>
      </c>
      <c r="O111">
        <v>0</v>
      </c>
      <c r="P111">
        <v>0</v>
      </c>
      <c r="Q111">
        <f>IF(R111,TRUE,AND(U111:AC111))</f>
        <v>0</v>
      </c>
      <c r="R111">
        <f>COUNTBLANK(metadata!B111:J111)=COLUMNS(metadata!B111:J111)</f>
        <v>0</v>
      </c>
      <c r="S111">
        <v>0</v>
      </c>
      <c r="U111">
        <f>AND(IF(metadata!B111="",FALSE,TRUE),COUNTIF(metadata!B:B, metadata!B111) = 1,NOT(ISERROR(SUMPRODUCT(SEARCH(MID(metadata!B111,ROW(INDIRECT("1:"&amp;LEN(metadata!B111))), 1),"0123456789abcdefghijklmnopqrstuvwxyzABCDEFGHIJKLMNOPQRSTUVWXYZ.")))))</f>
        <v>0</v>
      </c>
      <c r="V111">
        <f>AND(IF(metadata!C111="",FALSE,TRUE),exact(metadata!C111,"UBERON:genitourinary"))</f>
        <v>0</v>
      </c>
      <c r="W111">
        <f>AND(IF(metadata!D111="",FALSE,TRUE),exact(metadata!D111,"UBERON:urine"))</f>
        <v>0</v>
      </c>
      <c r="X111">
        <f>AND(IF(metadata!E111="",FALSE,TRUE),exact(metadata!E111,"UBERON:kidney"))</f>
        <v>0</v>
      </c>
      <c r="Y111">
        <f>AND(IF(metadata!F111="",FALSE,TRUE),exact(metadata!F111,"animal corpus"))</f>
        <v>0</v>
      </c>
      <c r="Z111">
        <f>AND(IF(metadata!G111="",FALSE,TRUE),exact(metadata!G111,"urine"))</f>
        <v>0</v>
      </c>
      <c r="AA111">
        <f>AND(IF(metadata!H111="",FALSE,TRUE),exact(metadata!H111,"urine"))</f>
        <v>0</v>
      </c>
      <c r="AB111">
        <f>AND(IF(metadata!I111="",FALSE,TRUE),exact(metadata!I111,"urine metagenome"))</f>
        <v>0</v>
      </c>
      <c r="AC111">
        <f>AND(IF(metadata!J111="",FALSE,TRUE),exact(metadata!J111,"1346744"))</f>
        <v>0</v>
      </c>
    </row>
    <row r="112" spans="1:29">
      <c r="A112" s="4">
        <f>IF(B112=" "," ",HYPERLINK(CONCATENATE("#metadata!",ADDRESS(INDEX($P$2:$P$1001,MATCH(ROWS($N$2:N112),$N$2:$N$1001,0),0),1)),INDEX($S$2:$S$1001,MATCH(ROWS($N$2:N112),$N$2:$N$1001,0),0)))</f>
        <v>0</v>
      </c>
      <c r="B112" s="3">
        <f>IF(OR(INDEX($O$2:$O$1001,MATCH(ROWS($N$2:N112),$N$2:$N$1001,0),1)&gt;=100000,INDEX($U$1005:$AC$1005,1,MATCH(COLUMNS($U$1006:U1006),$U$1006:$AC$1006,0))&gt;=100000), " ",IF(INDEX($U$2:$AC$1001,MATCH(ROWS($N$2:N112),$N$2:$N$1001,0),MATCH(COLUMNS($U$1006:U1006),$U$1006:$AC$1006,0)), HYPERLINK("#",""), HYPERLINK(CONCATENATE("#metadata!", ADDRESS(INDEX($P$2:$P$1001,MATCH(ROWS($N$2:N112),$N$2:$N$1001,0),0), INDEX($U$1004:$AC$1004,1,MATCH(COLUMNS($U$1006:U1006),$U$1006:$AC$1006,0)))),"Fix")))</f>
        <v>0</v>
      </c>
      <c r="C112" s="3">
        <f>IF(OR(INDEX($O$2:$O$1001,MATCH(ROWS($N$2:N112),$N$2:$N$1001,0),1)&gt;=100000,INDEX($U$1005:$AC$1005,1,MATCH(COLUMNS($U$1006:V1006),$U$1006:$AC$1006,0))&gt;=100000), " ",IF(INDEX($U$2:$AC$1001,MATCH(ROWS($N$2:N112),$N$2:$N$1001,0),MATCH(COLUMNS($U$1006:V1006),$U$1006:$AC$1006,0)), HYPERLINK("#",""), HYPERLINK(CONCATENATE("#metadata!", ADDRESS(INDEX($P$2:$P$1001,MATCH(ROWS($N$2:N112),$N$2:$N$1001,0),0), INDEX($U$1004:$AC$1004,1,MATCH(COLUMNS($U$1006:V1006),$U$1006:$AC$1006,0)))),"Fix")))</f>
        <v>0</v>
      </c>
      <c r="D112" s="3">
        <f>IF(OR(INDEX($O$2:$O$1001,MATCH(ROWS($N$2:N112),$N$2:$N$1001,0),1)&gt;=100000,INDEX($U$1005:$AC$1005,1,MATCH(COLUMNS($U$1006:W1006),$U$1006:$AC$1006,0))&gt;=100000), " ",IF(INDEX($U$2:$AC$1001,MATCH(ROWS($N$2:N112),$N$2:$N$1001,0),MATCH(COLUMNS($U$1006:W1006),$U$1006:$AC$1006,0)), HYPERLINK("#",""), HYPERLINK(CONCATENATE("#metadata!", ADDRESS(INDEX($P$2:$P$1001,MATCH(ROWS($N$2:N112),$N$2:$N$1001,0),0), INDEX($U$1004:$AC$1004,1,MATCH(COLUMNS($U$1006:W1006),$U$1006:$AC$1006,0)))),"Fix")))</f>
        <v>0</v>
      </c>
      <c r="E112" s="3">
        <f>IF(OR(INDEX($O$2:$O$1001,MATCH(ROWS($N$2:N112),$N$2:$N$1001,0),1)&gt;=100000,INDEX($U$1005:$AC$1005,1,MATCH(COLUMNS($U$1006:X1006),$U$1006:$AC$1006,0))&gt;=100000), " ",IF(INDEX($U$2:$AC$1001,MATCH(ROWS($N$2:N112),$N$2:$N$1001,0),MATCH(COLUMNS($U$1006:X1006),$U$1006:$AC$1006,0)), HYPERLINK("#",""), HYPERLINK(CONCATENATE("#metadata!", ADDRESS(INDEX($P$2:$P$1001,MATCH(ROWS($N$2:N112),$N$2:$N$1001,0),0), INDEX($U$1004:$AC$1004,1,MATCH(COLUMNS($U$1006:X1006),$U$1006:$AC$1006,0)))),"Fix")))</f>
        <v>0</v>
      </c>
      <c r="F112" s="3">
        <f>IF(OR(INDEX($O$2:$O$1001,MATCH(ROWS($N$2:N112),$N$2:$N$1001,0),1)&gt;=100000,INDEX($U$1005:$AC$1005,1,MATCH(COLUMNS($U$1006:Y1006),$U$1006:$AC$1006,0))&gt;=100000), " ",IF(INDEX($U$2:$AC$1001,MATCH(ROWS($N$2:N112),$N$2:$N$1001,0),MATCH(COLUMNS($U$1006:Y1006),$U$1006:$AC$1006,0)), HYPERLINK("#",""), HYPERLINK(CONCATENATE("#metadata!", ADDRESS(INDEX($P$2:$P$1001,MATCH(ROWS($N$2:N112),$N$2:$N$1001,0),0), INDEX($U$1004:$AC$1004,1,MATCH(COLUMNS($U$1006:Y1006),$U$1006:$AC$1006,0)))),"Fix")))</f>
        <v>0</v>
      </c>
      <c r="G112" s="3">
        <f>IF(OR(INDEX($O$2:$O$1001,MATCH(ROWS($N$2:N112),$N$2:$N$1001,0),1)&gt;=100000,INDEX($U$1005:$AC$1005,1,MATCH(COLUMNS($U$1006:Z1006),$U$1006:$AC$1006,0))&gt;=100000), " ",IF(INDEX($U$2:$AC$1001,MATCH(ROWS($N$2:N112),$N$2:$N$1001,0),MATCH(COLUMNS($U$1006:Z1006),$U$1006:$AC$1006,0)), HYPERLINK("#",""), HYPERLINK(CONCATENATE("#metadata!", ADDRESS(INDEX($P$2:$P$1001,MATCH(ROWS($N$2:N112),$N$2:$N$1001,0),0), INDEX($U$1004:$AC$1004,1,MATCH(COLUMNS($U$1006:Z1006),$U$1006:$AC$1006,0)))),"Fix")))</f>
        <v>0</v>
      </c>
      <c r="H112" s="3">
        <f>IF(OR(INDEX($O$2:$O$1001,MATCH(ROWS($N$2:N112),$N$2:$N$1001,0),1)&gt;=100000,INDEX($U$1005:$AC$1005,1,MATCH(COLUMNS($U$1006:AA1006),$U$1006:$AC$1006,0))&gt;=100000), " ",IF(INDEX($U$2:$AC$1001,MATCH(ROWS($N$2:N112),$N$2:$N$1001,0),MATCH(COLUMNS($U$1006:AA1006),$U$1006:$AC$1006,0)), HYPERLINK("#",""), HYPERLINK(CONCATENATE("#metadata!", ADDRESS(INDEX($P$2:$P$1001,MATCH(ROWS($N$2:N112),$N$2:$N$1001,0),0), INDEX($U$1004:$AC$1004,1,MATCH(COLUMNS($U$1006:AA1006),$U$1006:$AC$1006,0)))),"Fix")))</f>
        <v>0</v>
      </c>
      <c r="I112" s="3">
        <f>IF(OR(INDEX($O$2:$O$1001,MATCH(ROWS($N$2:N112),$N$2:$N$1001,0),1)&gt;=100000,INDEX($U$1005:$AC$1005,1,MATCH(COLUMNS($U$1006:AB1006),$U$1006:$AC$1006,0))&gt;=100000), " ",IF(INDEX($U$2:$AC$1001,MATCH(ROWS($N$2:N112),$N$2:$N$1001,0),MATCH(COLUMNS($U$1006:AB1006),$U$1006:$AC$1006,0)), HYPERLINK("#",""), HYPERLINK(CONCATENATE("#metadata!", ADDRESS(INDEX($P$2:$P$1001,MATCH(ROWS($N$2:N112),$N$2:$N$1001,0),0), INDEX($U$1004:$AC$1004,1,MATCH(COLUMNS($U$1006:AB1006),$U$1006:$AC$1006,0)))),"Fix")))</f>
        <v>0</v>
      </c>
      <c r="J112" s="3">
        <f>IF(OR(INDEX($O$2:$O$1001,MATCH(ROWS($N$2:N112),$N$2:$N$1001,0),1)&gt;=100000,INDEX($U$1005:$AC$1005,1,MATCH(COLUMNS($U$1006:AC1006),$U$1006:$AC$1006,0))&gt;=100000), " ",IF(INDEX($U$2:$AC$1001,MATCH(ROWS($N$2:N112),$N$2:$N$1001,0),MATCH(COLUMNS($U$1006:AC1006),$U$1006:$AC$1006,0)), HYPERLINK("#",""), HYPERLINK(CONCATENATE("#metadata!", ADDRESS(INDEX($P$2:$P$1001,MATCH(ROWS($N$2:N112),$N$2:$N$1001,0),0), INDEX($U$1004:$AC$1004,1,MATCH(COLUMNS($U$1006:AC1006),$U$1006:$AC$1006,0)))),"Fix")))</f>
        <v>0</v>
      </c>
      <c r="N112">
        <v>0</v>
      </c>
      <c r="O112">
        <v>0</v>
      </c>
      <c r="P112">
        <v>0</v>
      </c>
      <c r="Q112">
        <f>IF(R112,TRUE,AND(U112:AC112))</f>
        <v>0</v>
      </c>
      <c r="R112">
        <f>COUNTBLANK(metadata!B112:J112)=COLUMNS(metadata!B112:J112)</f>
        <v>0</v>
      </c>
      <c r="S112">
        <v>0</v>
      </c>
      <c r="U112">
        <f>AND(IF(metadata!B112="",FALSE,TRUE),COUNTIF(metadata!B:B, metadata!B112) = 1,NOT(ISERROR(SUMPRODUCT(SEARCH(MID(metadata!B112,ROW(INDIRECT("1:"&amp;LEN(metadata!B112))), 1),"0123456789abcdefghijklmnopqrstuvwxyzABCDEFGHIJKLMNOPQRSTUVWXYZ.")))))</f>
        <v>0</v>
      </c>
      <c r="V112">
        <f>AND(IF(metadata!C112="",FALSE,TRUE),exact(metadata!C112,"UBERON:genitourinary"))</f>
        <v>0</v>
      </c>
      <c r="W112">
        <f>AND(IF(metadata!D112="",FALSE,TRUE),exact(metadata!D112,"UBERON:urine"))</f>
        <v>0</v>
      </c>
      <c r="X112">
        <f>AND(IF(metadata!E112="",FALSE,TRUE),exact(metadata!E112,"UBERON:kidney"))</f>
        <v>0</v>
      </c>
      <c r="Y112">
        <f>AND(IF(metadata!F112="",FALSE,TRUE),exact(metadata!F112,"animal corpus"))</f>
        <v>0</v>
      </c>
      <c r="Z112">
        <f>AND(IF(metadata!G112="",FALSE,TRUE),exact(metadata!G112,"urine"))</f>
        <v>0</v>
      </c>
      <c r="AA112">
        <f>AND(IF(metadata!H112="",FALSE,TRUE),exact(metadata!H112,"urine"))</f>
        <v>0</v>
      </c>
      <c r="AB112">
        <f>AND(IF(metadata!I112="",FALSE,TRUE),exact(metadata!I112,"urine metagenome"))</f>
        <v>0</v>
      </c>
      <c r="AC112">
        <f>AND(IF(metadata!J112="",FALSE,TRUE),exact(metadata!J112,"1346744"))</f>
        <v>0</v>
      </c>
    </row>
    <row r="113" spans="1:29">
      <c r="A113" s="4">
        <f>IF(B113=" "," ",HYPERLINK(CONCATENATE("#metadata!",ADDRESS(INDEX($P$2:$P$1001,MATCH(ROWS($N$2:N113),$N$2:$N$1001,0),0),1)),INDEX($S$2:$S$1001,MATCH(ROWS($N$2:N113),$N$2:$N$1001,0),0)))</f>
        <v>0</v>
      </c>
      <c r="B113" s="3">
        <f>IF(OR(INDEX($O$2:$O$1001,MATCH(ROWS($N$2:N113),$N$2:$N$1001,0),1)&gt;=100000,INDEX($U$1005:$AC$1005,1,MATCH(COLUMNS($U$1006:U1006),$U$1006:$AC$1006,0))&gt;=100000), " ",IF(INDEX($U$2:$AC$1001,MATCH(ROWS($N$2:N113),$N$2:$N$1001,0),MATCH(COLUMNS($U$1006:U1006),$U$1006:$AC$1006,0)), HYPERLINK("#",""), HYPERLINK(CONCATENATE("#metadata!", ADDRESS(INDEX($P$2:$P$1001,MATCH(ROWS($N$2:N113),$N$2:$N$1001,0),0), INDEX($U$1004:$AC$1004,1,MATCH(COLUMNS($U$1006:U1006),$U$1006:$AC$1006,0)))),"Fix")))</f>
        <v>0</v>
      </c>
      <c r="C113" s="3">
        <f>IF(OR(INDEX($O$2:$O$1001,MATCH(ROWS($N$2:N113),$N$2:$N$1001,0),1)&gt;=100000,INDEX($U$1005:$AC$1005,1,MATCH(COLUMNS($U$1006:V1006),$U$1006:$AC$1006,0))&gt;=100000), " ",IF(INDEX($U$2:$AC$1001,MATCH(ROWS($N$2:N113),$N$2:$N$1001,0),MATCH(COLUMNS($U$1006:V1006),$U$1006:$AC$1006,0)), HYPERLINK("#",""), HYPERLINK(CONCATENATE("#metadata!", ADDRESS(INDEX($P$2:$P$1001,MATCH(ROWS($N$2:N113),$N$2:$N$1001,0),0), INDEX($U$1004:$AC$1004,1,MATCH(COLUMNS($U$1006:V1006),$U$1006:$AC$1006,0)))),"Fix")))</f>
        <v>0</v>
      </c>
      <c r="D113" s="3">
        <f>IF(OR(INDEX($O$2:$O$1001,MATCH(ROWS($N$2:N113),$N$2:$N$1001,0),1)&gt;=100000,INDEX($U$1005:$AC$1005,1,MATCH(COLUMNS($U$1006:W1006),$U$1006:$AC$1006,0))&gt;=100000), " ",IF(INDEX($U$2:$AC$1001,MATCH(ROWS($N$2:N113),$N$2:$N$1001,0),MATCH(COLUMNS($U$1006:W1006),$U$1006:$AC$1006,0)), HYPERLINK("#",""), HYPERLINK(CONCATENATE("#metadata!", ADDRESS(INDEX($P$2:$P$1001,MATCH(ROWS($N$2:N113),$N$2:$N$1001,0),0), INDEX($U$1004:$AC$1004,1,MATCH(COLUMNS($U$1006:W1006),$U$1006:$AC$1006,0)))),"Fix")))</f>
        <v>0</v>
      </c>
      <c r="E113" s="3">
        <f>IF(OR(INDEX($O$2:$O$1001,MATCH(ROWS($N$2:N113),$N$2:$N$1001,0),1)&gt;=100000,INDEX($U$1005:$AC$1005,1,MATCH(COLUMNS($U$1006:X1006),$U$1006:$AC$1006,0))&gt;=100000), " ",IF(INDEX($U$2:$AC$1001,MATCH(ROWS($N$2:N113),$N$2:$N$1001,0),MATCH(COLUMNS($U$1006:X1006),$U$1006:$AC$1006,0)), HYPERLINK("#",""), HYPERLINK(CONCATENATE("#metadata!", ADDRESS(INDEX($P$2:$P$1001,MATCH(ROWS($N$2:N113),$N$2:$N$1001,0),0), INDEX($U$1004:$AC$1004,1,MATCH(COLUMNS($U$1006:X1006),$U$1006:$AC$1006,0)))),"Fix")))</f>
        <v>0</v>
      </c>
      <c r="F113" s="3">
        <f>IF(OR(INDEX($O$2:$O$1001,MATCH(ROWS($N$2:N113),$N$2:$N$1001,0),1)&gt;=100000,INDEX($U$1005:$AC$1005,1,MATCH(COLUMNS($U$1006:Y1006),$U$1006:$AC$1006,0))&gt;=100000), " ",IF(INDEX($U$2:$AC$1001,MATCH(ROWS($N$2:N113),$N$2:$N$1001,0),MATCH(COLUMNS($U$1006:Y1006),$U$1006:$AC$1006,0)), HYPERLINK("#",""), HYPERLINK(CONCATENATE("#metadata!", ADDRESS(INDEX($P$2:$P$1001,MATCH(ROWS($N$2:N113),$N$2:$N$1001,0),0), INDEX($U$1004:$AC$1004,1,MATCH(COLUMNS($U$1006:Y1006),$U$1006:$AC$1006,0)))),"Fix")))</f>
        <v>0</v>
      </c>
      <c r="G113" s="3">
        <f>IF(OR(INDEX($O$2:$O$1001,MATCH(ROWS($N$2:N113),$N$2:$N$1001,0),1)&gt;=100000,INDEX($U$1005:$AC$1005,1,MATCH(COLUMNS($U$1006:Z1006),$U$1006:$AC$1006,0))&gt;=100000), " ",IF(INDEX($U$2:$AC$1001,MATCH(ROWS($N$2:N113),$N$2:$N$1001,0),MATCH(COLUMNS($U$1006:Z1006),$U$1006:$AC$1006,0)), HYPERLINK("#",""), HYPERLINK(CONCATENATE("#metadata!", ADDRESS(INDEX($P$2:$P$1001,MATCH(ROWS($N$2:N113),$N$2:$N$1001,0),0), INDEX($U$1004:$AC$1004,1,MATCH(COLUMNS($U$1006:Z1006),$U$1006:$AC$1006,0)))),"Fix")))</f>
        <v>0</v>
      </c>
      <c r="H113" s="3">
        <f>IF(OR(INDEX($O$2:$O$1001,MATCH(ROWS($N$2:N113),$N$2:$N$1001,0),1)&gt;=100000,INDEX($U$1005:$AC$1005,1,MATCH(COLUMNS($U$1006:AA1006),$U$1006:$AC$1006,0))&gt;=100000), " ",IF(INDEX($U$2:$AC$1001,MATCH(ROWS($N$2:N113),$N$2:$N$1001,0),MATCH(COLUMNS($U$1006:AA1006),$U$1006:$AC$1006,0)), HYPERLINK("#",""), HYPERLINK(CONCATENATE("#metadata!", ADDRESS(INDEX($P$2:$P$1001,MATCH(ROWS($N$2:N113),$N$2:$N$1001,0),0), INDEX($U$1004:$AC$1004,1,MATCH(COLUMNS($U$1006:AA1006),$U$1006:$AC$1006,0)))),"Fix")))</f>
        <v>0</v>
      </c>
      <c r="I113" s="3">
        <f>IF(OR(INDEX($O$2:$O$1001,MATCH(ROWS($N$2:N113),$N$2:$N$1001,0),1)&gt;=100000,INDEX($U$1005:$AC$1005,1,MATCH(COLUMNS($U$1006:AB1006),$U$1006:$AC$1006,0))&gt;=100000), " ",IF(INDEX($U$2:$AC$1001,MATCH(ROWS($N$2:N113),$N$2:$N$1001,0),MATCH(COLUMNS($U$1006:AB1006),$U$1006:$AC$1006,0)), HYPERLINK("#",""), HYPERLINK(CONCATENATE("#metadata!", ADDRESS(INDEX($P$2:$P$1001,MATCH(ROWS($N$2:N113),$N$2:$N$1001,0),0), INDEX($U$1004:$AC$1004,1,MATCH(COLUMNS($U$1006:AB1006),$U$1006:$AC$1006,0)))),"Fix")))</f>
        <v>0</v>
      </c>
      <c r="J113" s="3">
        <f>IF(OR(INDEX($O$2:$O$1001,MATCH(ROWS($N$2:N113),$N$2:$N$1001,0),1)&gt;=100000,INDEX($U$1005:$AC$1005,1,MATCH(COLUMNS($U$1006:AC1006),$U$1006:$AC$1006,0))&gt;=100000), " ",IF(INDEX($U$2:$AC$1001,MATCH(ROWS($N$2:N113),$N$2:$N$1001,0),MATCH(COLUMNS($U$1006:AC1006),$U$1006:$AC$1006,0)), HYPERLINK("#",""), HYPERLINK(CONCATENATE("#metadata!", ADDRESS(INDEX($P$2:$P$1001,MATCH(ROWS($N$2:N113),$N$2:$N$1001,0),0), INDEX($U$1004:$AC$1004,1,MATCH(COLUMNS($U$1006:AC1006),$U$1006:$AC$1006,0)))),"Fix")))</f>
        <v>0</v>
      </c>
      <c r="N113">
        <v>0</v>
      </c>
      <c r="O113">
        <v>0</v>
      </c>
      <c r="P113">
        <v>0</v>
      </c>
      <c r="Q113">
        <f>IF(R113,TRUE,AND(U113:AC113))</f>
        <v>0</v>
      </c>
      <c r="R113">
        <f>COUNTBLANK(metadata!B113:J113)=COLUMNS(metadata!B113:J113)</f>
        <v>0</v>
      </c>
      <c r="S113">
        <v>0</v>
      </c>
      <c r="U113">
        <f>AND(IF(metadata!B113="",FALSE,TRUE),COUNTIF(metadata!B:B, metadata!B113) = 1,NOT(ISERROR(SUMPRODUCT(SEARCH(MID(metadata!B113,ROW(INDIRECT("1:"&amp;LEN(metadata!B113))), 1),"0123456789abcdefghijklmnopqrstuvwxyzABCDEFGHIJKLMNOPQRSTUVWXYZ.")))))</f>
        <v>0</v>
      </c>
      <c r="V113">
        <f>AND(IF(metadata!C113="",FALSE,TRUE),exact(metadata!C113,"UBERON:genitourinary"))</f>
        <v>0</v>
      </c>
      <c r="W113">
        <f>AND(IF(metadata!D113="",FALSE,TRUE),exact(metadata!D113,"UBERON:urine"))</f>
        <v>0</v>
      </c>
      <c r="X113">
        <f>AND(IF(metadata!E113="",FALSE,TRUE),exact(metadata!E113,"UBERON:kidney"))</f>
        <v>0</v>
      </c>
      <c r="Y113">
        <f>AND(IF(metadata!F113="",FALSE,TRUE),exact(metadata!F113,"animal corpus"))</f>
        <v>0</v>
      </c>
      <c r="Z113">
        <f>AND(IF(metadata!G113="",FALSE,TRUE),exact(metadata!G113,"urine"))</f>
        <v>0</v>
      </c>
      <c r="AA113">
        <f>AND(IF(metadata!H113="",FALSE,TRUE),exact(metadata!H113,"urine"))</f>
        <v>0</v>
      </c>
      <c r="AB113">
        <f>AND(IF(metadata!I113="",FALSE,TRUE),exact(metadata!I113,"urine metagenome"))</f>
        <v>0</v>
      </c>
      <c r="AC113">
        <f>AND(IF(metadata!J113="",FALSE,TRUE),exact(metadata!J113,"1346744"))</f>
        <v>0</v>
      </c>
    </row>
    <row r="114" spans="1:29">
      <c r="A114" s="4">
        <f>IF(B114=" "," ",HYPERLINK(CONCATENATE("#metadata!",ADDRESS(INDEX($P$2:$P$1001,MATCH(ROWS($N$2:N114),$N$2:$N$1001,0),0),1)),INDEX($S$2:$S$1001,MATCH(ROWS($N$2:N114),$N$2:$N$1001,0),0)))</f>
        <v>0</v>
      </c>
      <c r="B114" s="3">
        <f>IF(OR(INDEX($O$2:$O$1001,MATCH(ROWS($N$2:N114),$N$2:$N$1001,0),1)&gt;=100000,INDEX($U$1005:$AC$1005,1,MATCH(COLUMNS($U$1006:U1006),$U$1006:$AC$1006,0))&gt;=100000), " ",IF(INDEX($U$2:$AC$1001,MATCH(ROWS($N$2:N114),$N$2:$N$1001,0),MATCH(COLUMNS($U$1006:U1006),$U$1006:$AC$1006,0)), HYPERLINK("#",""), HYPERLINK(CONCATENATE("#metadata!", ADDRESS(INDEX($P$2:$P$1001,MATCH(ROWS($N$2:N114),$N$2:$N$1001,0),0), INDEX($U$1004:$AC$1004,1,MATCH(COLUMNS($U$1006:U1006),$U$1006:$AC$1006,0)))),"Fix")))</f>
        <v>0</v>
      </c>
      <c r="C114" s="3">
        <f>IF(OR(INDEX($O$2:$O$1001,MATCH(ROWS($N$2:N114),$N$2:$N$1001,0),1)&gt;=100000,INDEX($U$1005:$AC$1005,1,MATCH(COLUMNS($U$1006:V1006),$U$1006:$AC$1006,0))&gt;=100000), " ",IF(INDEX($U$2:$AC$1001,MATCH(ROWS($N$2:N114),$N$2:$N$1001,0),MATCH(COLUMNS($U$1006:V1006),$U$1006:$AC$1006,0)), HYPERLINK("#",""), HYPERLINK(CONCATENATE("#metadata!", ADDRESS(INDEX($P$2:$P$1001,MATCH(ROWS($N$2:N114),$N$2:$N$1001,0),0), INDEX($U$1004:$AC$1004,1,MATCH(COLUMNS($U$1006:V1006),$U$1006:$AC$1006,0)))),"Fix")))</f>
        <v>0</v>
      </c>
      <c r="D114" s="3">
        <f>IF(OR(INDEX($O$2:$O$1001,MATCH(ROWS($N$2:N114),$N$2:$N$1001,0),1)&gt;=100000,INDEX($U$1005:$AC$1005,1,MATCH(COLUMNS($U$1006:W1006),$U$1006:$AC$1006,0))&gt;=100000), " ",IF(INDEX($U$2:$AC$1001,MATCH(ROWS($N$2:N114),$N$2:$N$1001,0),MATCH(COLUMNS($U$1006:W1006),$U$1006:$AC$1006,0)), HYPERLINK("#",""), HYPERLINK(CONCATENATE("#metadata!", ADDRESS(INDEX($P$2:$P$1001,MATCH(ROWS($N$2:N114),$N$2:$N$1001,0),0), INDEX($U$1004:$AC$1004,1,MATCH(COLUMNS($U$1006:W1006),$U$1006:$AC$1006,0)))),"Fix")))</f>
        <v>0</v>
      </c>
      <c r="E114" s="3">
        <f>IF(OR(INDEX($O$2:$O$1001,MATCH(ROWS($N$2:N114),$N$2:$N$1001,0),1)&gt;=100000,INDEX($U$1005:$AC$1005,1,MATCH(COLUMNS($U$1006:X1006),$U$1006:$AC$1006,0))&gt;=100000), " ",IF(INDEX($U$2:$AC$1001,MATCH(ROWS($N$2:N114),$N$2:$N$1001,0),MATCH(COLUMNS($U$1006:X1006),$U$1006:$AC$1006,0)), HYPERLINK("#",""), HYPERLINK(CONCATENATE("#metadata!", ADDRESS(INDEX($P$2:$P$1001,MATCH(ROWS($N$2:N114),$N$2:$N$1001,0),0), INDEX($U$1004:$AC$1004,1,MATCH(COLUMNS($U$1006:X1006),$U$1006:$AC$1006,0)))),"Fix")))</f>
        <v>0</v>
      </c>
      <c r="F114" s="3">
        <f>IF(OR(INDEX($O$2:$O$1001,MATCH(ROWS($N$2:N114),$N$2:$N$1001,0),1)&gt;=100000,INDEX($U$1005:$AC$1005,1,MATCH(COLUMNS($U$1006:Y1006),$U$1006:$AC$1006,0))&gt;=100000), " ",IF(INDEX($U$2:$AC$1001,MATCH(ROWS($N$2:N114),$N$2:$N$1001,0),MATCH(COLUMNS($U$1006:Y1006),$U$1006:$AC$1006,0)), HYPERLINK("#",""), HYPERLINK(CONCATENATE("#metadata!", ADDRESS(INDEX($P$2:$P$1001,MATCH(ROWS($N$2:N114),$N$2:$N$1001,0),0), INDEX($U$1004:$AC$1004,1,MATCH(COLUMNS($U$1006:Y1006),$U$1006:$AC$1006,0)))),"Fix")))</f>
        <v>0</v>
      </c>
      <c r="G114" s="3">
        <f>IF(OR(INDEX($O$2:$O$1001,MATCH(ROWS($N$2:N114),$N$2:$N$1001,0),1)&gt;=100000,INDEX($U$1005:$AC$1005,1,MATCH(COLUMNS($U$1006:Z1006),$U$1006:$AC$1006,0))&gt;=100000), " ",IF(INDEX($U$2:$AC$1001,MATCH(ROWS($N$2:N114),$N$2:$N$1001,0),MATCH(COLUMNS($U$1006:Z1006),$U$1006:$AC$1006,0)), HYPERLINK("#",""), HYPERLINK(CONCATENATE("#metadata!", ADDRESS(INDEX($P$2:$P$1001,MATCH(ROWS($N$2:N114),$N$2:$N$1001,0),0), INDEX($U$1004:$AC$1004,1,MATCH(COLUMNS($U$1006:Z1006),$U$1006:$AC$1006,0)))),"Fix")))</f>
        <v>0</v>
      </c>
      <c r="H114" s="3">
        <f>IF(OR(INDEX($O$2:$O$1001,MATCH(ROWS($N$2:N114),$N$2:$N$1001,0),1)&gt;=100000,INDEX($U$1005:$AC$1005,1,MATCH(COLUMNS($U$1006:AA1006),$U$1006:$AC$1006,0))&gt;=100000), " ",IF(INDEX($U$2:$AC$1001,MATCH(ROWS($N$2:N114),$N$2:$N$1001,0),MATCH(COLUMNS($U$1006:AA1006),$U$1006:$AC$1006,0)), HYPERLINK("#",""), HYPERLINK(CONCATENATE("#metadata!", ADDRESS(INDEX($P$2:$P$1001,MATCH(ROWS($N$2:N114),$N$2:$N$1001,0),0), INDEX($U$1004:$AC$1004,1,MATCH(COLUMNS($U$1006:AA1006),$U$1006:$AC$1006,0)))),"Fix")))</f>
        <v>0</v>
      </c>
      <c r="I114" s="3">
        <f>IF(OR(INDEX($O$2:$O$1001,MATCH(ROWS($N$2:N114),$N$2:$N$1001,0),1)&gt;=100000,INDEX($U$1005:$AC$1005,1,MATCH(COLUMNS($U$1006:AB1006),$U$1006:$AC$1006,0))&gt;=100000), " ",IF(INDEX($U$2:$AC$1001,MATCH(ROWS($N$2:N114),$N$2:$N$1001,0),MATCH(COLUMNS($U$1006:AB1006),$U$1006:$AC$1006,0)), HYPERLINK("#",""), HYPERLINK(CONCATENATE("#metadata!", ADDRESS(INDEX($P$2:$P$1001,MATCH(ROWS($N$2:N114),$N$2:$N$1001,0),0), INDEX($U$1004:$AC$1004,1,MATCH(COLUMNS($U$1006:AB1006),$U$1006:$AC$1006,0)))),"Fix")))</f>
        <v>0</v>
      </c>
      <c r="J114" s="3">
        <f>IF(OR(INDEX($O$2:$O$1001,MATCH(ROWS($N$2:N114),$N$2:$N$1001,0),1)&gt;=100000,INDEX($U$1005:$AC$1005,1,MATCH(COLUMNS($U$1006:AC1006),$U$1006:$AC$1006,0))&gt;=100000), " ",IF(INDEX($U$2:$AC$1001,MATCH(ROWS($N$2:N114),$N$2:$N$1001,0),MATCH(COLUMNS($U$1006:AC1006),$U$1006:$AC$1006,0)), HYPERLINK("#",""), HYPERLINK(CONCATENATE("#metadata!", ADDRESS(INDEX($P$2:$P$1001,MATCH(ROWS($N$2:N114),$N$2:$N$1001,0),0), INDEX($U$1004:$AC$1004,1,MATCH(COLUMNS($U$1006:AC1006),$U$1006:$AC$1006,0)))),"Fix")))</f>
        <v>0</v>
      </c>
      <c r="N114">
        <v>0</v>
      </c>
      <c r="O114">
        <v>0</v>
      </c>
      <c r="P114">
        <v>0</v>
      </c>
      <c r="Q114">
        <f>IF(R114,TRUE,AND(U114:AC114))</f>
        <v>0</v>
      </c>
      <c r="R114">
        <f>COUNTBLANK(metadata!B114:J114)=COLUMNS(metadata!B114:J114)</f>
        <v>0</v>
      </c>
      <c r="S114">
        <v>0</v>
      </c>
      <c r="U114">
        <f>AND(IF(metadata!B114="",FALSE,TRUE),COUNTIF(metadata!B:B, metadata!B114) = 1,NOT(ISERROR(SUMPRODUCT(SEARCH(MID(metadata!B114,ROW(INDIRECT("1:"&amp;LEN(metadata!B114))), 1),"0123456789abcdefghijklmnopqrstuvwxyzABCDEFGHIJKLMNOPQRSTUVWXYZ.")))))</f>
        <v>0</v>
      </c>
      <c r="V114">
        <f>AND(IF(metadata!C114="",FALSE,TRUE),exact(metadata!C114,"UBERON:genitourinary"))</f>
        <v>0</v>
      </c>
      <c r="W114">
        <f>AND(IF(metadata!D114="",FALSE,TRUE),exact(metadata!D114,"UBERON:urine"))</f>
        <v>0</v>
      </c>
      <c r="X114">
        <f>AND(IF(metadata!E114="",FALSE,TRUE),exact(metadata!E114,"UBERON:kidney"))</f>
        <v>0</v>
      </c>
      <c r="Y114">
        <f>AND(IF(metadata!F114="",FALSE,TRUE),exact(metadata!F114,"animal corpus"))</f>
        <v>0</v>
      </c>
      <c r="Z114">
        <f>AND(IF(metadata!G114="",FALSE,TRUE),exact(metadata!G114,"urine"))</f>
        <v>0</v>
      </c>
      <c r="AA114">
        <f>AND(IF(metadata!H114="",FALSE,TRUE),exact(metadata!H114,"urine"))</f>
        <v>0</v>
      </c>
      <c r="AB114">
        <f>AND(IF(metadata!I114="",FALSE,TRUE),exact(metadata!I114,"urine metagenome"))</f>
        <v>0</v>
      </c>
      <c r="AC114">
        <f>AND(IF(metadata!J114="",FALSE,TRUE),exact(metadata!J114,"1346744"))</f>
        <v>0</v>
      </c>
    </row>
    <row r="115" spans="1:29">
      <c r="A115" s="4">
        <f>IF(B115=" "," ",HYPERLINK(CONCATENATE("#metadata!",ADDRESS(INDEX($P$2:$P$1001,MATCH(ROWS($N$2:N115),$N$2:$N$1001,0),0),1)),INDEX($S$2:$S$1001,MATCH(ROWS($N$2:N115),$N$2:$N$1001,0),0)))</f>
        <v>0</v>
      </c>
      <c r="B115" s="3">
        <f>IF(OR(INDEX($O$2:$O$1001,MATCH(ROWS($N$2:N115),$N$2:$N$1001,0),1)&gt;=100000,INDEX($U$1005:$AC$1005,1,MATCH(COLUMNS($U$1006:U1006),$U$1006:$AC$1006,0))&gt;=100000), " ",IF(INDEX($U$2:$AC$1001,MATCH(ROWS($N$2:N115),$N$2:$N$1001,0),MATCH(COLUMNS($U$1006:U1006),$U$1006:$AC$1006,0)), HYPERLINK("#",""), HYPERLINK(CONCATENATE("#metadata!", ADDRESS(INDEX($P$2:$P$1001,MATCH(ROWS($N$2:N115),$N$2:$N$1001,0),0), INDEX($U$1004:$AC$1004,1,MATCH(COLUMNS($U$1006:U1006),$U$1006:$AC$1006,0)))),"Fix")))</f>
        <v>0</v>
      </c>
      <c r="C115" s="3">
        <f>IF(OR(INDEX($O$2:$O$1001,MATCH(ROWS($N$2:N115),$N$2:$N$1001,0),1)&gt;=100000,INDEX($U$1005:$AC$1005,1,MATCH(COLUMNS($U$1006:V1006),$U$1006:$AC$1006,0))&gt;=100000), " ",IF(INDEX($U$2:$AC$1001,MATCH(ROWS($N$2:N115),$N$2:$N$1001,0),MATCH(COLUMNS($U$1006:V1006),$U$1006:$AC$1006,0)), HYPERLINK("#",""), HYPERLINK(CONCATENATE("#metadata!", ADDRESS(INDEX($P$2:$P$1001,MATCH(ROWS($N$2:N115),$N$2:$N$1001,0),0), INDEX($U$1004:$AC$1004,1,MATCH(COLUMNS($U$1006:V1006),$U$1006:$AC$1006,0)))),"Fix")))</f>
        <v>0</v>
      </c>
      <c r="D115" s="3">
        <f>IF(OR(INDEX($O$2:$O$1001,MATCH(ROWS($N$2:N115),$N$2:$N$1001,0),1)&gt;=100000,INDEX($U$1005:$AC$1005,1,MATCH(COLUMNS($U$1006:W1006),$U$1006:$AC$1006,0))&gt;=100000), " ",IF(INDEX($U$2:$AC$1001,MATCH(ROWS($N$2:N115),$N$2:$N$1001,0),MATCH(COLUMNS($U$1006:W1006),$U$1006:$AC$1006,0)), HYPERLINK("#",""), HYPERLINK(CONCATENATE("#metadata!", ADDRESS(INDEX($P$2:$P$1001,MATCH(ROWS($N$2:N115),$N$2:$N$1001,0),0), INDEX($U$1004:$AC$1004,1,MATCH(COLUMNS($U$1006:W1006),$U$1006:$AC$1006,0)))),"Fix")))</f>
        <v>0</v>
      </c>
      <c r="E115" s="3">
        <f>IF(OR(INDEX($O$2:$O$1001,MATCH(ROWS($N$2:N115),$N$2:$N$1001,0),1)&gt;=100000,INDEX($U$1005:$AC$1005,1,MATCH(COLUMNS($U$1006:X1006),$U$1006:$AC$1006,0))&gt;=100000), " ",IF(INDEX($U$2:$AC$1001,MATCH(ROWS($N$2:N115),$N$2:$N$1001,0),MATCH(COLUMNS($U$1006:X1006),$U$1006:$AC$1006,0)), HYPERLINK("#",""), HYPERLINK(CONCATENATE("#metadata!", ADDRESS(INDEX($P$2:$P$1001,MATCH(ROWS($N$2:N115),$N$2:$N$1001,0),0), INDEX($U$1004:$AC$1004,1,MATCH(COLUMNS($U$1006:X1006),$U$1006:$AC$1006,0)))),"Fix")))</f>
        <v>0</v>
      </c>
      <c r="F115" s="3">
        <f>IF(OR(INDEX($O$2:$O$1001,MATCH(ROWS($N$2:N115),$N$2:$N$1001,0),1)&gt;=100000,INDEX($U$1005:$AC$1005,1,MATCH(COLUMNS($U$1006:Y1006),$U$1006:$AC$1006,0))&gt;=100000), " ",IF(INDEX($U$2:$AC$1001,MATCH(ROWS($N$2:N115),$N$2:$N$1001,0),MATCH(COLUMNS($U$1006:Y1006),$U$1006:$AC$1006,0)), HYPERLINK("#",""), HYPERLINK(CONCATENATE("#metadata!", ADDRESS(INDEX($P$2:$P$1001,MATCH(ROWS($N$2:N115),$N$2:$N$1001,0),0), INDEX($U$1004:$AC$1004,1,MATCH(COLUMNS($U$1006:Y1006),$U$1006:$AC$1006,0)))),"Fix")))</f>
        <v>0</v>
      </c>
      <c r="G115" s="3">
        <f>IF(OR(INDEX($O$2:$O$1001,MATCH(ROWS($N$2:N115),$N$2:$N$1001,0),1)&gt;=100000,INDEX($U$1005:$AC$1005,1,MATCH(COLUMNS($U$1006:Z1006),$U$1006:$AC$1006,0))&gt;=100000), " ",IF(INDEX($U$2:$AC$1001,MATCH(ROWS($N$2:N115),$N$2:$N$1001,0),MATCH(COLUMNS($U$1006:Z1006),$U$1006:$AC$1006,0)), HYPERLINK("#",""), HYPERLINK(CONCATENATE("#metadata!", ADDRESS(INDEX($P$2:$P$1001,MATCH(ROWS($N$2:N115),$N$2:$N$1001,0),0), INDEX($U$1004:$AC$1004,1,MATCH(COLUMNS($U$1006:Z1006),$U$1006:$AC$1006,0)))),"Fix")))</f>
        <v>0</v>
      </c>
      <c r="H115" s="3">
        <f>IF(OR(INDEX($O$2:$O$1001,MATCH(ROWS($N$2:N115),$N$2:$N$1001,0),1)&gt;=100000,INDEX($U$1005:$AC$1005,1,MATCH(COLUMNS($U$1006:AA1006),$U$1006:$AC$1006,0))&gt;=100000), " ",IF(INDEX($U$2:$AC$1001,MATCH(ROWS($N$2:N115),$N$2:$N$1001,0),MATCH(COLUMNS($U$1006:AA1006),$U$1006:$AC$1006,0)), HYPERLINK("#",""), HYPERLINK(CONCATENATE("#metadata!", ADDRESS(INDEX($P$2:$P$1001,MATCH(ROWS($N$2:N115),$N$2:$N$1001,0),0), INDEX($U$1004:$AC$1004,1,MATCH(COLUMNS($U$1006:AA1006),$U$1006:$AC$1006,0)))),"Fix")))</f>
        <v>0</v>
      </c>
      <c r="I115" s="3">
        <f>IF(OR(INDEX($O$2:$O$1001,MATCH(ROWS($N$2:N115),$N$2:$N$1001,0),1)&gt;=100000,INDEX($U$1005:$AC$1005,1,MATCH(COLUMNS($U$1006:AB1006),$U$1006:$AC$1006,0))&gt;=100000), " ",IF(INDEX($U$2:$AC$1001,MATCH(ROWS($N$2:N115),$N$2:$N$1001,0),MATCH(COLUMNS($U$1006:AB1006),$U$1006:$AC$1006,0)), HYPERLINK("#",""), HYPERLINK(CONCATENATE("#metadata!", ADDRESS(INDEX($P$2:$P$1001,MATCH(ROWS($N$2:N115),$N$2:$N$1001,0),0), INDEX($U$1004:$AC$1004,1,MATCH(COLUMNS($U$1006:AB1006),$U$1006:$AC$1006,0)))),"Fix")))</f>
        <v>0</v>
      </c>
      <c r="J115" s="3">
        <f>IF(OR(INDEX($O$2:$O$1001,MATCH(ROWS($N$2:N115),$N$2:$N$1001,0),1)&gt;=100000,INDEX($U$1005:$AC$1005,1,MATCH(COLUMNS($U$1006:AC1006),$U$1006:$AC$1006,0))&gt;=100000), " ",IF(INDEX($U$2:$AC$1001,MATCH(ROWS($N$2:N115),$N$2:$N$1001,0),MATCH(COLUMNS($U$1006:AC1006),$U$1006:$AC$1006,0)), HYPERLINK("#",""), HYPERLINK(CONCATENATE("#metadata!", ADDRESS(INDEX($P$2:$P$1001,MATCH(ROWS($N$2:N115),$N$2:$N$1001,0),0), INDEX($U$1004:$AC$1004,1,MATCH(COLUMNS($U$1006:AC1006),$U$1006:$AC$1006,0)))),"Fix")))</f>
        <v>0</v>
      </c>
      <c r="N115">
        <v>0</v>
      </c>
      <c r="O115">
        <v>0</v>
      </c>
      <c r="P115">
        <v>0</v>
      </c>
      <c r="Q115">
        <f>IF(R115,TRUE,AND(U115:AC115))</f>
        <v>0</v>
      </c>
      <c r="R115">
        <f>COUNTBLANK(metadata!B115:J115)=COLUMNS(metadata!B115:J115)</f>
        <v>0</v>
      </c>
      <c r="S115">
        <v>0</v>
      </c>
      <c r="U115">
        <f>AND(IF(metadata!B115="",FALSE,TRUE),COUNTIF(metadata!B:B, metadata!B115) = 1,NOT(ISERROR(SUMPRODUCT(SEARCH(MID(metadata!B115,ROW(INDIRECT("1:"&amp;LEN(metadata!B115))), 1),"0123456789abcdefghijklmnopqrstuvwxyzABCDEFGHIJKLMNOPQRSTUVWXYZ.")))))</f>
        <v>0</v>
      </c>
      <c r="V115">
        <f>AND(IF(metadata!C115="",FALSE,TRUE),exact(metadata!C115,"UBERON:genitourinary"))</f>
        <v>0</v>
      </c>
      <c r="W115">
        <f>AND(IF(metadata!D115="",FALSE,TRUE),exact(metadata!D115,"UBERON:urine"))</f>
        <v>0</v>
      </c>
      <c r="X115">
        <f>AND(IF(metadata!E115="",FALSE,TRUE),exact(metadata!E115,"UBERON:kidney"))</f>
        <v>0</v>
      </c>
      <c r="Y115">
        <f>AND(IF(metadata!F115="",FALSE,TRUE),exact(metadata!F115,"animal corpus"))</f>
        <v>0</v>
      </c>
      <c r="Z115">
        <f>AND(IF(metadata!G115="",FALSE,TRUE),exact(metadata!G115,"urine"))</f>
        <v>0</v>
      </c>
      <c r="AA115">
        <f>AND(IF(metadata!H115="",FALSE,TRUE),exact(metadata!H115,"urine"))</f>
        <v>0</v>
      </c>
      <c r="AB115">
        <f>AND(IF(metadata!I115="",FALSE,TRUE),exact(metadata!I115,"urine metagenome"))</f>
        <v>0</v>
      </c>
      <c r="AC115">
        <f>AND(IF(metadata!J115="",FALSE,TRUE),exact(metadata!J115,"1346744"))</f>
        <v>0</v>
      </c>
    </row>
    <row r="116" spans="1:29">
      <c r="A116" s="4">
        <f>IF(B116=" "," ",HYPERLINK(CONCATENATE("#metadata!",ADDRESS(INDEX($P$2:$P$1001,MATCH(ROWS($N$2:N116),$N$2:$N$1001,0),0),1)),INDEX($S$2:$S$1001,MATCH(ROWS($N$2:N116),$N$2:$N$1001,0),0)))</f>
        <v>0</v>
      </c>
      <c r="B116" s="3">
        <f>IF(OR(INDEX($O$2:$O$1001,MATCH(ROWS($N$2:N116),$N$2:$N$1001,0),1)&gt;=100000,INDEX($U$1005:$AC$1005,1,MATCH(COLUMNS($U$1006:U1006),$U$1006:$AC$1006,0))&gt;=100000), " ",IF(INDEX($U$2:$AC$1001,MATCH(ROWS($N$2:N116),$N$2:$N$1001,0),MATCH(COLUMNS($U$1006:U1006),$U$1006:$AC$1006,0)), HYPERLINK("#",""), HYPERLINK(CONCATENATE("#metadata!", ADDRESS(INDEX($P$2:$P$1001,MATCH(ROWS($N$2:N116),$N$2:$N$1001,0),0), INDEX($U$1004:$AC$1004,1,MATCH(COLUMNS($U$1006:U1006),$U$1006:$AC$1006,0)))),"Fix")))</f>
        <v>0</v>
      </c>
      <c r="C116" s="3">
        <f>IF(OR(INDEX($O$2:$O$1001,MATCH(ROWS($N$2:N116),$N$2:$N$1001,0),1)&gt;=100000,INDEX($U$1005:$AC$1005,1,MATCH(COLUMNS($U$1006:V1006),$U$1006:$AC$1006,0))&gt;=100000), " ",IF(INDEX($U$2:$AC$1001,MATCH(ROWS($N$2:N116),$N$2:$N$1001,0),MATCH(COLUMNS($U$1006:V1006),$U$1006:$AC$1006,0)), HYPERLINK("#",""), HYPERLINK(CONCATENATE("#metadata!", ADDRESS(INDEX($P$2:$P$1001,MATCH(ROWS($N$2:N116),$N$2:$N$1001,0),0), INDEX($U$1004:$AC$1004,1,MATCH(COLUMNS($U$1006:V1006),$U$1006:$AC$1006,0)))),"Fix")))</f>
        <v>0</v>
      </c>
      <c r="D116" s="3">
        <f>IF(OR(INDEX($O$2:$O$1001,MATCH(ROWS($N$2:N116),$N$2:$N$1001,0),1)&gt;=100000,INDEX($U$1005:$AC$1005,1,MATCH(COLUMNS($U$1006:W1006),$U$1006:$AC$1006,0))&gt;=100000), " ",IF(INDEX($U$2:$AC$1001,MATCH(ROWS($N$2:N116),$N$2:$N$1001,0),MATCH(COLUMNS($U$1006:W1006),$U$1006:$AC$1006,0)), HYPERLINK("#",""), HYPERLINK(CONCATENATE("#metadata!", ADDRESS(INDEX($P$2:$P$1001,MATCH(ROWS($N$2:N116),$N$2:$N$1001,0),0), INDEX($U$1004:$AC$1004,1,MATCH(COLUMNS($U$1006:W1006),$U$1006:$AC$1006,0)))),"Fix")))</f>
        <v>0</v>
      </c>
      <c r="E116" s="3">
        <f>IF(OR(INDEX($O$2:$O$1001,MATCH(ROWS($N$2:N116),$N$2:$N$1001,0),1)&gt;=100000,INDEX($U$1005:$AC$1005,1,MATCH(COLUMNS($U$1006:X1006),$U$1006:$AC$1006,0))&gt;=100000), " ",IF(INDEX($U$2:$AC$1001,MATCH(ROWS($N$2:N116),$N$2:$N$1001,0),MATCH(COLUMNS($U$1006:X1006),$U$1006:$AC$1006,0)), HYPERLINK("#",""), HYPERLINK(CONCATENATE("#metadata!", ADDRESS(INDEX($P$2:$P$1001,MATCH(ROWS($N$2:N116),$N$2:$N$1001,0),0), INDEX($U$1004:$AC$1004,1,MATCH(COLUMNS($U$1006:X1006),$U$1006:$AC$1006,0)))),"Fix")))</f>
        <v>0</v>
      </c>
      <c r="F116" s="3">
        <f>IF(OR(INDEX($O$2:$O$1001,MATCH(ROWS($N$2:N116),$N$2:$N$1001,0),1)&gt;=100000,INDEX($U$1005:$AC$1005,1,MATCH(COLUMNS($U$1006:Y1006),$U$1006:$AC$1006,0))&gt;=100000), " ",IF(INDEX($U$2:$AC$1001,MATCH(ROWS($N$2:N116),$N$2:$N$1001,0),MATCH(COLUMNS($U$1006:Y1006),$U$1006:$AC$1006,0)), HYPERLINK("#",""), HYPERLINK(CONCATENATE("#metadata!", ADDRESS(INDEX($P$2:$P$1001,MATCH(ROWS($N$2:N116),$N$2:$N$1001,0),0), INDEX($U$1004:$AC$1004,1,MATCH(COLUMNS($U$1006:Y1006),$U$1006:$AC$1006,0)))),"Fix")))</f>
        <v>0</v>
      </c>
      <c r="G116" s="3">
        <f>IF(OR(INDEX($O$2:$O$1001,MATCH(ROWS($N$2:N116),$N$2:$N$1001,0),1)&gt;=100000,INDEX($U$1005:$AC$1005,1,MATCH(COLUMNS($U$1006:Z1006),$U$1006:$AC$1006,0))&gt;=100000), " ",IF(INDEX($U$2:$AC$1001,MATCH(ROWS($N$2:N116),$N$2:$N$1001,0),MATCH(COLUMNS($U$1006:Z1006),$U$1006:$AC$1006,0)), HYPERLINK("#",""), HYPERLINK(CONCATENATE("#metadata!", ADDRESS(INDEX($P$2:$P$1001,MATCH(ROWS($N$2:N116),$N$2:$N$1001,0),0), INDEX($U$1004:$AC$1004,1,MATCH(COLUMNS($U$1006:Z1006),$U$1006:$AC$1006,0)))),"Fix")))</f>
        <v>0</v>
      </c>
      <c r="H116" s="3">
        <f>IF(OR(INDEX($O$2:$O$1001,MATCH(ROWS($N$2:N116),$N$2:$N$1001,0),1)&gt;=100000,INDEX($U$1005:$AC$1005,1,MATCH(COLUMNS($U$1006:AA1006),$U$1006:$AC$1006,0))&gt;=100000), " ",IF(INDEX($U$2:$AC$1001,MATCH(ROWS($N$2:N116),$N$2:$N$1001,0),MATCH(COLUMNS($U$1006:AA1006),$U$1006:$AC$1006,0)), HYPERLINK("#",""), HYPERLINK(CONCATENATE("#metadata!", ADDRESS(INDEX($P$2:$P$1001,MATCH(ROWS($N$2:N116),$N$2:$N$1001,0),0), INDEX($U$1004:$AC$1004,1,MATCH(COLUMNS($U$1006:AA1006),$U$1006:$AC$1006,0)))),"Fix")))</f>
        <v>0</v>
      </c>
      <c r="I116" s="3">
        <f>IF(OR(INDEX($O$2:$O$1001,MATCH(ROWS($N$2:N116),$N$2:$N$1001,0),1)&gt;=100000,INDEX($U$1005:$AC$1005,1,MATCH(COLUMNS($U$1006:AB1006),$U$1006:$AC$1006,0))&gt;=100000), " ",IF(INDEX($U$2:$AC$1001,MATCH(ROWS($N$2:N116),$N$2:$N$1001,0),MATCH(COLUMNS($U$1006:AB1006),$U$1006:$AC$1006,0)), HYPERLINK("#",""), HYPERLINK(CONCATENATE("#metadata!", ADDRESS(INDEX($P$2:$P$1001,MATCH(ROWS($N$2:N116),$N$2:$N$1001,0),0), INDEX($U$1004:$AC$1004,1,MATCH(COLUMNS($U$1006:AB1006),$U$1006:$AC$1006,0)))),"Fix")))</f>
        <v>0</v>
      </c>
      <c r="J116" s="3">
        <f>IF(OR(INDEX($O$2:$O$1001,MATCH(ROWS($N$2:N116),$N$2:$N$1001,0),1)&gt;=100000,INDEX($U$1005:$AC$1005,1,MATCH(COLUMNS($U$1006:AC1006),$U$1006:$AC$1006,0))&gt;=100000), " ",IF(INDEX($U$2:$AC$1001,MATCH(ROWS($N$2:N116),$N$2:$N$1001,0),MATCH(COLUMNS($U$1006:AC1006),$U$1006:$AC$1006,0)), HYPERLINK("#",""), HYPERLINK(CONCATENATE("#metadata!", ADDRESS(INDEX($P$2:$P$1001,MATCH(ROWS($N$2:N116),$N$2:$N$1001,0),0), INDEX($U$1004:$AC$1004,1,MATCH(COLUMNS($U$1006:AC1006),$U$1006:$AC$1006,0)))),"Fix")))</f>
        <v>0</v>
      </c>
      <c r="N116">
        <v>0</v>
      </c>
      <c r="O116">
        <v>0</v>
      </c>
      <c r="P116">
        <v>0</v>
      </c>
      <c r="Q116">
        <f>IF(R116,TRUE,AND(U116:AC116))</f>
        <v>0</v>
      </c>
      <c r="R116">
        <f>COUNTBLANK(metadata!B116:J116)=COLUMNS(metadata!B116:J116)</f>
        <v>0</v>
      </c>
      <c r="S116">
        <v>0</v>
      </c>
      <c r="U116">
        <f>AND(IF(metadata!B116="",FALSE,TRUE),COUNTIF(metadata!B:B, metadata!B116) = 1,NOT(ISERROR(SUMPRODUCT(SEARCH(MID(metadata!B116,ROW(INDIRECT("1:"&amp;LEN(metadata!B116))), 1),"0123456789abcdefghijklmnopqrstuvwxyzABCDEFGHIJKLMNOPQRSTUVWXYZ.")))))</f>
        <v>0</v>
      </c>
      <c r="V116">
        <f>AND(IF(metadata!C116="",FALSE,TRUE),exact(metadata!C116,"UBERON:genitourinary"))</f>
        <v>0</v>
      </c>
      <c r="W116">
        <f>AND(IF(metadata!D116="",FALSE,TRUE),exact(metadata!D116,"UBERON:urine"))</f>
        <v>0</v>
      </c>
      <c r="X116">
        <f>AND(IF(metadata!E116="",FALSE,TRUE),exact(metadata!E116,"UBERON:kidney"))</f>
        <v>0</v>
      </c>
      <c r="Y116">
        <f>AND(IF(metadata!F116="",FALSE,TRUE),exact(metadata!F116,"animal corpus"))</f>
        <v>0</v>
      </c>
      <c r="Z116">
        <f>AND(IF(metadata!G116="",FALSE,TRUE),exact(metadata!G116,"urine"))</f>
        <v>0</v>
      </c>
      <c r="AA116">
        <f>AND(IF(metadata!H116="",FALSE,TRUE),exact(metadata!H116,"urine"))</f>
        <v>0</v>
      </c>
      <c r="AB116">
        <f>AND(IF(metadata!I116="",FALSE,TRUE),exact(metadata!I116,"urine metagenome"))</f>
        <v>0</v>
      </c>
      <c r="AC116">
        <f>AND(IF(metadata!J116="",FALSE,TRUE),exact(metadata!J116,"1346744"))</f>
        <v>0</v>
      </c>
    </row>
    <row r="117" spans="1:29">
      <c r="A117" s="4">
        <f>IF(B117=" "," ",HYPERLINK(CONCATENATE("#metadata!",ADDRESS(INDEX($P$2:$P$1001,MATCH(ROWS($N$2:N117),$N$2:$N$1001,0),0),1)),INDEX($S$2:$S$1001,MATCH(ROWS($N$2:N117),$N$2:$N$1001,0),0)))</f>
        <v>0</v>
      </c>
      <c r="B117" s="3">
        <f>IF(OR(INDEX($O$2:$O$1001,MATCH(ROWS($N$2:N117),$N$2:$N$1001,0),1)&gt;=100000,INDEX($U$1005:$AC$1005,1,MATCH(COLUMNS($U$1006:U1006),$U$1006:$AC$1006,0))&gt;=100000), " ",IF(INDEX($U$2:$AC$1001,MATCH(ROWS($N$2:N117),$N$2:$N$1001,0),MATCH(COLUMNS($U$1006:U1006),$U$1006:$AC$1006,0)), HYPERLINK("#",""), HYPERLINK(CONCATENATE("#metadata!", ADDRESS(INDEX($P$2:$P$1001,MATCH(ROWS($N$2:N117),$N$2:$N$1001,0),0), INDEX($U$1004:$AC$1004,1,MATCH(COLUMNS($U$1006:U1006),$U$1006:$AC$1006,0)))),"Fix")))</f>
        <v>0</v>
      </c>
      <c r="C117" s="3">
        <f>IF(OR(INDEX($O$2:$O$1001,MATCH(ROWS($N$2:N117),$N$2:$N$1001,0),1)&gt;=100000,INDEX($U$1005:$AC$1005,1,MATCH(COLUMNS($U$1006:V1006),$U$1006:$AC$1006,0))&gt;=100000), " ",IF(INDEX($U$2:$AC$1001,MATCH(ROWS($N$2:N117),$N$2:$N$1001,0),MATCH(COLUMNS($U$1006:V1006),$U$1006:$AC$1006,0)), HYPERLINK("#",""), HYPERLINK(CONCATENATE("#metadata!", ADDRESS(INDEX($P$2:$P$1001,MATCH(ROWS($N$2:N117),$N$2:$N$1001,0),0), INDEX($U$1004:$AC$1004,1,MATCH(COLUMNS($U$1006:V1006),$U$1006:$AC$1006,0)))),"Fix")))</f>
        <v>0</v>
      </c>
      <c r="D117" s="3">
        <f>IF(OR(INDEX($O$2:$O$1001,MATCH(ROWS($N$2:N117),$N$2:$N$1001,0),1)&gt;=100000,INDEX($U$1005:$AC$1005,1,MATCH(COLUMNS($U$1006:W1006),$U$1006:$AC$1006,0))&gt;=100000), " ",IF(INDEX($U$2:$AC$1001,MATCH(ROWS($N$2:N117),$N$2:$N$1001,0),MATCH(COLUMNS($U$1006:W1006),$U$1006:$AC$1006,0)), HYPERLINK("#",""), HYPERLINK(CONCATENATE("#metadata!", ADDRESS(INDEX($P$2:$P$1001,MATCH(ROWS($N$2:N117),$N$2:$N$1001,0),0), INDEX($U$1004:$AC$1004,1,MATCH(COLUMNS($U$1006:W1006),$U$1006:$AC$1006,0)))),"Fix")))</f>
        <v>0</v>
      </c>
      <c r="E117" s="3">
        <f>IF(OR(INDEX($O$2:$O$1001,MATCH(ROWS($N$2:N117),$N$2:$N$1001,0),1)&gt;=100000,INDEX($U$1005:$AC$1005,1,MATCH(COLUMNS($U$1006:X1006),$U$1006:$AC$1006,0))&gt;=100000), " ",IF(INDEX($U$2:$AC$1001,MATCH(ROWS($N$2:N117),$N$2:$N$1001,0),MATCH(COLUMNS($U$1006:X1006),$U$1006:$AC$1006,0)), HYPERLINK("#",""), HYPERLINK(CONCATENATE("#metadata!", ADDRESS(INDEX($P$2:$P$1001,MATCH(ROWS($N$2:N117),$N$2:$N$1001,0),0), INDEX($U$1004:$AC$1004,1,MATCH(COLUMNS($U$1006:X1006),$U$1006:$AC$1006,0)))),"Fix")))</f>
        <v>0</v>
      </c>
      <c r="F117" s="3">
        <f>IF(OR(INDEX($O$2:$O$1001,MATCH(ROWS($N$2:N117),$N$2:$N$1001,0),1)&gt;=100000,INDEX($U$1005:$AC$1005,1,MATCH(COLUMNS($U$1006:Y1006),$U$1006:$AC$1006,0))&gt;=100000), " ",IF(INDEX($U$2:$AC$1001,MATCH(ROWS($N$2:N117),$N$2:$N$1001,0),MATCH(COLUMNS($U$1006:Y1006),$U$1006:$AC$1006,0)), HYPERLINK("#",""), HYPERLINK(CONCATENATE("#metadata!", ADDRESS(INDEX($P$2:$P$1001,MATCH(ROWS($N$2:N117),$N$2:$N$1001,0),0), INDEX($U$1004:$AC$1004,1,MATCH(COLUMNS($U$1006:Y1006),$U$1006:$AC$1006,0)))),"Fix")))</f>
        <v>0</v>
      </c>
      <c r="G117" s="3">
        <f>IF(OR(INDEX($O$2:$O$1001,MATCH(ROWS($N$2:N117),$N$2:$N$1001,0),1)&gt;=100000,INDEX($U$1005:$AC$1005,1,MATCH(COLUMNS($U$1006:Z1006),$U$1006:$AC$1006,0))&gt;=100000), " ",IF(INDEX($U$2:$AC$1001,MATCH(ROWS($N$2:N117),$N$2:$N$1001,0),MATCH(COLUMNS($U$1006:Z1006),$U$1006:$AC$1006,0)), HYPERLINK("#",""), HYPERLINK(CONCATENATE("#metadata!", ADDRESS(INDEX($P$2:$P$1001,MATCH(ROWS($N$2:N117),$N$2:$N$1001,0),0), INDEX($U$1004:$AC$1004,1,MATCH(COLUMNS($U$1006:Z1006),$U$1006:$AC$1006,0)))),"Fix")))</f>
        <v>0</v>
      </c>
      <c r="H117" s="3">
        <f>IF(OR(INDEX($O$2:$O$1001,MATCH(ROWS($N$2:N117),$N$2:$N$1001,0),1)&gt;=100000,INDEX($U$1005:$AC$1005,1,MATCH(COLUMNS($U$1006:AA1006),$U$1006:$AC$1006,0))&gt;=100000), " ",IF(INDEX($U$2:$AC$1001,MATCH(ROWS($N$2:N117),$N$2:$N$1001,0),MATCH(COLUMNS($U$1006:AA1006),$U$1006:$AC$1006,0)), HYPERLINK("#",""), HYPERLINK(CONCATENATE("#metadata!", ADDRESS(INDEX($P$2:$P$1001,MATCH(ROWS($N$2:N117),$N$2:$N$1001,0),0), INDEX($U$1004:$AC$1004,1,MATCH(COLUMNS($U$1006:AA1006),$U$1006:$AC$1006,0)))),"Fix")))</f>
        <v>0</v>
      </c>
      <c r="I117" s="3">
        <f>IF(OR(INDEX($O$2:$O$1001,MATCH(ROWS($N$2:N117),$N$2:$N$1001,0),1)&gt;=100000,INDEX($U$1005:$AC$1005,1,MATCH(COLUMNS($U$1006:AB1006),$U$1006:$AC$1006,0))&gt;=100000), " ",IF(INDEX($U$2:$AC$1001,MATCH(ROWS($N$2:N117),$N$2:$N$1001,0),MATCH(COLUMNS($U$1006:AB1006),$U$1006:$AC$1006,0)), HYPERLINK("#",""), HYPERLINK(CONCATENATE("#metadata!", ADDRESS(INDEX($P$2:$P$1001,MATCH(ROWS($N$2:N117),$N$2:$N$1001,0),0), INDEX($U$1004:$AC$1004,1,MATCH(COLUMNS($U$1006:AB1006),$U$1006:$AC$1006,0)))),"Fix")))</f>
        <v>0</v>
      </c>
      <c r="J117" s="3">
        <f>IF(OR(INDEX($O$2:$O$1001,MATCH(ROWS($N$2:N117),$N$2:$N$1001,0),1)&gt;=100000,INDEX($U$1005:$AC$1005,1,MATCH(COLUMNS($U$1006:AC1006),$U$1006:$AC$1006,0))&gt;=100000), " ",IF(INDEX($U$2:$AC$1001,MATCH(ROWS($N$2:N117),$N$2:$N$1001,0),MATCH(COLUMNS($U$1006:AC1006),$U$1006:$AC$1006,0)), HYPERLINK("#",""), HYPERLINK(CONCATENATE("#metadata!", ADDRESS(INDEX($P$2:$P$1001,MATCH(ROWS($N$2:N117),$N$2:$N$1001,0),0), INDEX($U$1004:$AC$1004,1,MATCH(COLUMNS($U$1006:AC1006),$U$1006:$AC$1006,0)))),"Fix")))</f>
        <v>0</v>
      </c>
      <c r="N117">
        <v>0</v>
      </c>
      <c r="O117">
        <v>0</v>
      </c>
      <c r="P117">
        <v>0</v>
      </c>
      <c r="Q117">
        <f>IF(R117,TRUE,AND(U117:AC117))</f>
        <v>0</v>
      </c>
      <c r="R117">
        <f>COUNTBLANK(metadata!B117:J117)=COLUMNS(metadata!B117:J117)</f>
        <v>0</v>
      </c>
      <c r="S117">
        <v>0</v>
      </c>
      <c r="U117">
        <f>AND(IF(metadata!B117="",FALSE,TRUE),COUNTIF(metadata!B:B, metadata!B117) = 1,NOT(ISERROR(SUMPRODUCT(SEARCH(MID(metadata!B117,ROW(INDIRECT("1:"&amp;LEN(metadata!B117))), 1),"0123456789abcdefghijklmnopqrstuvwxyzABCDEFGHIJKLMNOPQRSTUVWXYZ.")))))</f>
        <v>0</v>
      </c>
      <c r="V117">
        <f>AND(IF(metadata!C117="",FALSE,TRUE),exact(metadata!C117,"UBERON:genitourinary"))</f>
        <v>0</v>
      </c>
      <c r="W117">
        <f>AND(IF(metadata!D117="",FALSE,TRUE),exact(metadata!D117,"UBERON:urine"))</f>
        <v>0</v>
      </c>
      <c r="X117">
        <f>AND(IF(metadata!E117="",FALSE,TRUE),exact(metadata!E117,"UBERON:kidney"))</f>
        <v>0</v>
      </c>
      <c r="Y117">
        <f>AND(IF(metadata!F117="",FALSE,TRUE),exact(metadata!F117,"animal corpus"))</f>
        <v>0</v>
      </c>
      <c r="Z117">
        <f>AND(IF(metadata!G117="",FALSE,TRUE),exact(metadata!G117,"urine"))</f>
        <v>0</v>
      </c>
      <c r="AA117">
        <f>AND(IF(metadata!H117="",FALSE,TRUE),exact(metadata!H117,"urine"))</f>
        <v>0</v>
      </c>
      <c r="AB117">
        <f>AND(IF(metadata!I117="",FALSE,TRUE),exact(metadata!I117,"urine metagenome"))</f>
        <v>0</v>
      </c>
      <c r="AC117">
        <f>AND(IF(metadata!J117="",FALSE,TRUE),exact(metadata!J117,"1346744"))</f>
        <v>0</v>
      </c>
    </row>
    <row r="118" spans="1:29">
      <c r="A118" s="4">
        <f>IF(B118=" "," ",HYPERLINK(CONCATENATE("#metadata!",ADDRESS(INDEX($P$2:$P$1001,MATCH(ROWS($N$2:N118),$N$2:$N$1001,0),0),1)),INDEX($S$2:$S$1001,MATCH(ROWS($N$2:N118),$N$2:$N$1001,0),0)))</f>
        <v>0</v>
      </c>
      <c r="B118" s="3">
        <f>IF(OR(INDEX($O$2:$O$1001,MATCH(ROWS($N$2:N118),$N$2:$N$1001,0),1)&gt;=100000,INDEX($U$1005:$AC$1005,1,MATCH(COLUMNS($U$1006:U1006),$U$1006:$AC$1006,0))&gt;=100000), " ",IF(INDEX($U$2:$AC$1001,MATCH(ROWS($N$2:N118),$N$2:$N$1001,0),MATCH(COLUMNS($U$1006:U1006),$U$1006:$AC$1006,0)), HYPERLINK("#",""), HYPERLINK(CONCATENATE("#metadata!", ADDRESS(INDEX($P$2:$P$1001,MATCH(ROWS($N$2:N118),$N$2:$N$1001,0),0), INDEX($U$1004:$AC$1004,1,MATCH(COLUMNS($U$1006:U1006),$U$1006:$AC$1006,0)))),"Fix")))</f>
        <v>0</v>
      </c>
      <c r="C118" s="3">
        <f>IF(OR(INDEX($O$2:$O$1001,MATCH(ROWS($N$2:N118),$N$2:$N$1001,0),1)&gt;=100000,INDEX($U$1005:$AC$1005,1,MATCH(COLUMNS($U$1006:V1006),$U$1006:$AC$1006,0))&gt;=100000), " ",IF(INDEX($U$2:$AC$1001,MATCH(ROWS($N$2:N118),$N$2:$N$1001,0),MATCH(COLUMNS($U$1006:V1006),$U$1006:$AC$1006,0)), HYPERLINK("#",""), HYPERLINK(CONCATENATE("#metadata!", ADDRESS(INDEX($P$2:$P$1001,MATCH(ROWS($N$2:N118),$N$2:$N$1001,0),0), INDEX($U$1004:$AC$1004,1,MATCH(COLUMNS($U$1006:V1006),$U$1006:$AC$1006,0)))),"Fix")))</f>
        <v>0</v>
      </c>
      <c r="D118" s="3">
        <f>IF(OR(INDEX($O$2:$O$1001,MATCH(ROWS($N$2:N118),$N$2:$N$1001,0),1)&gt;=100000,INDEX($U$1005:$AC$1005,1,MATCH(COLUMNS($U$1006:W1006),$U$1006:$AC$1006,0))&gt;=100000), " ",IF(INDEX($U$2:$AC$1001,MATCH(ROWS($N$2:N118),$N$2:$N$1001,0),MATCH(COLUMNS($U$1006:W1006),$U$1006:$AC$1006,0)), HYPERLINK("#",""), HYPERLINK(CONCATENATE("#metadata!", ADDRESS(INDEX($P$2:$P$1001,MATCH(ROWS($N$2:N118),$N$2:$N$1001,0),0), INDEX($U$1004:$AC$1004,1,MATCH(COLUMNS($U$1006:W1006),$U$1006:$AC$1006,0)))),"Fix")))</f>
        <v>0</v>
      </c>
      <c r="E118" s="3">
        <f>IF(OR(INDEX($O$2:$O$1001,MATCH(ROWS($N$2:N118),$N$2:$N$1001,0),1)&gt;=100000,INDEX($U$1005:$AC$1005,1,MATCH(COLUMNS($U$1006:X1006),$U$1006:$AC$1006,0))&gt;=100000), " ",IF(INDEX($U$2:$AC$1001,MATCH(ROWS($N$2:N118),$N$2:$N$1001,0),MATCH(COLUMNS($U$1006:X1006),$U$1006:$AC$1006,0)), HYPERLINK("#",""), HYPERLINK(CONCATENATE("#metadata!", ADDRESS(INDEX($P$2:$P$1001,MATCH(ROWS($N$2:N118),$N$2:$N$1001,0),0), INDEX($U$1004:$AC$1004,1,MATCH(COLUMNS($U$1006:X1006),$U$1006:$AC$1006,0)))),"Fix")))</f>
        <v>0</v>
      </c>
      <c r="F118" s="3">
        <f>IF(OR(INDEX($O$2:$O$1001,MATCH(ROWS($N$2:N118),$N$2:$N$1001,0),1)&gt;=100000,INDEX($U$1005:$AC$1005,1,MATCH(COLUMNS($U$1006:Y1006),$U$1006:$AC$1006,0))&gt;=100000), " ",IF(INDEX($U$2:$AC$1001,MATCH(ROWS($N$2:N118),$N$2:$N$1001,0),MATCH(COLUMNS($U$1006:Y1006),$U$1006:$AC$1006,0)), HYPERLINK("#",""), HYPERLINK(CONCATENATE("#metadata!", ADDRESS(INDEX($P$2:$P$1001,MATCH(ROWS($N$2:N118),$N$2:$N$1001,0),0), INDEX($U$1004:$AC$1004,1,MATCH(COLUMNS($U$1006:Y1006),$U$1006:$AC$1006,0)))),"Fix")))</f>
        <v>0</v>
      </c>
      <c r="G118" s="3">
        <f>IF(OR(INDEX($O$2:$O$1001,MATCH(ROWS($N$2:N118),$N$2:$N$1001,0),1)&gt;=100000,INDEX($U$1005:$AC$1005,1,MATCH(COLUMNS($U$1006:Z1006),$U$1006:$AC$1006,0))&gt;=100000), " ",IF(INDEX($U$2:$AC$1001,MATCH(ROWS($N$2:N118),$N$2:$N$1001,0),MATCH(COLUMNS($U$1006:Z1006),$U$1006:$AC$1006,0)), HYPERLINK("#",""), HYPERLINK(CONCATENATE("#metadata!", ADDRESS(INDEX($P$2:$P$1001,MATCH(ROWS($N$2:N118),$N$2:$N$1001,0),0), INDEX($U$1004:$AC$1004,1,MATCH(COLUMNS($U$1006:Z1006),$U$1006:$AC$1006,0)))),"Fix")))</f>
        <v>0</v>
      </c>
      <c r="H118" s="3">
        <f>IF(OR(INDEX($O$2:$O$1001,MATCH(ROWS($N$2:N118),$N$2:$N$1001,0),1)&gt;=100000,INDEX($U$1005:$AC$1005,1,MATCH(COLUMNS($U$1006:AA1006),$U$1006:$AC$1006,0))&gt;=100000), " ",IF(INDEX($U$2:$AC$1001,MATCH(ROWS($N$2:N118),$N$2:$N$1001,0),MATCH(COLUMNS($U$1006:AA1006),$U$1006:$AC$1006,0)), HYPERLINK("#",""), HYPERLINK(CONCATENATE("#metadata!", ADDRESS(INDEX($P$2:$P$1001,MATCH(ROWS($N$2:N118),$N$2:$N$1001,0),0), INDEX($U$1004:$AC$1004,1,MATCH(COLUMNS($U$1006:AA1006),$U$1006:$AC$1006,0)))),"Fix")))</f>
        <v>0</v>
      </c>
      <c r="I118" s="3">
        <f>IF(OR(INDEX($O$2:$O$1001,MATCH(ROWS($N$2:N118),$N$2:$N$1001,0),1)&gt;=100000,INDEX($U$1005:$AC$1005,1,MATCH(COLUMNS($U$1006:AB1006),$U$1006:$AC$1006,0))&gt;=100000), " ",IF(INDEX($U$2:$AC$1001,MATCH(ROWS($N$2:N118),$N$2:$N$1001,0),MATCH(COLUMNS($U$1006:AB1006),$U$1006:$AC$1006,0)), HYPERLINK("#",""), HYPERLINK(CONCATENATE("#metadata!", ADDRESS(INDEX($P$2:$P$1001,MATCH(ROWS($N$2:N118),$N$2:$N$1001,0),0), INDEX($U$1004:$AC$1004,1,MATCH(COLUMNS($U$1006:AB1006),$U$1006:$AC$1006,0)))),"Fix")))</f>
        <v>0</v>
      </c>
      <c r="J118" s="3">
        <f>IF(OR(INDEX($O$2:$O$1001,MATCH(ROWS($N$2:N118),$N$2:$N$1001,0),1)&gt;=100000,INDEX($U$1005:$AC$1005,1,MATCH(COLUMNS($U$1006:AC1006),$U$1006:$AC$1006,0))&gt;=100000), " ",IF(INDEX($U$2:$AC$1001,MATCH(ROWS($N$2:N118),$N$2:$N$1001,0),MATCH(COLUMNS($U$1006:AC1006),$U$1006:$AC$1006,0)), HYPERLINK("#",""), HYPERLINK(CONCATENATE("#metadata!", ADDRESS(INDEX($P$2:$P$1001,MATCH(ROWS($N$2:N118),$N$2:$N$1001,0),0), INDEX($U$1004:$AC$1004,1,MATCH(COLUMNS($U$1006:AC1006),$U$1006:$AC$1006,0)))),"Fix")))</f>
        <v>0</v>
      </c>
      <c r="N118">
        <v>0</v>
      </c>
      <c r="O118">
        <v>0</v>
      </c>
      <c r="P118">
        <v>0</v>
      </c>
      <c r="Q118">
        <f>IF(R118,TRUE,AND(U118:AC118))</f>
        <v>0</v>
      </c>
      <c r="R118">
        <f>COUNTBLANK(metadata!B118:J118)=COLUMNS(metadata!B118:J118)</f>
        <v>0</v>
      </c>
      <c r="S118">
        <v>0</v>
      </c>
      <c r="U118">
        <f>AND(IF(metadata!B118="",FALSE,TRUE),COUNTIF(metadata!B:B, metadata!B118) = 1,NOT(ISERROR(SUMPRODUCT(SEARCH(MID(metadata!B118,ROW(INDIRECT("1:"&amp;LEN(metadata!B118))), 1),"0123456789abcdefghijklmnopqrstuvwxyzABCDEFGHIJKLMNOPQRSTUVWXYZ.")))))</f>
        <v>0</v>
      </c>
      <c r="V118">
        <f>AND(IF(metadata!C118="",FALSE,TRUE),exact(metadata!C118,"UBERON:genitourinary"))</f>
        <v>0</v>
      </c>
      <c r="W118">
        <f>AND(IF(metadata!D118="",FALSE,TRUE),exact(metadata!D118,"UBERON:urine"))</f>
        <v>0</v>
      </c>
      <c r="X118">
        <f>AND(IF(metadata!E118="",FALSE,TRUE),exact(metadata!E118,"UBERON:kidney"))</f>
        <v>0</v>
      </c>
      <c r="Y118">
        <f>AND(IF(metadata!F118="",FALSE,TRUE),exact(metadata!F118,"animal corpus"))</f>
        <v>0</v>
      </c>
      <c r="Z118">
        <f>AND(IF(metadata!G118="",FALSE,TRUE),exact(metadata!G118,"urine"))</f>
        <v>0</v>
      </c>
      <c r="AA118">
        <f>AND(IF(metadata!H118="",FALSE,TRUE),exact(metadata!H118,"urine"))</f>
        <v>0</v>
      </c>
      <c r="AB118">
        <f>AND(IF(metadata!I118="",FALSE,TRUE),exact(metadata!I118,"urine metagenome"))</f>
        <v>0</v>
      </c>
      <c r="AC118">
        <f>AND(IF(metadata!J118="",FALSE,TRUE),exact(metadata!J118,"1346744"))</f>
        <v>0</v>
      </c>
    </row>
    <row r="119" spans="1:29">
      <c r="A119" s="4">
        <f>IF(B119=" "," ",HYPERLINK(CONCATENATE("#metadata!",ADDRESS(INDEX($P$2:$P$1001,MATCH(ROWS($N$2:N119),$N$2:$N$1001,0),0),1)),INDEX($S$2:$S$1001,MATCH(ROWS($N$2:N119),$N$2:$N$1001,0),0)))</f>
        <v>0</v>
      </c>
      <c r="B119" s="3">
        <f>IF(OR(INDEX($O$2:$O$1001,MATCH(ROWS($N$2:N119),$N$2:$N$1001,0),1)&gt;=100000,INDEX($U$1005:$AC$1005,1,MATCH(COLUMNS($U$1006:U1006),$U$1006:$AC$1006,0))&gt;=100000), " ",IF(INDEX($U$2:$AC$1001,MATCH(ROWS($N$2:N119),$N$2:$N$1001,0),MATCH(COLUMNS($U$1006:U1006),$U$1006:$AC$1006,0)), HYPERLINK("#",""), HYPERLINK(CONCATENATE("#metadata!", ADDRESS(INDEX($P$2:$P$1001,MATCH(ROWS($N$2:N119),$N$2:$N$1001,0),0), INDEX($U$1004:$AC$1004,1,MATCH(COLUMNS($U$1006:U1006),$U$1006:$AC$1006,0)))),"Fix")))</f>
        <v>0</v>
      </c>
      <c r="C119" s="3">
        <f>IF(OR(INDEX($O$2:$O$1001,MATCH(ROWS($N$2:N119),$N$2:$N$1001,0),1)&gt;=100000,INDEX($U$1005:$AC$1005,1,MATCH(COLUMNS($U$1006:V1006),$U$1006:$AC$1006,0))&gt;=100000), " ",IF(INDEX($U$2:$AC$1001,MATCH(ROWS($N$2:N119),$N$2:$N$1001,0),MATCH(COLUMNS($U$1006:V1006),$U$1006:$AC$1006,0)), HYPERLINK("#",""), HYPERLINK(CONCATENATE("#metadata!", ADDRESS(INDEX($P$2:$P$1001,MATCH(ROWS($N$2:N119),$N$2:$N$1001,0),0), INDEX($U$1004:$AC$1004,1,MATCH(COLUMNS($U$1006:V1006),$U$1006:$AC$1006,0)))),"Fix")))</f>
        <v>0</v>
      </c>
      <c r="D119" s="3">
        <f>IF(OR(INDEX($O$2:$O$1001,MATCH(ROWS($N$2:N119),$N$2:$N$1001,0),1)&gt;=100000,INDEX($U$1005:$AC$1005,1,MATCH(COLUMNS($U$1006:W1006),$U$1006:$AC$1006,0))&gt;=100000), " ",IF(INDEX($U$2:$AC$1001,MATCH(ROWS($N$2:N119),$N$2:$N$1001,0),MATCH(COLUMNS($U$1006:W1006),$U$1006:$AC$1006,0)), HYPERLINK("#",""), HYPERLINK(CONCATENATE("#metadata!", ADDRESS(INDEX($P$2:$P$1001,MATCH(ROWS($N$2:N119),$N$2:$N$1001,0),0), INDEX($U$1004:$AC$1004,1,MATCH(COLUMNS($U$1006:W1006),$U$1006:$AC$1006,0)))),"Fix")))</f>
        <v>0</v>
      </c>
      <c r="E119" s="3">
        <f>IF(OR(INDEX($O$2:$O$1001,MATCH(ROWS($N$2:N119),$N$2:$N$1001,0),1)&gt;=100000,INDEX($U$1005:$AC$1005,1,MATCH(COLUMNS($U$1006:X1006),$U$1006:$AC$1006,0))&gt;=100000), " ",IF(INDEX($U$2:$AC$1001,MATCH(ROWS($N$2:N119),$N$2:$N$1001,0),MATCH(COLUMNS($U$1006:X1006),$U$1006:$AC$1006,0)), HYPERLINK("#",""), HYPERLINK(CONCATENATE("#metadata!", ADDRESS(INDEX($P$2:$P$1001,MATCH(ROWS($N$2:N119),$N$2:$N$1001,0),0), INDEX($U$1004:$AC$1004,1,MATCH(COLUMNS($U$1006:X1006),$U$1006:$AC$1006,0)))),"Fix")))</f>
        <v>0</v>
      </c>
      <c r="F119" s="3">
        <f>IF(OR(INDEX($O$2:$O$1001,MATCH(ROWS($N$2:N119),$N$2:$N$1001,0),1)&gt;=100000,INDEX($U$1005:$AC$1005,1,MATCH(COLUMNS($U$1006:Y1006),$U$1006:$AC$1006,0))&gt;=100000), " ",IF(INDEX($U$2:$AC$1001,MATCH(ROWS($N$2:N119),$N$2:$N$1001,0),MATCH(COLUMNS($U$1006:Y1006),$U$1006:$AC$1006,0)), HYPERLINK("#",""), HYPERLINK(CONCATENATE("#metadata!", ADDRESS(INDEX($P$2:$P$1001,MATCH(ROWS($N$2:N119),$N$2:$N$1001,0),0), INDEX($U$1004:$AC$1004,1,MATCH(COLUMNS($U$1006:Y1006),$U$1006:$AC$1006,0)))),"Fix")))</f>
        <v>0</v>
      </c>
      <c r="G119" s="3">
        <f>IF(OR(INDEX($O$2:$O$1001,MATCH(ROWS($N$2:N119),$N$2:$N$1001,0),1)&gt;=100000,INDEX($U$1005:$AC$1005,1,MATCH(COLUMNS($U$1006:Z1006),$U$1006:$AC$1006,0))&gt;=100000), " ",IF(INDEX($U$2:$AC$1001,MATCH(ROWS($N$2:N119),$N$2:$N$1001,0),MATCH(COLUMNS($U$1006:Z1006),$U$1006:$AC$1006,0)), HYPERLINK("#",""), HYPERLINK(CONCATENATE("#metadata!", ADDRESS(INDEX($P$2:$P$1001,MATCH(ROWS($N$2:N119),$N$2:$N$1001,0),0), INDEX($U$1004:$AC$1004,1,MATCH(COLUMNS($U$1006:Z1006),$U$1006:$AC$1006,0)))),"Fix")))</f>
        <v>0</v>
      </c>
      <c r="H119" s="3">
        <f>IF(OR(INDEX($O$2:$O$1001,MATCH(ROWS($N$2:N119),$N$2:$N$1001,0),1)&gt;=100000,INDEX($U$1005:$AC$1005,1,MATCH(COLUMNS($U$1006:AA1006),$U$1006:$AC$1006,0))&gt;=100000), " ",IF(INDEX($U$2:$AC$1001,MATCH(ROWS($N$2:N119),$N$2:$N$1001,0),MATCH(COLUMNS($U$1006:AA1006),$U$1006:$AC$1006,0)), HYPERLINK("#",""), HYPERLINK(CONCATENATE("#metadata!", ADDRESS(INDEX($P$2:$P$1001,MATCH(ROWS($N$2:N119),$N$2:$N$1001,0),0), INDEX($U$1004:$AC$1004,1,MATCH(COLUMNS($U$1006:AA1006),$U$1006:$AC$1006,0)))),"Fix")))</f>
        <v>0</v>
      </c>
      <c r="I119" s="3">
        <f>IF(OR(INDEX($O$2:$O$1001,MATCH(ROWS($N$2:N119),$N$2:$N$1001,0),1)&gt;=100000,INDEX($U$1005:$AC$1005,1,MATCH(COLUMNS($U$1006:AB1006),$U$1006:$AC$1006,0))&gt;=100000), " ",IF(INDEX($U$2:$AC$1001,MATCH(ROWS($N$2:N119),$N$2:$N$1001,0),MATCH(COLUMNS($U$1006:AB1006),$U$1006:$AC$1006,0)), HYPERLINK("#",""), HYPERLINK(CONCATENATE("#metadata!", ADDRESS(INDEX($P$2:$P$1001,MATCH(ROWS($N$2:N119),$N$2:$N$1001,0),0), INDEX($U$1004:$AC$1004,1,MATCH(COLUMNS($U$1006:AB1006),$U$1006:$AC$1006,0)))),"Fix")))</f>
        <v>0</v>
      </c>
      <c r="J119" s="3">
        <f>IF(OR(INDEX($O$2:$O$1001,MATCH(ROWS($N$2:N119),$N$2:$N$1001,0),1)&gt;=100000,INDEX($U$1005:$AC$1005,1,MATCH(COLUMNS($U$1006:AC1006),$U$1006:$AC$1006,0))&gt;=100000), " ",IF(INDEX($U$2:$AC$1001,MATCH(ROWS($N$2:N119),$N$2:$N$1001,0),MATCH(COLUMNS($U$1006:AC1006),$U$1006:$AC$1006,0)), HYPERLINK("#",""), HYPERLINK(CONCATENATE("#metadata!", ADDRESS(INDEX($P$2:$P$1001,MATCH(ROWS($N$2:N119),$N$2:$N$1001,0),0), INDEX($U$1004:$AC$1004,1,MATCH(COLUMNS($U$1006:AC1006),$U$1006:$AC$1006,0)))),"Fix")))</f>
        <v>0</v>
      </c>
      <c r="N119">
        <v>0</v>
      </c>
      <c r="O119">
        <v>0</v>
      </c>
      <c r="P119">
        <v>0</v>
      </c>
      <c r="Q119">
        <f>IF(R119,TRUE,AND(U119:AC119))</f>
        <v>0</v>
      </c>
      <c r="R119">
        <f>COUNTBLANK(metadata!B119:J119)=COLUMNS(metadata!B119:J119)</f>
        <v>0</v>
      </c>
      <c r="S119">
        <v>0</v>
      </c>
      <c r="U119">
        <f>AND(IF(metadata!B119="",FALSE,TRUE),COUNTIF(metadata!B:B, metadata!B119) = 1,NOT(ISERROR(SUMPRODUCT(SEARCH(MID(metadata!B119,ROW(INDIRECT("1:"&amp;LEN(metadata!B119))), 1),"0123456789abcdefghijklmnopqrstuvwxyzABCDEFGHIJKLMNOPQRSTUVWXYZ.")))))</f>
        <v>0</v>
      </c>
      <c r="V119">
        <f>AND(IF(metadata!C119="",FALSE,TRUE),exact(metadata!C119,"UBERON:genitourinary"))</f>
        <v>0</v>
      </c>
      <c r="W119">
        <f>AND(IF(metadata!D119="",FALSE,TRUE),exact(metadata!D119,"UBERON:urine"))</f>
        <v>0</v>
      </c>
      <c r="X119">
        <f>AND(IF(metadata!E119="",FALSE,TRUE),exact(metadata!E119,"UBERON:kidney"))</f>
        <v>0</v>
      </c>
      <c r="Y119">
        <f>AND(IF(metadata!F119="",FALSE,TRUE),exact(metadata!F119,"animal corpus"))</f>
        <v>0</v>
      </c>
      <c r="Z119">
        <f>AND(IF(metadata!G119="",FALSE,TRUE),exact(metadata!G119,"urine"))</f>
        <v>0</v>
      </c>
      <c r="AA119">
        <f>AND(IF(metadata!H119="",FALSE,TRUE),exact(metadata!H119,"urine"))</f>
        <v>0</v>
      </c>
      <c r="AB119">
        <f>AND(IF(metadata!I119="",FALSE,TRUE),exact(metadata!I119,"urine metagenome"))</f>
        <v>0</v>
      </c>
      <c r="AC119">
        <f>AND(IF(metadata!J119="",FALSE,TRUE),exact(metadata!J119,"1346744"))</f>
        <v>0</v>
      </c>
    </row>
    <row r="120" spans="1:29">
      <c r="A120" s="4">
        <f>IF(B120=" "," ",HYPERLINK(CONCATENATE("#metadata!",ADDRESS(INDEX($P$2:$P$1001,MATCH(ROWS($N$2:N120),$N$2:$N$1001,0),0),1)),INDEX($S$2:$S$1001,MATCH(ROWS($N$2:N120),$N$2:$N$1001,0),0)))</f>
        <v>0</v>
      </c>
      <c r="B120" s="3">
        <f>IF(OR(INDEX($O$2:$O$1001,MATCH(ROWS($N$2:N120),$N$2:$N$1001,0),1)&gt;=100000,INDEX($U$1005:$AC$1005,1,MATCH(COLUMNS($U$1006:U1006),$U$1006:$AC$1006,0))&gt;=100000), " ",IF(INDEX($U$2:$AC$1001,MATCH(ROWS($N$2:N120),$N$2:$N$1001,0),MATCH(COLUMNS($U$1006:U1006),$U$1006:$AC$1006,0)), HYPERLINK("#",""), HYPERLINK(CONCATENATE("#metadata!", ADDRESS(INDEX($P$2:$P$1001,MATCH(ROWS($N$2:N120),$N$2:$N$1001,0),0), INDEX($U$1004:$AC$1004,1,MATCH(COLUMNS($U$1006:U1006),$U$1006:$AC$1006,0)))),"Fix")))</f>
        <v>0</v>
      </c>
      <c r="C120" s="3">
        <f>IF(OR(INDEX($O$2:$O$1001,MATCH(ROWS($N$2:N120),$N$2:$N$1001,0),1)&gt;=100000,INDEX($U$1005:$AC$1005,1,MATCH(COLUMNS($U$1006:V1006),$U$1006:$AC$1006,0))&gt;=100000), " ",IF(INDEX($U$2:$AC$1001,MATCH(ROWS($N$2:N120),$N$2:$N$1001,0),MATCH(COLUMNS($U$1006:V1006),$U$1006:$AC$1006,0)), HYPERLINK("#",""), HYPERLINK(CONCATENATE("#metadata!", ADDRESS(INDEX($P$2:$P$1001,MATCH(ROWS($N$2:N120),$N$2:$N$1001,0),0), INDEX($U$1004:$AC$1004,1,MATCH(COLUMNS($U$1006:V1006),$U$1006:$AC$1006,0)))),"Fix")))</f>
        <v>0</v>
      </c>
      <c r="D120" s="3">
        <f>IF(OR(INDEX($O$2:$O$1001,MATCH(ROWS($N$2:N120),$N$2:$N$1001,0),1)&gt;=100000,INDEX($U$1005:$AC$1005,1,MATCH(COLUMNS($U$1006:W1006),$U$1006:$AC$1006,0))&gt;=100000), " ",IF(INDEX($U$2:$AC$1001,MATCH(ROWS($N$2:N120),$N$2:$N$1001,0),MATCH(COLUMNS($U$1006:W1006),$U$1006:$AC$1006,0)), HYPERLINK("#",""), HYPERLINK(CONCATENATE("#metadata!", ADDRESS(INDEX($P$2:$P$1001,MATCH(ROWS($N$2:N120),$N$2:$N$1001,0),0), INDEX($U$1004:$AC$1004,1,MATCH(COLUMNS($U$1006:W1006),$U$1006:$AC$1006,0)))),"Fix")))</f>
        <v>0</v>
      </c>
      <c r="E120" s="3">
        <f>IF(OR(INDEX($O$2:$O$1001,MATCH(ROWS($N$2:N120),$N$2:$N$1001,0),1)&gt;=100000,INDEX($U$1005:$AC$1005,1,MATCH(COLUMNS($U$1006:X1006),$U$1006:$AC$1006,0))&gt;=100000), " ",IF(INDEX($U$2:$AC$1001,MATCH(ROWS($N$2:N120),$N$2:$N$1001,0),MATCH(COLUMNS($U$1006:X1006),$U$1006:$AC$1006,0)), HYPERLINK("#",""), HYPERLINK(CONCATENATE("#metadata!", ADDRESS(INDEX($P$2:$P$1001,MATCH(ROWS($N$2:N120),$N$2:$N$1001,0),0), INDEX($U$1004:$AC$1004,1,MATCH(COLUMNS($U$1006:X1006),$U$1006:$AC$1006,0)))),"Fix")))</f>
        <v>0</v>
      </c>
      <c r="F120" s="3">
        <f>IF(OR(INDEX($O$2:$O$1001,MATCH(ROWS($N$2:N120),$N$2:$N$1001,0),1)&gt;=100000,INDEX($U$1005:$AC$1005,1,MATCH(COLUMNS($U$1006:Y1006),$U$1006:$AC$1006,0))&gt;=100000), " ",IF(INDEX($U$2:$AC$1001,MATCH(ROWS($N$2:N120),$N$2:$N$1001,0),MATCH(COLUMNS($U$1006:Y1006),$U$1006:$AC$1006,0)), HYPERLINK("#",""), HYPERLINK(CONCATENATE("#metadata!", ADDRESS(INDEX($P$2:$P$1001,MATCH(ROWS($N$2:N120),$N$2:$N$1001,0),0), INDEX($U$1004:$AC$1004,1,MATCH(COLUMNS($U$1006:Y1006),$U$1006:$AC$1006,0)))),"Fix")))</f>
        <v>0</v>
      </c>
      <c r="G120" s="3">
        <f>IF(OR(INDEX($O$2:$O$1001,MATCH(ROWS($N$2:N120),$N$2:$N$1001,0),1)&gt;=100000,INDEX($U$1005:$AC$1005,1,MATCH(COLUMNS($U$1006:Z1006),$U$1006:$AC$1006,0))&gt;=100000), " ",IF(INDEX($U$2:$AC$1001,MATCH(ROWS($N$2:N120),$N$2:$N$1001,0),MATCH(COLUMNS($U$1006:Z1006),$U$1006:$AC$1006,0)), HYPERLINK("#",""), HYPERLINK(CONCATENATE("#metadata!", ADDRESS(INDEX($P$2:$P$1001,MATCH(ROWS($N$2:N120),$N$2:$N$1001,0),0), INDEX($U$1004:$AC$1004,1,MATCH(COLUMNS($U$1006:Z1006),$U$1006:$AC$1006,0)))),"Fix")))</f>
        <v>0</v>
      </c>
      <c r="H120" s="3">
        <f>IF(OR(INDEX($O$2:$O$1001,MATCH(ROWS($N$2:N120),$N$2:$N$1001,0),1)&gt;=100000,INDEX($U$1005:$AC$1005,1,MATCH(COLUMNS($U$1006:AA1006),$U$1006:$AC$1006,0))&gt;=100000), " ",IF(INDEX($U$2:$AC$1001,MATCH(ROWS($N$2:N120),$N$2:$N$1001,0),MATCH(COLUMNS($U$1006:AA1006),$U$1006:$AC$1006,0)), HYPERLINK("#",""), HYPERLINK(CONCATENATE("#metadata!", ADDRESS(INDEX($P$2:$P$1001,MATCH(ROWS($N$2:N120),$N$2:$N$1001,0),0), INDEX($U$1004:$AC$1004,1,MATCH(COLUMNS($U$1006:AA1006),$U$1006:$AC$1006,0)))),"Fix")))</f>
        <v>0</v>
      </c>
      <c r="I120" s="3">
        <f>IF(OR(INDEX($O$2:$O$1001,MATCH(ROWS($N$2:N120),$N$2:$N$1001,0),1)&gt;=100000,INDEX($U$1005:$AC$1005,1,MATCH(COLUMNS($U$1006:AB1006),$U$1006:$AC$1006,0))&gt;=100000), " ",IF(INDEX($U$2:$AC$1001,MATCH(ROWS($N$2:N120),$N$2:$N$1001,0),MATCH(COLUMNS($U$1006:AB1006),$U$1006:$AC$1006,0)), HYPERLINK("#",""), HYPERLINK(CONCATENATE("#metadata!", ADDRESS(INDEX($P$2:$P$1001,MATCH(ROWS($N$2:N120),$N$2:$N$1001,0),0), INDEX($U$1004:$AC$1004,1,MATCH(COLUMNS($U$1006:AB1006),$U$1006:$AC$1006,0)))),"Fix")))</f>
        <v>0</v>
      </c>
      <c r="J120" s="3">
        <f>IF(OR(INDEX($O$2:$O$1001,MATCH(ROWS($N$2:N120),$N$2:$N$1001,0),1)&gt;=100000,INDEX($U$1005:$AC$1005,1,MATCH(COLUMNS($U$1006:AC1006),$U$1006:$AC$1006,0))&gt;=100000), " ",IF(INDEX($U$2:$AC$1001,MATCH(ROWS($N$2:N120),$N$2:$N$1001,0),MATCH(COLUMNS($U$1006:AC1006),$U$1006:$AC$1006,0)), HYPERLINK("#",""), HYPERLINK(CONCATENATE("#metadata!", ADDRESS(INDEX($P$2:$P$1001,MATCH(ROWS($N$2:N120),$N$2:$N$1001,0),0), INDEX($U$1004:$AC$1004,1,MATCH(COLUMNS($U$1006:AC1006),$U$1006:$AC$1006,0)))),"Fix")))</f>
        <v>0</v>
      </c>
      <c r="N120">
        <v>0</v>
      </c>
      <c r="O120">
        <v>0</v>
      </c>
      <c r="P120">
        <v>0</v>
      </c>
      <c r="Q120">
        <f>IF(R120,TRUE,AND(U120:AC120))</f>
        <v>0</v>
      </c>
      <c r="R120">
        <f>COUNTBLANK(metadata!B120:J120)=COLUMNS(metadata!B120:J120)</f>
        <v>0</v>
      </c>
      <c r="S120">
        <v>0</v>
      </c>
      <c r="U120">
        <f>AND(IF(metadata!B120="",FALSE,TRUE),COUNTIF(metadata!B:B, metadata!B120) = 1,NOT(ISERROR(SUMPRODUCT(SEARCH(MID(metadata!B120,ROW(INDIRECT("1:"&amp;LEN(metadata!B120))), 1),"0123456789abcdefghijklmnopqrstuvwxyzABCDEFGHIJKLMNOPQRSTUVWXYZ.")))))</f>
        <v>0</v>
      </c>
      <c r="V120">
        <f>AND(IF(metadata!C120="",FALSE,TRUE),exact(metadata!C120,"UBERON:genitourinary"))</f>
        <v>0</v>
      </c>
      <c r="W120">
        <f>AND(IF(metadata!D120="",FALSE,TRUE),exact(metadata!D120,"UBERON:urine"))</f>
        <v>0</v>
      </c>
      <c r="X120">
        <f>AND(IF(metadata!E120="",FALSE,TRUE),exact(metadata!E120,"UBERON:kidney"))</f>
        <v>0</v>
      </c>
      <c r="Y120">
        <f>AND(IF(metadata!F120="",FALSE,TRUE),exact(metadata!F120,"animal corpus"))</f>
        <v>0</v>
      </c>
      <c r="Z120">
        <f>AND(IF(metadata!G120="",FALSE,TRUE),exact(metadata!G120,"urine"))</f>
        <v>0</v>
      </c>
      <c r="AA120">
        <f>AND(IF(metadata!H120="",FALSE,TRUE),exact(metadata!H120,"urine"))</f>
        <v>0</v>
      </c>
      <c r="AB120">
        <f>AND(IF(metadata!I120="",FALSE,TRUE),exact(metadata!I120,"urine metagenome"))</f>
        <v>0</v>
      </c>
      <c r="AC120">
        <f>AND(IF(metadata!J120="",FALSE,TRUE),exact(metadata!J120,"1346744"))</f>
        <v>0</v>
      </c>
    </row>
    <row r="121" spans="1:29">
      <c r="A121" s="4">
        <f>IF(B121=" "," ",HYPERLINK(CONCATENATE("#metadata!",ADDRESS(INDEX($P$2:$P$1001,MATCH(ROWS($N$2:N121),$N$2:$N$1001,0),0),1)),INDEX($S$2:$S$1001,MATCH(ROWS($N$2:N121),$N$2:$N$1001,0),0)))</f>
        <v>0</v>
      </c>
      <c r="B121" s="3">
        <f>IF(OR(INDEX($O$2:$O$1001,MATCH(ROWS($N$2:N121),$N$2:$N$1001,0),1)&gt;=100000,INDEX($U$1005:$AC$1005,1,MATCH(COLUMNS($U$1006:U1006),$U$1006:$AC$1006,0))&gt;=100000), " ",IF(INDEX($U$2:$AC$1001,MATCH(ROWS($N$2:N121),$N$2:$N$1001,0),MATCH(COLUMNS($U$1006:U1006),$U$1006:$AC$1006,0)), HYPERLINK("#",""), HYPERLINK(CONCATENATE("#metadata!", ADDRESS(INDEX($P$2:$P$1001,MATCH(ROWS($N$2:N121),$N$2:$N$1001,0),0), INDEX($U$1004:$AC$1004,1,MATCH(COLUMNS($U$1006:U1006),$U$1006:$AC$1006,0)))),"Fix")))</f>
        <v>0</v>
      </c>
      <c r="C121" s="3">
        <f>IF(OR(INDEX($O$2:$O$1001,MATCH(ROWS($N$2:N121),$N$2:$N$1001,0),1)&gt;=100000,INDEX($U$1005:$AC$1005,1,MATCH(COLUMNS($U$1006:V1006),$U$1006:$AC$1006,0))&gt;=100000), " ",IF(INDEX($U$2:$AC$1001,MATCH(ROWS($N$2:N121),$N$2:$N$1001,0),MATCH(COLUMNS($U$1006:V1006),$U$1006:$AC$1006,0)), HYPERLINK("#",""), HYPERLINK(CONCATENATE("#metadata!", ADDRESS(INDEX($P$2:$P$1001,MATCH(ROWS($N$2:N121),$N$2:$N$1001,0),0), INDEX($U$1004:$AC$1004,1,MATCH(COLUMNS($U$1006:V1006),$U$1006:$AC$1006,0)))),"Fix")))</f>
        <v>0</v>
      </c>
      <c r="D121" s="3">
        <f>IF(OR(INDEX($O$2:$O$1001,MATCH(ROWS($N$2:N121),$N$2:$N$1001,0),1)&gt;=100000,INDEX($U$1005:$AC$1005,1,MATCH(COLUMNS($U$1006:W1006),$U$1006:$AC$1006,0))&gt;=100000), " ",IF(INDEX($U$2:$AC$1001,MATCH(ROWS($N$2:N121),$N$2:$N$1001,0),MATCH(COLUMNS($U$1006:W1006),$U$1006:$AC$1006,0)), HYPERLINK("#",""), HYPERLINK(CONCATENATE("#metadata!", ADDRESS(INDEX($P$2:$P$1001,MATCH(ROWS($N$2:N121),$N$2:$N$1001,0),0), INDEX($U$1004:$AC$1004,1,MATCH(COLUMNS($U$1006:W1006),$U$1006:$AC$1006,0)))),"Fix")))</f>
        <v>0</v>
      </c>
      <c r="E121" s="3">
        <f>IF(OR(INDEX($O$2:$O$1001,MATCH(ROWS($N$2:N121),$N$2:$N$1001,0),1)&gt;=100000,INDEX($U$1005:$AC$1005,1,MATCH(COLUMNS($U$1006:X1006),$U$1006:$AC$1006,0))&gt;=100000), " ",IF(INDEX($U$2:$AC$1001,MATCH(ROWS($N$2:N121),$N$2:$N$1001,0),MATCH(COLUMNS($U$1006:X1006),$U$1006:$AC$1006,0)), HYPERLINK("#",""), HYPERLINK(CONCATENATE("#metadata!", ADDRESS(INDEX($P$2:$P$1001,MATCH(ROWS($N$2:N121),$N$2:$N$1001,0),0), INDEX($U$1004:$AC$1004,1,MATCH(COLUMNS($U$1006:X1006),$U$1006:$AC$1006,0)))),"Fix")))</f>
        <v>0</v>
      </c>
      <c r="F121" s="3">
        <f>IF(OR(INDEX($O$2:$O$1001,MATCH(ROWS($N$2:N121),$N$2:$N$1001,0),1)&gt;=100000,INDEX($U$1005:$AC$1005,1,MATCH(COLUMNS($U$1006:Y1006),$U$1006:$AC$1006,0))&gt;=100000), " ",IF(INDEX($U$2:$AC$1001,MATCH(ROWS($N$2:N121),$N$2:$N$1001,0),MATCH(COLUMNS($U$1006:Y1006),$U$1006:$AC$1006,0)), HYPERLINK("#",""), HYPERLINK(CONCATENATE("#metadata!", ADDRESS(INDEX($P$2:$P$1001,MATCH(ROWS($N$2:N121),$N$2:$N$1001,0),0), INDEX($U$1004:$AC$1004,1,MATCH(COLUMNS($U$1006:Y1006),$U$1006:$AC$1006,0)))),"Fix")))</f>
        <v>0</v>
      </c>
      <c r="G121" s="3">
        <f>IF(OR(INDEX($O$2:$O$1001,MATCH(ROWS($N$2:N121),$N$2:$N$1001,0),1)&gt;=100000,INDEX($U$1005:$AC$1005,1,MATCH(COLUMNS($U$1006:Z1006),$U$1006:$AC$1006,0))&gt;=100000), " ",IF(INDEX($U$2:$AC$1001,MATCH(ROWS($N$2:N121),$N$2:$N$1001,0),MATCH(COLUMNS($U$1006:Z1006),$U$1006:$AC$1006,0)), HYPERLINK("#",""), HYPERLINK(CONCATENATE("#metadata!", ADDRESS(INDEX($P$2:$P$1001,MATCH(ROWS($N$2:N121),$N$2:$N$1001,0),0), INDEX($U$1004:$AC$1004,1,MATCH(COLUMNS($U$1006:Z1006),$U$1006:$AC$1006,0)))),"Fix")))</f>
        <v>0</v>
      </c>
      <c r="H121" s="3">
        <f>IF(OR(INDEX($O$2:$O$1001,MATCH(ROWS($N$2:N121),$N$2:$N$1001,0),1)&gt;=100000,INDEX($U$1005:$AC$1005,1,MATCH(COLUMNS($U$1006:AA1006),$U$1006:$AC$1006,0))&gt;=100000), " ",IF(INDEX($U$2:$AC$1001,MATCH(ROWS($N$2:N121),$N$2:$N$1001,0),MATCH(COLUMNS($U$1006:AA1006),$U$1006:$AC$1006,0)), HYPERLINK("#",""), HYPERLINK(CONCATENATE("#metadata!", ADDRESS(INDEX($P$2:$P$1001,MATCH(ROWS($N$2:N121),$N$2:$N$1001,0),0), INDEX($U$1004:$AC$1004,1,MATCH(COLUMNS($U$1006:AA1006),$U$1006:$AC$1006,0)))),"Fix")))</f>
        <v>0</v>
      </c>
      <c r="I121" s="3">
        <f>IF(OR(INDEX($O$2:$O$1001,MATCH(ROWS($N$2:N121),$N$2:$N$1001,0),1)&gt;=100000,INDEX($U$1005:$AC$1005,1,MATCH(COLUMNS($U$1006:AB1006),$U$1006:$AC$1006,0))&gt;=100000), " ",IF(INDEX($U$2:$AC$1001,MATCH(ROWS($N$2:N121),$N$2:$N$1001,0),MATCH(COLUMNS($U$1006:AB1006),$U$1006:$AC$1006,0)), HYPERLINK("#",""), HYPERLINK(CONCATENATE("#metadata!", ADDRESS(INDEX($P$2:$P$1001,MATCH(ROWS($N$2:N121),$N$2:$N$1001,0),0), INDEX($U$1004:$AC$1004,1,MATCH(COLUMNS($U$1006:AB1006),$U$1006:$AC$1006,0)))),"Fix")))</f>
        <v>0</v>
      </c>
      <c r="J121" s="3">
        <f>IF(OR(INDEX($O$2:$O$1001,MATCH(ROWS($N$2:N121),$N$2:$N$1001,0),1)&gt;=100000,INDEX($U$1005:$AC$1005,1,MATCH(COLUMNS($U$1006:AC1006),$U$1006:$AC$1006,0))&gt;=100000), " ",IF(INDEX($U$2:$AC$1001,MATCH(ROWS($N$2:N121),$N$2:$N$1001,0),MATCH(COLUMNS($U$1006:AC1006),$U$1006:$AC$1006,0)), HYPERLINK("#",""), HYPERLINK(CONCATENATE("#metadata!", ADDRESS(INDEX($P$2:$P$1001,MATCH(ROWS($N$2:N121),$N$2:$N$1001,0),0), INDEX($U$1004:$AC$1004,1,MATCH(COLUMNS($U$1006:AC1006),$U$1006:$AC$1006,0)))),"Fix")))</f>
        <v>0</v>
      </c>
      <c r="N121">
        <v>0</v>
      </c>
      <c r="O121">
        <v>0</v>
      </c>
      <c r="P121">
        <v>0</v>
      </c>
      <c r="Q121">
        <f>IF(R121,TRUE,AND(U121:AC121))</f>
        <v>0</v>
      </c>
      <c r="R121">
        <f>COUNTBLANK(metadata!B121:J121)=COLUMNS(metadata!B121:J121)</f>
        <v>0</v>
      </c>
      <c r="S121">
        <v>0</v>
      </c>
      <c r="U121">
        <f>AND(IF(metadata!B121="",FALSE,TRUE),COUNTIF(metadata!B:B, metadata!B121) = 1,NOT(ISERROR(SUMPRODUCT(SEARCH(MID(metadata!B121,ROW(INDIRECT("1:"&amp;LEN(metadata!B121))), 1),"0123456789abcdefghijklmnopqrstuvwxyzABCDEFGHIJKLMNOPQRSTUVWXYZ.")))))</f>
        <v>0</v>
      </c>
      <c r="V121">
        <f>AND(IF(metadata!C121="",FALSE,TRUE),exact(metadata!C121,"UBERON:genitourinary"))</f>
        <v>0</v>
      </c>
      <c r="W121">
        <f>AND(IF(metadata!D121="",FALSE,TRUE),exact(metadata!D121,"UBERON:urine"))</f>
        <v>0</v>
      </c>
      <c r="X121">
        <f>AND(IF(metadata!E121="",FALSE,TRUE),exact(metadata!E121,"UBERON:kidney"))</f>
        <v>0</v>
      </c>
      <c r="Y121">
        <f>AND(IF(metadata!F121="",FALSE,TRUE),exact(metadata!F121,"animal corpus"))</f>
        <v>0</v>
      </c>
      <c r="Z121">
        <f>AND(IF(metadata!G121="",FALSE,TRUE),exact(metadata!G121,"urine"))</f>
        <v>0</v>
      </c>
      <c r="AA121">
        <f>AND(IF(metadata!H121="",FALSE,TRUE),exact(metadata!H121,"urine"))</f>
        <v>0</v>
      </c>
      <c r="AB121">
        <f>AND(IF(metadata!I121="",FALSE,TRUE),exact(metadata!I121,"urine metagenome"))</f>
        <v>0</v>
      </c>
      <c r="AC121">
        <f>AND(IF(metadata!J121="",FALSE,TRUE),exact(metadata!J121,"1346744"))</f>
        <v>0</v>
      </c>
    </row>
    <row r="122" spans="1:29">
      <c r="A122" s="4">
        <f>IF(B122=" "," ",HYPERLINK(CONCATENATE("#metadata!",ADDRESS(INDEX($P$2:$P$1001,MATCH(ROWS($N$2:N122),$N$2:$N$1001,0),0),1)),INDEX($S$2:$S$1001,MATCH(ROWS($N$2:N122),$N$2:$N$1001,0),0)))</f>
        <v>0</v>
      </c>
      <c r="B122" s="3">
        <f>IF(OR(INDEX($O$2:$O$1001,MATCH(ROWS($N$2:N122),$N$2:$N$1001,0),1)&gt;=100000,INDEX($U$1005:$AC$1005,1,MATCH(COLUMNS($U$1006:U1006),$U$1006:$AC$1006,0))&gt;=100000), " ",IF(INDEX($U$2:$AC$1001,MATCH(ROWS($N$2:N122),$N$2:$N$1001,0),MATCH(COLUMNS($U$1006:U1006),$U$1006:$AC$1006,0)), HYPERLINK("#",""), HYPERLINK(CONCATENATE("#metadata!", ADDRESS(INDEX($P$2:$P$1001,MATCH(ROWS($N$2:N122),$N$2:$N$1001,0),0), INDEX($U$1004:$AC$1004,1,MATCH(COLUMNS($U$1006:U1006),$U$1006:$AC$1006,0)))),"Fix")))</f>
        <v>0</v>
      </c>
      <c r="C122" s="3">
        <f>IF(OR(INDEX($O$2:$O$1001,MATCH(ROWS($N$2:N122),$N$2:$N$1001,0),1)&gt;=100000,INDEX($U$1005:$AC$1005,1,MATCH(COLUMNS($U$1006:V1006),$U$1006:$AC$1006,0))&gt;=100000), " ",IF(INDEX($U$2:$AC$1001,MATCH(ROWS($N$2:N122),$N$2:$N$1001,0),MATCH(COLUMNS($U$1006:V1006),$U$1006:$AC$1006,0)), HYPERLINK("#",""), HYPERLINK(CONCATENATE("#metadata!", ADDRESS(INDEX($P$2:$P$1001,MATCH(ROWS($N$2:N122),$N$2:$N$1001,0),0), INDEX($U$1004:$AC$1004,1,MATCH(COLUMNS($U$1006:V1006),$U$1006:$AC$1006,0)))),"Fix")))</f>
        <v>0</v>
      </c>
      <c r="D122" s="3">
        <f>IF(OR(INDEX($O$2:$O$1001,MATCH(ROWS($N$2:N122),$N$2:$N$1001,0),1)&gt;=100000,INDEX($U$1005:$AC$1005,1,MATCH(COLUMNS($U$1006:W1006),$U$1006:$AC$1006,0))&gt;=100000), " ",IF(INDEX($U$2:$AC$1001,MATCH(ROWS($N$2:N122),$N$2:$N$1001,0),MATCH(COLUMNS($U$1006:W1006),$U$1006:$AC$1006,0)), HYPERLINK("#",""), HYPERLINK(CONCATENATE("#metadata!", ADDRESS(INDEX($P$2:$P$1001,MATCH(ROWS($N$2:N122),$N$2:$N$1001,0),0), INDEX($U$1004:$AC$1004,1,MATCH(COLUMNS($U$1006:W1006),$U$1006:$AC$1006,0)))),"Fix")))</f>
        <v>0</v>
      </c>
      <c r="E122" s="3">
        <f>IF(OR(INDEX($O$2:$O$1001,MATCH(ROWS($N$2:N122),$N$2:$N$1001,0),1)&gt;=100000,INDEX($U$1005:$AC$1005,1,MATCH(COLUMNS($U$1006:X1006),$U$1006:$AC$1006,0))&gt;=100000), " ",IF(INDEX($U$2:$AC$1001,MATCH(ROWS($N$2:N122),$N$2:$N$1001,0),MATCH(COLUMNS($U$1006:X1006),$U$1006:$AC$1006,0)), HYPERLINK("#",""), HYPERLINK(CONCATENATE("#metadata!", ADDRESS(INDEX($P$2:$P$1001,MATCH(ROWS($N$2:N122),$N$2:$N$1001,0),0), INDEX($U$1004:$AC$1004,1,MATCH(COLUMNS($U$1006:X1006),$U$1006:$AC$1006,0)))),"Fix")))</f>
        <v>0</v>
      </c>
      <c r="F122" s="3">
        <f>IF(OR(INDEX($O$2:$O$1001,MATCH(ROWS($N$2:N122),$N$2:$N$1001,0),1)&gt;=100000,INDEX($U$1005:$AC$1005,1,MATCH(COLUMNS($U$1006:Y1006),$U$1006:$AC$1006,0))&gt;=100000), " ",IF(INDEX($U$2:$AC$1001,MATCH(ROWS($N$2:N122),$N$2:$N$1001,0),MATCH(COLUMNS($U$1006:Y1006),$U$1006:$AC$1006,0)), HYPERLINK("#",""), HYPERLINK(CONCATENATE("#metadata!", ADDRESS(INDEX($P$2:$P$1001,MATCH(ROWS($N$2:N122),$N$2:$N$1001,0),0), INDEX($U$1004:$AC$1004,1,MATCH(COLUMNS($U$1006:Y1006),$U$1006:$AC$1006,0)))),"Fix")))</f>
        <v>0</v>
      </c>
      <c r="G122" s="3">
        <f>IF(OR(INDEX($O$2:$O$1001,MATCH(ROWS($N$2:N122),$N$2:$N$1001,0),1)&gt;=100000,INDEX($U$1005:$AC$1005,1,MATCH(COLUMNS($U$1006:Z1006),$U$1006:$AC$1006,0))&gt;=100000), " ",IF(INDEX($U$2:$AC$1001,MATCH(ROWS($N$2:N122),$N$2:$N$1001,0),MATCH(COLUMNS($U$1006:Z1006),$U$1006:$AC$1006,0)), HYPERLINK("#",""), HYPERLINK(CONCATENATE("#metadata!", ADDRESS(INDEX($P$2:$P$1001,MATCH(ROWS($N$2:N122),$N$2:$N$1001,0),0), INDEX($U$1004:$AC$1004,1,MATCH(COLUMNS($U$1006:Z1006),$U$1006:$AC$1006,0)))),"Fix")))</f>
        <v>0</v>
      </c>
      <c r="H122" s="3">
        <f>IF(OR(INDEX($O$2:$O$1001,MATCH(ROWS($N$2:N122),$N$2:$N$1001,0),1)&gt;=100000,INDEX($U$1005:$AC$1005,1,MATCH(COLUMNS($U$1006:AA1006),$U$1006:$AC$1006,0))&gt;=100000), " ",IF(INDEX($U$2:$AC$1001,MATCH(ROWS($N$2:N122),$N$2:$N$1001,0),MATCH(COLUMNS($U$1006:AA1006),$U$1006:$AC$1006,0)), HYPERLINK("#",""), HYPERLINK(CONCATENATE("#metadata!", ADDRESS(INDEX($P$2:$P$1001,MATCH(ROWS($N$2:N122),$N$2:$N$1001,0),0), INDEX($U$1004:$AC$1004,1,MATCH(COLUMNS($U$1006:AA1006),$U$1006:$AC$1006,0)))),"Fix")))</f>
        <v>0</v>
      </c>
      <c r="I122" s="3">
        <f>IF(OR(INDEX($O$2:$O$1001,MATCH(ROWS($N$2:N122),$N$2:$N$1001,0),1)&gt;=100000,INDEX($U$1005:$AC$1005,1,MATCH(COLUMNS($U$1006:AB1006),$U$1006:$AC$1006,0))&gt;=100000), " ",IF(INDEX($U$2:$AC$1001,MATCH(ROWS($N$2:N122),$N$2:$N$1001,0),MATCH(COLUMNS($U$1006:AB1006),$U$1006:$AC$1006,0)), HYPERLINK("#",""), HYPERLINK(CONCATENATE("#metadata!", ADDRESS(INDEX($P$2:$P$1001,MATCH(ROWS($N$2:N122),$N$2:$N$1001,0),0), INDEX($U$1004:$AC$1004,1,MATCH(COLUMNS($U$1006:AB1006),$U$1006:$AC$1006,0)))),"Fix")))</f>
        <v>0</v>
      </c>
      <c r="J122" s="3">
        <f>IF(OR(INDEX($O$2:$O$1001,MATCH(ROWS($N$2:N122),$N$2:$N$1001,0),1)&gt;=100000,INDEX($U$1005:$AC$1005,1,MATCH(COLUMNS($U$1006:AC1006),$U$1006:$AC$1006,0))&gt;=100000), " ",IF(INDEX($U$2:$AC$1001,MATCH(ROWS($N$2:N122),$N$2:$N$1001,0),MATCH(COLUMNS($U$1006:AC1006),$U$1006:$AC$1006,0)), HYPERLINK("#",""), HYPERLINK(CONCATENATE("#metadata!", ADDRESS(INDEX($P$2:$P$1001,MATCH(ROWS($N$2:N122),$N$2:$N$1001,0),0), INDEX($U$1004:$AC$1004,1,MATCH(COLUMNS($U$1006:AC1006),$U$1006:$AC$1006,0)))),"Fix")))</f>
        <v>0</v>
      </c>
      <c r="N122">
        <v>0</v>
      </c>
      <c r="O122">
        <v>0</v>
      </c>
      <c r="P122">
        <v>0</v>
      </c>
      <c r="Q122">
        <f>IF(R122,TRUE,AND(U122:AC122))</f>
        <v>0</v>
      </c>
      <c r="R122">
        <f>COUNTBLANK(metadata!B122:J122)=COLUMNS(metadata!B122:J122)</f>
        <v>0</v>
      </c>
      <c r="S122">
        <v>0</v>
      </c>
      <c r="U122">
        <f>AND(IF(metadata!B122="",FALSE,TRUE),COUNTIF(metadata!B:B, metadata!B122) = 1,NOT(ISERROR(SUMPRODUCT(SEARCH(MID(metadata!B122,ROW(INDIRECT("1:"&amp;LEN(metadata!B122))), 1),"0123456789abcdefghijklmnopqrstuvwxyzABCDEFGHIJKLMNOPQRSTUVWXYZ.")))))</f>
        <v>0</v>
      </c>
      <c r="V122">
        <f>AND(IF(metadata!C122="",FALSE,TRUE),exact(metadata!C122,"UBERON:genitourinary"))</f>
        <v>0</v>
      </c>
      <c r="W122">
        <f>AND(IF(metadata!D122="",FALSE,TRUE),exact(metadata!D122,"UBERON:urine"))</f>
        <v>0</v>
      </c>
      <c r="X122">
        <f>AND(IF(metadata!E122="",FALSE,TRUE),exact(metadata!E122,"UBERON:kidney"))</f>
        <v>0</v>
      </c>
      <c r="Y122">
        <f>AND(IF(metadata!F122="",FALSE,TRUE),exact(metadata!F122,"animal corpus"))</f>
        <v>0</v>
      </c>
      <c r="Z122">
        <f>AND(IF(metadata!G122="",FALSE,TRUE),exact(metadata!G122,"urine"))</f>
        <v>0</v>
      </c>
      <c r="AA122">
        <f>AND(IF(metadata!H122="",FALSE,TRUE),exact(metadata!H122,"urine"))</f>
        <v>0</v>
      </c>
      <c r="AB122">
        <f>AND(IF(metadata!I122="",FALSE,TRUE),exact(metadata!I122,"urine metagenome"))</f>
        <v>0</v>
      </c>
      <c r="AC122">
        <f>AND(IF(metadata!J122="",FALSE,TRUE),exact(metadata!J122,"1346744"))</f>
        <v>0</v>
      </c>
    </row>
    <row r="123" spans="1:29">
      <c r="A123" s="4">
        <f>IF(B123=" "," ",HYPERLINK(CONCATENATE("#metadata!",ADDRESS(INDEX($P$2:$P$1001,MATCH(ROWS($N$2:N123),$N$2:$N$1001,0),0),1)),INDEX($S$2:$S$1001,MATCH(ROWS($N$2:N123),$N$2:$N$1001,0),0)))</f>
        <v>0</v>
      </c>
      <c r="B123" s="3">
        <f>IF(OR(INDEX($O$2:$O$1001,MATCH(ROWS($N$2:N123),$N$2:$N$1001,0),1)&gt;=100000,INDEX($U$1005:$AC$1005,1,MATCH(COLUMNS($U$1006:U1006),$U$1006:$AC$1006,0))&gt;=100000), " ",IF(INDEX($U$2:$AC$1001,MATCH(ROWS($N$2:N123),$N$2:$N$1001,0),MATCH(COLUMNS($U$1006:U1006),$U$1006:$AC$1006,0)), HYPERLINK("#",""), HYPERLINK(CONCATENATE("#metadata!", ADDRESS(INDEX($P$2:$P$1001,MATCH(ROWS($N$2:N123),$N$2:$N$1001,0),0), INDEX($U$1004:$AC$1004,1,MATCH(COLUMNS($U$1006:U1006),$U$1006:$AC$1006,0)))),"Fix")))</f>
        <v>0</v>
      </c>
      <c r="C123" s="3">
        <f>IF(OR(INDEX($O$2:$O$1001,MATCH(ROWS($N$2:N123),$N$2:$N$1001,0),1)&gt;=100000,INDEX($U$1005:$AC$1005,1,MATCH(COLUMNS($U$1006:V1006),$U$1006:$AC$1006,0))&gt;=100000), " ",IF(INDEX($U$2:$AC$1001,MATCH(ROWS($N$2:N123),$N$2:$N$1001,0),MATCH(COLUMNS($U$1006:V1006),$U$1006:$AC$1006,0)), HYPERLINK("#",""), HYPERLINK(CONCATENATE("#metadata!", ADDRESS(INDEX($P$2:$P$1001,MATCH(ROWS($N$2:N123),$N$2:$N$1001,0),0), INDEX($U$1004:$AC$1004,1,MATCH(COLUMNS($U$1006:V1006),$U$1006:$AC$1006,0)))),"Fix")))</f>
        <v>0</v>
      </c>
      <c r="D123" s="3">
        <f>IF(OR(INDEX($O$2:$O$1001,MATCH(ROWS($N$2:N123),$N$2:$N$1001,0),1)&gt;=100000,INDEX($U$1005:$AC$1005,1,MATCH(COLUMNS($U$1006:W1006),$U$1006:$AC$1006,0))&gt;=100000), " ",IF(INDEX($U$2:$AC$1001,MATCH(ROWS($N$2:N123),$N$2:$N$1001,0),MATCH(COLUMNS($U$1006:W1006),$U$1006:$AC$1006,0)), HYPERLINK("#",""), HYPERLINK(CONCATENATE("#metadata!", ADDRESS(INDEX($P$2:$P$1001,MATCH(ROWS($N$2:N123),$N$2:$N$1001,0),0), INDEX($U$1004:$AC$1004,1,MATCH(COLUMNS($U$1006:W1006),$U$1006:$AC$1006,0)))),"Fix")))</f>
        <v>0</v>
      </c>
      <c r="E123" s="3">
        <f>IF(OR(INDEX($O$2:$O$1001,MATCH(ROWS($N$2:N123),$N$2:$N$1001,0),1)&gt;=100000,INDEX($U$1005:$AC$1005,1,MATCH(COLUMNS($U$1006:X1006),$U$1006:$AC$1006,0))&gt;=100000), " ",IF(INDEX($U$2:$AC$1001,MATCH(ROWS($N$2:N123),$N$2:$N$1001,0),MATCH(COLUMNS($U$1006:X1006),$U$1006:$AC$1006,0)), HYPERLINK("#",""), HYPERLINK(CONCATENATE("#metadata!", ADDRESS(INDEX($P$2:$P$1001,MATCH(ROWS($N$2:N123),$N$2:$N$1001,0),0), INDEX($U$1004:$AC$1004,1,MATCH(COLUMNS($U$1006:X1006),$U$1006:$AC$1006,0)))),"Fix")))</f>
        <v>0</v>
      </c>
      <c r="F123" s="3">
        <f>IF(OR(INDEX($O$2:$O$1001,MATCH(ROWS($N$2:N123),$N$2:$N$1001,0),1)&gt;=100000,INDEX($U$1005:$AC$1005,1,MATCH(COLUMNS($U$1006:Y1006),$U$1006:$AC$1006,0))&gt;=100000), " ",IF(INDEX($U$2:$AC$1001,MATCH(ROWS($N$2:N123),$N$2:$N$1001,0),MATCH(COLUMNS($U$1006:Y1006),$U$1006:$AC$1006,0)), HYPERLINK("#",""), HYPERLINK(CONCATENATE("#metadata!", ADDRESS(INDEX($P$2:$P$1001,MATCH(ROWS($N$2:N123),$N$2:$N$1001,0),0), INDEX($U$1004:$AC$1004,1,MATCH(COLUMNS($U$1006:Y1006),$U$1006:$AC$1006,0)))),"Fix")))</f>
        <v>0</v>
      </c>
      <c r="G123" s="3">
        <f>IF(OR(INDEX($O$2:$O$1001,MATCH(ROWS($N$2:N123),$N$2:$N$1001,0),1)&gt;=100000,INDEX($U$1005:$AC$1005,1,MATCH(COLUMNS($U$1006:Z1006),$U$1006:$AC$1006,0))&gt;=100000), " ",IF(INDEX($U$2:$AC$1001,MATCH(ROWS($N$2:N123),$N$2:$N$1001,0),MATCH(COLUMNS($U$1006:Z1006),$U$1006:$AC$1006,0)), HYPERLINK("#",""), HYPERLINK(CONCATENATE("#metadata!", ADDRESS(INDEX($P$2:$P$1001,MATCH(ROWS($N$2:N123),$N$2:$N$1001,0),0), INDEX($U$1004:$AC$1004,1,MATCH(COLUMNS($U$1006:Z1006),$U$1006:$AC$1006,0)))),"Fix")))</f>
        <v>0</v>
      </c>
      <c r="H123" s="3">
        <f>IF(OR(INDEX($O$2:$O$1001,MATCH(ROWS($N$2:N123),$N$2:$N$1001,0),1)&gt;=100000,INDEX($U$1005:$AC$1005,1,MATCH(COLUMNS($U$1006:AA1006),$U$1006:$AC$1006,0))&gt;=100000), " ",IF(INDEX($U$2:$AC$1001,MATCH(ROWS($N$2:N123),$N$2:$N$1001,0),MATCH(COLUMNS($U$1006:AA1006),$U$1006:$AC$1006,0)), HYPERLINK("#",""), HYPERLINK(CONCATENATE("#metadata!", ADDRESS(INDEX($P$2:$P$1001,MATCH(ROWS($N$2:N123),$N$2:$N$1001,0),0), INDEX($U$1004:$AC$1004,1,MATCH(COLUMNS($U$1006:AA1006),$U$1006:$AC$1006,0)))),"Fix")))</f>
        <v>0</v>
      </c>
      <c r="I123" s="3">
        <f>IF(OR(INDEX($O$2:$O$1001,MATCH(ROWS($N$2:N123),$N$2:$N$1001,0),1)&gt;=100000,INDEX($U$1005:$AC$1005,1,MATCH(COLUMNS($U$1006:AB1006),$U$1006:$AC$1006,0))&gt;=100000), " ",IF(INDEX($U$2:$AC$1001,MATCH(ROWS($N$2:N123),$N$2:$N$1001,0),MATCH(COLUMNS($U$1006:AB1006),$U$1006:$AC$1006,0)), HYPERLINK("#",""), HYPERLINK(CONCATENATE("#metadata!", ADDRESS(INDEX($P$2:$P$1001,MATCH(ROWS($N$2:N123),$N$2:$N$1001,0),0), INDEX($U$1004:$AC$1004,1,MATCH(COLUMNS($U$1006:AB1006),$U$1006:$AC$1006,0)))),"Fix")))</f>
        <v>0</v>
      </c>
      <c r="J123" s="3">
        <f>IF(OR(INDEX($O$2:$O$1001,MATCH(ROWS($N$2:N123),$N$2:$N$1001,0),1)&gt;=100000,INDEX($U$1005:$AC$1005,1,MATCH(COLUMNS($U$1006:AC1006),$U$1006:$AC$1006,0))&gt;=100000), " ",IF(INDEX($U$2:$AC$1001,MATCH(ROWS($N$2:N123),$N$2:$N$1001,0),MATCH(COLUMNS($U$1006:AC1006),$U$1006:$AC$1006,0)), HYPERLINK("#",""), HYPERLINK(CONCATENATE("#metadata!", ADDRESS(INDEX($P$2:$P$1001,MATCH(ROWS($N$2:N123),$N$2:$N$1001,0),0), INDEX($U$1004:$AC$1004,1,MATCH(COLUMNS($U$1006:AC1006),$U$1006:$AC$1006,0)))),"Fix")))</f>
        <v>0</v>
      </c>
      <c r="N123">
        <v>0</v>
      </c>
      <c r="O123">
        <v>0</v>
      </c>
      <c r="P123">
        <v>0</v>
      </c>
      <c r="Q123">
        <f>IF(R123,TRUE,AND(U123:AC123))</f>
        <v>0</v>
      </c>
      <c r="R123">
        <f>COUNTBLANK(metadata!B123:J123)=COLUMNS(metadata!B123:J123)</f>
        <v>0</v>
      </c>
      <c r="S123">
        <v>0</v>
      </c>
      <c r="U123">
        <f>AND(IF(metadata!B123="",FALSE,TRUE),COUNTIF(metadata!B:B, metadata!B123) = 1,NOT(ISERROR(SUMPRODUCT(SEARCH(MID(metadata!B123,ROW(INDIRECT("1:"&amp;LEN(metadata!B123))), 1),"0123456789abcdefghijklmnopqrstuvwxyzABCDEFGHIJKLMNOPQRSTUVWXYZ.")))))</f>
        <v>0</v>
      </c>
      <c r="V123">
        <f>AND(IF(metadata!C123="",FALSE,TRUE),exact(metadata!C123,"UBERON:genitourinary"))</f>
        <v>0</v>
      </c>
      <c r="W123">
        <f>AND(IF(metadata!D123="",FALSE,TRUE),exact(metadata!D123,"UBERON:urine"))</f>
        <v>0</v>
      </c>
      <c r="X123">
        <f>AND(IF(metadata!E123="",FALSE,TRUE),exact(metadata!E123,"UBERON:kidney"))</f>
        <v>0</v>
      </c>
      <c r="Y123">
        <f>AND(IF(metadata!F123="",FALSE,TRUE),exact(metadata!F123,"animal corpus"))</f>
        <v>0</v>
      </c>
      <c r="Z123">
        <f>AND(IF(metadata!G123="",FALSE,TRUE),exact(metadata!G123,"urine"))</f>
        <v>0</v>
      </c>
      <c r="AA123">
        <f>AND(IF(metadata!H123="",FALSE,TRUE),exact(metadata!H123,"urine"))</f>
        <v>0</v>
      </c>
      <c r="AB123">
        <f>AND(IF(metadata!I123="",FALSE,TRUE),exact(metadata!I123,"urine metagenome"))</f>
        <v>0</v>
      </c>
      <c r="AC123">
        <f>AND(IF(metadata!J123="",FALSE,TRUE),exact(metadata!J123,"1346744"))</f>
        <v>0</v>
      </c>
    </row>
    <row r="124" spans="1:29">
      <c r="A124" s="4">
        <f>IF(B124=" "," ",HYPERLINK(CONCATENATE("#metadata!",ADDRESS(INDEX($P$2:$P$1001,MATCH(ROWS($N$2:N124),$N$2:$N$1001,0),0),1)),INDEX($S$2:$S$1001,MATCH(ROWS($N$2:N124),$N$2:$N$1001,0),0)))</f>
        <v>0</v>
      </c>
      <c r="B124" s="3">
        <f>IF(OR(INDEX($O$2:$O$1001,MATCH(ROWS($N$2:N124),$N$2:$N$1001,0),1)&gt;=100000,INDEX($U$1005:$AC$1005,1,MATCH(COLUMNS($U$1006:U1006),$U$1006:$AC$1006,0))&gt;=100000), " ",IF(INDEX($U$2:$AC$1001,MATCH(ROWS($N$2:N124),$N$2:$N$1001,0),MATCH(COLUMNS($U$1006:U1006),$U$1006:$AC$1006,0)), HYPERLINK("#",""), HYPERLINK(CONCATENATE("#metadata!", ADDRESS(INDEX($P$2:$P$1001,MATCH(ROWS($N$2:N124),$N$2:$N$1001,0),0), INDEX($U$1004:$AC$1004,1,MATCH(COLUMNS($U$1006:U1006),$U$1006:$AC$1006,0)))),"Fix")))</f>
        <v>0</v>
      </c>
      <c r="C124" s="3">
        <f>IF(OR(INDEX($O$2:$O$1001,MATCH(ROWS($N$2:N124),$N$2:$N$1001,0),1)&gt;=100000,INDEX($U$1005:$AC$1005,1,MATCH(COLUMNS($U$1006:V1006),$U$1006:$AC$1006,0))&gt;=100000), " ",IF(INDEX($U$2:$AC$1001,MATCH(ROWS($N$2:N124),$N$2:$N$1001,0),MATCH(COLUMNS($U$1006:V1006),$U$1006:$AC$1006,0)), HYPERLINK("#",""), HYPERLINK(CONCATENATE("#metadata!", ADDRESS(INDEX($P$2:$P$1001,MATCH(ROWS($N$2:N124),$N$2:$N$1001,0),0), INDEX($U$1004:$AC$1004,1,MATCH(COLUMNS($U$1006:V1006),$U$1006:$AC$1006,0)))),"Fix")))</f>
        <v>0</v>
      </c>
      <c r="D124" s="3">
        <f>IF(OR(INDEX($O$2:$O$1001,MATCH(ROWS($N$2:N124),$N$2:$N$1001,0),1)&gt;=100000,INDEX($U$1005:$AC$1005,1,MATCH(COLUMNS($U$1006:W1006),$U$1006:$AC$1006,0))&gt;=100000), " ",IF(INDEX($U$2:$AC$1001,MATCH(ROWS($N$2:N124),$N$2:$N$1001,0),MATCH(COLUMNS($U$1006:W1006),$U$1006:$AC$1006,0)), HYPERLINK("#",""), HYPERLINK(CONCATENATE("#metadata!", ADDRESS(INDEX($P$2:$P$1001,MATCH(ROWS($N$2:N124),$N$2:$N$1001,0),0), INDEX($U$1004:$AC$1004,1,MATCH(COLUMNS($U$1006:W1006),$U$1006:$AC$1006,0)))),"Fix")))</f>
        <v>0</v>
      </c>
      <c r="E124" s="3">
        <f>IF(OR(INDEX($O$2:$O$1001,MATCH(ROWS($N$2:N124),$N$2:$N$1001,0),1)&gt;=100000,INDEX($U$1005:$AC$1005,1,MATCH(COLUMNS($U$1006:X1006),$U$1006:$AC$1006,0))&gt;=100000), " ",IF(INDEX($U$2:$AC$1001,MATCH(ROWS($N$2:N124),$N$2:$N$1001,0),MATCH(COLUMNS($U$1006:X1006),$U$1006:$AC$1006,0)), HYPERLINK("#",""), HYPERLINK(CONCATENATE("#metadata!", ADDRESS(INDEX($P$2:$P$1001,MATCH(ROWS($N$2:N124),$N$2:$N$1001,0),0), INDEX($U$1004:$AC$1004,1,MATCH(COLUMNS($U$1006:X1006),$U$1006:$AC$1006,0)))),"Fix")))</f>
        <v>0</v>
      </c>
      <c r="F124" s="3">
        <f>IF(OR(INDEX($O$2:$O$1001,MATCH(ROWS($N$2:N124),$N$2:$N$1001,0),1)&gt;=100000,INDEX($U$1005:$AC$1005,1,MATCH(COLUMNS($U$1006:Y1006),$U$1006:$AC$1006,0))&gt;=100000), " ",IF(INDEX($U$2:$AC$1001,MATCH(ROWS($N$2:N124),$N$2:$N$1001,0),MATCH(COLUMNS($U$1006:Y1006),$U$1006:$AC$1006,0)), HYPERLINK("#",""), HYPERLINK(CONCATENATE("#metadata!", ADDRESS(INDEX($P$2:$P$1001,MATCH(ROWS($N$2:N124),$N$2:$N$1001,0),0), INDEX($U$1004:$AC$1004,1,MATCH(COLUMNS($U$1006:Y1006),$U$1006:$AC$1006,0)))),"Fix")))</f>
        <v>0</v>
      </c>
      <c r="G124" s="3">
        <f>IF(OR(INDEX($O$2:$O$1001,MATCH(ROWS($N$2:N124),$N$2:$N$1001,0),1)&gt;=100000,INDEX($U$1005:$AC$1005,1,MATCH(COLUMNS($U$1006:Z1006),$U$1006:$AC$1006,0))&gt;=100000), " ",IF(INDEX($U$2:$AC$1001,MATCH(ROWS($N$2:N124),$N$2:$N$1001,0),MATCH(COLUMNS($U$1006:Z1006),$U$1006:$AC$1006,0)), HYPERLINK("#",""), HYPERLINK(CONCATENATE("#metadata!", ADDRESS(INDEX($P$2:$P$1001,MATCH(ROWS($N$2:N124),$N$2:$N$1001,0),0), INDEX($U$1004:$AC$1004,1,MATCH(COLUMNS($U$1006:Z1006),$U$1006:$AC$1006,0)))),"Fix")))</f>
        <v>0</v>
      </c>
      <c r="H124" s="3">
        <f>IF(OR(INDEX($O$2:$O$1001,MATCH(ROWS($N$2:N124),$N$2:$N$1001,0),1)&gt;=100000,INDEX($U$1005:$AC$1005,1,MATCH(COLUMNS($U$1006:AA1006),$U$1006:$AC$1006,0))&gt;=100000), " ",IF(INDEX($U$2:$AC$1001,MATCH(ROWS($N$2:N124),$N$2:$N$1001,0),MATCH(COLUMNS($U$1006:AA1006),$U$1006:$AC$1006,0)), HYPERLINK("#",""), HYPERLINK(CONCATENATE("#metadata!", ADDRESS(INDEX($P$2:$P$1001,MATCH(ROWS($N$2:N124),$N$2:$N$1001,0),0), INDEX($U$1004:$AC$1004,1,MATCH(COLUMNS($U$1006:AA1006),$U$1006:$AC$1006,0)))),"Fix")))</f>
        <v>0</v>
      </c>
      <c r="I124" s="3">
        <f>IF(OR(INDEX($O$2:$O$1001,MATCH(ROWS($N$2:N124),$N$2:$N$1001,0),1)&gt;=100000,INDEX($U$1005:$AC$1005,1,MATCH(COLUMNS($U$1006:AB1006),$U$1006:$AC$1006,0))&gt;=100000), " ",IF(INDEX($U$2:$AC$1001,MATCH(ROWS($N$2:N124),$N$2:$N$1001,0),MATCH(COLUMNS($U$1006:AB1006),$U$1006:$AC$1006,0)), HYPERLINK("#",""), HYPERLINK(CONCATENATE("#metadata!", ADDRESS(INDEX($P$2:$P$1001,MATCH(ROWS($N$2:N124),$N$2:$N$1001,0),0), INDEX($U$1004:$AC$1004,1,MATCH(COLUMNS($U$1006:AB1006),$U$1006:$AC$1006,0)))),"Fix")))</f>
        <v>0</v>
      </c>
      <c r="J124" s="3">
        <f>IF(OR(INDEX($O$2:$O$1001,MATCH(ROWS($N$2:N124),$N$2:$N$1001,0),1)&gt;=100000,INDEX($U$1005:$AC$1005,1,MATCH(COLUMNS($U$1006:AC1006),$U$1006:$AC$1006,0))&gt;=100000), " ",IF(INDEX($U$2:$AC$1001,MATCH(ROWS($N$2:N124),$N$2:$N$1001,0),MATCH(COLUMNS($U$1006:AC1006),$U$1006:$AC$1006,0)), HYPERLINK("#",""), HYPERLINK(CONCATENATE("#metadata!", ADDRESS(INDEX($P$2:$P$1001,MATCH(ROWS($N$2:N124),$N$2:$N$1001,0),0), INDEX($U$1004:$AC$1004,1,MATCH(COLUMNS($U$1006:AC1006),$U$1006:$AC$1006,0)))),"Fix")))</f>
        <v>0</v>
      </c>
      <c r="N124">
        <v>0</v>
      </c>
      <c r="O124">
        <v>0</v>
      </c>
      <c r="P124">
        <v>0</v>
      </c>
      <c r="Q124">
        <f>IF(R124,TRUE,AND(U124:AC124))</f>
        <v>0</v>
      </c>
      <c r="R124">
        <f>COUNTBLANK(metadata!B124:J124)=COLUMNS(metadata!B124:J124)</f>
        <v>0</v>
      </c>
      <c r="S124">
        <v>0</v>
      </c>
      <c r="U124">
        <f>AND(IF(metadata!B124="",FALSE,TRUE),COUNTIF(metadata!B:B, metadata!B124) = 1,NOT(ISERROR(SUMPRODUCT(SEARCH(MID(metadata!B124,ROW(INDIRECT("1:"&amp;LEN(metadata!B124))), 1),"0123456789abcdefghijklmnopqrstuvwxyzABCDEFGHIJKLMNOPQRSTUVWXYZ.")))))</f>
        <v>0</v>
      </c>
      <c r="V124">
        <f>AND(IF(metadata!C124="",FALSE,TRUE),exact(metadata!C124,"UBERON:genitourinary"))</f>
        <v>0</v>
      </c>
      <c r="W124">
        <f>AND(IF(metadata!D124="",FALSE,TRUE),exact(metadata!D124,"UBERON:urine"))</f>
        <v>0</v>
      </c>
      <c r="X124">
        <f>AND(IF(metadata!E124="",FALSE,TRUE),exact(metadata!E124,"UBERON:kidney"))</f>
        <v>0</v>
      </c>
      <c r="Y124">
        <f>AND(IF(metadata!F124="",FALSE,TRUE),exact(metadata!F124,"animal corpus"))</f>
        <v>0</v>
      </c>
      <c r="Z124">
        <f>AND(IF(metadata!G124="",FALSE,TRUE),exact(metadata!G124,"urine"))</f>
        <v>0</v>
      </c>
      <c r="AA124">
        <f>AND(IF(metadata!H124="",FALSE,TRUE),exact(metadata!H124,"urine"))</f>
        <v>0</v>
      </c>
      <c r="AB124">
        <f>AND(IF(metadata!I124="",FALSE,TRUE),exact(metadata!I124,"urine metagenome"))</f>
        <v>0</v>
      </c>
      <c r="AC124">
        <f>AND(IF(metadata!J124="",FALSE,TRUE),exact(metadata!J124,"1346744"))</f>
        <v>0</v>
      </c>
    </row>
    <row r="125" spans="1:29">
      <c r="A125" s="4">
        <f>IF(B125=" "," ",HYPERLINK(CONCATENATE("#metadata!",ADDRESS(INDEX($P$2:$P$1001,MATCH(ROWS($N$2:N125),$N$2:$N$1001,0),0),1)),INDEX($S$2:$S$1001,MATCH(ROWS($N$2:N125),$N$2:$N$1001,0),0)))</f>
        <v>0</v>
      </c>
      <c r="B125" s="3">
        <f>IF(OR(INDEX($O$2:$O$1001,MATCH(ROWS($N$2:N125),$N$2:$N$1001,0),1)&gt;=100000,INDEX($U$1005:$AC$1005,1,MATCH(COLUMNS($U$1006:U1006),$U$1006:$AC$1006,0))&gt;=100000), " ",IF(INDEX($U$2:$AC$1001,MATCH(ROWS($N$2:N125),$N$2:$N$1001,0),MATCH(COLUMNS($U$1006:U1006),$U$1006:$AC$1006,0)), HYPERLINK("#",""), HYPERLINK(CONCATENATE("#metadata!", ADDRESS(INDEX($P$2:$P$1001,MATCH(ROWS($N$2:N125),$N$2:$N$1001,0),0), INDEX($U$1004:$AC$1004,1,MATCH(COLUMNS($U$1006:U1006),$U$1006:$AC$1006,0)))),"Fix")))</f>
        <v>0</v>
      </c>
      <c r="C125" s="3">
        <f>IF(OR(INDEX($O$2:$O$1001,MATCH(ROWS($N$2:N125),$N$2:$N$1001,0),1)&gt;=100000,INDEX($U$1005:$AC$1005,1,MATCH(COLUMNS($U$1006:V1006),$U$1006:$AC$1006,0))&gt;=100000), " ",IF(INDEX($U$2:$AC$1001,MATCH(ROWS($N$2:N125),$N$2:$N$1001,0),MATCH(COLUMNS($U$1006:V1006),$U$1006:$AC$1006,0)), HYPERLINK("#",""), HYPERLINK(CONCATENATE("#metadata!", ADDRESS(INDEX($P$2:$P$1001,MATCH(ROWS($N$2:N125),$N$2:$N$1001,0),0), INDEX($U$1004:$AC$1004,1,MATCH(COLUMNS($U$1006:V1006),$U$1006:$AC$1006,0)))),"Fix")))</f>
        <v>0</v>
      </c>
      <c r="D125" s="3">
        <f>IF(OR(INDEX($O$2:$O$1001,MATCH(ROWS($N$2:N125),$N$2:$N$1001,0),1)&gt;=100000,INDEX($U$1005:$AC$1005,1,MATCH(COLUMNS($U$1006:W1006),$U$1006:$AC$1006,0))&gt;=100000), " ",IF(INDEX($U$2:$AC$1001,MATCH(ROWS($N$2:N125),$N$2:$N$1001,0),MATCH(COLUMNS($U$1006:W1006),$U$1006:$AC$1006,0)), HYPERLINK("#",""), HYPERLINK(CONCATENATE("#metadata!", ADDRESS(INDEX($P$2:$P$1001,MATCH(ROWS($N$2:N125),$N$2:$N$1001,0),0), INDEX($U$1004:$AC$1004,1,MATCH(COLUMNS($U$1006:W1006),$U$1006:$AC$1006,0)))),"Fix")))</f>
        <v>0</v>
      </c>
      <c r="E125" s="3">
        <f>IF(OR(INDEX($O$2:$O$1001,MATCH(ROWS($N$2:N125),$N$2:$N$1001,0),1)&gt;=100000,INDEX($U$1005:$AC$1005,1,MATCH(COLUMNS($U$1006:X1006),$U$1006:$AC$1006,0))&gt;=100000), " ",IF(INDEX($U$2:$AC$1001,MATCH(ROWS($N$2:N125),$N$2:$N$1001,0),MATCH(COLUMNS($U$1006:X1006),$U$1006:$AC$1006,0)), HYPERLINK("#",""), HYPERLINK(CONCATENATE("#metadata!", ADDRESS(INDEX($P$2:$P$1001,MATCH(ROWS($N$2:N125),$N$2:$N$1001,0),0), INDEX($U$1004:$AC$1004,1,MATCH(COLUMNS($U$1006:X1006),$U$1006:$AC$1006,0)))),"Fix")))</f>
        <v>0</v>
      </c>
      <c r="F125" s="3">
        <f>IF(OR(INDEX($O$2:$O$1001,MATCH(ROWS($N$2:N125),$N$2:$N$1001,0),1)&gt;=100000,INDEX($U$1005:$AC$1005,1,MATCH(COLUMNS($U$1006:Y1006),$U$1006:$AC$1006,0))&gt;=100000), " ",IF(INDEX($U$2:$AC$1001,MATCH(ROWS($N$2:N125),$N$2:$N$1001,0),MATCH(COLUMNS($U$1006:Y1006),$U$1006:$AC$1006,0)), HYPERLINK("#",""), HYPERLINK(CONCATENATE("#metadata!", ADDRESS(INDEX($P$2:$P$1001,MATCH(ROWS($N$2:N125),$N$2:$N$1001,0),0), INDEX($U$1004:$AC$1004,1,MATCH(COLUMNS($U$1006:Y1006),$U$1006:$AC$1006,0)))),"Fix")))</f>
        <v>0</v>
      </c>
      <c r="G125" s="3">
        <f>IF(OR(INDEX($O$2:$O$1001,MATCH(ROWS($N$2:N125),$N$2:$N$1001,0),1)&gt;=100000,INDEX($U$1005:$AC$1005,1,MATCH(COLUMNS($U$1006:Z1006),$U$1006:$AC$1006,0))&gt;=100000), " ",IF(INDEX($U$2:$AC$1001,MATCH(ROWS($N$2:N125),$N$2:$N$1001,0),MATCH(COLUMNS($U$1006:Z1006),$U$1006:$AC$1006,0)), HYPERLINK("#",""), HYPERLINK(CONCATENATE("#metadata!", ADDRESS(INDEX($P$2:$P$1001,MATCH(ROWS($N$2:N125),$N$2:$N$1001,0),0), INDEX($U$1004:$AC$1004,1,MATCH(COLUMNS($U$1006:Z1006),$U$1006:$AC$1006,0)))),"Fix")))</f>
        <v>0</v>
      </c>
      <c r="H125" s="3">
        <f>IF(OR(INDEX($O$2:$O$1001,MATCH(ROWS($N$2:N125),$N$2:$N$1001,0),1)&gt;=100000,INDEX($U$1005:$AC$1005,1,MATCH(COLUMNS($U$1006:AA1006),$U$1006:$AC$1006,0))&gt;=100000), " ",IF(INDEX($U$2:$AC$1001,MATCH(ROWS($N$2:N125),$N$2:$N$1001,0),MATCH(COLUMNS($U$1006:AA1006),$U$1006:$AC$1006,0)), HYPERLINK("#",""), HYPERLINK(CONCATENATE("#metadata!", ADDRESS(INDEX($P$2:$P$1001,MATCH(ROWS($N$2:N125),$N$2:$N$1001,0),0), INDEX($U$1004:$AC$1004,1,MATCH(COLUMNS($U$1006:AA1006),$U$1006:$AC$1006,0)))),"Fix")))</f>
        <v>0</v>
      </c>
      <c r="I125" s="3">
        <f>IF(OR(INDEX($O$2:$O$1001,MATCH(ROWS($N$2:N125),$N$2:$N$1001,0),1)&gt;=100000,INDEX($U$1005:$AC$1005,1,MATCH(COLUMNS($U$1006:AB1006),$U$1006:$AC$1006,0))&gt;=100000), " ",IF(INDEX($U$2:$AC$1001,MATCH(ROWS($N$2:N125),$N$2:$N$1001,0),MATCH(COLUMNS($U$1006:AB1006),$U$1006:$AC$1006,0)), HYPERLINK("#",""), HYPERLINK(CONCATENATE("#metadata!", ADDRESS(INDEX($P$2:$P$1001,MATCH(ROWS($N$2:N125),$N$2:$N$1001,0),0), INDEX($U$1004:$AC$1004,1,MATCH(COLUMNS($U$1006:AB1006),$U$1006:$AC$1006,0)))),"Fix")))</f>
        <v>0</v>
      </c>
      <c r="J125" s="3">
        <f>IF(OR(INDEX($O$2:$O$1001,MATCH(ROWS($N$2:N125),$N$2:$N$1001,0),1)&gt;=100000,INDEX($U$1005:$AC$1005,1,MATCH(COLUMNS($U$1006:AC1006),$U$1006:$AC$1006,0))&gt;=100000), " ",IF(INDEX($U$2:$AC$1001,MATCH(ROWS($N$2:N125),$N$2:$N$1001,0),MATCH(COLUMNS($U$1006:AC1006),$U$1006:$AC$1006,0)), HYPERLINK("#",""), HYPERLINK(CONCATENATE("#metadata!", ADDRESS(INDEX($P$2:$P$1001,MATCH(ROWS($N$2:N125),$N$2:$N$1001,0),0), INDEX($U$1004:$AC$1004,1,MATCH(COLUMNS($U$1006:AC1006),$U$1006:$AC$1006,0)))),"Fix")))</f>
        <v>0</v>
      </c>
      <c r="N125">
        <v>0</v>
      </c>
      <c r="O125">
        <v>0</v>
      </c>
      <c r="P125">
        <v>0</v>
      </c>
      <c r="Q125">
        <f>IF(R125,TRUE,AND(U125:AC125))</f>
        <v>0</v>
      </c>
      <c r="R125">
        <f>COUNTBLANK(metadata!B125:J125)=COLUMNS(metadata!B125:J125)</f>
        <v>0</v>
      </c>
      <c r="S125">
        <v>0</v>
      </c>
      <c r="U125">
        <f>AND(IF(metadata!B125="",FALSE,TRUE),COUNTIF(metadata!B:B, metadata!B125) = 1,NOT(ISERROR(SUMPRODUCT(SEARCH(MID(metadata!B125,ROW(INDIRECT("1:"&amp;LEN(metadata!B125))), 1),"0123456789abcdefghijklmnopqrstuvwxyzABCDEFGHIJKLMNOPQRSTUVWXYZ.")))))</f>
        <v>0</v>
      </c>
      <c r="V125">
        <f>AND(IF(metadata!C125="",FALSE,TRUE),exact(metadata!C125,"UBERON:genitourinary"))</f>
        <v>0</v>
      </c>
      <c r="W125">
        <f>AND(IF(metadata!D125="",FALSE,TRUE),exact(metadata!D125,"UBERON:urine"))</f>
        <v>0</v>
      </c>
      <c r="X125">
        <f>AND(IF(metadata!E125="",FALSE,TRUE),exact(metadata!E125,"UBERON:kidney"))</f>
        <v>0</v>
      </c>
      <c r="Y125">
        <f>AND(IF(metadata!F125="",FALSE,TRUE),exact(metadata!F125,"animal corpus"))</f>
        <v>0</v>
      </c>
      <c r="Z125">
        <f>AND(IF(metadata!G125="",FALSE,TRUE),exact(metadata!G125,"urine"))</f>
        <v>0</v>
      </c>
      <c r="AA125">
        <f>AND(IF(metadata!H125="",FALSE,TRUE),exact(metadata!H125,"urine"))</f>
        <v>0</v>
      </c>
      <c r="AB125">
        <f>AND(IF(metadata!I125="",FALSE,TRUE),exact(metadata!I125,"urine metagenome"))</f>
        <v>0</v>
      </c>
      <c r="AC125">
        <f>AND(IF(metadata!J125="",FALSE,TRUE),exact(metadata!J125,"1346744"))</f>
        <v>0</v>
      </c>
    </row>
    <row r="126" spans="1:29">
      <c r="A126" s="4">
        <f>IF(B126=" "," ",HYPERLINK(CONCATENATE("#metadata!",ADDRESS(INDEX($P$2:$P$1001,MATCH(ROWS($N$2:N126),$N$2:$N$1001,0),0),1)),INDEX($S$2:$S$1001,MATCH(ROWS($N$2:N126),$N$2:$N$1001,0),0)))</f>
        <v>0</v>
      </c>
      <c r="B126" s="3">
        <f>IF(OR(INDEX($O$2:$O$1001,MATCH(ROWS($N$2:N126),$N$2:$N$1001,0),1)&gt;=100000,INDEX($U$1005:$AC$1005,1,MATCH(COLUMNS($U$1006:U1006),$U$1006:$AC$1006,0))&gt;=100000), " ",IF(INDEX($U$2:$AC$1001,MATCH(ROWS($N$2:N126),$N$2:$N$1001,0),MATCH(COLUMNS($U$1006:U1006),$U$1006:$AC$1006,0)), HYPERLINK("#",""), HYPERLINK(CONCATENATE("#metadata!", ADDRESS(INDEX($P$2:$P$1001,MATCH(ROWS($N$2:N126),$N$2:$N$1001,0),0), INDEX($U$1004:$AC$1004,1,MATCH(COLUMNS($U$1006:U1006),$U$1006:$AC$1006,0)))),"Fix")))</f>
        <v>0</v>
      </c>
      <c r="C126" s="3">
        <f>IF(OR(INDEX($O$2:$O$1001,MATCH(ROWS($N$2:N126),$N$2:$N$1001,0),1)&gt;=100000,INDEX($U$1005:$AC$1005,1,MATCH(COLUMNS($U$1006:V1006),$U$1006:$AC$1006,0))&gt;=100000), " ",IF(INDEX($U$2:$AC$1001,MATCH(ROWS($N$2:N126),$N$2:$N$1001,0),MATCH(COLUMNS($U$1006:V1006),$U$1006:$AC$1006,0)), HYPERLINK("#",""), HYPERLINK(CONCATENATE("#metadata!", ADDRESS(INDEX($P$2:$P$1001,MATCH(ROWS($N$2:N126),$N$2:$N$1001,0),0), INDEX($U$1004:$AC$1004,1,MATCH(COLUMNS($U$1006:V1006),$U$1006:$AC$1006,0)))),"Fix")))</f>
        <v>0</v>
      </c>
      <c r="D126" s="3">
        <f>IF(OR(INDEX($O$2:$O$1001,MATCH(ROWS($N$2:N126),$N$2:$N$1001,0),1)&gt;=100000,INDEX($U$1005:$AC$1005,1,MATCH(COLUMNS($U$1006:W1006),$U$1006:$AC$1006,0))&gt;=100000), " ",IF(INDEX($U$2:$AC$1001,MATCH(ROWS($N$2:N126),$N$2:$N$1001,0),MATCH(COLUMNS($U$1006:W1006),$U$1006:$AC$1006,0)), HYPERLINK("#",""), HYPERLINK(CONCATENATE("#metadata!", ADDRESS(INDEX($P$2:$P$1001,MATCH(ROWS($N$2:N126),$N$2:$N$1001,0),0), INDEX($U$1004:$AC$1004,1,MATCH(COLUMNS($U$1006:W1006),$U$1006:$AC$1006,0)))),"Fix")))</f>
        <v>0</v>
      </c>
      <c r="E126" s="3">
        <f>IF(OR(INDEX($O$2:$O$1001,MATCH(ROWS($N$2:N126),$N$2:$N$1001,0),1)&gt;=100000,INDEX($U$1005:$AC$1005,1,MATCH(COLUMNS($U$1006:X1006),$U$1006:$AC$1006,0))&gt;=100000), " ",IF(INDEX($U$2:$AC$1001,MATCH(ROWS($N$2:N126),$N$2:$N$1001,0),MATCH(COLUMNS($U$1006:X1006),$U$1006:$AC$1006,0)), HYPERLINK("#",""), HYPERLINK(CONCATENATE("#metadata!", ADDRESS(INDEX($P$2:$P$1001,MATCH(ROWS($N$2:N126),$N$2:$N$1001,0),0), INDEX($U$1004:$AC$1004,1,MATCH(COLUMNS($U$1006:X1006),$U$1006:$AC$1006,0)))),"Fix")))</f>
        <v>0</v>
      </c>
      <c r="F126" s="3">
        <f>IF(OR(INDEX($O$2:$O$1001,MATCH(ROWS($N$2:N126),$N$2:$N$1001,0),1)&gt;=100000,INDEX($U$1005:$AC$1005,1,MATCH(COLUMNS($U$1006:Y1006),$U$1006:$AC$1006,0))&gt;=100000), " ",IF(INDEX($U$2:$AC$1001,MATCH(ROWS($N$2:N126),$N$2:$N$1001,0),MATCH(COLUMNS($U$1006:Y1006),$U$1006:$AC$1006,0)), HYPERLINK("#",""), HYPERLINK(CONCATENATE("#metadata!", ADDRESS(INDEX($P$2:$P$1001,MATCH(ROWS($N$2:N126),$N$2:$N$1001,0),0), INDEX($U$1004:$AC$1004,1,MATCH(COLUMNS($U$1006:Y1006),$U$1006:$AC$1006,0)))),"Fix")))</f>
        <v>0</v>
      </c>
      <c r="G126" s="3">
        <f>IF(OR(INDEX($O$2:$O$1001,MATCH(ROWS($N$2:N126),$N$2:$N$1001,0),1)&gt;=100000,INDEX($U$1005:$AC$1005,1,MATCH(COLUMNS($U$1006:Z1006),$U$1006:$AC$1006,0))&gt;=100000), " ",IF(INDEX($U$2:$AC$1001,MATCH(ROWS($N$2:N126),$N$2:$N$1001,0),MATCH(COLUMNS($U$1006:Z1006),$U$1006:$AC$1006,0)), HYPERLINK("#",""), HYPERLINK(CONCATENATE("#metadata!", ADDRESS(INDEX($P$2:$P$1001,MATCH(ROWS($N$2:N126),$N$2:$N$1001,0),0), INDEX($U$1004:$AC$1004,1,MATCH(COLUMNS($U$1006:Z1006),$U$1006:$AC$1006,0)))),"Fix")))</f>
        <v>0</v>
      </c>
      <c r="H126" s="3">
        <f>IF(OR(INDEX($O$2:$O$1001,MATCH(ROWS($N$2:N126),$N$2:$N$1001,0),1)&gt;=100000,INDEX($U$1005:$AC$1005,1,MATCH(COLUMNS($U$1006:AA1006),$U$1006:$AC$1006,0))&gt;=100000), " ",IF(INDEX($U$2:$AC$1001,MATCH(ROWS($N$2:N126),$N$2:$N$1001,0),MATCH(COLUMNS($U$1006:AA1006),$U$1006:$AC$1006,0)), HYPERLINK("#",""), HYPERLINK(CONCATENATE("#metadata!", ADDRESS(INDEX($P$2:$P$1001,MATCH(ROWS($N$2:N126),$N$2:$N$1001,0),0), INDEX($U$1004:$AC$1004,1,MATCH(COLUMNS($U$1006:AA1006),$U$1006:$AC$1006,0)))),"Fix")))</f>
        <v>0</v>
      </c>
      <c r="I126" s="3">
        <f>IF(OR(INDEX($O$2:$O$1001,MATCH(ROWS($N$2:N126),$N$2:$N$1001,0),1)&gt;=100000,INDEX($U$1005:$AC$1005,1,MATCH(COLUMNS($U$1006:AB1006),$U$1006:$AC$1006,0))&gt;=100000), " ",IF(INDEX($U$2:$AC$1001,MATCH(ROWS($N$2:N126),$N$2:$N$1001,0),MATCH(COLUMNS($U$1006:AB1006),$U$1006:$AC$1006,0)), HYPERLINK("#",""), HYPERLINK(CONCATENATE("#metadata!", ADDRESS(INDEX($P$2:$P$1001,MATCH(ROWS($N$2:N126),$N$2:$N$1001,0),0), INDEX($U$1004:$AC$1004,1,MATCH(COLUMNS($U$1006:AB1006),$U$1006:$AC$1006,0)))),"Fix")))</f>
        <v>0</v>
      </c>
      <c r="J126" s="3">
        <f>IF(OR(INDEX($O$2:$O$1001,MATCH(ROWS($N$2:N126),$N$2:$N$1001,0),1)&gt;=100000,INDEX($U$1005:$AC$1005,1,MATCH(COLUMNS($U$1006:AC1006),$U$1006:$AC$1006,0))&gt;=100000), " ",IF(INDEX($U$2:$AC$1001,MATCH(ROWS($N$2:N126),$N$2:$N$1001,0),MATCH(COLUMNS($U$1006:AC1006),$U$1006:$AC$1006,0)), HYPERLINK("#",""), HYPERLINK(CONCATENATE("#metadata!", ADDRESS(INDEX($P$2:$P$1001,MATCH(ROWS($N$2:N126),$N$2:$N$1001,0),0), INDEX($U$1004:$AC$1004,1,MATCH(COLUMNS($U$1006:AC1006),$U$1006:$AC$1006,0)))),"Fix")))</f>
        <v>0</v>
      </c>
      <c r="N126">
        <v>0</v>
      </c>
      <c r="O126">
        <v>0</v>
      </c>
      <c r="P126">
        <v>0</v>
      </c>
      <c r="Q126">
        <f>IF(R126,TRUE,AND(U126:AC126))</f>
        <v>0</v>
      </c>
      <c r="R126">
        <f>COUNTBLANK(metadata!B126:J126)=COLUMNS(metadata!B126:J126)</f>
        <v>0</v>
      </c>
      <c r="S126">
        <v>0</v>
      </c>
      <c r="U126">
        <f>AND(IF(metadata!B126="",FALSE,TRUE),COUNTIF(metadata!B:B, metadata!B126) = 1,NOT(ISERROR(SUMPRODUCT(SEARCH(MID(metadata!B126,ROW(INDIRECT("1:"&amp;LEN(metadata!B126))), 1),"0123456789abcdefghijklmnopqrstuvwxyzABCDEFGHIJKLMNOPQRSTUVWXYZ.")))))</f>
        <v>0</v>
      </c>
      <c r="V126">
        <f>AND(IF(metadata!C126="",FALSE,TRUE),exact(metadata!C126,"UBERON:genitourinary"))</f>
        <v>0</v>
      </c>
      <c r="W126">
        <f>AND(IF(metadata!D126="",FALSE,TRUE),exact(metadata!D126,"UBERON:urine"))</f>
        <v>0</v>
      </c>
      <c r="X126">
        <f>AND(IF(metadata!E126="",FALSE,TRUE),exact(metadata!E126,"UBERON:kidney"))</f>
        <v>0</v>
      </c>
      <c r="Y126">
        <f>AND(IF(metadata!F126="",FALSE,TRUE),exact(metadata!F126,"animal corpus"))</f>
        <v>0</v>
      </c>
      <c r="Z126">
        <f>AND(IF(metadata!G126="",FALSE,TRUE),exact(metadata!G126,"urine"))</f>
        <v>0</v>
      </c>
      <c r="AA126">
        <f>AND(IF(metadata!H126="",FALSE,TRUE),exact(metadata!H126,"urine"))</f>
        <v>0</v>
      </c>
      <c r="AB126">
        <f>AND(IF(metadata!I126="",FALSE,TRUE),exact(metadata!I126,"urine metagenome"))</f>
        <v>0</v>
      </c>
      <c r="AC126">
        <f>AND(IF(metadata!J126="",FALSE,TRUE),exact(metadata!J126,"1346744"))</f>
        <v>0</v>
      </c>
    </row>
    <row r="127" spans="1:29">
      <c r="A127" s="4">
        <f>IF(B127=" "," ",HYPERLINK(CONCATENATE("#metadata!",ADDRESS(INDEX($P$2:$P$1001,MATCH(ROWS($N$2:N127),$N$2:$N$1001,0),0),1)),INDEX($S$2:$S$1001,MATCH(ROWS($N$2:N127),$N$2:$N$1001,0),0)))</f>
        <v>0</v>
      </c>
      <c r="B127" s="3">
        <f>IF(OR(INDEX($O$2:$O$1001,MATCH(ROWS($N$2:N127),$N$2:$N$1001,0),1)&gt;=100000,INDEX($U$1005:$AC$1005,1,MATCH(COLUMNS($U$1006:U1006),$U$1006:$AC$1006,0))&gt;=100000), " ",IF(INDEX($U$2:$AC$1001,MATCH(ROWS($N$2:N127),$N$2:$N$1001,0),MATCH(COLUMNS($U$1006:U1006),$U$1006:$AC$1006,0)), HYPERLINK("#",""), HYPERLINK(CONCATENATE("#metadata!", ADDRESS(INDEX($P$2:$P$1001,MATCH(ROWS($N$2:N127),$N$2:$N$1001,0),0), INDEX($U$1004:$AC$1004,1,MATCH(COLUMNS($U$1006:U1006),$U$1006:$AC$1006,0)))),"Fix")))</f>
        <v>0</v>
      </c>
      <c r="C127" s="3">
        <f>IF(OR(INDEX($O$2:$O$1001,MATCH(ROWS($N$2:N127),$N$2:$N$1001,0),1)&gt;=100000,INDEX($U$1005:$AC$1005,1,MATCH(COLUMNS($U$1006:V1006),$U$1006:$AC$1006,0))&gt;=100000), " ",IF(INDEX($U$2:$AC$1001,MATCH(ROWS($N$2:N127),$N$2:$N$1001,0),MATCH(COLUMNS($U$1006:V1006),$U$1006:$AC$1006,0)), HYPERLINK("#",""), HYPERLINK(CONCATENATE("#metadata!", ADDRESS(INDEX($P$2:$P$1001,MATCH(ROWS($N$2:N127),$N$2:$N$1001,0),0), INDEX($U$1004:$AC$1004,1,MATCH(COLUMNS($U$1006:V1006),$U$1006:$AC$1006,0)))),"Fix")))</f>
        <v>0</v>
      </c>
      <c r="D127" s="3">
        <f>IF(OR(INDEX($O$2:$O$1001,MATCH(ROWS($N$2:N127),$N$2:$N$1001,0),1)&gt;=100000,INDEX($U$1005:$AC$1005,1,MATCH(COLUMNS($U$1006:W1006),$U$1006:$AC$1006,0))&gt;=100000), " ",IF(INDEX($U$2:$AC$1001,MATCH(ROWS($N$2:N127),$N$2:$N$1001,0),MATCH(COLUMNS($U$1006:W1006),$U$1006:$AC$1006,0)), HYPERLINK("#",""), HYPERLINK(CONCATENATE("#metadata!", ADDRESS(INDEX($P$2:$P$1001,MATCH(ROWS($N$2:N127),$N$2:$N$1001,0),0), INDEX($U$1004:$AC$1004,1,MATCH(COLUMNS($U$1006:W1006),$U$1006:$AC$1006,0)))),"Fix")))</f>
        <v>0</v>
      </c>
      <c r="E127" s="3">
        <f>IF(OR(INDEX($O$2:$O$1001,MATCH(ROWS($N$2:N127),$N$2:$N$1001,0),1)&gt;=100000,INDEX($U$1005:$AC$1005,1,MATCH(COLUMNS($U$1006:X1006),$U$1006:$AC$1006,0))&gt;=100000), " ",IF(INDEX($U$2:$AC$1001,MATCH(ROWS($N$2:N127),$N$2:$N$1001,0),MATCH(COLUMNS($U$1006:X1006),$U$1006:$AC$1006,0)), HYPERLINK("#",""), HYPERLINK(CONCATENATE("#metadata!", ADDRESS(INDEX($P$2:$P$1001,MATCH(ROWS($N$2:N127),$N$2:$N$1001,0),0), INDEX($U$1004:$AC$1004,1,MATCH(COLUMNS($U$1006:X1006),$U$1006:$AC$1006,0)))),"Fix")))</f>
        <v>0</v>
      </c>
      <c r="F127" s="3">
        <f>IF(OR(INDEX($O$2:$O$1001,MATCH(ROWS($N$2:N127),$N$2:$N$1001,0),1)&gt;=100000,INDEX($U$1005:$AC$1005,1,MATCH(COLUMNS($U$1006:Y1006),$U$1006:$AC$1006,0))&gt;=100000), " ",IF(INDEX($U$2:$AC$1001,MATCH(ROWS($N$2:N127),$N$2:$N$1001,0),MATCH(COLUMNS($U$1006:Y1006),$U$1006:$AC$1006,0)), HYPERLINK("#",""), HYPERLINK(CONCATENATE("#metadata!", ADDRESS(INDEX($P$2:$P$1001,MATCH(ROWS($N$2:N127),$N$2:$N$1001,0),0), INDEX($U$1004:$AC$1004,1,MATCH(COLUMNS($U$1006:Y1006),$U$1006:$AC$1006,0)))),"Fix")))</f>
        <v>0</v>
      </c>
      <c r="G127" s="3">
        <f>IF(OR(INDEX($O$2:$O$1001,MATCH(ROWS($N$2:N127),$N$2:$N$1001,0),1)&gt;=100000,INDEX($U$1005:$AC$1005,1,MATCH(COLUMNS($U$1006:Z1006),$U$1006:$AC$1006,0))&gt;=100000), " ",IF(INDEX($U$2:$AC$1001,MATCH(ROWS($N$2:N127),$N$2:$N$1001,0),MATCH(COLUMNS($U$1006:Z1006),$U$1006:$AC$1006,0)), HYPERLINK("#",""), HYPERLINK(CONCATENATE("#metadata!", ADDRESS(INDEX($P$2:$P$1001,MATCH(ROWS($N$2:N127),$N$2:$N$1001,0),0), INDEX($U$1004:$AC$1004,1,MATCH(COLUMNS($U$1006:Z1006),$U$1006:$AC$1006,0)))),"Fix")))</f>
        <v>0</v>
      </c>
      <c r="H127" s="3">
        <f>IF(OR(INDEX($O$2:$O$1001,MATCH(ROWS($N$2:N127),$N$2:$N$1001,0),1)&gt;=100000,INDEX($U$1005:$AC$1005,1,MATCH(COLUMNS($U$1006:AA1006),$U$1006:$AC$1006,0))&gt;=100000), " ",IF(INDEX($U$2:$AC$1001,MATCH(ROWS($N$2:N127),$N$2:$N$1001,0),MATCH(COLUMNS($U$1006:AA1006),$U$1006:$AC$1006,0)), HYPERLINK("#",""), HYPERLINK(CONCATENATE("#metadata!", ADDRESS(INDEX($P$2:$P$1001,MATCH(ROWS($N$2:N127),$N$2:$N$1001,0),0), INDEX($U$1004:$AC$1004,1,MATCH(COLUMNS($U$1006:AA1006),$U$1006:$AC$1006,0)))),"Fix")))</f>
        <v>0</v>
      </c>
      <c r="I127" s="3">
        <f>IF(OR(INDEX($O$2:$O$1001,MATCH(ROWS($N$2:N127),$N$2:$N$1001,0),1)&gt;=100000,INDEX($U$1005:$AC$1005,1,MATCH(COLUMNS($U$1006:AB1006),$U$1006:$AC$1006,0))&gt;=100000), " ",IF(INDEX($U$2:$AC$1001,MATCH(ROWS($N$2:N127),$N$2:$N$1001,0),MATCH(COLUMNS($U$1006:AB1006),$U$1006:$AC$1006,0)), HYPERLINK("#",""), HYPERLINK(CONCATENATE("#metadata!", ADDRESS(INDEX($P$2:$P$1001,MATCH(ROWS($N$2:N127),$N$2:$N$1001,0),0), INDEX($U$1004:$AC$1004,1,MATCH(COLUMNS($U$1006:AB1006),$U$1006:$AC$1006,0)))),"Fix")))</f>
        <v>0</v>
      </c>
      <c r="J127" s="3">
        <f>IF(OR(INDEX($O$2:$O$1001,MATCH(ROWS($N$2:N127),$N$2:$N$1001,0),1)&gt;=100000,INDEX($U$1005:$AC$1005,1,MATCH(COLUMNS($U$1006:AC1006),$U$1006:$AC$1006,0))&gt;=100000), " ",IF(INDEX($U$2:$AC$1001,MATCH(ROWS($N$2:N127),$N$2:$N$1001,0),MATCH(COLUMNS($U$1006:AC1006),$U$1006:$AC$1006,0)), HYPERLINK("#",""), HYPERLINK(CONCATENATE("#metadata!", ADDRESS(INDEX($P$2:$P$1001,MATCH(ROWS($N$2:N127),$N$2:$N$1001,0),0), INDEX($U$1004:$AC$1004,1,MATCH(COLUMNS($U$1006:AC1006),$U$1006:$AC$1006,0)))),"Fix")))</f>
        <v>0</v>
      </c>
      <c r="N127">
        <v>0</v>
      </c>
      <c r="O127">
        <v>0</v>
      </c>
      <c r="P127">
        <v>0</v>
      </c>
      <c r="Q127">
        <f>IF(R127,TRUE,AND(U127:AC127))</f>
        <v>0</v>
      </c>
      <c r="R127">
        <f>COUNTBLANK(metadata!B127:J127)=COLUMNS(metadata!B127:J127)</f>
        <v>0</v>
      </c>
      <c r="S127">
        <v>0</v>
      </c>
      <c r="U127">
        <f>AND(IF(metadata!B127="",FALSE,TRUE),COUNTIF(metadata!B:B, metadata!B127) = 1,NOT(ISERROR(SUMPRODUCT(SEARCH(MID(metadata!B127,ROW(INDIRECT("1:"&amp;LEN(metadata!B127))), 1),"0123456789abcdefghijklmnopqrstuvwxyzABCDEFGHIJKLMNOPQRSTUVWXYZ.")))))</f>
        <v>0</v>
      </c>
      <c r="V127">
        <f>AND(IF(metadata!C127="",FALSE,TRUE),exact(metadata!C127,"UBERON:genitourinary"))</f>
        <v>0</v>
      </c>
      <c r="W127">
        <f>AND(IF(metadata!D127="",FALSE,TRUE),exact(metadata!D127,"UBERON:urine"))</f>
        <v>0</v>
      </c>
      <c r="X127">
        <f>AND(IF(metadata!E127="",FALSE,TRUE),exact(metadata!E127,"UBERON:kidney"))</f>
        <v>0</v>
      </c>
      <c r="Y127">
        <f>AND(IF(metadata!F127="",FALSE,TRUE),exact(metadata!F127,"animal corpus"))</f>
        <v>0</v>
      </c>
      <c r="Z127">
        <f>AND(IF(metadata!G127="",FALSE,TRUE),exact(metadata!G127,"urine"))</f>
        <v>0</v>
      </c>
      <c r="AA127">
        <f>AND(IF(metadata!H127="",FALSE,TRUE),exact(metadata!H127,"urine"))</f>
        <v>0</v>
      </c>
      <c r="AB127">
        <f>AND(IF(metadata!I127="",FALSE,TRUE),exact(metadata!I127,"urine metagenome"))</f>
        <v>0</v>
      </c>
      <c r="AC127">
        <f>AND(IF(metadata!J127="",FALSE,TRUE),exact(metadata!J127,"1346744"))</f>
        <v>0</v>
      </c>
    </row>
    <row r="128" spans="1:29">
      <c r="A128" s="4">
        <f>IF(B128=" "," ",HYPERLINK(CONCATENATE("#metadata!",ADDRESS(INDEX($P$2:$P$1001,MATCH(ROWS($N$2:N128),$N$2:$N$1001,0),0),1)),INDEX($S$2:$S$1001,MATCH(ROWS($N$2:N128),$N$2:$N$1001,0),0)))</f>
        <v>0</v>
      </c>
      <c r="B128" s="3">
        <f>IF(OR(INDEX($O$2:$O$1001,MATCH(ROWS($N$2:N128),$N$2:$N$1001,0),1)&gt;=100000,INDEX($U$1005:$AC$1005,1,MATCH(COLUMNS($U$1006:U1006),$U$1006:$AC$1006,0))&gt;=100000), " ",IF(INDEX($U$2:$AC$1001,MATCH(ROWS($N$2:N128),$N$2:$N$1001,0),MATCH(COLUMNS($U$1006:U1006),$U$1006:$AC$1006,0)), HYPERLINK("#",""), HYPERLINK(CONCATENATE("#metadata!", ADDRESS(INDEX($P$2:$P$1001,MATCH(ROWS($N$2:N128),$N$2:$N$1001,0),0), INDEX($U$1004:$AC$1004,1,MATCH(COLUMNS($U$1006:U1006),$U$1006:$AC$1006,0)))),"Fix")))</f>
        <v>0</v>
      </c>
      <c r="C128" s="3">
        <f>IF(OR(INDEX($O$2:$O$1001,MATCH(ROWS($N$2:N128),$N$2:$N$1001,0),1)&gt;=100000,INDEX($U$1005:$AC$1005,1,MATCH(COLUMNS($U$1006:V1006),$U$1006:$AC$1006,0))&gt;=100000), " ",IF(INDEX($U$2:$AC$1001,MATCH(ROWS($N$2:N128),$N$2:$N$1001,0),MATCH(COLUMNS($U$1006:V1006),$U$1006:$AC$1006,0)), HYPERLINK("#",""), HYPERLINK(CONCATENATE("#metadata!", ADDRESS(INDEX($P$2:$P$1001,MATCH(ROWS($N$2:N128),$N$2:$N$1001,0),0), INDEX($U$1004:$AC$1004,1,MATCH(COLUMNS($U$1006:V1006),$U$1006:$AC$1006,0)))),"Fix")))</f>
        <v>0</v>
      </c>
      <c r="D128" s="3">
        <f>IF(OR(INDEX($O$2:$O$1001,MATCH(ROWS($N$2:N128),$N$2:$N$1001,0),1)&gt;=100000,INDEX($U$1005:$AC$1005,1,MATCH(COLUMNS($U$1006:W1006),$U$1006:$AC$1006,0))&gt;=100000), " ",IF(INDEX($U$2:$AC$1001,MATCH(ROWS($N$2:N128),$N$2:$N$1001,0),MATCH(COLUMNS($U$1006:W1006),$U$1006:$AC$1006,0)), HYPERLINK("#",""), HYPERLINK(CONCATENATE("#metadata!", ADDRESS(INDEX($P$2:$P$1001,MATCH(ROWS($N$2:N128),$N$2:$N$1001,0),0), INDEX($U$1004:$AC$1004,1,MATCH(COLUMNS($U$1006:W1006),$U$1006:$AC$1006,0)))),"Fix")))</f>
        <v>0</v>
      </c>
      <c r="E128" s="3">
        <f>IF(OR(INDEX($O$2:$O$1001,MATCH(ROWS($N$2:N128),$N$2:$N$1001,0),1)&gt;=100000,INDEX($U$1005:$AC$1005,1,MATCH(COLUMNS($U$1006:X1006),$U$1006:$AC$1006,0))&gt;=100000), " ",IF(INDEX($U$2:$AC$1001,MATCH(ROWS($N$2:N128),$N$2:$N$1001,0),MATCH(COLUMNS($U$1006:X1006),$U$1006:$AC$1006,0)), HYPERLINK("#",""), HYPERLINK(CONCATENATE("#metadata!", ADDRESS(INDEX($P$2:$P$1001,MATCH(ROWS($N$2:N128),$N$2:$N$1001,0),0), INDEX($U$1004:$AC$1004,1,MATCH(COLUMNS($U$1006:X1006),$U$1006:$AC$1006,0)))),"Fix")))</f>
        <v>0</v>
      </c>
      <c r="F128" s="3">
        <f>IF(OR(INDEX($O$2:$O$1001,MATCH(ROWS($N$2:N128),$N$2:$N$1001,0),1)&gt;=100000,INDEX($U$1005:$AC$1005,1,MATCH(COLUMNS($U$1006:Y1006),$U$1006:$AC$1006,0))&gt;=100000), " ",IF(INDEX($U$2:$AC$1001,MATCH(ROWS($N$2:N128),$N$2:$N$1001,0),MATCH(COLUMNS($U$1006:Y1006),$U$1006:$AC$1006,0)), HYPERLINK("#",""), HYPERLINK(CONCATENATE("#metadata!", ADDRESS(INDEX($P$2:$P$1001,MATCH(ROWS($N$2:N128),$N$2:$N$1001,0),0), INDEX($U$1004:$AC$1004,1,MATCH(COLUMNS($U$1006:Y1006),$U$1006:$AC$1006,0)))),"Fix")))</f>
        <v>0</v>
      </c>
      <c r="G128" s="3">
        <f>IF(OR(INDEX($O$2:$O$1001,MATCH(ROWS($N$2:N128),$N$2:$N$1001,0),1)&gt;=100000,INDEX($U$1005:$AC$1005,1,MATCH(COLUMNS($U$1006:Z1006),$U$1006:$AC$1006,0))&gt;=100000), " ",IF(INDEX($U$2:$AC$1001,MATCH(ROWS($N$2:N128),$N$2:$N$1001,0),MATCH(COLUMNS($U$1006:Z1006),$U$1006:$AC$1006,0)), HYPERLINK("#",""), HYPERLINK(CONCATENATE("#metadata!", ADDRESS(INDEX($P$2:$P$1001,MATCH(ROWS($N$2:N128),$N$2:$N$1001,0),0), INDEX($U$1004:$AC$1004,1,MATCH(COLUMNS($U$1006:Z1006),$U$1006:$AC$1006,0)))),"Fix")))</f>
        <v>0</v>
      </c>
      <c r="H128" s="3">
        <f>IF(OR(INDEX($O$2:$O$1001,MATCH(ROWS($N$2:N128),$N$2:$N$1001,0),1)&gt;=100000,INDEX($U$1005:$AC$1005,1,MATCH(COLUMNS($U$1006:AA1006),$U$1006:$AC$1006,0))&gt;=100000), " ",IF(INDEX($U$2:$AC$1001,MATCH(ROWS($N$2:N128),$N$2:$N$1001,0),MATCH(COLUMNS($U$1006:AA1006),$U$1006:$AC$1006,0)), HYPERLINK("#",""), HYPERLINK(CONCATENATE("#metadata!", ADDRESS(INDEX($P$2:$P$1001,MATCH(ROWS($N$2:N128),$N$2:$N$1001,0),0), INDEX($U$1004:$AC$1004,1,MATCH(COLUMNS($U$1006:AA1006),$U$1006:$AC$1006,0)))),"Fix")))</f>
        <v>0</v>
      </c>
      <c r="I128" s="3">
        <f>IF(OR(INDEX($O$2:$O$1001,MATCH(ROWS($N$2:N128),$N$2:$N$1001,0),1)&gt;=100000,INDEX($U$1005:$AC$1005,1,MATCH(COLUMNS($U$1006:AB1006),$U$1006:$AC$1006,0))&gt;=100000), " ",IF(INDEX($U$2:$AC$1001,MATCH(ROWS($N$2:N128),$N$2:$N$1001,0),MATCH(COLUMNS($U$1006:AB1006),$U$1006:$AC$1006,0)), HYPERLINK("#",""), HYPERLINK(CONCATENATE("#metadata!", ADDRESS(INDEX($P$2:$P$1001,MATCH(ROWS($N$2:N128),$N$2:$N$1001,0),0), INDEX($U$1004:$AC$1004,1,MATCH(COLUMNS($U$1006:AB1006),$U$1006:$AC$1006,0)))),"Fix")))</f>
        <v>0</v>
      </c>
      <c r="J128" s="3">
        <f>IF(OR(INDEX($O$2:$O$1001,MATCH(ROWS($N$2:N128),$N$2:$N$1001,0),1)&gt;=100000,INDEX($U$1005:$AC$1005,1,MATCH(COLUMNS($U$1006:AC1006),$U$1006:$AC$1006,0))&gt;=100000), " ",IF(INDEX($U$2:$AC$1001,MATCH(ROWS($N$2:N128),$N$2:$N$1001,0),MATCH(COLUMNS($U$1006:AC1006),$U$1006:$AC$1006,0)), HYPERLINK("#",""), HYPERLINK(CONCATENATE("#metadata!", ADDRESS(INDEX($P$2:$P$1001,MATCH(ROWS($N$2:N128),$N$2:$N$1001,0),0), INDEX($U$1004:$AC$1004,1,MATCH(COLUMNS($U$1006:AC1006),$U$1006:$AC$1006,0)))),"Fix")))</f>
        <v>0</v>
      </c>
      <c r="N128">
        <v>0</v>
      </c>
      <c r="O128">
        <v>0</v>
      </c>
      <c r="P128">
        <v>0</v>
      </c>
      <c r="Q128">
        <f>IF(R128,TRUE,AND(U128:AC128))</f>
        <v>0</v>
      </c>
      <c r="R128">
        <f>COUNTBLANK(metadata!B128:J128)=COLUMNS(metadata!B128:J128)</f>
        <v>0</v>
      </c>
      <c r="S128">
        <v>0</v>
      </c>
      <c r="U128">
        <f>AND(IF(metadata!B128="",FALSE,TRUE),COUNTIF(metadata!B:B, metadata!B128) = 1,NOT(ISERROR(SUMPRODUCT(SEARCH(MID(metadata!B128,ROW(INDIRECT("1:"&amp;LEN(metadata!B128))), 1),"0123456789abcdefghijklmnopqrstuvwxyzABCDEFGHIJKLMNOPQRSTUVWXYZ.")))))</f>
        <v>0</v>
      </c>
      <c r="V128">
        <f>AND(IF(metadata!C128="",FALSE,TRUE),exact(metadata!C128,"UBERON:genitourinary"))</f>
        <v>0</v>
      </c>
      <c r="W128">
        <f>AND(IF(metadata!D128="",FALSE,TRUE),exact(metadata!D128,"UBERON:urine"))</f>
        <v>0</v>
      </c>
      <c r="X128">
        <f>AND(IF(metadata!E128="",FALSE,TRUE),exact(metadata!E128,"UBERON:kidney"))</f>
        <v>0</v>
      </c>
      <c r="Y128">
        <f>AND(IF(metadata!F128="",FALSE,TRUE),exact(metadata!F128,"animal corpus"))</f>
        <v>0</v>
      </c>
      <c r="Z128">
        <f>AND(IF(metadata!G128="",FALSE,TRUE),exact(metadata!G128,"urine"))</f>
        <v>0</v>
      </c>
      <c r="AA128">
        <f>AND(IF(metadata!H128="",FALSE,TRUE),exact(metadata!H128,"urine"))</f>
        <v>0</v>
      </c>
      <c r="AB128">
        <f>AND(IF(metadata!I128="",FALSE,TRUE),exact(metadata!I128,"urine metagenome"))</f>
        <v>0</v>
      </c>
      <c r="AC128">
        <f>AND(IF(metadata!J128="",FALSE,TRUE),exact(metadata!J128,"1346744"))</f>
        <v>0</v>
      </c>
    </row>
    <row r="129" spans="1:29">
      <c r="A129" s="4">
        <f>IF(B129=" "," ",HYPERLINK(CONCATENATE("#metadata!",ADDRESS(INDEX($P$2:$P$1001,MATCH(ROWS($N$2:N129),$N$2:$N$1001,0),0),1)),INDEX($S$2:$S$1001,MATCH(ROWS($N$2:N129),$N$2:$N$1001,0),0)))</f>
        <v>0</v>
      </c>
      <c r="B129" s="3">
        <f>IF(OR(INDEX($O$2:$O$1001,MATCH(ROWS($N$2:N129),$N$2:$N$1001,0),1)&gt;=100000,INDEX($U$1005:$AC$1005,1,MATCH(COLUMNS($U$1006:U1006),$U$1006:$AC$1006,0))&gt;=100000), " ",IF(INDEX($U$2:$AC$1001,MATCH(ROWS($N$2:N129),$N$2:$N$1001,0),MATCH(COLUMNS($U$1006:U1006),$U$1006:$AC$1006,0)), HYPERLINK("#",""), HYPERLINK(CONCATENATE("#metadata!", ADDRESS(INDEX($P$2:$P$1001,MATCH(ROWS($N$2:N129),$N$2:$N$1001,0),0), INDEX($U$1004:$AC$1004,1,MATCH(COLUMNS($U$1006:U1006),$U$1006:$AC$1006,0)))),"Fix")))</f>
        <v>0</v>
      </c>
      <c r="C129" s="3">
        <f>IF(OR(INDEX($O$2:$O$1001,MATCH(ROWS($N$2:N129),$N$2:$N$1001,0),1)&gt;=100000,INDEX($U$1005:$AC$1005,1,MATCH(COLUMNS($U$1006:V1006),$U$1006:$AC$1006,0))&gt;=100000), " ",IF(INDEX($U$2:$AC$1001,MATCH(ROWS($N$2:N129),$N$2:$N$1001,0),MATCH(COLUMNS($U$1006:V1006),$U$1006:$AC$1006,0)), HYPERLINK("#",""), HYPERLINK(CONCATENATE("#metadata!", ADDRESS(INDEX($P$2:$P$1001,MATCH(ROWS($N$2:N129),$N$2:$N$1001,0),0), INDEX($U$1004:$AC$1004,1,MATCH(COLUMNS($U$1006:V1006),$U$1006:$AC$1006,0)))),"Fix")))</f>
        <v>0</v>
      </c>
      <c r="D129" s="3">
        <f>IF(OR(INDEX($O$2:$O$1001,MATCH(ROWS($N$2:N129),$N$2:$N$1001,0),1)&gt;=100000,INDEX($U$1005:$AC$1005,1,MATCH(COLUMNS($U$1006:W1006),$U$1006:$AC$1006,0))&gt;=100000), " ",IF(INDEX($U$2:$AC$1001,MATCH(ROWS($N$2:N129),$N$2:$N$1001,0),MATCH(COLUMNS($U$1006:W1006),$U$1006:$AC$1006,0)), HYPERLINK("#",""), HYPERLINK(CONCATENATE("#metadata!", ADDRESS(INDEX($P$2:$P$1001,MATCH(ROWS($N$2:N129),$N$2:$N$1001,0),0), INDEX($U$1004:$AC$1004,1,MATCH(COLUMNS($U$1006:W1006),$U$1006:$AC$1006,0)))),"Fix")))</f>
        <v>0</v>
      </c>
      <c r="E129" s="3">
        <f>IF(OR(INDEX($O$2:$O$1001,MATCH(ROWS($N$2:N129),$N$2:$N$1001,0),1)&gt;=100000,INDEX($U$1005:$AC$1005,1,MATCH(COLUMNS($U$1006:X1006),$U$1006:$AC$1006,0))&gt;=100000), " ",IF(INDEX($U$2:$AC$1001,MATCH(ROWS($N$2:N129),$N$2:$N$1001,0),MATCH(COLUMNS($U$1006:X1006),$U$1006:$AC$1006,0)), HYPERLINK("#",""), HYPERLINK(CONCATENATE("#metadata!", ADDRESS(INDEX($P$2:$P$1001,MATCH(ROWS($N$2:N129),$N$2:$N$1001,0),0), INDEX($U$1004:$AC$1004,1,MATCH(COLUMNS($U$1006:X1006),$U$1006:$AC$1006,0)))),"Fix")))</f>
        <v>0</v>
      </c>
      <c r="F129" s="3">
        <f>IF(OR(INDEX($O$2:$O$1001,MATCH(ROWS($N$2:N129),$N$2:$N$1001,0),1)&gt;=100000,INDEX($U$1005:$AC$1005,1,MATCH(COLUMNS($U$1006:Y1006),$U$1006:$AC$1006,0))&gt;=100000), " ",IF(INDEX($U$2:$AC$1001,MATCH(ROWS($N$2:N129),$N$2:$N$1001,0),MATCH(COLUMNS($U$1006:Y1006),$U$1006:$AC$1006,0)), HYPERLINK("#",""), HYPERLINK(CONCATENATE("#metadata!", ADDRESS(INDEX($P$2:$P$1001,MATCH(ROWS($N$2:N129),$N$2:$N$1001,0),0), INDEX($U$1004:$AC$1004,1,MATCH(COLUMNS($U$1006:Y1006),$U$1006:$AC$1006,0)))),"Fix")))</f>
        <v>0</v>
      </c>
      <c r="G129" s="3">
        <f>IF(OR(INDEX($O$2:$O$1001,MATCH(ROWS($N$2:N129),$N$2:$N$1001,0),1)&gt;=100000,INDEX($U$1005:$AC$1005,1,MATCH(COLUMNS($U$1006:Z1006),$U$1006:$AC$1006,0))&gt;=100000), " ",IF(INDEX($U$2:$AC$1001,MATCH(ROWS($N$2:N129),$N$2:$N$1001,0),MATCH(COLUMNS($U$1006:Z1006),$U$1006:$AC$1006,0)), HYPERLINK("#",""), HYPERLINK(CONCATENATE("#metadata!", ADDRESS(INDEX($P$2:$P$1001,MATCH(ROWS($N$2:N129),$N$2:$N$1001,0),0), INDEX($U$1004:$AC$1004,1,MATCH(COLUMNS($U$1006:Z1006),$U$1006:$AC$1006,0)))),"Fix")))</f>
        <v>0</v>
      </c>
      <c r="H129" s="3">
        <f>IF(OR(INDEX($O$2:$O$1001,MATCH(ROWS($N$2:N129),$N$2:$N$1001,0),1)&gt;=100000,INDEX($U$1005:$AC$1005,1,MATCH(COLUMNS($U$1006:AA1006),$U$1006:$AC$1006,0))&gt;=100000), " ",IF(INDEX($U$2:$AC$1001,MATCH(ROWS($N$2:N129),$N$2:$N$1001,0),MATCH(COLUMNS($U$1006:AA1006),$U$1006:$AC$1006,0)), HYPERLINK("#",""), HYPERLINK(CONCATENATE("#metadata!", ADDRESS(INDEX($P$2:$P$1001,MATCH(ROWS($N$2:N129),$N$2:$N$1001,0),0), INDEX($U$1004:$AC$1004,1,MATCH(COLUMNS($U$1006:AA1006),$U$1006:$AC$1006,0)))),"Fix")))</f>
        <v>0</v>
      </c>
      <c r="I129" s="3">
        <f>IF(OR(INDEX($O$2:$O$1001,MATCH(ROWS($N$2:N129),$N$2:$N$1001,0),1)&gt;=100000,INDEX($U$1005:$AC$1005,1,MATCH(COLUMNS($U$1006:AB1006),$U$1006:$AC$1006,0))&gt;=100000), " ",IF(INDEX($U$2:$AC$1001,MATCH(ROWS($N$2:N129),$N$2:$N$1001,0),MATCH(COLUMNS($U$1006:AB1006),$U$1006:$AC$1006,0)), HYPERLINK("#",""), HYPERLINK(CONCATENATE("#metadata!", ADDRESS(INDEX($P$2:$P$1001,MATCH(ROWS($N$2:N129),$N$2:$N$1001,0),0), INDEX($U$1004:$AC$1004,1,MATCH(COLUMNS($U$1006:AB1006),$U$1006:$AC$1006,0)))),"Fix")))</f>
        <v>0</v>
      </c>
      <c r="J129" s="3">
        <f>IF(OR(INDEX($O$2:$O$1001,MATCH(ROWS($N$2:N129),$N$2:$N$1001,0),1)&gt;=100000,INDEX($U$1005:$AC$1005,1,MATCH(COLUMNS($U$1006:AC1006),$U$1006:$AC$1006,0))&gt;=100000), " ",IF(INDEX($U$2:$AC$1001,MATCH(ROWS($N$2:N129),$N$2:$N$1001,0),MATCH(COLUMNS($U$1006:AC1006),$U$1006:$AC$1006,0)), HYPERLINK("#",""), HYPERLINK(CONCATENATE("#metadata!", ADDRESS(INDEX($P$2:$P$1001,MATCH(ROWS($N$2:N129),$N$2:$N$1001,0),0), INDEX($U$1004:$AC$1004,1,MATCH(COLUMNS($U$1006:AC1006),$U$1006:$AC$1006,0)))),"Fix")))</f>
        <v>0</v>
      </c>
      <c r="N129">
        <v>0</v>
      </c>
      <c r="O129">
        <v>0</v>
      </c>
      <c r="P129">
        <v>0</v>
      </c>
      <c r="Q129">
        <f>IF(R129,TRUE,AND(U129:AC129))</f>
        <v>0</v>
      </c>
      <c r="R129">
        <f>COUNTBLANK(metadata!B129:J129)=COLUMNS(metadata!B129:J129)</f>
        <v>0</v>
      </c>
      <c r="S129">
        <v>0</v>
      </c>
      <c r="U129">
        <f>AND(IF(metadata!B129="",FALSE,TRUE),COUNTIF(metadata!B:B, metadata!B129) = 1,NOT(ISERROR(SUMPRODUCT(SEARCH(MID(metadata!B129,ROW(INDIRECT("1:"&amp;LEN(metadata!B129))), 1),"0123456789abcdefghijklmnopqrstuvwxyzABCDEFGHIJKLMNOPQRSTUVWXYZ.")))))</f>
        <v>0</v>
      </c>
      <c r="V129">
        <f>AND(IF(metadata!C129="",FALSE,TRUE),exact(metadata!C129,"UBERON:genitourinary"))</f>
        <v>0</v>
      </c>
      <c r="W129">
        <f>AND(IF(metadata!D129="",FALSE,TRUE),exact(metadata!D129,"UBERON:urine"))</f>
        <v>0</v>
      </c>
      <c r="X129">
        <f>AND(IF(metadata!E129="",FALSE,TRUE),exact(metadata!E129,"UBERON:kidney"))</f>
        <v>0</v>
      </c>
      <c r="Y129">
        <f>AND(IF(metadata!F129="",FALSE,TRUE),exact(metadata!F129,"animal corpus"))</f>
        <v>0</v>
      </c>
      <c r="Z129">
        <f>AND(IF(metadata!G129="",FALSE,TRUE),exact(metadata!G129,"urine"))</f>
        <v>0</v>
      </c>
      <c r="AA129">
        <f>AND(IF(metadata!H129="",FALSE,TRUE),exact(metadata!H129,"urine"))</f>
        <v>0</v>
      </c>
      <c r="AB129">
        <f>AND(IF(metadata!I129="",FALSE,TRUE),exact(metadata!I129,"urine metagenome"))</f>
        <v>0</v>
      </c>
      <c r="AC129">
        <f>AND(IF(metadata!J129="",FALSE,TRUE),exact(metadata!J129,"1346744"))</f>
        <v>0</v>
      </c>
    </row>
    <row r="130" spans="1:29">
      <c r="A130" s="4">
        <f>IF(B130=" "," ",HYPERLINK(CONCATENATE("#metadata!",ADDRESS(INDEX($P$2:$P$1001,MATCH(ROWS($N$2:N130),$N$2:$N$1001,0),0),1)),INDEX($S$2:$S$1001,MATCH(ROWS($N$2:N130),$N$2:$N$1001,0),0)))</f>
        <v>0</v>
      </c>
      <c r="B130" s="3">
        <f>IF(OR(INDEX($O$2:$O$1001,MATCH(ROWS($N$2:N130),$N$2:$N$1001,0),1)&gt;=100000,INDEX($U$1005:$AC$1005,1,MATCH(COLUMNS($U$1006:U1006),$U$1006:$AC$1006,0))&gt;=100000), " ",IF(INDEX($U$2:$AC$1001,MATCH(ROWS($N$2:N130),$N$2:$N$1001,0),MATCH(COLUMNS($U$1006:U1006),$U$1006:$AC$1006,0)), HYPERLINK("#",""), HYPERLINK(CONCATENATE("#metadata!", ADDRESS(INDEX($P$2:$P$1001,MATCH(ROWS($N$2:N130),$N$2:$N$1001,0),0), INDEX($U$1004:$AC$1004,1,MATCH(COLUMNS($U$1006:U1006),$U$1006:$AC$1006,0)))),"Fix")))</f>
        <v>0</v>
      </c>
      <c r="C130" s="3">
        <f>IF(OR(INDEX($O$2:$O$1001,MATCH(ROWS($N$2:N130),$N$2:$N$1001,0),1)&gt;=100000,INDEX($U$1005:$AC$1005,1,MATCH(COLUMNS($U$1006:V1006),$U$1006:$AC$1006,0))&gt;=100000), " ",IF(INDEX($U$2:$AC$1001,MATCH(ROWS($N$2:N130),$N$2:$N$1001,0),MATCH(COLUMNS($U$1006:V1006),$U$1006:$AC$1006,0)), HYPERLINK("#",""), HYPERLINK(CONCATENATE("#metadata!", ADDRESS(INDEX($P$2:$P$1001,MATCH(ROWS($N$2:N130),$N$2:$N$1001,0),0), INDEX($U$1004:$AC$1004,1,MATCH(COLUMNS($U$1006:V1006),$U$1006:$AC$1006,0)))),"Fix")))</f>
        <v>0</v>
      </c>
      <c r="D130" s="3">
        <f>IF(OR(INDEX($O$2:$O$1001,MATCH(ROWS($N$2:N130),$N$2:$N$1001,0),1)&gt;=100000,INDEX($U$1005:$AC$1005,1,MATCH(COLUMNS($U$1006:W1006),$U$1006:$AC$1006,0))&gt;=100000), " ",IF(INDEX($U$2:$AC$1001,MATCH(ROWS($N$2:N130),$N$2:$N$1001,0),MATCH(COLUMNS($U$1006:W1006),$U$1006:$AC$1006,0)), HYPERLINK("#",""), HYPERLINK(CONCATENATE("#metadata!", ADDRESS(INDEX($P$2:$P$1001,MATCH(ROWS($N$2:N130),$N$2:$N$1001,0),0), INDEX($U$1004:$AC$1004,1,MATCH(COLUMNS($U$1006:W1006),$U$1006:$AC$1006,0)))),"Fix")))</f>
        <v>0</v>
      </c>
      <c r="E130" s="3">
        <f>IF(OR(INDEX($O$2:$O$1001,MATCH(ROWS($N$2:N130),$N$2:$N$1001,0),1)&gt;=100000,INDEX($U$1005:$AC$1005,1,MATCH(COLUMNS($U$1006:X1006),$U$1006:$AC$1006,0))&gt;=100000), " ",IF(INDEX($U$2:$AC$1001,MATCH(ROWS($N$2:N130),$N$2:$N$1001,0),MATCH(COLUMNS($U$1006:X1006),$U$1006:$AC$1006,0)), HYPERLINK("#",""), HYPERLINK(CONCATENATE("#metadata!", ADDRESS(INDEX($P$2:$P$1001,MATCH(ROWS($N$2:N130),$N$2:$N$1001,0),0), INDEX($U$1004:$AC$1004,1,MATCH(COLUMNS($U$1006:X1006),$U$1006:$AC$1006,0)))),"Fix")))</f>
        <v>0</v>
      </c>
      <c r="F130" s="3">
        <f>IF(OR(INDEX($O$2:$O$1001,MATCH(ROWS($N$2:N130),$N$2:$N$1001,0),1)&gt;=100000,INDEX($U$1005:$AC$1005,1,MATCH(COLUMNS($U$1006:Y1006),$U$1006:$AC$1006,0))&gt;=100000), " ",IF(INDEX($U$2:$AC$1001,MATCH(ROWS($N$2:N130),$N$2:$N$1001,0),MATCH(COLUMNS($U$1006:Y1006),$U$1006:$AC$1006,0)), HYPERLINK("#",""), HYPERLINK(CONCATENATE("#metadata!", ADDRESS(INDEX($P$2:$P$1001,MATCH(ROWS($N$2:N130),$N$2:$N$1001,0),0), INDEX($U$1004:$AC$1004,1,MATCH(COLUMNS($U$1006:Y1006),$U$1006:$AC$1006,0)))),"Fix")))</f>
        <v>0</v>
      </c>
      <c r="G130" s="3">
        <f>IF(OR(INDEX($O$2:$O$1001,MATCH(ROWS($N$2:N130),$N$2:$N$1001,0),1)&gt;=100000,INDEX($U$1005:$AC$1005,1,MATCH(COLUMNS($U$1006:Z1006),$U$1006:$AC$1006,0))&gt;=100000), " ",IF(INDEX($U$2:$AC$1001,MATCH(ROWS($N$2:N130),$N$2:$N$1001,0),MATCH(COLUMNS($U$1006:Z1006),$U$1006:$AC$1006,0)), HYPERLINK("#",""), HYPERLINK(CONCATENATE("#metadata!", ADDRESS(INDEX($P$2:$P$1001,MATCH(ROWS($N$2:N130),$N$2:$N$1001,0),0), INDEX($U$1004:$AC$1004,1,MATCH(COLUMNS($U$1006:Z1006),$U$1006:$AC$1006,0)))),"Fix")))</f>
        <v>0</v>
      </c>
      <c r="H130" s="3">
        <f>IF(OR(INDEX($O$2:$O$1001,MATCH(ROWS($N$2:N130),$N$2:$N$1001,0),1)&gt;=100000,INDEX($U$1005:$AC$1005,1,MATCH(COLUMNS($U$1006:AA1006),$U$1006:$AC$1006,0))&gt;=100000), " ",IF(INDEX($U$2:$AC$1001,MATCH(ROWS($N$2:N130),$N$2:$N$1001,0),MATCH(COLUMNS($U$1006:AA1006),$U$1006:$AC$1006,0)), HYPERLINK("#",""), HYPERLINK(CONCATENATE("#metadata!", ADDRESS(INDEX($P$2:$P$1001,MATCH(ROWS($N$2:N130),$N$2:$N$1001,0),0), INDEX($U$1004:$AC$1004,1,MATCH(COLUMNS($U$1006:AA1006),$U$1006:$AC$1006,0)))),"Fix")))</f>
        <v>0</v>
      </c>
      <c r="I130" s="3">
        <f>IF(OR(INDEX($O$2:$O$1001,MATCH(ROWS($N$2:N130),$N$2:$N$1001,0),1)&gt;=100000,INDEX($U$1005:$AC$1005,1,MATCH(COLUMNS($U$1006:AB1006),$U$1006:$AC$1006,0))&gt;=100000), " ",IF(INDEX($U$2:$AC$1001,MATCH(ROWS($N$2:N130),$N$2:$N$1001,0),MATCH(COLUMNS($U$1006:AB1006),$U$1006:$AC$1006,0)), HYPERLINK("#",""), HYPERLINK(CONCATENATE("#metadata!", ADDRESS(INDEX($P$2:$P$1001,MATCH(ROWS($N$2:N130),$N$2:$N$1001,0),0), INDEX($U$1004:$AC$1004,1,MATCH(COLUMNS($U$1006:AB1006),$U$1006:$AC$1006,0)))),"Fix")))</f>
        <v>0</v>
      </c>
      <c r="J130" s="3">
        <f>IF(OR(INDEX($O$2:$O$1001,MATCH(ROWS($N$2:N130),$N$2:$N$1001,0),1)&gt;=100000,INDEX($U$1005:$AC$1005,1,MATCH(COLUMNS($U$1006:AC1006),$U$1006:$AC$1006,0))&gt;=100000), " ",IF(INDEX($U$2:$AC$1001,MATCH(ROWS($N$2:N130),$N$2:$N$1001,0),MATCH(COLUMNS($U$1006:AC1006),$U$1006:$AC$1006,0)), HYPERLINK("#",""), HYPERLINK(CONCATENATE("#metadata!", ADDRESS(INDEX($P$2:$P$1001,MATCH(ROWS($N$2:N130),$N$2:$N$1001,0),0), INDEX($U$1004:$AC$1004,1,MATCH(COLUMNS($U$1006:AC1006),$U$1006:$AC$1006,0)))),"Fix")))</f>
        <v>0</v>
      </c>
      <c r="N130">
        <v>0</v>
      </c>
      <c r="O130">
        <v>0</v>
      </c>
      <c r="P130">
        <v>0</v>
      </c>
      <c r="Q130">
        <f>IF(R130,TRUE,AND(U130:AC130))</f>
        <v>0</v>
      </c>
      <c r="R130">
        <f>COUNTBLANK(metadata!B130:J130)=COLUMNS(metadata!B130:J130)</f>
        <v>0</v>
      </c>
      <c r="S130">
        <v>0</v>
      </c>
      <c r="U130">
        <f>AND(IF(metadata!B130="",FALSE,TRUE),COUNTIF(metadata!B:B, metadata!B130) = 1,NOT(ISERROR(SUMPRODUCT(SEARCH(MID(metadata!B130,ROW(INDIRECT("1:"&amp;LEN(metadata!B130))), 1),"0123456789abcdefghijklmnopqrstuvwxyzABCDEFGHIJKLMNOPQRSTUVWXYZ.")))))</f>
        <v>0</v>
      </c>
      <c r="V130">
        <f>AND(IF(metadata!C130="",FALSE,TRUE),exact(metadata!C130,"UBERON:genitourinary"))</f>
        <v>0</v>
      </c>
      <c r="W130">
        <f>AND(IF(metadata!D130="",FALSE,TRUE),exact(metadata!D130,"UBERON:urine"))</f>
        <v>0</v>
      </c>
      <c r="X130">
        <f>AND(IF(metadata!E130="",FALSE,TRUE),exact(metadata!E130,"UBERON:kidney"))</f>
        <v>0</v>
      </c>
      <c r="Y130">
        <f>AND(IF(metadata!F130="",FALSE,TRUE),exact(metadata!F130,"animal corpus"))</f>
        <v>0</v>
      </c>
      <c r="Z130">
        <f>AND(IF(metadata!G130="",FALSE,TRUE),exact(metadata!G130,"urine"))</f>
        <v>0</v>
      </c>
      <c r="AA130">
        <f>AND(IF(metadata!H130="",FALSE,TRUE),exact(metadata!H130,"urine"))</f>
        <v>0</v>
      </c>
      <c r="AB130">
        <f>AND(IF(metadata!I130="",FALSE,TRUE),exact(metadata!I130,"urine metagenome"))</f>
        <v>0</v>
      </c>
      <c r="AC130">
        <f>AND(IF(metadata!J130="",FALSE,TRUE),exact(metadata!J130,"1346744"))</f>
        <v>0</v>
      </c>
    </row>
    <row r="131" spans="1:29">
      <c r="A131" s="4">
        <f>IF(B131=" "," ",HYPERLINK(CONCATENATE("#metadata!",ADDRESS(INDEX($P$2:$P$1001,MATCH(ROWS($N$2:N131),$N$2:$N$1001,0),0),1)),INDEX($S$2:$S$1001,MATCH(ROWS($N$2:N131),$N$2:$N$1001,0),0)))</f>
        <v>0</v>
      </c>
      <c r="B131" s="3">
        <f>IF(OR(INDEX($O$2:$O$1001,MATCH(ROWS($N$2:N131),$N$2:$N$1001,0),1)&gt;=100000,INDEX($U$1005:$AC$1005,1,MATCH(COLUMNS($U$1006:U1006),$U$1006:$AC$1006,0))&gt;=100000), " ",IF(INDEX($U$2:$AC$1001,MATCH(ROWS($N$2:N131),$N$2:$N$1001,0),MATCH(COLUMNS($U$1006:U1006),$U$1006:$AC$1006,0)), HYPERLINK("#",""), HYPERLINK(CONCATENATE("#metadata!", ADDRESS(INDEX($P$2:$P$1001,MATCH(ROWS($N$2:N131),$N$2:$N$1001,0),0), INDEX($U$1004:$AC$1004,1,MATCH(COLUMNS($U$1006:U1006),$U$1006:$AC$1006,0)))),"Fix")))</f>
        <v>0</v>
      </c>
      <c r="C131" s="3">
        <f>IF(OR(INDEX($O$2:$O$1001,MATCH(ROWS($N$2:N131),$N$2:$N$1001,0),1)&gt;=100000,INDEX($U$1005:$AC$1005,1,MATCH(COLUMNS($U$1006:V1006),$U$1006:$AC$1006,0))&gt;=100000), " ",IF(INDEX($U$2:$AC$1001,MATCH(ROWS($N$2:N131),$N$2:$N$1001,0),MATCH(COLUMNS($U$1006:V1006),$U$1006:$AC$1006,0)), HYPERLINK("#",""), HYPERLINK(CONCATENATE("#metadata!", ADDRESS(INDEX($P$2:$P$1001,MATCH(ROWS($N$2:N131),$N$2:$N$1001,0),0), INDEX($U$1004:$AC$1004,1,MATCH(COLUMNS($U$1006:V1006),$U$1006:$AC$1006,0)))),"Fix")))</f>
        <v>0</v>
      </c>
      <c r="D131" s="3">
        <f>IF(OR(INDEX($O$2:$O$1001,MATCH(ROWS($N$2:N131),$N$2:$N$1001,0),1)&gt;=100000,INDEX($U$1005:$AC$1005,1,MATCH(COLUMNS($U$1006:W1006),$U$1006:$AC$1006,0))&gt;=100000), " ",IF(INDEX($U$2:$AC$1001,MATCH(ROWS($N$2:N131),$N$2:$N$1001,0),MATCH(COLUMNS($U$1006:W1006),$U$1006:$AC$1006,0)), HYPERLINK("#",""), HYPERLINK(CONCATENATE("#metadata!", ADDRESS(INDEX($P$2:$P$1001,MATCH(ROWS($N$2:N131),$N$2:$N$1001,0),0), INDEX($U$1004:$AC$1004,1,MATCH(COLUMNS($U$1006:W1006),$U$1006:$AC$1006,0)))),"Fix")))</f>
        <v>0</v>
      </c>
      <c r="E131" s="3">
        <f>IF(OR(INDEX($O$2:$O$1001,MATCH(ROWS($N$2:N131),$N$2:$N$1001,0),1)&gt;=100000,INDEX($U$1005:$AC$1005,1,MATCH(COLUMNS($U$1006:X1006),$U$1006:$AC$1006,0))&gt;=100000), " ",IF(INDEX($U$2:$AC$1001,MATCH(ROWS($N$2:N131),$N$2:$N$1001,0),MATCH(COLUMNS($U$1006:X1006),$U$1006:$AC$1006,0)), HYPERLINK("#",""), HYPERLINK(CONCATENATE("#metadata!", ADDRESS(INDEX($P$2:$P$1001,MATCH(ROWS($N$2:N131),$N$2:$N$1001,0),0), INDEX($U$1004:$AC$1004,1,MATCH(COLUMNS($U$1006:X1006),$U$1006:$AC$1006,0)))),"Fix")))</f>
        <v>0</v>
      </c>
      <c r="F131" s="3">
        <f>IF(OR(INDEX($O$2:$O$1001,MATCH(ROWS($N$2:N131),$N$2:$N$1001,0),1)&gt;=100000,INDEX($U$1005:$AC$1005,1,MATCH(COLUMNS($U$1006:Y1006),$U$1006:$AC$1006,0))&gt;=100000), " ",IF(INDEX($U$2:$AC$1001,MATCH(ROWS($N$2:N131),$N$2:$N$1001,0),MATCH(COLUMNS($U$1006:Y1006),$U$1006:$AC$1006,0)), HYPERLINK("#",""), HYPERLINK(CONCATENATE("#metadata!", ADDRESS(INDEX($P$2:$P$1001,MATCH(ROWS($N$2:N131),$N$2:$N$1001,0),0), INDEX($U$1004:$AC$1004,1,MATCH(COLUMNS($U$1006:Y1006),$U$1006:$AC$1006,0)))),"Fix")))</f>
        <v>0</v>
      </c>
      <c r="G131" s="3">
        <f>IF(OR(INDEX($O$2:$O$1001,MATCH(ROWS($N$2:N131),$N$2:$N$1001,0),1)&gt;=100000,INDEX($U$1005:$AC$1005,1,MATCH(COLUMNS($U$1006:Z1006),$U$1006:$AC$1006,0))&gt;=100000), " ",IF(INDEX($U$2:$AC$1001,MATCH(ROWS($N$2:N131),$N$2:$N$1001,0),MATCH(COLUMNS($U$1006:Z1006),$U$1006:$AC$1006,0)), HYPERLINK("#",""), HYPERLINK(CONCATENATE("#metadata!", ADDRESS(INDEX($P$2:$P$1001,MATCH(ROWS($N$2:N131),$N$2:$N$1001,0),0), INDEX($U$1004:$AC$1004,1,MATCH(COLUMNS($U$1006:Z1006),$U$1006:$AC$1006,0)))),"Fix")))</f>
        <v>0</v>
      </c>
      <c r="H131" s="3">
        <f>IF(OR(INDEX($O$2:$O$1001,MATCH(ROWS($N$2:N131),$N$2:$N$1001,0),1)&gt;=100000,INDEX($U$1005:$AC$1005,1,MATCH(COLUMNS($U$1006:AA1006),$U$1006:$AC$1006,0))&gt;=100000), " ",IF(INDEX($U$2:$AC$1001,MATCH(ROWS($N$2:N131),$N$2:$N$1001,0),MATCH(COLUMNS($U$1006:AA1006),$U$1006:$AC$1006,0)), HYPERLINK("#",""), HYPERLINK(CONCATENATE("#metadata!", ADDRESS(INDEX($P$2:$P$1001,MATCH(ROWS($N$2:N131),$N$2:$N$1001,0),0), INDEX($U$1004:$AC$1004,1,MATCH(COLUMNS($U$1006:AA1006),$U$1006:$AC$1006,0)))),"Fix")))</f>
        <v>0</v>
      </c>
      <c r="I131" s="3">
        <f>IF(OR(INDEX($O$2:$O$1001,MATCH(ROWS($N$2:N131),$N$2:$N$1001,0),1)&gt;=100000,INDEX($U$1005:$AC$1005,1,MATCH(COLUMNS($U$1006:AB1006),$U$1006:$AC$1006,0))&gt;=100000), " ",IF(INDEX($U$2:$AC$1001,MATCH(ROWS($N$2:N131),$N$2:$N$1001,0),MATCH(COLUMNS($U$1006:AB1006),$U$1006:$AC$1006,0)), HYPERLINK("#",""), HYPERLINK(CONCATENATE("#metadata!", ADDRESS(INDEX($P$2:$P$1001,MATCH(ROWS($N$2:N131),$N$2:$N$1001,0),0), INDEX($U$1004:$AC$1004,1,MATCH(COLUMNS($U$1006:AB1006),$U$1006:$AC$1006,0)))),"Fix")))</f>
        <v>0</v>
      </c>
      <c r="J131" s="3">
        <f>IF(OR(INDEX($O$2:$O$1001,MATCH(ROWS($N$2:N131),$N$2:$N$1001,0),1)&gt;=100000,INDEX($U$1005:$AC$1005,1,MATCH(COLUMNS($U$1006:AC1006),$U$1006:$AC$1006,0))&gt;=100000), " ",IF(INDEX($U$2:$AC$1001,MATCH(ROWS($N$2:N131),$N$2:$N$1001,0),MATCH(COLUMNS($U$1006:AC1006),$U$1006:$AC$1006,0)), HYPERLINK("#",""), HYPERLINK(CONCATENATE("#metadata!", ADDRESS(INDEX($P$2:$P$1001,MATCH(ROWS($N$2:N131),$N$2:$N$1001,0),0), INDEX($U$1004:$AC$1004,1,MATCH(COLUMNS($U$1006:AC1006),$U$1006:$AC$1006,0)))),"Fix")))</f>
        <v>0</v>
      </c>
      <c r="N131">
        <v>0</v>
      </c>
      <c r="O131">
        <v>0</v>
      </c>
      <c r="P131">
        <v>0</v>
      </c>
      <c r="Q131">
        <f>IF(R131,TRUE,AND(U131:AC131))</f>
        <v>0</v>
      </c>
      <c r="R131">
        <f>COUNTBLANK(metadata!B131:J131)=COLUMNS(metadata!B131:J131)</f>
        <v>0</v>
      </c>
      <c r="S131">
        <v>0</v>
      </c>
      <c r="U131">
        <f>AND(IF(metadata!B131="",FALSE,TRUE),COUNTIF(metadata!B:B, metadata!B131) = 1,NOT(ISERROR(SUMPRODUCT(SEARCH(MID(metadata!B131,ROW(INDIRECT("1:"&amp;LEN(metadata!B131))), 1),"0123456789abcdefghijklmnopqrstuvwxyzABCDEFGHIJKLMNOPQRSTUVWXYZ.")))))</f>
        <v>0</v>
      </c>
      <c r="V131">
        <f>AND(IF(metadata!C131="",FALSE,TRUE),exact(metadata!C131,"UBERON:genitourinary"))</f>
        <v>0</v>
      </c>
      <c r="W131">
        <f>AND(IF(metadata!D131="",FALSE,TRUE),exact(metadata!D131,"UBERON:urine"))</f>
        <v>0</v>
      </c>
      <c r="X131">
        <f>AND(IF(metadata!E131="",FALSE,TRUE),exact(metadata!E131,"UBERON:kidney"))</f>
        <v>0</v>
      </c>
      <c r="Y131">
        <f>AND(IF(metadata!F131="",FALSE,TRUE),exact(metadata!F131,"animal corpus"))</f>
        <v>0</v>
      </c>
      <c r="Z131">
        <f>AND(IF(metadata!G131="",FALSE,TRUE),exact(metadata!G131,"urine"))</f>
        <v>0</v>
      </c>
      <c r="AA131">
        <f>AND(IF(metadata!H131="",FALSE,TRUE),exact(metadata!H131,"urine"))</f>
        <v>0</v>
      </c>
      <c r="AB131">
        <f>AND(IF(metadata!I131="",FALSE,TRUE),exact(metadata!I131,"urine metagenome"))</f>
        <v>0</v>
      </c>
      <c r="AC131">
        <f>AND(IF(metadata!J131="",FALSE,TRUE),exact(metadata!J131,"1346744"))</f>
        <v>0</v>
      </c>
    </row>
    <row r="132" spans="1:29">
      <c r="A132" s="4">
        <f>IF(B132=" "," ",HYPERLINK(CONCATENATE("#metadata!",ADDRESS(INDEX($P$2:$P$1001,MATCH(ROWS($N$2:N132),$N$2:$N$1001,0),0),1)),INDEX($S$2:$S$1001,MATCH(ROWS($N$2:N132),$N$2:$N$1001,0),0)))</f>
        <v>0</v>
      </c>
      <c r="B132" s="3">
        <f>IF(OR(INDEX($O$2:$O$1001,MATCH(ROWS($N$2:N132),$N$2:$N$1001,0),1)&gt;=100000,INDEX($U$1005:$AC$1005,1,MATCH(COLUMNS($U$1006:U1006),$U$1006:$AC$1006,0))&gt;=100000), " ",IF(INDEX($U$2:$AC$1001,MATCH(ROWS($N$2:N132),$N$2:$N$1001,0),MATCH(COLUMNS($U$1006:U1006),$U$1006:$AC$1006,0)), HYPERLINK("#",""), HYPERLINK(CONCATENATE("#metadata!", ADDRESS(INDEX($P$2:$P$1001,MATCH(ROWS($N$2:N132),$N$2:$N$1001,0),0), INDEX($U$1004:$AC$1004,1,MATCH(COLUMNS($U$1006:U1006),$U$1006:$AC$1006,0)))),"Fix")))</f>
        <v>0</v>
      </c>
      <c r="C132" s="3">
        <f>IF(OR(INDEX($O$2:$O$1001,MATCH(ROWS($N$2:N132),$N$2:$N$1001,0),1)&gt;=100000,INDEX($U$1005:$AC$1005,1,MATCH(COLUMNS($U$1006:V1006),$U$1006:$AC$1006,0))&gt;=100000), " ",IF(INDEX($U$2:$AC$1001,MATCH(ROWS($N$2:N132),$N$2:$N$1001,0),MATCH(COLUMNS($U$1006:V1006),$U$1006:$AC$1006,0)), HYPERLINK("#",""), HYPERLINK(CONCATENATE("#metadata!", ADDRESS(INDEX($P$2:$P$1001,MATCH(ROWS($N$2:N132),$N$2:$N$1001,0),0), INDEX($U$1004:$AC$1004,1,MATCH(COLUMNS($U$1006:V1006),$U$1006:$AC$1006,0)))),"Fix")))</f>
        <v>0</v>
      </c>
      <c r="D132" s="3">
        <f>IF(OR(INDEX($O$2:$O$1001,MATCH(ROWS($N$2:N132),$N$2:$N$1001,0),1)&gt;=100000,INDEX($U$1005:$AC$1005,1,MATCH(COLUMNS($U$1006:W1006),$U$1006:$AC$1006,0))&gt;=100000), " ",IF(INDEX($U$2:$AC$1001,MATCH(ROWS($N$2:N132),$N$2:$N$1001,0),MATCH(COLUMNS($U$1006:W1006),$U$1006:$AC$1006,0)), HYPERLINK("#",""), HYPERLINK(CONCATENATE("#metadata!", ADDRESS(INDEX($P$2:$P$1001,MATCH(ROWS($N$2:N132),$N$2:$N$1001,0),0), INDEX($U$1004:$AC$1004,1,MATCH(COLUMNS($U$1006:W1006),$U$1006:$AC$1006,0)))),"Fix")))</f>
        <v>0</v>
      </c>
      <c r="E132" s="3">
        <f>IF(OR(INDEX($O$2:$O$1001,MATCH(ROWS($N$2:N132),$N$2:$N$1001,0),1)&gt;=100000,INDEX($U$1005:$AC$1005,1,MATCH(COLUMNS($U$1006:X1006),$U$1006:$AC$1006,0))&gt;=100000), " ",IF(INDEX($U$2:$AC$1001,MATCH(ROWS($N$2:N132),$N$2:$N$1001,0),MATCH(COLUMNS($U$1006:X1006),$U$1006:$AC$1006,0)), HYPERLINK("#",""), HYPERLINK(CONCATENATE("#metadata!", ADDRESS(INDEX($P$2:$P$1001,MATCH(ROWS($N$2:N132),$N$2:$N$1001,0),0), INDEX($U$1004:$AC$1004,1,MATCH(COLUMNS($U$1006:X1006),$U$1006:$AC$1006,0)))),"Fix")))</f>
        <v>0</v>
      </c>
      <c r="F132" s="3">
        <f>IF(OR(INDEX($O$2:$O$1001,MATCH(ROWS($N$2:N132),$N$2:$N$1001,0),1)&gt;=100000,INDEX($U$1005:$AC$1005,1,MATCH(COLUMNS($U$1006:Y1006),$U$1006:$AC$1006,0))&gt;=100000), " ",IF(INDEX($U$2:$AC$1001,MATCH(ROWS($N$2:N132),$N$2:$N$1001,0),MATCH(COLUMNS($U$1006:Y1006),$U$1006:$AC$1006,0)), HYPERLINK("#",""), HYPERLINK(CONCATENATE("#metadata!", ADDRESS(INDEX($P$2:$P$1001,MATCH(ROWS($N$2:N132),$N$2:$N$1001,0),0), INDEX($U$1004:$AC$1004,1,MATCH(COLUMNS($U$1006:Y1006),$U$1006:$AC$1006,0)))),"Fix")))</f>
        <v>0</v>
      </c>
      <c r="G132" s="3">
        <f>IF(OR(INDEX($O$2:$O$1001,MATCH(ROWS($N$2:N132),$N$2:$N$1001,0),1)&gt;=100000,INDEX($U$1005:$AC$1005,1,MATCH(COLUMNS($U$1006:Z1006),$U$1006:$AC$1006,0))&gt;=100000), " ",IF(INDEX($U$2:$AC$1001,MATCH(ROWS($N$2:N132),$N$2:$N$1001,0),MATCH(COLUMNS($U$1006:Z1006),$U$1006:$AC$1006,0)), HYPERLINK("#",""), HYPERLINK(CONCATENATE("#metadata!", ADDRESS(INDEX($P$2:$P$1001,MATCH(ROWS($N$2:N132),$N$2:$N$1001,0),0), INDEX($U$1004:$AC$1004,1,MATCH(COLUMNS($U$1006:Z1006),$U$1006:$AC$1006,0)))),"Fix")))</f>
        <v>0</v>
      </c>
      <c r="H132" s="3">
        <f>IF(OR(INDEX($O$2:$O$1001,MATCH(ROWS($N$2:N132),$N$2:$N$1001,0),1)&gt;=100000,INDEX($U$1005:$AC$1005,1,MATCH(COLUMNS($U$1006:AA1006),$U$1006:$AC$1006,0))&gt;=100000), " ",IF(INDEX($U$2:$AC$1001,MATCH(ROWS($N$2:N132),$N$2:$N$1001,0),MATCH(COLUMNS($U$1006:AA1006),$U$1006:$AC$1006,0)), HYPERLINK("#",""), HYPERLINK(CONCATENATE("#metadata!", ADDRESS(INDEX($P$2:$P$1001,MATCH(ROWS($N$2:N132),$N$2:$N$1001,0),0), INDEX($U$1004:$AC$1004,1,MATCH(COLUMNS($U$1006:AA1006),$U$1006:$AC$1006,0)))),"Fix")))</f>
        <v>0</v>
      </c>
      <c r="I132" s="3">
        <f>IF(OR(INDEX($O$2:$O$1001,MATCH(ROWS($N$2:N132),$N$2:$N$1001,0),1)&gt;=100000,INDEX($U$1005:$AC$1005,1,MATCH(COLUMNS($U$1006:AB1006),$U$1006:$AC$1006,0))&gt;=100000), " ",IF(INDEX($U$2:$AC$1001,MATCH(ROWS($N$2:N132),$N$2:$N$1001,0),MATCH(COLUMNS($U$1006:AB1006),$U$1006:$AC$1006,0)), HYPERLINK("#",""), HYPERLINK(CONCATENATE("#metadata!", ADDRESS(INDEX($P$2:$P$1001,MATCH(ROWS($N$2:N132),$N$2:$N$1001,0),0), INDEX($U$1004:$AC$1004,1,MATCH(COLUMNS($U$1006:AB1006),$U$1006:$AC$1006,0)))),"Fix")))</f>
        <v>0</v>
      </c>
      <c r="J132" s="3">
        <f>IF(OR(INDEX($O$2:$O$1001,MATCH(ROWS($N$2:N132),$N$2:$N$1001,0),1)&gt;=100000,INDEX($U$1005:$AC$1005,1,MATCH(COLUMNS($U$1006:AC1006),$U$1006:$AC$1006,0))&gt;=100000), " ",IF(INDEX($U$2:$AC$1001,MATCH(ROWS($N$2:N132),$N$2:$N$1001,0),MATCH(COLUMNS($U$1006:AC1006),$U$1006:$AC$1006,0)), HYPERLINK("#",""), HYPERLINK(CONCATENATE("#metadata!", ADDRESS(INDEX($P$2:$P$1001,MATCH(ROWS($N$2:N132),$N$2:$N$1001,0),0), INDEX($U$1004:$AC$1004,1,MATCH(COLUMNS($U$1006:AC1006),$U$1006:$AC$1006,0)))),"Fix")))</f>
        <v>0</v>
      </c>
      <c r="N132">
        <v>0</v>
      </c>
      <c r="O132">
        <v>0</v>
      </c>
      <c r="P132">
        <v>0</v>
      </c>
      <c r="Q132">
        <f>IF(R132,TRUE,AND(U132:AC132))</f>
        <v>0</v>
      </c>
      <c r="R132">
        <f>COUNTBLANK(metadata!B132:J132)=COLUMNS(metadata!B132:J132)</f>
        <v>0</v>
      </c>
      <c r="S132">
        <v>0</v>
      </c>
      <c r="U132">
        <f>AND(IF(metadata!B132="",FALSE,TRUE),COUNTIF(metadata!B:B, metadata!B132) = 1,NOT(ISERROR(SUMPRODUCT(SEARCH(MID(metadata!B132,ROW(INDIRECT("1:"&amp;LEN(metadata!B132))), 1),"0123456789abcdefghijklmnopqrstuvwxyzABCDEFGHIJKLMNOPQRSTUVWXYZ.")))))</f>
        <v>0</v>
      </c>
      <c r="V132">
        <f>AND(IF(metadata!C132="",FALSE,TRUE),exact(metadata!C132,"UBERON:genitourinary"))</f>
        <v>0</v>
      </c>
      <c r="W132">
        <f>AND(IF(metadata!D132="",FALSE,TRUE),exact(metadata!D132,"UBERON:urine"))</f>
        <v>0</v>
      </c>
      <c r="X132">
        <f>AND(IF(metadata!E132="",FALSE,TRUE),exact(metadata!E132,"UBERON:kidney"))</f>
        <v>0</v>
      </c>
      <c r="Y132">
        <f>AND(IF(metadata!F132="",FALSE,TRUE),exact(metadata!F132,"animal corpus"))</f>
        <v>0</v>
      </c>
      <c r="Z132">
        <f>AND(IF(metadata!G132="",FALSE,TRUE),exact(metadata!G132,"urine"))</f>
        <v>0</v>
      </c>
      <c r="AA132">
        <f>AND(IF(metadata!H132="",FALSE,TRUE),exact(metadata!H132,"urine"))</f>
        <v>0</v>
      </c>
      <c r="AB132">
        <f>AND(IF(metadata!I132="",FALSE,TRUE),exact(metadata!I132,"urine metagenome"))</f>
        <v>0</v>
      </c>
      <c r="AC132">
        <f>AND(IF(metadata!J132="",FALSE,TRUE),exact(metadata!J132,"1346744"))</f>
        <v>0</v>
      </c>
    </row>
    <row r="133" spans="1:29">
      <c r="A133" s="4">
        <f>IF(B133=" "," ",HYPERLINK(CONCATENATE("#metadata!",ADDRESS(INDEX($P$2:$P$1001,MATCH(ROWS($N$2:N133),$N$2:$N$1001,0),0),1)),INDEX($S$2:$S$1001,MATCH(ROWS($N$2:N133),$N$2:$N$1001,0),0)))</f>
        <v>0</v>
      </c>
      <c r="B133" s="3">
        <f>IF(OR(INDEX($O$2:$O$1001,MATCH(ROWS($N$2:N133),$N$2:$N$1001,0),1)&gt;=100000,INDEX($U$1005:$AC$1005,1,MATCH(COLUMNS($U$1006:U1006),$U$1006:$AC$1006,0))&gt;=100000), " ",IF(INDEX($U$2:$AC$1001,MATCH(ROWS($N$2:N133),$N$2:$N$1001,0),MATCH(COLUMNS($U$1006:U1006),$U$1006:$AC$1006,0)), HYPERLINK("#",""), HYPERLINK(CONCATENATE("#metadata!", ADDRESS(INDEX($P$2:$P$1001,MATCH(ROWS($N$2:N133),$N$2:$N$1001,0),0), INDEX($U$1004:$AC$1004,1,MATCH(COLUMNS($U$1006:U1006),$U$1006:$AC$1006,0)))),"Fix")))</f>
        <v>0</v>
      </c>
      <c r="C133" s="3">
        <f>IF(OR(INDEX($O$2:$O$1001,MATCH(ROWS($N$2:N133),$N$2:$N$1001,0),1)&gt;=100000,INDEX($U$1005:$AC$1005,1,MATCH(COLUMNS($U$1006:V1006),$U$1006:$AC$1006,0))&gt;=100000), " ",IF(INDEX($U$2:$AC$1001,MATCH(ROWS($N$2:N133),$N$2:$N$1001,0),MATCH(COLUMNS($U$1006:V1006),$U$1006:$AC$1006,0)), HYPERLINK("#",""), HYPERLINK(CONCATENATE("#metadata!", ADDRESS(INDEX($P$2:$P$1001,MATCH(ROWS($N$2:N133),$N$2:$N$1001,0),0), INDEX($U$1004:$AC$1004,1,MATCH(COLUMNS($U$1006:V1006),$U$1006:$AC$1006,0)))),"Fix")))</f>
        <v>0</v>
      </c>
      <c r="D133" s="3">
        <f>IF(OR(INDEX($O$2:$O$1001,MATCH(ROWS($N$2:N133),$N$2:$N$1001,0),1)&gt;=100000,INDEX($U$1005:$AC$1005,1,MATCH(COLUMNS($U$1006:W1006),$U$1006:$AC$1006,0))&gt;=100000), " ",IF(INDEX($U$2:$AC$1001,MATCH(ROWS($N$2:N133),$N$2:$N$1001,0),MATCH(COLUMNS($U$1006:W1006),$U$1006:$AC$1006,0)), HYPERLINK("#",""), HYPERLINK(CONCATENATE("#metadata!", ADDRESS(INDEX($P$2:$P$1001,MATCH(ROWS($N$2:N133),$N$2:$N$1001,0),0), INDEX($U$1004:$AC$1004,1,MATCH(COLUMNS($U$1006:W1006),$U$1006:$AC$1006,0)))),"Fix")))</f>
        <v>0</v>
      </c>
      <c r="E133" s="3">
        <f>IF(OR(INDEX($O$2:$O$1001,MATCH(ROWS($N$2:N133),$N$2:$N$1001,0),1)&gt;=100000,INDEX($U$1005:$AC$1005,1,MATCH(COLUMNS($U$1006:X1006),$U$1006:$AC$1006,0))&gt;=100000), " ",IF(INDEX($U$2:$AC$1001,MATCH(ROWS($N$2:N133),$N$2:$N$1001,0),MATCH(COLUMNS($U$1006:X1006),$U$1006:$AC$1006,0)), HYPERLINK("#",""), HYPERLINK(CONCATENATE("#metadata!", ADDRESS(INDEX($P$2:$P$1001,MATCH(ROWS($N$2:N133),$N$2:$N$1001,0),0), INDEX($U$1004:$AC$1004,1,MATCH(COLUMNS($U$1006:X1006),$U$1006:$AC$1006,0)))),"Fix")))</f>
        <v>0</v>
      </c>
      <c r="F133" s="3">
        <f>IF(OR(INDEX($O$2:$O$1001,MATCH(ROWS($N$2:N133),$N$2:$N$1001,0),1)&gt;=100000,INDEX($U$1005:$AC$1005,1,MATCH(COLUMNS($U$1006:Y1006),$U$1006:$AC$1006,0))&gt;=100000), " ",IF(INDEX($U$2:$AC$1001,MATCH(ROWS($N$2:N133),$N$2:$N$1001,0),MATCH(COLUMNS($U$1006:Y1006),$U$1006:$AC$1006,0)), HYPERLINK("#",""), HYPERLINK(CONCATENATE("#metadata!", ADDRESS(INDEX($P$2:$P$1001,MATCH(ROWS($N$2:N133),$N$2:$N$1001,0),0), INDEX($U$1004:$AC$1004,1,MATCH(COLUMNS($U$1006:Y1006),$U$1006:$AC$1006,0)))),"Fix")))</f>
        <v>0</v>
      </c>
      <c r="G133" s="3">
        <f>IF(OR(INDEX($O$2:$O$1001,MATCH(ROWS($N$2:N133),$N$2:$N$1001,0),1)&gt;=100000,INDEX($U$1005:$AC$1005,1,MATCH(COLUMNS($U$1006:Z1006),$U$1006:$AC$1006,0))&gt;=100000), " ",IF(INDEX($U$2:$AC$1001,MATCH(ROWS($N$2:N133),$N$2:$N$1001,0),MATCH(COLUMNS($U$1006:Z1006),$U$1006:$AC$1006,0)), HYPERLINK("#",""), HYPERLINK(CONCATENATE("#metadata!", ADDRESS(INDEX($P$2:$P$1001,MATCH(ROWS($N$2:N133),$N$2:$N$1001,0),0), INDEX($U$1004:$AC$1004,1,MATCH(COLUMNS($U$1006:Z1006),$U$1006:$AC$1006,0)))),"Fix")))</f>
        <v>0</v>
      </c>
      <c r="H133" s="3">
        <f>IF(OR(INDEX($O$2:$O$1001,MATCH(ROWS($N$2:N133),$N$2:$N$1001,0),1)&gt;=100000,INDEX($U$1005:$AC$1005,1,MATCH(COLUMNS($U$1006:AA1006),$U$1006:$AC$1006,0))&gt;=100000), " ",IF(INDEX($U$2:$AC$1001,MATCH(ROWS($N$2:N133),$N$2:$N$1001,0),MATCH(COLUMNS($U$1006:AA1006),$U$1006:$AC$1006,0)), HYPERLINK("#",""), HYPERLINK(CONCATENATE("#metadata!", ADDRESS(INDEX($P$2:$P$1001,MATCH(ROWS($N$2:N133),$N$2:$N$1001,0),0), INDEX($U$1004:$AC$1004,1,MATCH(COLUMNS($U$1006:AA1006),$U$1006:$AC$1006,0)))),"Fix")))</f>
        <v>0</v>
      </c>
      <c r="I133" s="3">
        <f>IF(OR(INDEX($O$2:$O$1001,MATCH(ROWS($N$2:N133),$N$2:$N$1001,0),1)&gt;=100000,INDEX($U$1005:$AC$1005,1,MATCH(COLUMNS($U$1006:AB1006),$U$1006:$AC$1006,0))&gt;=100000), " ",IF(INDEX($U$2:$AC$1001,MATCH(ROWS($N$2:N133),$N$2:$N$1001,0),MATCH(COLUMNS($U$1006:AB1006),$U$1006:$AC$1006,0)), HYPERLINK("#",""), HYPERLINK(CONCATENATE("#metadata!", ADDRESS(INDEX($P$2:$P$1001,MATCH(ROWS($N$2:N133),$N$2:$N$1001,0),0), INDEX($U$1004:$AC$1004,1,MATCH(COLUMNS($U$1006:AB1006),$U$1006:$AC$1006,0)))),"Fix")))</f>
        <v>0</v>
      </c>
      <c r="J133" s="3">
        <f>IF(OR(INDEX($O$2:$O$1001,MATCH(ROWS($N$2:N133),$N$2:$N$1001,0),1)&gt;=100000,INDEX($U$1005:$AC$1005,1,MATCH(COLUMNS($U$1006:AC1006),$U$1006:$AC$1006,0))&gt;=100000), " ",IF(INDEX($U$2:$AC$1001,MATCH(ROWS($N$2:N133),$N$2:$N$1001,0),MATCH(COLUMNS($U$1006:AC1006),$U$1006:$AC$1006,0)), HYPERLINK("#",""), HYPERLINK(CONCATENATE("#metadata!", ADDRESS(INDEX($P$2:$P$1001,MATCH(ROWS($N$2:N133),$N$2:$N$1001,0),0), INDEX($U$1004:$AC$1004,1,MATCH(COLUMNS($U$1006:AC1006),$U$1006:$AC$1006,0)))),"Fix")))</f>
        <v>0</v>
      </c>
      <c r="N133">
        <v>0</v>
      </c>
      <c r="O133">
        <v>0</v>
      </c>
      <c r="P133">
        <v>0</v>
      </c>
      <c r="Q133">
        <f>IF(R133,TRUE,AND(U133:AC133))</f>
        <v>0</v>
      </c>
      <c r="R133">
        <f>COUNTBLANK(metadata!B133:J133)=COLUMNS(metadata!B133:J133)</f>
        <v>0</v>
      </c>
      <c r="S133">
        <v>0</v>
      </c>
      <c r="U133">
        <f>AND(IF(metadata!B133="",FALSE,TRUE),COUNTIF(metadata!B:B, metadata!B133) = 1,NOT(ISERROR(SUMPRODUCT(SEARCH(MID(metadata!B133,ROW(INDIRECT("1:"&amp;LEN(metadata!B133))), 1),"0123456789abcdefghijklmnopqrstuvwxyzABCDEFGHIJKLMNOPQRSTUVWXYZ.")))))</f>
        <v>0</v>
      </c>
      <c r="V133">
        <f>AND(IF(metadata!C133="",FALSE,TRUE),exact(metadata!C133,"UBERON:genitourinary"))</f>
        <v>0</v>
      </c>
      <c r="W133">
        <f>AND(IF(metadata!D133="",FALSE,TRUE),exact(metadata!D133,"UBERON:urine"))</f>
        <v>0</v>
      </c>
      <c r="X133">
        <f>AND(IF(metadata!E133="",FALSE,TRUE),exact(metadata!E133,"UBERON:kidney"))</f>
        <v>0</v>
      </c>
      <c r="Y133">
        <f>AND(IF(metadata!F133="",FALSE,TRUE),exact(metadata!F133,"animal corpus"))</f>
        <v>0</v>
      </c>
      <c r="Z133">
        <f>AND(IF(metadata!G133="",FALSE,TRUE),exact(metadata!G133,"urine"))</f>
        <v>0</v>
      </c>
      <c r="AA133">
        <f>AND(IF(metadata!H133="",FALSE,TRUE),exact(metadata!H133,"urine"))</f>
        <v>0</v>
      </c>
      <c r="AB133">
        <f>AND(IF(metadata!I133="",FALSE,TRUE),exact(metadata!I133,"urine metagenome"))</f>
        <v>0</v>
      </c>
      <c r="AC133">
        <f>AND(IF(metadata!J133="",FALSE,TRUE),exact(metadata!J133,"1346744"))</f>
        <v>0</v>
      </c>
    </row>
    <row r="134" spans="1:29">
      <c r="A134" s="4">
        <f>IF(B134=" "," ",HYPERLINK(CONCATENATE("#metadata!",ADDRESS(INDEX($P$2:$P$1001,MATCH(ROWS($N$2:N134),$N$2:$N$1001,0),0),1)),INDEX($S$2:$S$1001,MATCH(ROWS($N$2:N134),$N$2:$N$1001,0),0)))</f>
        <v>0</v>
      </c>
      <c r="B134" s="3">
        <f>IF(OR(INDEX($O$2:$O$1001,MATCH(ROWS($N$2:N134),$N$2:$N$1001,0),1)&gt;=100000,INDEX($U$1005:$AC$1005,1,MATCH(COLUMNS($U$1006:U1006),$U$1006:$AC$1006,0))&gt;=100000), " ",IF(INDEX($U$2:$AC$1001,MATCH(ROWS($N$2:N134),$N$2:$N$1001,0),MATCH(COLUMNS($U$1006:U1006),$U$1006:$AC$1006,0)), HYPERLINK("#",""), HYPERLINK(CONCATENATE("#metadata!", ADDRESS(INDEX($P$2:$P$1001,MATCH(ROWS($N$2:N134),$N$2:$N$1001,0),0), INDEX($U$1004:$AC$1004,1,MATCH(COLUMNS($U$1006:U1006),$U$1006:$AC$1006,0)))),"Fix")))</f>
        <v>0</v>
      </c>
      <c r="C134" s="3">
        <f>IF(OR(INDEX($O$2:$O$1001,MATCH(ROWS($N$2:N134),$N$2:$N$1001,0),1)&gt;=100000,INDEX($U$1005:$AC$1005,1,MATCH(COLUMNS($U$1006:V1006),$U$1006:$AC$1006,0))&gt;=100000), " ",IF(INDEX($U$2:$AC$1001,MATCH(ROWS($N$2:N134),$N$2:$N$1001,0),MATCH(COLUMNS($U$1006:V1006),$U$1006:$AC$1006,0)), HYPERLINK("#",""), HYPERLINK(CONCATENATE("#metadata!", ADDRESS(INDEX($P$2:$P$1001,MATCH(ROWS($N$2:N134),$N$2:$N$1001,0),0), INDEX($U$1004:$AC$1004,1,MATCH(COLUMNS($U$1006:V1006),$U$1006:$AC$1006,0)))),"Fix")))</f>
        <v>0</v>
      </c>
      <c r="D134" s="3">
        <f>IF(OR(INDEX($O$2:$O$1001,MATCH(ROWS($N$2:N134),$N$2:$N$1001,0),1)&gt;=100000,INDEX($U$1005:$AC$1005,1,MATCH(COLUMNS($U$1006:W1006),$U$1006:$AC$1006,0))&gt;=100000), " ",IF(INDEX($U$2:$AC$1001,MATCH(ROWS($N$2:N134),$N$2:$N$1001,0),MATCH(COLUMNS($U$1006:W1006),$U$1006:$AC$1006,0)), HYPERLINK("#",""), HYPERLINK(CONCATENATE("#metadata!", ADDRESS(INDEX($P$2:$P$1001,MATCH(ROWS($N$2:N134),$N$2:$N$1001,0),0), INDEX($U$1004:$AC$1004,1,MATCH(COLUMNS($U$1006:W1006),$U$1006:$AC$1006,0)))),"Fix")))</f>
        <v>0</v>
      </c>
      <c r="E134" s="3">
        <f>IF(OR(INDEX($O$2:$O$1001,MATCH(ROWS($N$2:N134),$N$2:$N$1001,0),1)&gt;=100000,INDEX($U$1005:$AC$1005,1,MATCH(COLUMNS($U$1006:X1006),$U$1006:$AC$1006,0))&gt;=100000), " ",IF(INDEX($U$2:$AC$1001,MATCH(ROWS($N$2:N134),$N$2:$N$1001,0),MATCH(COLUMNS($U$1006:X1006),$U$1006:$AC$1006,0)), HYPERLINK("#",""), HYPERLINK(CONCATENATE("#metadata!", ADDRESS(INDEX($P$2:$P$1001,MATCH(ROWS($N$2:N134),$N$2:$N$1001,0),0), INDEX($U$1004:$AC$1004,1,MATCH(COLUMNS($U$1006:X1006),$U$1006:$AC$1006,0)))),"Fix")))</f>
        <v>0</v>
      </c>
      <c r="F134" s="3">
        <f>IF(OR(INDEX($O$2:$O$1001,MATCH(ROWS($N$2:N134),$N$2:$N$1001,0),1)&gt;=100000,INDEX($U$1005:$AC$1005,1,MATCH(COLUMNS($U$1006:Y1006),$U$1006:$AC$1006,0))&gt;=100000), " ",IF(INDEX($U$2:$AC$1001,MATCH(ROWS($N$2:N134),$N$2:$N$1001,0),MATCH(COLUMNS($U$1006:Y1006),$U$1006:$AC$1006,0)), HYPERLINK("#",""), HYPERLINK(CONCATENATE("#metadata!", ADDRESS(INDEX($P$2:$P$1001,MATCH(ROWS($N$2:N134),$N$2:$N$1001,0),0), INDEX($U$1004:$AC$1004,1,MATCH(COLUMNS($U$1006:Y1006),$U$1006:$AC$1006,0)))),"Fix")))</f>
        <v>0</v>
      </c>
      <c r="G134" s="3">
        <f>IF(OR(INDEX($O$2:$O$1001,MATCH(ROWS($N$2:N134),$N$2:$N$1001,0),1)&gt;=100000,INDEX($U$1005:$AC$1005,1,MATCH(COLUMNS($U$1006:Z1006),$U$1006:$AC$1006,0))&gt;=100000), " ",IF(INDEX($U$2:$AC$1001,MATCH(ROWS($N$2:N134),$N$2:$N$1001,0),MATCH(COLUMNS($U$1006:Z1006),$U$1006:$AC$1006,0)), HYPERLINK("#",""), HYPERLINK(CONCATENATE("#metadata!", ADDRESS(INDEX($P$2:$P$1001,MATCH(ROWS($N$2:N134),$N$2:$N$1001,0),0), INDEX($U$1004:$AC$1004,1,MATCH(COLUMNS($U$1006:Z1006),$U$1006:$AC$1006,0)))),"Fix")))</f>
        <v>0</v>
      </c>
      <c r="H134" s="3">
        <f>IF(OR(INDEX($O$2:$O$1001,MATCH(ROWS($N$2:N134),$N$2:$N$1001,0),1)&gt;=100000,INDEX($U$1005:$AC$1005,1,MATCH(COLUMNS($U$1006:AA1006),$U$1006:$AC$1006,0))&gt;=100000), " ",IF(INDEX($U$2:$AC$1001,MATCH(ROWS($N$2:N134),$N$2:$N$1001,0),MATCH(COLUMNS($U$1006:AA1006),$U$1006:$AC$1006,0)), HYPERLINK("#",""), HYPERLINK(CONCATENATE("#metadata!", ADDRESS(INDEX($P$2:$P$1001,MATCH(ROWS($N$2:N134),$N$2:$N$1001,0),0), INDEX($U$1004:$AC$1004,1,MATCH(COLUMNS($U$1006:AA1006),$U$1006:$AC$1006,0)))),"Fix")))</f>
        <v>0</v>
      </c>
      <c r="I134" s="3">
        <f>IF(OR(INDEX($O$2:$O$1001,MATCH(ROWS($N$2:N134),$N$2:$N$1001,0),1)&gt;=100000,INDEX($U$1005:$AC$1005,1,MATCH(COLUMNS($U$1006:AB1006),$U$1006:$AC$1006,0))&gt;=100000), " ",IF(INDEX($U$2:$AC$1001,MATCH(ROWS($N$2:N134),$N$2:$N$1001,0),MATCH(COLUMNS($U$1006:AB1006),$U$1006:$AC$1006,0)), HYPERLINK("#",""), HYPERLINK(CONCATENATE("#metadata!", ADDRESS(INDEX($P$2:$P$1001,MATCH(ROWS($N$2:N134),$N$2:$N$1001,0),0), INDEX($U$1004:$AC$1004,1,MATCH(COLUMNS($U$1006:AB1006),$U$1006:$AC$1006,0)))),"Fix")))</f>
        <v>0</v>
      </c>
      <c r="J134" s="3">
        <f>IF(OR(INDEX($O$2:$O$1001,MATCH(ROWS($N$2:N134),$N$2:$N$1001,0),1)&gt;=100000,INDEX($U$1005:$AC$1005,1,MATCH(COLUMNS($U$1006:AC1006),$U$1006:$AC$1006,0))&gt;=100000), " ",IF(INDEX($U$2:$AC$1001,MATCH(ROWS($N$2:N134),$N$2:$N$1001,0),MATCH(COLUMNS($U$1006:AC1006),$U$1006:$AC$1006,0)), HYPERLINK("#",""), HYPERLINK(CONCATENATE("#metadata!", ADDRESS(INDEX($P$2:$P$1001,MATCH(ROWS($N$2:N134),$N$2:$N$1001,0),0), INDEX($U$1004:$AC$1004,1,MATCH(COLUMNS($U$1006:AC1006),$U$1006:$AC$1006,0)))),"Fix")))</f>
        <v>0</v>
      </c>
      <c r="N134">
        <v>0</v>
      </c>
      <c r="O134">
        <v>0</v>
      </c>
      <c r="P134">
        <v>0</v>
      </c>
      <c r="Q134">
        <f>IF(R134,TRUE,AND(U134:AC134))</f>
        <v>0</v>
      </c>
      <c r="R134">
        <f>COUNTBLANK(metadata!B134:J134)=COLUMNS(metadata!B134:J134)</f>
        <v>0</v>
      </c>
      <c r="S134">
        <v>0</v>
      </c>
      <c r="U134">
        <f>AND(IF(metadata!B134="",FALSE,TRUE),COUNTIF(metadata!B:B, metadata!B134) = 1,NOT(ISERROR(SUMPRODUCT(SEARCH(MID(metadata!B134,ROW(INDIRECT("1:"&amp;LEN(metadata!B134))), 1),"0123456789abcdefghijklmnopqrstuvwxyzABCDEFGHIJKLMNOPQRSTUVWXYZ.")))))</f>
        <v>0</v>
      </c>
      <c r="V134">
        <f>AND(IF(metadata!C134="",FALSE,TRUE),exact(metadata!C134,"UBERON:genitourinary"))</f>
        <v>0</v>
      </c>
      <c r="W134">
        <f>AND(IF(metadata!D134="",FALSE,TRUE),exact(metadata!D134,"UBERON:urine"))</f>
        <v>0</v>
      </c>
      <c r="X134">
        <f>AND(IF(metadata!E134="",FALSE,TRUE),exact(metadata!E134,"UBERON:kidney"))</f>
        <v>0</v>
      </c>
      <c r="Y134">
        <f>AND(IF(metadata!F134="",FALSE,TRUE),exact(metadata!F134,"animal corpus"))</f>
        <v>0</v>
      </c>
      <c r="Z134">
        <f>AND(IF(metadata!G134="",FALSE,TRUE),exact(metadata!G134,"urine"))</f>
        <v>0</v>
      </c>
      <c r="AA134">
        <f>AND(IF(metadata!H134="",FALSE,TRUE),exact(metadata!H134,"urine"))</f>
        <v>0</v>
      </c>
      <c r="AB134">
        <f>AND(IF(metadata!I134="",FALSE,TRUE),exact(metadata!I134,"urine metagenome"))</f>
        <v>0</v>
      </c>
      <c r="AC134">
        <f>AND(IF(metadata!J134="",FALSE,TRUE),exact(metadata!J134,"1346744"))</f>
        <v>0</v>
      </c>
    </row>
    <row r="135" spans="1:29">
      <c r="A135" s="4">
        <f>IF(B135=" "," ",HYPERLINK(CONCATENATE("#metadata!",ADDRESS(INDEX($P$2:$P$1001,MATCH(ROWS($N$2:N135),$N$2:$N$1001,0),0),1)),INDEX($S$2:$S$1001,MATCH(ROWS($N$2:N135),$N$2:$N$1001,0),0)))</f>
        <v>0</v>
      </c>
      <c r="B135" s="3">
        <f>IF(OR(INDEX($O$2:$O$1001,MATCH(ROWS($N$2:N135),$N$2:$N$1001,0),1)&gt;=100000,INDEX($U$1005:$AC$1005,1,MATCH(COLUMNS($U$1006:U1006),$U$1006:$AC$1006,0))&gt;=100000), " ",IF(INDEX($U$2:$AC$1001,MATCH(ROWS($N$2:N135),$N$2:$N$1001,0),MATCH(COLUMNS($U$1006:U1006),$U$1006:$AC$1006,0)), HYPERLINK("#",""), HYPERLINK(CONCATENATE("#metadata!", ADDRESS(INDEX($P$2:$P$1001,MATCH(ROWS($N$2:N135),$N$2:$N$1001,0),0), INDEX($U$1004:$AC$1004,1,MATCH(COLUMNS($U$1006:U1006),$U$1006:$AC$1006,0)))),"Fix")))</f>
        <v>0</v>
      </c>
      <c r="C135" s="3">
        <f>IF(OR(INDEX($O$2:$O$1001,MATCH(ROWS($N$2:N135),$N$2:$N$1001,0),1)&gt;=100000,INDEX($U$1005:$AC$1005,1,MATCH(COLUMNS($U$1006:V1006),$U$1006:$AC$1006,0))&gt;=100000), " ",IF(INDEX($U$2:$AC$1001,MATCH(ROWS($N$2:N135),$N$2:$N$1001,0),MATCH(COLUMNS($U$1006:V1006),$U$1006:$AC$1006,0)), HYPERLINK("#",""), HYPERLINK(CONCATENATE("#metadata!", ADDRESS(INDEX($P$2:$P$1001,MATCH(ROWS($N$2:N135),$N$2:$N$1001,0),0), INDEX($U$1004:$AC$1004,1,MATCH(COLUMNS($U$1006:V1006),$U$1006:$AC$1006,0)))),"Fix")))</f>
        <v>0</v>
      </c>
      <c r="D135" s="3">
        <f>IF(OR(INDEX($O$2:$O$1001,MATCH(ROWS($N$2:N135),$N$2:$N$1001,0),1)&gt;=100000,INDEX($U$1005:$AC$1005,1,MATCH(COLUMNS($U$1006:W1006),$U$1006:$AC$1006,0))&gt;=100000), " ",IF(INDEX($U$2:$AC$1001,MATCH(ROWS($N$2:N135),$N$2:$N$1001,0),MATCH(COLUMNS($U$1006:W1006),$U$1006:$AC$1006,0)), HYPERLINK("#",""), HYPERLINK(CONCATENATE("#metadata!", ADDRESS(INDEX($P$2:$P$1001,MATCH(ROWS($N$2:N135),$N$2:$N$1001,0),0), INDEX($U$1004:$AC$1004,1,MATCH(COLUMNS($U$1006:W1006),$U$1006:$AC$1006,0)))),"Fix")))</f>
        <v>0</v>
      </c>
      <c r="E135" s="3">
        <f>IF(OR(INDEX($O$2:$O$1001,MATCH(ROWS($N$2:N135),$N$2:$N$1001,0),1)&gt;=100000,INDEX($U$1005:$AC$1005,1,MATCH(COLUMNS($U$1006:X1006),$U$1006:$AC$1006,0))&gt;=100000), " ",IF(INDEX($U$2:$AC$1001,MATCH(ROWS($N$2:N135),$N$2:$N$1001,0),MATCH(COLUMNS($U$1006:X1006),$U$1006:$AC$1006,0)), HYPERLINK("#",""), HYPERLINK(CONCATENATE("#metadata!", ADDRESS(INDEX($P$2:$P$1001,MATCH(ROWS($N$2:N135),$N$2:$N$1001,0),0), INDEX($U$1004:$AC$1004,1,MATCH(COLUMNS($U$1006:X1006),$U$1006:$AC$1006,0)))),"Fix")))</f>
        <v>0</v>
      </c>
      <c r="F135" s="3">
        <f>IF(OR(INDEX($O$2:$O$1001,MATCH(ROWS($N$2:N135),$N$2:$N$1001,0),1)&gt;=100000,INDEX($U$1005:$AC$1005,1,MATCH(COLUMNS($U$1006:Y1006),$U$1006:$AC$1006,0))&gt;=100000), " ",IF(INDEX($U$2:$AC$1001,MATCH(ROWS($N$2:N135),$N$2:$N$1001,0),MATCH(COLUMNS($U$1006:Y1006),$U$1006:$AC$1006,0)), HYPERLINK("#",""), HYPERLINK(CONCATENATE("#metadata!", ADDRESS(INDEX($P$2:$P$1001,MATCH(ROWS($N$2:N135),$N$2:$N$1001,0),0), INDEX($U$1004:$AC$1004,1,MATCH(COLUMNS($U$1006:Y1006),$U$1006:$AC$1006,0)))),"Fix")))</f>
        <v>0</v>
      </c>
      <c r="G135" s="3">
        <f>IF(OR(INDEX($O$2:$O$1001,MATCH(ROWS($N$2:N135),$N$2:$N$1001,0),1)&gt;=100000,INDEX($U$1005:$AC$1005,1,MATCH(COLUMNS($U$1006:Z1006),$U$1006:$AC$1006,0))&gt;=100000), " ",IF(INDEX($U$2:$AC$1001,MATCH(ROWS($N$2:N135),$N$2:$N$1001,0),MATCH(COLUMNS($U$1006:Z1006),$U$1006:$AC$1006,0)), HYPERLINK("#",""), HYPERLINK(CONCATENATE("#metadata!", ADDRESS(INDEX($P$2:$P$1001,MATCH(ROWS($N$2:N135),$N$2:$N$1001,0),0), INDEX($U$1004:$AC$1004,1,MATCH(COLUMNS($U$1006:Z1006),$U$1006:$AC$1006,0)))),"Fix")))</f>
        <v>0</v>
      </c>
      <c r="H135" s="3">
        <f>IF(OR(INDEX($O$2:$O$1001,MATCH(ROWS($N$2:N135),$N$2:$N$1001,0),1)&gt;=100000,INDEX($U$1005:$AC$1005,1,MATCH(COLUMNS($U$1006:AA1006),$U$1006:$AC$1006,0))&gt;=100000), " ",IF(INDEX($U$2:$AC$1001,MATCH(ROWS($N$2:N135),$N$2:$N$1001,0),MATCH(COLUMNS($U$1006:AA1006),$U$1006:$AC$1006,0)), HYPERLINK("#",""), HYPERLINK(CONCATENATE("#metadata!", ADDRESS(INDEX($P$2:$P$1001,MATCH(ROWS($N$2:N135),$N$2:$N$1001,0),0), INDEX($U$1004:$AC$1004,1,MATCH(COLUMNS($U$1006:AA1006),$U$1006:$AC$1006,0)))),"Fix")))</f>
        <v>0</v>
      </c>
      <c r="I135" s="3">
        <f>IF(OR(INDEX($O$2:$O$1001,MATCH(ROWS($N$2:N135),$N$2:$N$1001,0),1)&gt;=100000,INDEX($U$1005:$AC$1005,1,MATCH(COLUMNS($U$1006:AB1006),$U$1006:$AC$1006,0))&gt;=100000), " ",IF(INDEX($U$2:$AC$1001,MATCH(ROWS($N$2:N135),$N$2:$N$1001,0),MATCH(COLUMNS($U$1006:AB1006),$U$1006:$AC$1006,0)), HYPERLINK("#",""), HYPERLINK(CONCATENATE("#metadata!", ADDRESS(INDEX($P$2:$P$1001,MATCH(ROWS($N$2:N135),$N$2:$N$1001,0),0), INDEX($U$1004:$AC$1004,1,MATCH(COLUMNS($U$1006:AB1006),$U$1006:$AC$1006,0)))),"Fix")))</f>
        <v>0</v>
      </c>
      <c r="J135" s="3">
        <f>IF(OR(INDEX($O$2:$O$1001,MATCH(ROWS($N$2:N135),$N$2:$N$1001,0),1)&gt;=100000,INDEX($U$1005:$AC$1005,1,MATCH(COLUMNS($U$1006:AC1006),$U$1006:$AC$1006,0))&gt;=100000), " ",IF(INDEX($U$2:$AC$1001,MATCH(ROWS($N$2:N135),$N$2:$N$1001,0),MATCH(COLUMNS($U$1006:AC1006),$U$1006:$AC$1006,0)), HYPERLINK("#",""), HYPERLINK(CONCATENATE("#metadata!", ADDRESS(INDEX($P$2:$P$1001,MATCH(ROWS($N$2:N135),$N$2:$N$1001,0),0), INDEX($U$1004:$AC$1004,1,MATCH(COLUMNS($U$1006:AC1006),$U$1006:$AC$1006,0)))),"Fix")))</f>
        <v>0</v>
      </c>
      <c r="N135">
        <v>0</v>
      </c>
      <c r="O135">
        <v>0</v>
      </c>
      <c r="P135">
        <v>0</v>
      </c>
      <c r="Q135">
        <f>IF(R135,TRUE,AND(U135:AC135))</f>
        <v>0</v>
      </c>
      <c r="R135">
        <f>COUNTBLANK(metadata!B135:J135)=COLUMNS(metadata!B135:J135)</f>
        <v>0</v>
      </c>
      <c r="S135">
        <v>0</v>
      </c>
      <c r="U135">
        <f>AND(IF(metadata!B135="",FALSE,TRUE),COUNTIF(metadata!B:B, metadata!B135) = 1,NOT(ISERROR(SUMPRODUCT(SEARCH(MID(metadata!B135,ROW(INDIRECT("1:"&amp;LEN(metadata!B135))), 1),"0123456789abcdefghijklmnopqrstuvwxyzABCDEFGHIJKLMNOPQRSTUVWXYZ.")))))</f>
        <v>0</v>
      </c>
      <c r="V135">
        <f>AND(IF(metadata!C135="",FALSE,TRUE),exact(metadata!C135,"UBERON:genitourinary"))</f>
        <v>0</v>
      </c>
      <c r="W135">
        <f>AND(IF(metadata!D135="",FALSE,TRUE),exact(metadata!D135,"UBERON:urine"))</f>
        <v>0</v>
      </c>
      <c r="X135">
        <f>AND(IF(metadata!E135="",FALSE,TRUE),exact(metadata!E135,"UBERON:kidney"))</f>
        <v>0</v>
      </c>
      <c r="Y135">
        <f>AND(IF(metadata!F135="",FALSE,TRUE),exact(metadata!F135,"animal corpus"))</f>
        <v>0</v>
      </c>
      <c r="Z135">
        <f>AND(IF(metadata!G135="",FALSE,TRUE),exact(metadata!G135,"urine"))</f>
        <v>0</v>
      </c>
      <c r="AA135">
        <f>AND(IF(metadata!H135="",FALSE,TRUE),exact(metadata!H135,"urine"))</f>
        <v>0</v>
      </c>
      <c r="AB135">
        <f>AND(IF(metadata!I135="",FALSE,TRUE),exact(metadata!I135,"urine metagenome"))</f>
        <v>0</v>
      </c>
      <c r="AC135">
        <f>AND(IF(metadata!J135="",FALSE,TRUE),exact(metadata!J135,"1346744"))</f>
        <v>0</v>
      </c>
    </row>
    <row r="136" spans="1:29">
      <c r="A136" s="4">
        <f>IF(B136=" "," ",HYPERLINK(CONCATENATE("#metadata!",ADDRESS(INDEX($P$2:$P$1001,MATCH(ROWS($N$2:N136),$N$2:$N$1001,0),0),1)),INDEX($S$2:$S$1001,MATCH(ROWS($N$2:N136),$N$2:$N$1001,0),0)))</f>
        <v>0</v>
      </c>
      <c r="B136" s="3">
        <f>IF(OR(INDEX($O$2:$O$1001,MATCH(ROWS($N$2:N136),$N$2:$N$1001,0),1)&gt;=100000,INDEX($U$1005:$AC$1005,1,MATCH(COLUMNS($U$1006:U1006),$U$1006:$AC$1006,0))&gt;=100000), " ",IF(INDEX($U$2:$AC$1001,MATCH(ROWS($N$2:N136),$N$2:$N$1001,0),MATCH(COLUMNS($U$1006:U1006),$U$1006:$AC$1006,0)), HYPERLINK("#",""), HYPERLINK(CONCATENATE("#metadata!", ADDRESS(INDEX($P$2:$P$1001,MATCH(ROWS($N$2:N136),$N$2:$N$1001,0),0), INDEX($U$1004:$AC$1004,1,MATCH(COLUMNS($U$1006:U1006),$U$1006:$AC$1006,0)))),"Fix")))</f>
        <v>0</v>
      </c>
      <c r="C136" s="3">
        <f>IF(OR(INDEX($O$2:$O$1001,MATCH(ROWS($N$2:N136),$N$2:$N$1001,0),1)&gt;=100000,INDEX($U$1005:$AC$1005,1,MATCH(COLUMNS($U$1006:V1006),$U$1006:$AC$1006,0))&gt;=100000), " ",IF(INDEX($U$2:$AC$1001,MATCH(ROWS($N$2:N136),$N$2:$N$1001,0),MATCH(COLUMNS($U$1006:V1006),$U$1006:$AC$1006,0)), HYPERLINK("#",""), HYPERLINK(CONCATENATE("#metadata!", ADDRESS(INDEX($P$2:$P$1001,MATCH(ROWS($N$2:N136),$N$2:$N$1001,0),0), INDEX($U$1004:$AC$1004,1,MATCH(COLUMNS($U$1006:V1006),$U$1006:$AC$1006,0)))),"Fix")))</f>
        <v>0</v>
      </c>
      <c r="D136" s="3">
        <f>IF(OR(INDEX($O$2:$O$1001,MATCH(ROWS($N$2:N136),$N$2:$N$1001,0),1)&gt;=100000,INDEX($U$1005:$AC$1005,1,MATCH(COLUMNS($U$1006:W1006),$U$1006:$AC$1006,0))&gt;=100000), " ",IF(INDEX($U$2:$AC$1001,MATCH(ROWS($N$2:N136),$N$2:$N$1001,0),MATCH(COLUMNS($U$1006:W1006),$U$1006:$AC$1006,0)), HYPERLINK("#",""), HYPERLINK(CONCATENATE("#metadata!", ADDRESS(INDEX($P$2:$P$1001,MATCH(ROWS($N$2:N136),$N$2:$N$1001,0),0), INDEX($U$1004:$AC$1004,1,MATCH(COLUMNS($U$1006:W1006),$U$1006:$AC$1006,0)))),"Fix")))</f>
        <v>0</v>
      </c>
      <c r="E136" s="3">
        <f>IF(OR(INDEX($O$2:$O$1001,MATCH(ROWS($N$2:N136),$N$2:$N$1001,0),1)&gt;=100000,INDEX($U$1005:$AC$1005,1,MATCH(COLUMNS($U$1006:X1006),$U$1006:$AC$1006,0))&gt;=100000), " ",IF(INDEX($U$2:$AC$1001,MATCH(ROWS($N$2:N136),$N$2:$N$1001,0),MATCH(COLUMNS($U$1006:X1006),$U$1006:$AC$1006,0)), HYPERLINK("#",""), HYPERLINK(CONCATENATE("#metadata!", ADDRESS(INDEX($P$2:$P$1001,MATCH(ROWS($N$2:N136),$N$2:$N$1001,0),0), INDEX($U$1004:$AC$1004,1,MATCH(COLUMNS($U$1006:X1006),$U$1006:$AC$1006,0)))),"Fix")))</f>
        <v>0</v>
      </c>
      <c r="F136" s="3">
        <f>IF(OR(INDEX($O$2:$O$1001,MATCH(ROWS($N$2:N136),$N$2:$N$1001,0),1)&gt;=100000,INDEX($U$1005:$AC$1005,1,MATCH(COLUMNS($U$1006:Y1006),$U$1006:$AC$1006,0))&gt;=100000), " ",IF(INDEX($U$2:$AC$1001,MATCH(ROWS($N$2:N136),$N$2:$N$1001,0),MATCH(COLUMNS($U$1006:Y1006),$U$1006:$AC$1006,0)), HYPERLINK("#",""), HYPERLINK(CONCATENATE("#metadata!", ADDRESS(INDEX($P$2:$P$1001,MATCH(ROWS($N$2:N136),$N$2:$N$1001,0),0), INDEX($U$1004:$AC$1004,1,MATCH(COLUMNS($U$1006:Y1006),$U$1006:$AC$1006,0)))),"Fix")))</f>
        <v>0</v>
      </c>
      <c r="G136" s="3">
        <f>IF(OR(INDEX($O$2:$O$1001,MATCH(ROWS($N$2:N136),$N$2:$N$1001,0),1)&gt;=100000,INDEX($U$1005:$AC$1005,1,MATCH(COLUMNS($U$1006:Z1006),$U$1006:$AC$1006,0))&gt;=100000), " ",IF(INDEX($U$2:$AC$1001,MATCH(ROWS($N$2:N136),$N$2:$N$1001,0),MATCH(COLUMNS($U$1006:Z1006),$U$1006:$AC$1006,0)), HYPERLINK("#",""), HYPERLINK(CONCATENATE("#metadata!", ADDRESS(INDEX($P$2:$P$1001,MATCH(ROWS($N$2:N136),$N$2:$N$1001,0),0), INDEX($U$1004:$AC$1004,1,MATCH(COLUMNS($U$1006:Z1006),$U$1006:$AC$1006,0)))),"Fix")))</f>
        <v>0</v>
      </c>
      <c r="H136" s="3">
        <f>IF(OR(INDEX($O$2:$O$1001,MATCH(ROWS($N$2:N136),$N$2:$N$1001,0),1)&gt;=100000,INDEX($U$1005:$AC$1005,1,MATCH(COLUMNS($U$1006:AA1006),$U$1006:$AC$1006,0))&gt;=100000), " ",IF(INDEX($U$2:$AC$1001,MATCH(ROWS($N$2:N136),$N$2:$N$1001,0),MATCH(COLUMNS($U$1006:AA1006),$U$1006:$AC$1006,0)), HYPERLINK("#",""), HYPERLINK(CONCATENATE("#metadata!", ADDRESS(INDEX($P$2:$P$1001,MATCH(ROWS($N$2:N136),$N$2:$N$1001,0),0), INDEX($U$1004:$AC$1004,1,MATCH(COLUMNS($U$1006:AA1006),$U$1006:$AC$1006,0)))),"Fix")))</f>
        <v>0</v>
      </c>
      <c r="I136" s="3">
        <f>IF(OR(INDEX($O$2:$O$1001,MATCH(ROWS($N$2:N136),$N$2:$N$1001,0),1)&gt;=100000,INDEX($U$1005:$AC$1005,1,MATCH(COLUMNS($U$1006:AB1006),$U$1006:$AC$1006,0))&gt;=100000), " ",IF(INDEX($U$2:$AC$1001,MATCH(ROWS($N$2:N136),$N$2:$N$1001,0),MATCH(COLUMNS($U$1006:AB1006),$U$1006:$AC$1006,0)), HYPERLINK("#",""), HYPERLINK(CONCATENATE("#metadata!", ADDRESS(INDEX($P$2:$P$1001,MATCH(ROWS($N$2:N136),$N$2:$N$1001,0),0), INDEX($U$1004:$AC$1004,1,MATCH(COLUMNS($U$1006:AB1006),$U$1006:$AC$1006,0)))),"Fix")))</f>
        <v>0</v>
      </c>
      <c r="J136" s="3">
        <f>IF(OR(INDEX($O$2:$O$1001,MATCH(ROWS($N$2:N136),$N$2:$N$1001,0),1)&gt;=100000,INDEX($U$1005:$AC$1005,1,MATCH(COLUMNS($U$1006:AC1006),$U$1006:$AC$1006,0))&gt;=100000), " ",IF(INDEX($U$2:$AC$1001,MATCH(ROWS($N$2:N136),$N$2:$N$1001,0),MATCH(COLUMNS($U$1006:AC1006),$U$1006:$AC$1006,0)), HYPERLINK("#",""), HYPERLINK(CONCATENATE("#metadata!", ADDRESS(INDEX($P$2:$P$1001,MATCH(ROWS($N$2:N136),$N$2:$N$1001,0),0), INDEX($U$1004:$AC$1004,1,MATCH(COLUMNS($U$1006:AC1006),$U$1006:$AC$1006,0)))),"Fix")))</f>
        <v>0</v>
      </c>
      <c r="N136">
        <v>0</v>
      </c>
      <c r="O136">
        <v>0</v>
      </c>
      <c r="P136">
        <v>0</v>
      </c>
      <c r="Q136">
        <f>IF(R136,TRUE,AND(U136:AC136))</f>
        <v>0</v>
      </c>
      <c r="R136">
        <f>COUNTBLANK(metadata!B136:J136)=COLUMNS(metadata!B136:J136)</f>
        <v>0</v>
      </c>
      <c r="S136">
        <v>0</v>
      </c>
      <c r="U136">
        <f>AND(IF(metadata!B136="",FALSE,TRUE),COUNTIF(metadata!B:B, metadata!B136) = 1,NOT(ISERROR(SUMPRODUCT(SEARCH(MID(metadata!B136,ROW(INDIRECT("1:"&amp;LEN(metadata!B136))), 1),"0123456789abcdefghijklmnopqrstuvwxyzABCDEFGHIJKLMNOPQRSTUVWXYZ.")))))</f>
        <v>0</v>
      </c>
      <c r="V136">
        <f>AND(IF(metadata!C136="",FALSE,TRUE),exact(metadata!C136,"UBERON:genitourinary"))</f>
        <v>0</v>
      </c>
      <c r="W136">
        <f>AND(IF(metadata!D136="",FALSE,TRUE),exact(metadata!D136,"UBERON:urine"))</f>
        <v>0</v>
      </c>
      <c r="X136">
        <f>AND(IF(metadata!E136="",FALSE,TRUE),exact(metadata!E136,"UBERON:kidney"))</f>
        <v>0</v>
      </c>
      <c r="Y136">
        <f>AND(IF(metadata!F136="",FALSE,TRUE),exact(metadata!F136,"animal corpus"))</f>
        <v>0</v>
      </c>
      <c r="Z136">
        <f>AND(IF(metadata!G136="",FALSE,TRUE),exact(metadata!G136,"urine"))</f>
        <v>0</v>
      </c>
      <c r="AA136">
        <f>AND(IF(metadata!H136="",FALSE,TRUE),exact(metadata!H136,"urine"))</f>
        <v>0</v>
      </c>
      <c r="AB136">
        <f>AND(IF(metadata!I136="",FALSE,TRUE),exact(metadata!I136,"urine metagenome"))</f>
        <v>0</v>
      </c>
      <c r="AC136">
        <f>AND(IF(metadata!J136="",FALSE,TRUE),exact(metadata!J136,"1346744"))</f>
        <v>0</v>
      </c>
    </row>
    <row r="137" spans="1:29">
      <c r="A137" s="4">
        <f>IF(B137=" "," ",HYPERLINK(CONCATENATE("#metadata!",ADDRESS(INDEX($P$2:$P$1001,MATCH(ROWS($N$2:N137),$N$2:$N$1001,0),0),1)),INDEX($S$2:$S$1001,MATCH(ROWS($N$2:N137),$N$2:$N$1001,0),0)))</f>
        <v>0</v>
      </c>
      <c r="B137" s="3">
        <f>IF(OR(INDEX($O$2:$O$1001,MATCH(ROWS($N$2:N137),$N$2:$N$1001,0),1)&gt;=100000,INDEX($U$1005:$AC$1005,1,MATCH(COLUMNS($U$1006:U1006),$U$1006:$AC$1006,0))&gt;=100000), " ",IF(INDEX($U$2:$AC$1001,MATCH(ROWS($N$2:N137),$N$2:$N$1001,0),MATCH(COLUMNS($U$1006:U1006),$U$1006:$AC$1006,0)), HYPERLINK("#",""), HYPERLINK(CONCATENATE("#metadata!", ADDRESS(INDEX($P$2:$P$1001,MATCH(ROWS($N$2:N137),$N$2:$N$1001,0),0), INDEX($U$1004:$AC$1004,1,MATCH(COLUMNS($U$1006:U1006),$U$1006:$AC$1006,0)))),"Fix")))</f>
        <v>0</v>
      </c>
      <c r="C137" s="3">
        <f>IF(OR(INDEX($O$2:$O$1001,MATCH(ROWS($N$2:N137),$N$2:$N$1001,0),1)&gt;=100000,INDEX($U$1005:$AC$1005,1,MATCH(COLUMNS($U$1006:V1006),$U$1006:$AC$1006,0))&gt;=100000), " ",IF(INDEX($U$2:$AC$1001,MATCH(ROWS($N$2:N137),$N$2:$N$1001,0),MATCH(COLUMNS($U$1006:V1006),$U$1006:$AC$1006,0)), HYPERLINK("#",""), HYPERLINK(CONCATENATE("#metadata!", ADDRESS(INDEX($P$2:$P$1001,MATCH(ROWS($N$2:N137),$N$2:$N$1001,0),0), INDEX($U$1004:$AC$1004,1,MATCH(COLUMNS($U$1006:V1006),$U$1006:$AC$1006,0)))),"Fix")))</f>
        <v>0</v>
      </c>
      <c r="D137" s="3">
        <f>IF(OR(INDEX($O$2:$O$1001,MATCH(ROWS($N$2:N137),$N$2:$N$1001,0),1)&gt;=100000,INDEX($U$1005:$AC$1005,1,MATCH(COLUMNS($U$1006:W1006),$U$1006:$AC$1006,0))&gt;=100000), " ",IF(INDEX($U$2:$AC$1001,MATCH(ROWS($N$2:N137),$N$2:$N$1001,0),MATCH(COLUMNS($U$1006:W1006),$U$1006:$AC$1006,0)), HYPERLINK("#",""), HYPERLINK(CONCATENATE("#metadata!", ADDRESS(INDEX($P$2:$P$1001,MATCH(ROWS($N$2:N137),$N$2:$N$1001,0),0), INDEX($U$1004:$AC$1004,1,MATCH(COLUMNS($U$1006:W1006),$U$1006:$AC$1006,0)))),"Fix")))</f>
        <v>0</v>
      </c>
      <c r="E137" s="3">
        <f>IF(OR(INDEX($O$2:$O$1001,MATCH(ROWS($N$2:N137),$N$2:$N$1001,0),1)&gt;=100000,INDEX($U$1005:$AC$1005,1,MATCH(COLUMNS($U$1006:X1006),$U$1006:$AC$1006,0))&gt;=100000), " ",IF(INDEX($U$2:$AC$1001,MATCH(ROWS($N$2:N137),$N$2:$N$1001,0),MATCH(COLUMNS($U$1006:X1006),$U$1006:$AC$1006,0)), HYPERLINK("#",""), HYPERLINK(CONCATENATE("#metadata!", ADDRESS(INDEX($P$2:$P$1001,MATCH(ROWS($N$2:N137),$N$2:$N$1001,0),0), INDEX($U$1004:$AC$1004,1,MATCH(COLUMNS($U$1006:X1006),$U$1006:$AC$1006,0)))),"Fix")))</f>
        <v>0</v>
      </c>
      <c r="F137" s="3">
        <f>IF(OR(INDEX($O$2:$O$1001,MATCH(ROWS($N$2:N137),$N$2:$N$1001,0),1)&gt;=100000,INDEX($U$1005:$AC$1005,1,MATCH(COLUMNS($U$1006:Y1006),$U$1006:$AC$1006,0))&gt;=100000), " ",IF(INDEX($U$2:$AC$1001,MATCH(ROWS($N$2:N137),$N$2:$N$1001,0),MATCH(COLUMNS($U$1006:Y1006),$U$1006:$AC$1006,0)), HYPERLINK("#",""), HYPERLINK(CONCATENATE("#metadata!", ADDRESS(INDEX($P$2:$P$1001,MATCH(ROWS($N$2:N137),$N$2:$N$1001,0),0), INDEX($U$1004:$AC$1004,1,MATCH(COLUMNS($U$1006:Y1006),$U$1006:$AC$1006,0)))),"Fix")))</f>
        <v>0</v>
      </c>
      <c r="G137" s="3">
        <f>IF(OR(INDEX($O$2:$O$1001,MATCH(ROWS($N$2:N137),$N$2:$N$1001,0),1)&gt;=100000,INDEX($U$1005:$AC$1005,1,MATCH(COLUMNS($U$1006:Z1006),$U$1006:$AC$1006,0))&gt;=100000), " ",IF(INDEX($U$2:$AC$1001,MATCH(ROWS($N$2:N137),$N$2:$N$1001,0),MATCH(COLUMNS($U$1006:Z1006),$U$1006:$AC$1006,0)), HYPERLINK("#",""), HYPERLINK(CONCATENATE("#metadata!", ADDRESS(INDEX($P$2:$P$1001,MATCH(ROWS($N$2:N137),$N$2:$N$1001,0),0), INDEX($U$1004:$AC$1004,1,MATCH(COLUMNS($U$1006:Z1006),$U$1006:$AC$1006,0)))),"Fix")))</f>
        <v>0</v>
      </c>
      <c r="H137" s="3">
        <f>IF(OR(INDEX($O$2:$O$1001,MATCH(ROWS($N$2:N137),$N$2:$N$1001,0),1)&gt;=100000,INDEX($U$1005:$AC$1005,1,MATCH(COLUMNS($U$1006:AA1006),$U$1006:$AC$1006,0))&gt;=100000), " ",IF(INDEX($U$2:$AC$1001,MATCH(ROWS($N$2:N137),$N$2:$N$1001,0),MATCH(COLUMNS($U$1006:AA1006),$U$1006:$AC$1006,0)), HYPERLINK("#",""), HYPERLINK(CONCATENATE("#metadata!", ADDRESS(INDEX($P$2:$P$1001,MATCH(ROWS($N$2:N137),$N$2:$N$1001,0),0), INDEX($U$1004:$AC$1004,1,MATCH(COLUMNS($U$1006:AA1006),$U$1006:$AC$1006,0)))),"Fix")))</f>
        <v>0</v>
      </c>
      <c r="I137" s="3">
        <f>IF(OR(INDEX($O$2:$O$1001,MATCH(ROWS($N$2:N137),$N$2:$N$1001,0),1)&gt;=100000,INDEX($U$1005:$AC$1005,1,MATCH(COLUMNS($U$1006:AB1006),$U$1006:$AC$1006,0))&gt;=100000), " ",IF(INDEX($U$2:$AC$1001,MATCH(ROWS($N$2:N137),$N$2:$N$1001,0),MATCH(COLUMNS($U$1006:AB1006),$U$1006:$AC$1006,0)), HYPERLINK("#",""), HYPERLINK(CONCATENATE("#metadata!", ADDRESS(INDEX($P$2:$P$1001,MATCH(ROWS($N$2:N137),$N$2:$N$1001,0),0), INDEX($U$1004:$AC$1004,1,MATCH(COLUMNS($U$1006:AB1006),$U$1006:$AC$1006,0)))),"Fix")))</f>
        <v>0</v>
      </c>
      <c r="J137" s="3">
        <f>IF(OR(INDEX($O$2:$O$1001,MATCH(ROWS($N$2:N137),$N$2:$N$1001,0),1)&gt;=100000,INDEX($U$1005:$AC$1005,1,MATCH(COLUMNS($U$1006:AC1006),$U$1006:$AC$1006,0))&gt;=100000), " ",IF(INDEX($U$2:$AC$1001,MATCH(ROWS($N$2:N137),$N$2:$N$1001,0),MATCH(COLUMNS($U$1006:AC1006),$U$1006:$AC$1006,0)), HYPERLINK("#",""), HYPERLINK(CONCATENATE("#metadata!", ADDRESS(INDEX($P$2:$P$1001,MATCH(ROWS($N$2:N137),$N$2:$N$1001,0),0), INDEX($U$1004:$AC$1004,1,MATCH(COLUMNS($U$1006:AC1006),$U$1006:$AC$1006,0)))),"Fix")))</f>
        <v>0</v>
      </c>
      <c r="N137">
        <v>0</v>
      </c>
      <c r="O137">
        <v>0</v>
      </c>
      <c r="P137">
        <v>0</v>
      </c>
      <c r="Q137">
        <f>IF(R137,TRUE,AND(U137:AC137))</f>
        <v>0</v>
      </c>
      <c r="R137">
        <f>COUNTBLANK(metadata!B137:J137)=COLUMNS(metadata!B137:J137)</f>
        <v>0</v>
      </c>
      <c r="S137">
        <v>0</v>
      </c>
      <c r="U137">
        <f>AND(IF(metadata!B137="",FALSE,TRUE),COUNTIF(metadata!B:B, metadata!B137) = 1,NOT(ISERROR(SUMPRODUCT(SEARCH(MID(metadata!B137,ROW(INDIRECT("1:"&amp;LEN(metadata!B137))), 1),"0123456789abcdefghijklmnopqrstuvwxyzABCDEFGHIJKLMNOPQRSTUVWXYZ.")))))</f>
        <v>0</v>
      </c>
      <c r="V137">
        <f>AND(IF(metadata!C137="",FALSE,TRUE),exact(metadata!C137,"UBERON:genitourinary"))</f>
        <v>0</v>
      </c>
      <c r="W137">
        <f>AND(IF(metadata!D137="",FALSE,TRUE),exact(metadata!D137,"UBERON:urine"))</f>
        <v>0</v>
      </c>
      <c r="X137">
        <f>AND(IF(metadata!E137="",FALSE,TRUE),exact(metadata!E137,"UBERON:kidney"))</f>
        <v>0</v>
      </c>
      <c r="Y137">
        <f>AND(IF(metadata!F137="",FALSE,TRUE),exact(metadata!F137,"animal corpus"))</f>
        <v>0</v>
      </c>
      <c r="Z137">
        <f>AND(IF(metadata!G137="",FALSE,TRUE),exact(metadata!G137,"urine"))</f>
        <v>0</v>
      </c>
      <c r="AA137">
        <f>AND(IF(metadata!H137="",FALSE,TRUE),exact(metadata!H137,"urine"))</f>
        <v>0</v>
      </c>
      <c r="AB137">
        <f>AND(IF(metadata!I137="",FALSE,TRUE),exact(metadata!I137,"urine metagenome"))</f>
        <v>0</v>
      </c>
      <c r="AC137">
        <f>AND(IF(metadata!J137="",FALSE,TRUE),exact(metadata!J137,"1346744"))</f>
        <v>0</v>
      </c>
    </row>
    <row r="138" spans="1:29">
      <c r="A138" s="4">
        <f>IF(B138=" "," ",HYPERLINK(CONCATENATE("#metadata!",ADDRESS(INDEX($P$2:$P$1001,MATCH(ROWS($N$2:N138),$N$2:$N$1001,0),0),1)),INDEX($S$2:$S$1001,MATCH(ROWS($N$2:N138),$N$2:$N$1001,0),0)))</f>
        <v>0</v>
      </c>
      <c r="B138" s="3">
        <f>IF(OR(INDEX($O$2:$O$1001,MATCH(ROWS($N$2:N138),$N$2:$N$1001,0),1)&gt;=100000,INDEX($U$1005:$AC$1005,1,MATCH(COLUMNS($U$1006:U1006),$U$1006:$AC$1006,0))&gt;=100000), " ",IF(INDEX($U$2:$AC$1001,MATCH(ROWS($N$2:N138),$N$2:$N$1001,0),MATCH(COLUMNS($U$1006:U1006),$U$1006:$AC$1006,0)), HYPERLINK("#",""), HYPERLINK(CONCATENATE("#metadata!", ADDRESS(INDEX($P$2:$P$1001,MATCH(ROWS($N$2:N138),$N$2:$N$1001,0),0), INDEX($U$1004:$AC$1004,1,MATCH(COLUMNS($U$1006:U1006),$U$1006:$AC$1006,0)))),"Fix")))</f>
        <v>0</v>
      </c>
      <c r="C138" s="3">
        <f>IF(OR(INDEX($O$2:$O$1001,MATCH(ROWS($N$2:N138),$N$2:$N$1001,0),1)&gt;=100000,INDEX($U$1005:$AC$1005,1,MATCH(COLUMNS($U$1006:V1006),$U$1006:$AC$1006,0))&gt;=100000), " ",IF(INDEX($U$2:$AC$1001,MATCH(ROWS($N$2:N138),$N$2:$N$1001,0),MATCH(COLUMNS($U$1006:V1006),$U$1006:$AC$1006,0)), HYPERLINK("#",""), HYPERLINK(CONCATENATE("#metadata!", ADDRESS(INDEX($P$2:$P$1001,MATCH(ROWS($N$2:N138),$N$2:$N$1001,0),0), INDEX($U$1004:$AC$1004,1,MATCH(COLUMNS($U$1006:V1006),$U$1006:$AC$1006,0)))),"Fix")))</f>
        <v>0</v>
      </c>
      <c r="D138" s="3">
        <f>IF(OR(INDEX($O$2:$O$1001,MATCH(ROWS($N$2:N138),$N$2:$N$1001,0),1)&gt;=100000,INDEX($U$1005:$AC$1005,1,MATCH(COLUMNS($U$1006:W1006),$U$1006:$AC$1006,0))&gt;=100000), " ",IF(INDEX($U$2:$AC$1001,MATCH(ROWS($N$2:N138),$N$2:$N$1001,0),MATCH(COLUMNS($U$1006:W1006),$U$1006:$AC$1006,0)), HYPERLINK("#",""), HYPERLINK(CONCATENATE("#metadata!", ADDRESS(INDEX($P$2:$P$1001,MATCH(ROWS($N$2:N138),$N$2:$N$1001,0),0), INDEX($U$1004:$AC$1004,1,MATCH(COLUMNS($U$1006:W1006),$U$1006:$AC$1006,0)))),"Fix")))</f>
        <v>0</v>
      </c>
      <c r="E138" s="3">
        <f>IF(OR(INDEX($O$2:$O$1001,MATCH(ROWS($N$2:N138),$N$2:$N$1001,0),1)&gt;=100000,INDEX($U$1005:$AC$1005,1,MATCH(COLUMNS($U$1006:X1006),$U$1006:$AC$1006,0))&gt;=100000), " ",IF(INDEX($U$2:$AC$1001,MATCH(ROWS($N$2:N138),$N$2:$N$1001,0),MATCH(COLUMNS($U$1006:X1006),$U$1006:$AC$1006,0)), HYPERLINK("#",""), HYPERLINK(CONCATENATE("#metadata!", ADDRESS(INDEX($P$2:$P$1001,MATCH(ROWS($N$2:N138),$N$2:$N$1001,0),0), INDEX($U$1004:$AC$1004,1,MATCH(COLUMNS($U$1006:X1006),$U$1006:$AC$1006,0)))),"Fix")))</f>
        <v>0</v>
      </c>
      <c r="F138" s="3">
        <f>IF(OR(INDEX($O$2:$O$1001,MATCH(ROWS($N$2:N138),$N$2:$N$1001,0),1)&gt;=100000,INDEX($U$1005:$AC$1005,1,MATCH(COLUMNS($U$1006:Y1006),$U$1006:$AC$1006,0))&gt;=100000), " ",IF(INDEX($U$2:$AC$1001,MATCH(ROWS($N$2:N138),$N$2:$N$1001,0),MATCH(COLUMNS($U$1006:Y1006),$U$1006:$AC$1006,0)), HYPERLINK("#",""), HYPERLINK(CONCATENATE("#metadata!", ADDRESS(INDEX($P$2:$P$1001,MATCH(ROWS($N$2:N138),$N$2:$N$1001,0),0), INDEX($U$1004:$AC$1004,1,MATCH(COLUMNS($U$1006:Y1006),$U$1006:$AC$1006,0)))),"Fix")))</f>
        <v>0</v>
      </c>
      <c r="G138" s="3">
        <f>IF(OR(INDEX($O$2:$O$1001,MATCH(ROWS($N$2:N138),$N$2:$N$1001,0),1)&gt;=100000,INDEX($U$1005:$AC$1005,1,MATCH(COLUMNS($U$1006:Z1006),$U$1006:$AC$1006,0))&gt;=100000), " ",IF(INDEX($U$2:$AC$1001,MATCH(ROWS($N$2:N138),$N$2:$N$1001,0),MATCH(COLUMNS($U$1006:Z1006),$U$1006:$AC$1006,0)), HYPERLINK("#",""), HYPERLINK(CONCATENATE("#metadata!", ADDRESS(INDEX($P$2:$P$1001,MATCH(ROWS($N$2:N138),$N$2:$N$1001,0),0), INDEX($U$1004:$AC$1004,1,MATCH(COLUMNS($U$1006:Z1006),$U$1006:$AC$1006,0)))),"Fix")))</f>
        <v>0</v>
      </c>
      <c r="H138" s="3">
        <f>IF(OR(INDEX($O$2:$O$1001,MATCH(ROWS($N$2:N138),$N$2:$N$1001,0),1)&gt;=100000,INDEX($U$1005:$AC$1005,1,MATCH(COLUMNS($U$1006:AA1006),$U$1006:$AC$1006,0))&gt;=100000), " ",IF(INDEX($U$2:$AC$1001,MATCH(ROWS($N$2:N138),$N$2:$N$1001,0),MATCH(COLUMNS($U$1006:AA1006),$U$1006:$AC$1006,0)), HYPERLINK("#",""), HYPERLINK(CONCATENATE("#metadata!", ADDRESS(INDEX($P$2:$P$1001,MATCH(ROWS($N$2:N138),$N$2:$N$1001,0),0), INDEX($U$1004:$AC$1004,1,MATCH(COLUMNS($U$1006:AA1006),$U$1006:$AC$1006,0)))),"Fix")))</f>
        <v>0</v>
      </c>
      <c r="I138" s="3">
        <f>IF(OR(INDEX($O$2:$O$1001,MATCH(ROWS($N$2:N138),$N$2:$N$1001,0),1)&gt;=100000,INDEX($U$1005:$AC$1005,1,MATCH(COLUMNS($U$1006:AB1006),$U$1006:$AC$1006,0))&gt;=100000), " ",IF(INDEX($U$2:$AC$1001,MATCH(ROWS($N$2:N138),$N$2:$N$1001,0),MATCH(COLUMNS($U$1006:AB1006),$U$1006:$AC$1006,0)), HYPERLINK("#",""), HYPERLINK(CONCATENATE("#metadata!", ADDRESS(INDEX($P$2:$P$1001,MATCH(ROWS($N$2:N138),$N$2:$N$1001,0),0), INDEX($U$1004:$AC$1004,1,MATCH(COLUMNS($U$1006:AB1006),$U$1006:$AC$1006,0)))),"Fix")))</f>
        <v>0</v>
      </c>
      <c r="J138" s="3">
        <f>IF(OR(INDEX($O$2:$O$1001,MATCH(ROWS($N$2:N138),$N$2:$N$1001,0),1)&gt;=100000,INDEX($U$1005:$AC$1005,1,MATCH(COLUMNS($U$1006:AC1006),$U$1006:$AC$1006,0))&gt;=100000), " ",IF(INDEX($U$2:$AC$1001,MATCH(ROWS($N$2:N138),$N$2:$N$1001,0),MATCH(COLUMNS($U$1006:AC1006),$U$1006:$AC$1006,0)), HYPERLINK("#",""), HYPERLINK(CONCATENATE("#metadata!", ADDRESS(INDEX($P$2:$P$1001,MATCH(ROWS($N$2:N138),$N$2:$N$1001,0),0), INDEX($U$1004:$AC$1004,1,MATCH(COLUMNS($U$1006:AC1006),$U$1006:$AC$1006,0)))),"Fix")))</f>
        <v>0</v>
      </c>
      <c r="N138">
        <v>0</v>
      </c>
      <c r="O138">
        <v>0</v>
      </c>
      <c r="P138">
        <v>0</v>
      </c>
      <c r="Q138">
        <f>IF(R138,TRUE,AND(U138:AC138))</f>
        <v>0</v>
      </c>
      <c r="R138">
        <f>COUNTBLANK(metadata!B138:J138)=COLUMNS(metadata!B138:J138)</f>
        <v>0</v>
      </c>
      <c r="S138">
        <v>0</v>
      </c>
      <c r="U138">
        <f>AND(IF(metadata!B138="",FALSE,TRUE),COUNTIF(metadata!B:B, metadata!B138) = 1,NOT(ISERROR(SUMPRODUCT(SEARCH(MID(metadata!B138,ROW(INDIRECT("1:"&amp;LEN(metadata!B138))), 1),"0123456789abcdefghijklmnopqrstuvwxyzABCDEFGHIJKLMNOPQRSTUVWXYZ.")))))</f>
        <v>0</v>
      </c>
      <c r="V138">
        <f>AND(IF(metadata!C138="",FALSE,TRUE),exact(metadata!C138,"UBERON:genitourinary"))</f>
        <v>0</v>
      </c>
      <c r="W138">
        <f>AND(IF(metadata!D138="",FALSE,TRUE),exact(metadata!D138,"UBERON:urine"))</f>
        <v>0</v>
      </c>
      <c r="X138">
        <f>AND(IF(metadata!E138="",FALSE,TRUE),exact(metadata!E138,"UBERON:kidney"))</f>
        <v>0</v>
      </c>
      <c r="Y138">
        <f>AND(IF(metadata!F138="",FALSE,TRUE),exact(metadata!F138,"animal corpus"))</f>
        <v>0</v>
      </c>
      <c r="Z138">
        <f>AND(IF(metadata!G138="",FALSE,TRUE),exact(metadata!G138,"urine"))</f>
        <v>0</v>
      </c>
      <c r="AA138">
        <f>AND(IF(metadata!H138="",FALSE,TRUE),exact(metadata!H138,"urine"))</f>
        <v>0</v>
      </c>
      <c r="AB138">
        <f>AND(IF(metadata!I138="",FALSE,TRUE),exact(metadata!I138,"urine metagenome"))</f>
        <v>0</v>
      </c>
      <c r="AC138">
        <f>AND(IF(metadata!J138="",FALSE,TRUE),exact(metadata!J138,"1346744"))</f>
        <v>0</v>
      </c>
    </row>
    <row r="139" spans="1:29">
      <c r="A139" s="4">
        <f>IF(B139=" "," ",HYPERLINK(CONCATENATE("#metadata!",ADDRESS(INDEX($P$2:$P$1001,MATCH(ROWS($N$2:N139),$N$2:$N$1001,0),0),1)),INDEX($S$2:$S$1001,MATCH(ROWS($N$2:N139),$N$2:$N$1001,0),0)))</f>
        <v>0</v>
      </c>
      <c r="B139" s="3">
        <f>IF(OR(INDEX($O$2:$O$1001,MATCH(ROWS($N$2:N139),$N$2:$N$1001,0),1)&gt;=100000,INDEX($U$1005:$AC$1005,1,MATCH(COLUMNS($U$1006:U1006),$U$1006:$AC$1006,0))&gt;=100000), " ",IF(INDEX($U$2:$AC$1001,MATCH(ROWS($N$2:N139),$N$2:$N$1001,0),MATCH(COLUMNS($U$1006:U1006),$U$1006:$AC$1006,0)), HYPERLINK("#",""), HYPERLINK(CONCATENATE("#metadata!", ADDRESS(INDEX($P$2:$P$1001,MATCH(ROWS($N$2:N139),$N$2:$N$1001,0),0), INDEX($U$1004:$AC$1004,1,MATCH(COLUMNS($U$1006:U1006),$U$1006:$AC$1006,0)))),"Fix")))</f>
        <v>0</v>
      </c>
      <c r="C139" s="3">
        <f>IF(OR(INDEX($O$2:$O$1001,MATCH(ROWS($N$2:N139),$N$2:$N$1001,0),1)&gt;=100000,INDEX($U$1005:$AC$1005,1,MATCH(COLUMNS($U$1006:V1006),$U$1006:$AC$1006,0))&gt;=100000), " ",IF(INDEX($U$2:$AC$1001,MATCH(ROWS($N$2:N139),$N$2:$N$1001,0),MATCH(COLUMNS($U$1006:V1006),$U$1006:$AC$1006,0)), HYPERLINK("#",""), HYPERLINK(CONCATENATE("#metadata!", ADDRESS(INDEX($P$2:$P$1001,MATCH(ROWS($N$2:N139),$N$2:$N$1001,0),0), INDEX($U$1004:$AC$1004,1,MATCH(COLUMNS($U$1006:V1006),$U$1006:$AC$1006,0)))),"Fix")))</f>
        <v>0</v>
      </c>
      <c r="D139" s="3">
        <f>IF(OR(INDEX($O$2:$O$1001,MATCH(ROWS($N$2:N139),$N$2:$N$1001,0),1)&gt;=100000,INDEX($U$1005:$AC$1005,1,MATCH(COLUMNS($U$1006:W1006),$U$1006:$AC$1006,0))&gt;=100000), " ",IF(INDEX($U$2:$AC$1001,MATCH(ROWS($N$2:N139),$N$2:$N$1001,0),MATCH(COLUMNS($U$1006:W1006),$U$1006:$AC$1006,0)), HYPERLINK("#",""), HYPERLINK(CONCATENATE("#metadata!", ADDRESS(INDEX($P$2:$P$1001,MATCH(ROWS($N$2:N139),$N$2:$N$1001,0),0), INDEX($U$1004:$AC$1004,1,MATCH(COLUMNS($U$1006:W1006),$U$1006:$AC$1006,0)))),"Fix")))</f>
        <v>0</v>
      </c>
      <c r="E139" s="3">
        <f>IF(OR(INDEX($O$2:$O$1001,MATCH(ROWS($N$2:N139),$N$2:$N$1001,0),1)&gt;=100000,INDEX($U$1005:$AC$1005,1,MATCH(COLUMNS($U$1006:X1006),$U$1006:$AC$1006,0))&gt;=100000), " ",IF(INDEX($U$2:$AC$1001,MATCH(ROWS($N$2:N139),$N$2:$N$1001,0),MATCH(COLUMNS($U$1006:X1006),$U$1006:$AC$1006,0)), HYPERLINK("#",""), HYPERLINK(CONCATENATE("#metadata!", ADDRESS(INDEX($P$2:$P$1001,MATCH(ROWS($N$2:N139),$N$2:$N$1001,0),0), INDEX($U$1004:$AC$1004,1,MATCH(COLUMNS($U$1006:X1006),$U$1006:$AC$1006,0)))),"Fix")))</f>
        <v>0</v>
      </c>
      <c r="F139" s="3">
        <f>IF(OR(INDEX($O$2:$O$1001,MATCH(ROWS($N$2:N139),$N$2:$N$1001,0),1)&gt;=100000,INDEX($U$1005:$AC$1005,1,MATCH(COLUMNS($U$1006:Y1006),$U$1006:$AC$1006,0))&gt;=100000), " ",IF(INDEX($U$2:$AC$1001,MATCH(ROWS($N$2:N139),$N$2:$N$1001,0),MATCH(COLUMNS($U$1006:Y1006),$U$1006:$AC$1006,0)), HYPERLINK("#",""), HYPERLINK(CONCATENATE("#metadata!", ADDRESS(INDEX($P$2:$P$1001,MATCH(ROWS($N$2:N139),$N$2:$N$1001,0),0), INDEX($U$1004:$AC$1004,1,MATCH(COLUMNS($U$1006:Y1006),$U$1006:$AC$1006,0)))),"Fix")))</f>
        <v>0</v>
      </c>
      <c r="G139" s="3">
        <f>IF(OR(INDEX($O$2:$O$1001,MATCH(ROWS($N$2:N139),$N$2:$N$1001,0),1)&gt;=100000,INDEX($U$1005:$AC$1005,1,MATCH(COLUMNS($U$1006:Z1006),$U$1006:$AC$1006,0))&gt;=100000), " ",IF(INDEX($U$2:$AC$1001,MATCH(ROWS($N$2:N139),$N$2:$N$1001,0),MATCH(COLUMNS($U$1006:Z1006),$U$1006:$AC$1006,0)), HYPERLINK("#",""), HYPERLINK(CONCATENATE("#metadata!", ADDRESS(INDEX($P$2:$P$1001,MATCH(ROWS($N$2:N139),$N$2:$N$1001,0),0), INDEX($U$1004:$AC$1004,1,MATCH(COLUMNS($U$1006:Z1006),$U$1006:$AC$1006,0)))),"Fix")))</f>
        <v>0</v>
      </c>
      <c r="H139" s="3">
        <f>IF(OR(INDEX($O$2:$O$1001,MATCH(ROWS($N$2:N139),$N$2:$N$1001,0),1)&gt;=100000,INDEX($U$1005:$AC$1005,1,MATCH(COLUMNS($U$1006:AA1006),$U$1006:$AC$1006,0))&gt;=100000), " ",IF(INDEX($U$2:$AC$1001,MATCH(ROWS($N$2:N139),$N$2:$N$1001,0),MATCH(COLUMNS($U$1006:AA1006),$U$1006:$AC$1006,0)), HYPERLINK("#",""), HYPERLINK(CONCATENATE("#metadata!", ADDRESS(INDEX($P$2:$P$1001,MATCH(ROWS($N$2:N139),$N$2:$N$1001,0),0), INDEX($U$1004:$AC$1004,1,MATCH(COLUMNS($U$1006:AA1006),$U$1006:$AC$1006,0)))),"Fix")))</f>
        <v>0</v>
      </c>
      <c r="I139" s="3">
        <f>IF(OR(INDEX($O$2:$O$1001,MATCH(ROWS($N$2:N139),$N$2:$N$1001,0),1)&gt;=100000,INDEX($U$1005:$AC$1005,1,MATCH(COLUMNS($U$1006:AB1006),$U$1006:$AC$1006,0))&gt;=100000), " ",IF(INDEX($U$2:$AC$1001,MATCH(ROWS($N$2:N139),$N$2:$N$1001,0),MATCH(COLUMNS($U$1006:AB1006),$U$1006:$AC$1006,0)), HYPERLINK("#",""), HYPERLINK(CONCATENATE("#metadata!", ADDRESS(INDEX($P$2:$P$1001,MATCH(ROWS($N$2:N139),$N$2:$N$1001,0),0), INDEX($U$1004:$AC$1004,1,MATCH(COLUMNS($U$1006:AB1006),$U$1006:$AC$1006,0)))),"Fix")))</f>
        <v>0</v>
      </c>
      <c r="J139" s="3">
        <f>IF(OR(INDEX($O$2:$O$1001,MATCH(ROWS($N$2:N139),$N$2:$N$1001,0),1)&gt;=100000,INDEX($U$1005:$AC$1005,1,MATCH(COLUMNS($U$1006:AC1006),$U$1006:$AC$1006,0))&gt;=100000), " ",IF(INDEX($U$2:$AC$1001,MATCH(ROWS($N$2:N139),$N$2:$N$1001,0),MATCH(COLUMNS($U$1006:AC1006),$U$1006:$AC$1006,0)), HYPERLINK("#",""), HYPERLINK(CONCATENATE("#metadata!", ADDRESS(INDEX($P$2:$P$1001,MATCH(ROWS($N$2:N139),$N$2:$N$1001,0),0), INDEX($U$1004:$AC$1004,1,MATCH(COLUMNS($U$1006:AC1006),$U$1006:$AC$1006,0)))),"Fix")))</f>
        <v>0</v>
      </c>
      <c r="N139">
        <v>0</v>
      </c>
      <c r="O139">
        <v>0</v>
      </c>
      <c r="P139">
        <v>0</v>
      </c>
      <c r="Q139">
        <f>IF(R139,TRUE,AND(U139:AC139))</f>
        <v>0</v>
      </c>
      <c r="R139">
        <f>COUNTBLANK(metadata!B139:J139)=COLUMNS(metadata!B139:J139)</f>
        <v>0</v>
      </c>
      <c r="S139">
        <v>0</v>
      </c>
      <c r="U139">
        <f>AND(IF(metadata!B139="",FALSE,TRUE),COUNTIF(metadata!B:B, metadata!B139) = 1,NOT(ISERROR(SUMPRODUCT(SEARCH(MID(metadata!B139,ROW(INDIRECT("1:"&amp;LEN(metadata!B139))), 1),"0123456789abcdefghijklmnopqrstuvwxyzABCDEFGHIJKLMNOPQRSTUVWXYZ.")))))</f>
        <v>0</v>
      </c>
      <c r="V139">
        <f>AND(IF(metadata!C139="",FALSE,TRUE),exact(metadata!C139,"UBERON:genitourinary"))</f>
        <v>0</v>
      </c>
      <c r="W139">
        <f>AND(IF(metadata!D139="",FALSE,TRUE),exact(metadata!D139,"UBERON:urine"))</f>
        <v>0</v>
      </c>
      <c r="X139">
        <f>AND(IF(metadata!E139="",FALSE,TRUE),exact(metadata!E139,"UBERON:kidney"))</f>
        <v>0</v>
      </c>
      <c r="Y139">
        <f>AND(IF(metadata!F139="",FALSE,TRUE),exact(metadata!F139,"animal corpus"))</f>
        <v>0</v>
      </c>
      <c r="Z139">
        <f>AND(IF(metadata!G139="",FALSE,TRUE),exact(metadata!G139,"urine"))</f>
        <v>0</v>
      </c>
      <c r="AA139">
        <f>AND(IF(metadata!H139="",FALSE,TRUE),exact(metadata!H139,"urine"))</f>
        <v>0</v>
      </c>
      <c r="AB139">
        <f>AND(IF(metadata!I139="",FALSE,TRUE),exact(metadata!I139,"urine metagenome"))</f>
        <v>0</v>
      </c>
      <c r="AC139">
        <f>AND(IF(metadata!J139="",FALSE,TRUE),exact(metadata!J139,"1346744"))</f>
        <v>0</v>
      </c>
    </row>
    <row r="140" spans="1:29">
      <c r="A140" s="4">
        <f>IF(B140=" "," ",HYPERLINK(CONCATENATE("#metadata!",ADDRESS(INDEX($P$2:$P$1001,MATCH(ROWS($N$2:N140),$N$2:$N$1001,0),0),1)),INDEX($S$2:$S$1001,MATCH(ROWS($N$2:N140),$N$2:$N$1001,0),0)))</f>
        <v>0</v>
      </c>
      <c r="B140" s="3">
        <f>IF(OR(INDEX($O$2:$O$1001,MATCH(ROWS($N$2:N140),$N$2:$N$1001,0),1)&gt;=100000,INDEX($U$1005:$AC$1005,1,MATCH(COLUMNS($U$1006:U1006),$U$1006:$AC$1006,0))&gt;=100000), " ",IF(INDEX($U$2:$AC$1001,MATCH(ROWS($N$2:N140),$N$2:$N$1001,0),MATCH(COLUMNS($U$1006:U1006),$U$1006:$AC$1006,0)), HYPERLINK("#",""), HYPERLINK(CONCATENATE("#metadata!", ADDRESS(INDEX($P$2:$P$1001,MATCH(ROWS($N$2:N140),$N$2:$N$1001,0),0), INDEX($U$1004:$AC$1004,1,MATCH(COLUMNS($U$1006:U1006),$U$1006:$AC$1006,0)))),"Fix")))</f>
        <v>0</v>
      </c>
      <c r="C140" s="3">
        <f>IF(OR(INDEX($O$2:$O$1001,MATCH(ROWS($N$2:N140),$N$2:$N$1001,0),1)&gt;=100000,INDEX($U$1005:$AC$1005,1,MATCH(COLUMNS($U$1006:V1006),$U$1006:$AC$1006,0))&gt;=100000), " ",IF(INDEX($U$2:$AC$1001,MATCH(ROWS($N$2:N140),$N$2:$N$1001,0),MATCH(COLUMNS($U$1006:V1006),$U$1006:$AC$1006,0)), HYPERLINK("#",""), HYPERLINK(CONCATENATE("#metadata!", ADDRESS(INDEX($P$2:$P$1001,MATCH(ROWS($N$2:N140),$N$2:$N$1001,0),0), INDEX($U$1004:$AC$1004,1,MATCH(COLUMNS($U$1006:V1006),$U$1006:$AC$1006,0)))),"Fix")))</f>
        <v>0</v>
      </c>
      <c r="D140" s="3">
        <f>IF(OR(INDEX($O$2:$O$1001,MATCH(ROWS($N$2:N140),$N$2:$N$1001,0),1)&gt;=100000,INDEX($U$1005:$AC$1005,1,MATCH(COLUMNS($U$1006:W1006),$U$1006:$AC$1006,0))&gt;=100000), " ",IF(INDEX($U$2:$AC$1001,MATCH(ROWS($N$2:N140),$N$2:$N$1001,0),MATCH(COLUMNS($U$1006:W1006),$U$1006:$AC$1006,0)), HYPERLINK("#",""), HYPERLINK(CONCATENATE("#metadata!", ADDRESS(INDEX($P$2:$P$1001,MATCH(ROWS($N$2:N140),$N$2:$N$1001,0),0), INDEX($U$1004:$AC$1004,1,MATCH(COLUMNS($U$1006:W1006),$U$1006:$AC$1006,0)))),"Fix")))</f>
        <v>0</v>
      </c>
      <c r="E140" s="3">
        <f>IF(OR(INDEX($O$2:$O$1001,MATCH(ROWS($N$2:N140),$N$2:$N$1001,0),1)&gt;=100000,INDEX($U$1005:$AC$1005,1,MATCH(COLUMNS($U$1006:X1006),$U$1006:$AC$1006,0))&gt;=100000), " ",IF(INDEX($U$2:$AC$1001,MATCH(ROWS($N$2:N140),$N$2:$N$1001,0),MATCH(COLUMNS($U$1006:X1006),$U$1006:$AC$1006,0)), HYPERLINK("#",""), HYPERLINK(CONCATENATE("#metadata!", ADDRESS(INDEX($P$2:$P$1001,MATCH(ROWS($N$2:N140),$N$2:$N$1001,0),0), INDEX($U$1004:$AC$1004,1,MATCH(COLUMNS($U$1006:X1006),$U$1006:$AC$1006,0)))),"Fix")))</f>
        <v>0</v>
      </c>
      <c r="F140" s="3">
        <f>IF(OR(INDEX($O$2:$O$1001,MATCH(ROWS($N$2:N140),$N$2:$N$1001,0),1)&gt;=100000,INDEX($U$1005:$AC$1005,1,MATCH(COLUMNS($U$1006:Y1006),$U$1006:$AC$1006,0))&gt;=100000), " ",IF(INDEX($U$2:$AC$1001,MATCH(ROWS($N$2:N140),$N$2:$N$1001,0),MATCH(COLUMNS($U$1006:Y1006),$U$1006:$AC$1006,0)), HYPERLINK("#",""), HYPERLINK(CONCATENATE("#metadata!", ADDRESS(INDEX($P$2:$P$1001,MATCH(ROWS($N$2:N140),$N$2:$N$1001,0),0), INDEX($U$1004:$AC$1004,1,MATCH(COLUMNS($U$1006:Y1006),$U$1006:$AC$1006,0)))),"Fix")))</f>
        <v>0</v>
      </c>
      <c r="G140" s="3">
        <f>IF(OR(INDEX($O$2:$O$1001,MATCH(ROWS($N$2:N140),$N$2:$N$1001,0),1)&gt;=100000,INDEX($U$1005:$AC$1005,1,MATCH(COLUMNS($U$1006:Z1006),$U$1006:$AC$1006,0))&gt;=100000), " ",IF(INDEX($U$2:$AC$1001,MATCH(ROWS($N$2:N140),$N$2:$N$1001,0),MATCH(COLUMNS($U$1006:Z1006),$U$1006:$AC$1006,0)), HYPERLINK("#",""), HYPERLINK(CONCATENATE("#metadata!", ADDRESS(INDEX($P$2:$P$1001,MATCH(ROWS($N$2:N140),$N$2:$N$1001,0),0), INDEX($U$1004:$AC$1004,1,MATCH(COLUMNS($U$1006:Z1006),$U$1006:$AC$1006,0)))),"Fix")))</f>
        <v>0</v>
      </c>
      <c r="H140" s="3">
        <f>IF(OR(INDEX($O$2:$O$1001,MATCH(ROWS($N$2:N140),$N$2:$N$1001,0),1)&gt;=100000,INDEX($U$1005:$AC$1005,1,MATCH(COLUMNS($U$1006:AA1006),$U$1006:$AC$1006,0))&gt;=100000), " ",IF(INDEX($U$2:$AC$1001,MATCH(ROWS($N$2:N140),$N$2:$N$1001,0),MATCH(COLUMNS($U$1006:AA1006),$U$1006:$AC$1006,0)), HYPERLINK("#",""), HYPERLINK(CONCATENATE("#metadata!", ADDRESS(INDEX($P$2:$P$1001,MATCH(ROWS($N$2:N140),$N$2:$N$1001,0),0), INDEX($U$1004:$AC$1004,1,MATCH(COLUMNS($U$1006:AA1006),$U$1006:$AC$1006,0)))),"Fix")))</f>
        <v>0</v>
      </c>
      <c r="I140" s="3">
        <f>IF(OR(INDEX($O$2:$O$1001,MATCH(ROWS($N$2:N140),$N$2:$N$1001,0),1)&gt;=100000,INDEX($U$1005:$AC$1005,1,MATCH(COLUMNS($U$1006:AB1006),$U$1006:$AC$1006,0))&gt;=100000), " ",IF(INDEX($U$2:$AC$1001,MATCH(ROWS($N$2:N140),$N$2:$N$1001,0),MATCH(COLUMNS($U$1006:AB1006),$U$1006:$AC$1006,0)), HYPERLINK("#",""), HYPERLINK(CONCATENATE("#metadata!", ADDRESS(INDEX($P$2:$P$1001,MATCH(ROWS($N$2:N140),$N$2:$N$1001,0),0), INDEX($U$1004:$AC$1004,1,MATCH(COLUMNS($U$1006:AB1006),$U$1006:$AC$1006,0)))),"Fix")))</f>
        <v>0</v>
      </c>
      <c r="J140" s="3">
        <f>IF(OR(INDEX($O$2:$O$1001,MATCH(ROWS($N$2:N140),$N$2:$N$1001,0),1)&gt;=100000,INDEX($U$1005:$AC$1005,1,MATCH(COLUMNS($U$1006:AC1006),$U$1006:$AC$1006,0))&gt;=100000), " ",IF(INDEX($U$2:$AC$1001,MATCH(ROWS($N$2:N140),$N$2:$N$1001,0),MATCH(COLUMNS($U$1006:AC1006),$U$1006:$AC$1006,0)), HYPERLINK("#",""), HYPERLINK(CONCATENATE("#metadata!", ADDRESS(INDEX($P$2:$P$1001,MATCH(ROWS($N$2:N140),$N$2:$N$1001,0),0), INDEX($U$1004:$AC$1004,1,MATCH(COLUMNS($U$1006:AC1006),$U$1006:$AC$1006,0)))),"Fix")))</f>
        <v>0</v>
      </c>
      <c r="N140">
        <v>0</v>
      </c>
      <c r="O140">
        <v>0</v>
      </c>
      <c r="P140">
        <v>0</v>
      </c>
      <c r="Q140">
        <f>IF(R140,TRUE,AND(U140:AC140))</f>
        <v>0</v>
      </c>
      <c r="R140">
        <f>COUNTBLANK(metadata!B140:J140)=COLUMNS(metadata!B140:J140)</f>
        <v>0</v>
      </c>
      <c r="S140">
        <v>0</v>
      </c>
      <c r="U140">
        <f>AND(IF(metadata!B140="",FALSE,TRUE),COUNTIF(metadata!B:B, metadata!B140) = 1,NOT(ISERROR(SUMPRODUCT(SEARCH(MID(metadata!B140,ROW(INDIRECT("1:"&amp;LEN(metadata!B140))), 1),"0123456789abcdefghijklmnopqrstuvwxyzABCDEFGHIJKLMNOPQRSTUVWXYZ.")))))</f>
        <v>0</v>
      </c>
      <c r="V140">
        <f>AND(IF(metadata!C140="",FALSE,TRUE),exact(metadata!C140,"UBERON:genitourinary"))</f>
        <v>0</v>
      </c>
      <c r="W140">
        <f>AND(IF(metadata!D140="",FALSE,TRUE),exact(metadata!D140,"UBERON:urine"))</f>
        <v>0</v>
      </c>
      <c r="X140">
        <f>AND(IF(metadata!E140="",FALSE,TRUE),exact(metadata!E140,"UBERON:kidney"))</f>
        <v>0</v>
      </c>
      <c r="Y140">
        <f>AND(IF(metadata!F140="",FALSE,TRUE),exact(metadata!F140,"animal corpus"))</f>
        <v>0</v>
      </c>
      <c r="Z140">
        <f>AND(IF(metadata!G140="",FALSE,TRUE),exact(metadata!G140,"urine"))</f>
        <v>0</v>
      </c>
      <c r="AA140">
        <f>AND(IF(metadata!H140="",FALSE,TRUE),exact(metadata!H140,"urine"))</f>
        <v>0</v>
      </c>
      <c r="AB140">
        <f>AND(IF(metadata!I140="",FALSE,TRUE),exact(metadata!I140,"urine metagenome"))</f>
        <v>0</v>
      </c>
      <c r="AC140">
        <f>AND(IF(metadata!J140="",FALSE,TRUE),exact(metadata!J140,"1346744"))</f>
        <v>0</v>
      </c>
    </row>
    <row r="141" spans="1:29">
      <c r="A141" s="4">
        <f>IF(B141=" "," ",HYPERLINK(CONCATENATE("#metadata!",ADDRESS(INDEX($P$2:$P$1001,MATCH(ROWS($N$2:N141),$N$2:$N$1001,0),0),1)),INDEX($S$2:$S$1001,MATCH(ROWS($N$2:N141),$N$2:$N$1001,0),0)))</f>
        <v>0</v>
      </c>
      <c r="B141" s="3">
        <f>IF(OR(INDEX($O$2:$O$1001,MATCH(ROWS($N$2:N141),$N$2:$N$1001,0),1)&gt;=100000,INDEX($U$1005:$AC$1005,1,MATCH(COLUMNS($U$1006:U1006),$U$1006:$AC$1006,0))&gt;=100000), " ",IF(INDEX($U$2:$AC$1001,MATCH(ROWS($N$2:N141),$N$2:$N$1001,0),MATCH(COLUMNS($U$1006:U1006),$U$1006:$AC$1006,0)), HYPERLINK("#",""), HYPERLINK(CONCATENATE("#metadata!", ADDRESS(INDEX($P$2:$P$1001,MATCH(ROWS($N$2:N141),$N$2:$N$1001,0),0), INDEX($U$1004:$AC$1004,1,MATCH(COLUMNS($U$1006:U1006),$U$1006:$AC$1006,0)))),"Fix")))</f>
        <v>0</v>
      </c>
      <c r="C141" s="3">
        <f>IF(OR(INDEX($O$2:$O$1001,MATCH(ROWS($N$2:N141),$N$2:$N$1001,0),1)&gt;=100000,INDEX($U$1005:$AC$1005,1,MATCH(COLUMNS($U$1006:V1006),$U$1006:$AC$1006,0))&gt;=100000), " ",IF(INDEX($U$2:$AC$1001,MATCH(ROWS($N$2:N141),$N$2:$N$1001,0),MATCH(COLUMNS($U$1006:V1006),$U$1006:$AC$1006,0)), HYPERLINK("#",""), HYPERLINK(CONCATENATE("#metadata!", ADDRESS(INDEX($P$2:$P$1001,MATCH(ROWS($N$2:N141),$N$2:$N$1001,0),0), INDEX($U$1004:$AC$1004,1,MATCH(COLUMNS($U$1006:V1006),$U$1006:$AC$1006,0)))),"Fix")))</f>
        <v>0</v>
      </c>
      <c r="D141" s="3">
        <f>IF(OR(INDEX($O$2:$O$1001,MATCH(ROWS($N$2:N141),$N$2:$N$1001,0),1)&gt;=100000,INDEX($U$1005:$AC$1005,1,MATCH(COLUMNS($U$1006:W1006),$U$1006:$AC$1006,0))&gt;=100000), " ",IF(INDEX($U$2:$AC$1001,MATCH(ROWS($N$2:N141),$N$2:$N$1001,0),MATCH(COLUMNS($U$1006:W1006),$U$1006:$AC$1006,0)), HYPERLINK("#",""), HYPERLINK(CONCATENATE("#metadata!", ADDRESS(INDEX($P$2:$P$1001,MATCH(ROWS($N$2:N141),$N$2:$N$1001,0),0), INDEX($U$1004:$AC$1004,1,MATCH(COLUMNS($U$1006:W1006),$U$1006:$AC$1006,0)))),"Fix")))</f>
        <v>0</v>
      </c>
      <c r="E141" s="3">
        <f>IF(OR(INDEX($O$2:$O$1001,MATCH(ROWS($N$2:N141),$N$2:$N$1001,0),1)&gt;=100000,INDEX($U$1005:$AC$1005,1,MATCH(COLUMNS($U$1006:X1006),$U$1006:$AC$1006,0))&gt;=100000), " ",IF(INDEX($U$2:$AC$1001,MATCH(ROWS($N$2:N141),$N$2:$N$1001,0),MATCH(COLUMNS($U$1006:X1006),$U$1006:$AC$1006,0)), HYPERLINK("#",""), HYPERLINK(CONCATENATE("#metadata!", ADDRESS(INDEX($P$2:$P$1001,MATCH(ROWS($N$2:N141),$N$2:$N$1001,0),0), INDEX($U$1004:$AC$1004,1,MATCH(COLUMNS($U$1006:X1006),$U$1006:$AC$1006,0)))),"Fix")))</f>
        <v>0</v>
      </c>
      <c r="F141" s="3">
        <f>IF(OR(INDEX($O$2:$O$1001,MATCH(ROWS($N$2:N141),$N$2:$N$1001,0),1)&gt;=100000,INDEX($U$1005:$AC$1005,1,MATCH(COLUMNS($U$1006:Y1006),$U$1006:$AC$1006,0))&gt;=100000), " ",IF(INDEX($U$2:$AC$1001,MATCH(ROWS($N$2:N141),$N$2:$N$1001,0),MATCH(COLUMNS($U$1006:Y1006),$U$1006:$AC$1006,0)), HYPERLINK("#",""), HYPERLINK(CONCATENATE("#metadata!", ADDRESS(INDEX($P$2:$P$1001,MATCH(ROWS($N$2:N141),$N$2:$N$1001,0),0), INDEX($U$1004:$AC$1004,1,MATCH(COLUMNS($U$1006:Y1006),$U$1006:$AC$1006,0)))),"Fix")))</f>
        <v>0</v>
      </c>
      <c r="G141" s="3">
        <f>IF(OR(INDEX($O$2:$O$1001,MATCH(ROWS($N$2:N141),$N$2:$N$1001,0),1)&gt;=100000,INDEX($U$1005:$AC$1005,1,MATCH(COLUMNS($U$1006:Z1006),$U$1006:$AC$1006,0))&gt;=100000), " ",IF(INDEX($U$2:$AC$1001,MATCH(ROWS($N$2:N141),$N$2:$N$1001,0),MATCH(COLUMNS($U$1006:Z1006),$U$1006:$AC$1006,0)), HYPERLINK("#",""), HYPERLINK(CONCATENATE("#metadata!", ADDRESS(INDEX($P$2:$P$1001,MATCH(ROWS($N$2:N141),$N$2:$N$1001,0),0), INDEX($U$1004:$AC$1004,1,MATCH(COLUMNS($U$1006:Z1006),$U$1006:$AC$1006,0)))),"Fix")))</f>
        <v>0</v>
      </c>
      <c r="H141" s="3">
        <f>IF(OR(INDEX($O$2:$O$1001,MATCH(ROWS($N$2:N141),$N$2:$N$1001,0),1)&gt;=100000,INDEX($U$1005:$AC$1005,1,MATCH(COLUMNS($U$1006:AA1006),$U$1006:$AC$1006,0))&gt;=100000), " ",IF(INDEX($U$2:$AC$1001,MATCH(ROWS($N$2:N141),$N$2:$N$1001,0),MATCH(COLUMNS($U$1006:AA1006),$U$1006:$AC$1006,0)), HYPERLINK("#",""), HYPERLINK(CONCATENATE("#metadata!", ADDRESS(INDEX($P$2:$P$1001,MATCH(ROWS($N$2:N141),$N$2:$N$1001,0),0), INDEX($U$1004:$AC$1004,1,MATCH(COLUMNS($U$1006:AA1006),$U$1006:$AC$1006,0)))),"Fix")))</f>
        <v>0</v>
      </c>
      <c r="I141" s="3">
        <f>IF(OR(INDEX($O$2:$O$1001,MATCH(ROWS($N$2:N141),$N$2:$N$1001,0),1)&gt;=100000,INDEX($U$1005:$AC$1005,1,MATCH(COLUMNS($U$1006:AB1006),$U$1006:$AC$1006,0))&gt;=100000), " ",IF(INDEX($U$2:$AC$1001,MATCH(ROWS($N$2:N141),$N$2:$N$1001,0),MATCH(COLUMNS($U$1006:AB1006),$U$1006:$AC$1006,0)), HYPERLINK("#",""), HYPERLINK(CONCATENATE("#metadata!", ADDRESS(INDEX($P$2:$P$1001,MATCH(ROWS($N$2:N141),$N$2:$N$1001,0),0), INDEX($U$1004:$AC$1004,1,MATCH(COLUMNS($U$1006:AB1006),$U$1006:$AC$1006,0)))),"Fix")))</f>
        <v>0</v>
      </c>
      <c r="J141" s="3">
        <f>IF(OR(INDEX($O$2:$O$1001,MATCH(ROWS($N$2:N141),$N$2:$N$1001,0),1)&gt;=100000,INDEX($U$1005:$AC$1005,1,MATCH(COLUMNS($U$1006:AC1006),$U$1006:$AC$1006,0))&gt;=100000), " ",IF(INDEX($U$2:$AC$1001,MATCH(ROWS($N$2:N141),$N$2:$N$1001,0),MATCH(COLUMNS($U$1006:AC1006),$U$1006:$AC$1006,0)), HYPERLINK("#",""), HYPERLINK(CONCATENATE("#metadata!", ADDRESS(INDEX($P$2:$P$1001,MATCH(ROWS($N$2:N141),$N$2:$N$1001,0),0), INDEX($U$1004:$AC$1004,1,MATCH(COLUMNS($U$1006:AC1006),$U$1006:$AC$1006,0)))),"Fix")))</f>
        <v>0</v>
      </c>
      <c r="N141">
        <v>0</v>
      </c>
      <c r="O141">
        <v>0</v>
      </c>
      <c r="P141">
        <v>0</v>
      </c>
      <c r="Q141">
        <f>IF(R141,TRUE,AND(U141:AC141))</f>
        <v>0</v>
      </c>
      <c r="R141">
        <f>COUNTBLANK(metadata!B141:J141)=COLUMNS(metadata!B141:J141)</f>
        <v>0</v>
      </c>
      <c r="S141">
        <v>0</v>
      </c>
      <c r="U141">
        <f>AND(IF(metadata!B141="",FALSE,TRUE),COUNTIF(metadata!B:B, metadata!B141) = 1,NOT(ISERROR(SUMPRODUCT(SEARCH(MID(metadata!B141,ROW(INDIRECT("1:"&amp;LEN(metadata!B141))), 1),"0123456789abcdefghijklmnopqrstuvwxyzABCDEFGHIJKLMNOPQRSTUVWXYZ.")))))</f>
        <v>0</v>
      </c>
      <c r="V141">
        <f>AND(IF(metadata!C141="",FALSE,TRUE),exact(metadata!C141,"UBERON:genitourinary"))</f>
        <v>0</v>
      </c>
      <c r="W141">
        <f>AND(IF(metadata!D141="",FALSE,TRUE),exact(metadata!D141,"UBERON:urine"))</f>
        <v>0</v>
      </c>
      <c r="X141">
        <f>AND(IF(metadata!E141="",FALSE,TRUE),exact(metadata!E141,"UBERON:kidney"))</f>
        <v>0</v>
      </c>
      <c r="Y141">
        <f>AND(IF(metadata!F141="",FALSE,TRUE),exact(metadata!F141,"animal corpus"))</f>
        <v>0</v>
      </c>
      <c r="Z141">
        <f>AND(IF(metadata!G141="",FALSE,TRUE),exact(metadata!G141,"urine"))</f>
        <v>0</v>
      </c>
      <c r="AA141">
        <f>AND(IF(metadata!H141="",FALSE,TRUE),exact(metadata!H141,"urine"))</f>
        <v>0</v>
      </c>
      <c r="AB141">
        <f>AND(IF(metadata!I141="",FALSE,TRUE),exact(metadata!I141,"urine metagenome"))</f>
        <v>0</v>
      </c>
      <c r="AC141">
        <f>AND(IF(metadata!J141="",FALSE,TRUE),exact(metadata!J141,"1346744"))</f>
        <v>0</v>
      </c>
    </row>
    <row r="142" spans="1:29">
      <c r="A142" s="4">
        <f>IF(B142=" "," ",HYPERLINK(CONCATENATE("#metadata!",ADDRESS(INDEX($P$2:$P$1001,MATCH(ROWS($N$2:N142),$N$2:$N$1001,0),0),1)),INDEX($S$2:$S$1001,MATCH(ROWS($N$2:N142),$N$2:$N$1001,0),0)))</f>
        <v>0</v>
      </c>
      <c r="B142" s="3">
        <f>IF(OR(INDEX($O$2:$O$1001,MATCH(ROWS($N$2:N142),$N$2:$N$1001,0),1)&gt;=100000,INDEX($U$1005:$AC$1005,1,MATCH(COLUMNS($U$1006:U1006),$U$1006:$AC$1006,0))&gt;=100000), " ",IF(INDEX($U$2:$AC$1001,MATCH(ROWS($N$2:N142),$N$2:$N$1001,0),MATCH(COLUMNS($U$1006:U1006),$U$1006:$AC$1006,0)), HYPERLINK("#",""), HYPERLINK(CONCATENATE("#metadata!", ADDRESS(INDEX($P$2:$P$1001,MATCH(ROWS($N$2:N142),$N$2:$N$1001,0),0), INDEX($U$1004:$AC$1004,1,MATCH(COLUMNS($U$1006:U1006),$U$1006:$AC$1006,0)))),"Fix")))</f>
        <v>0</v>
      </c>
      <c r="C142" s="3">
        <f>IF(OR(INDEX($O$2:$O$1001,MATCH(ROWS($N$2:N142),$N$2:$N$1001,0),1)&gt;=100000,INDEX($U$1005:$AC$1005,1,MATCH(COLUMNS($U$1006:V1006),$U$1006:$AC$1006,0))&gt;=100000), " ",IF(INDEX($U$2:$AC$1001,MATCH(ROWS($N$2:N142),$N$2:$N$1001,0),MATCH(COLUMNS($U$1006:V1006),$U$1006:$AC$1006,0)), HYPERLINK("#",""), HYPERLINK(CONCATENATE("#metadata!", ADDRESS(INDEX($P$2:$P$1001,MATCH(ROWS($N$2:N142),$N$2:$N$1001,0),0), INDEX($U$1004:$AC$1004,1,MATCH(COLUMNS($U$1006:V1006),$U$1006:$AC$1006,0)))),"Fix")))</f>
        <v>0</v>
      </c>
      <c r="D142" s="3">
        <f>IF(OR(INDEX($O$2:$O$1001,MATCH(ROWS($N$2:N142),$N$2:$N$1001,0),1)&gt;=100000,INDEX($U$1005:$AC$1005,1,MATCH(COLUMNS($U$1006:W1006),$U$1006:$AC$1006,0))&gt;=100000), " ",IF(INDEX($U$2:$AC$1001,MATCH(ROWS($N$2:N142),$N$2:$N$1001,0),MATCH(COLUMNS($U$1006:W1006),$U$1006:$AC$1006,0)), HYPERLINK("#",""), HYPERLINK(CONCATENATE("#metadata!", ADDRESS(INDEX($P$2:$P$1001,MATCH(ROWS($N$2:N142),$N$2:$N$1001,0),0), INDEX($U$1004:$AC$1004,1,MATCH(COLUMNS($U$1006:W1006),$U$1006:$AC$1006,0)))),"Fix")))</f>
        <v>0</v>
      </c>
      <c r="E142" s="3">
        <f>IF(OR(INDEX($O$2:$O$1001,MATCH(ROWS($N$2:N142),$N$2:$N$1001,0),1)&gt;=100000,INDEX($U$1005:$AC$1005,1,MATCH(COLUMNS($U$1006:X1006),$U$1006:$AC$1006,0))&gt;=100000), " ",IF(INDEX($U$2:$AC$1001,MATCH(ROWS($N$2:N142),$N$2:$N$1001,0),MATCH(COLUMNS($U$1006:X1006),$U$1006:$AC$1006,0)), HYPERLINK("#",""), HYPERLINK(CONCATENATE("#metadata!", ADDRESS(INDEX($P$2:$P$1001,MATCH(ROWS($N$2:N142),$N$2:$N$1001,0),0), INDEX($U$1004:$AC$1004,1,MATCH(COLUMNS($U$1006:X1006),$U$1006:$AC$1006,0)))),"Fix")))</f>
        <v>0</v>
      </c>
      <c r="F142" s="3">
        <f>IF(OR(INDEX($O$2:$O$1001,MATCH(ROWS($N$2:N142),$N$2:$N$1001,0),1)&gt;=100000,INDEX($U$1005:$AC$1005,1,MATCH(COLUMNS($U$1006:Y1006),$U$1006:$AC$1006,0))&gt;=100000), " ",IF(INDEX($U$2:$AC$1001,MATCH(ROWS($N$2:N142),$N$2:$N$1001,0),MATCH(COLUMNS($U$1006:Y1006),$U$1006:$AC$1006,0)), HYPERLINK("#",""), HYPERLINK(CONCATENATE("#metadata!", ADDRESS(INDEX($P$2:$P$1001,MATCH(ROWS($N$2:N142),$N$2:$N$1001,0),0), INDEX($U$1004:$AC$1004,1,MATCH(COLUMNS($U$1006:Y1006),$U$1006:$AC$1006,0)))),"Fix")))</f>
        <v>0</v>
      </c>
      <c r="G142" s="3">
        <f>IF(OR(INDEX($O$2:$O$1001,MATCH(ROWS($N$2:N142),$N$2:$N$1001,0),1)&gt;=100000,INDEX($U$1005:$AC$1005,1,MATCH(COLUMNS($U$1006:Z1006),$U$1006:$AC$1006,0))&gt;=100000), " ",IF(INDEX($U$2:$AC$1001,MATCH(ROWS($N$2:N142),$N$2:$N$1001,0),MATCH(COLUMNS($U$1006:Z1006),$U$1006:$AC$1006,0)), HYPERLINK("#",""), HYPERLINK(CONCATENATE("#metadata!", ADDRESS(INDEX($P$2:$P$1001,MATCH(ROWS($N$2:N142),$N$2:$N$1001,0),0), INDEX($U$1004:$AC$1004,1,MATCH(COLUMNS($U$1006:Z1006),$U$1006:$AC$1006,0)))),"Fix")))</f>
        <v>0</v>
      </c>
      <c r="H142" s="3">
        <f>IF(OR(INDEX($O$2:$O$1001,MATCH(ROWS($N$2:N142),$N$2:$N$1001,0),1)&gt;=100000,INDEX($U$1005:$AC$1005,1,MATCH(COLUMNS($U$1006:AA1006),$U$1006:$AC$1006,0))&gt;=100000), " ",IF(INDEX($U$2:$AC$1001,MATCH(ROWS($N$2:N142),$N$2:$N$1001,0),MATCH(COLUMNS($U$1006:AA1006),$U$1006:$AC$1006,0)), HYPERLINK("#",""), HYPERLINK(CONCATENATE("#metadata!", ADDRESS(INDEX($P$2:$P$1001,MATCH(ROWS($N$2:N142),$N$2:$N$1001,0),0), INDEX($U$1004:$AC$1004,1,MATCH(COLUMNS($U$1006:AA1006),$U$1006:$AC$1006,0)))),"Fix")))</f>
        <v>0</v>
      </c>
      <c r="I142" s="3">
        <f>IF(OR(INDEX($O$2:$O$1001,MATCH(ROWS($N$2:N142),$N$2:$N$1001,0),1)&gt;=100000,INDEX($U$1005:$AC$1005,1,MATCH(COLUMNS($U$1006:AB1006),$U$1006:$AC$1006,0))&gt;=100000), " ",IF(INDEX($U$2:$AC$1001,MATCH(ROWS($N$2:N142),$N$2:$N$1001,0),MATCH(COLUMNS($U$1006:AB1006),$U$1006:$AC$1006,0)), HYPERLINK("#",""), HYPERLINK(CONCATENATE("#metadata!", ADDRESS(INDEX($P$2:$P$1001,MATCH(ROWS($N$2:N142),$N$2:$N$1001,0),0), INDEX($U$1004:$AC$1004,1,MATCH(COLUMNS($U$1006:AB1006),$U$1006:$AC$1006,0)))),"Fix")))</f>
        <v>0</v>
      </c>
      <c r="J142" s="3">
        <f>IF(OR(INDEX($O$2:$O$1001,MATCH(ROWS($N$2:N142),$N$2:$N$1001,0),1)&gt;=100000,INDEX($U$1005:$AC$1005,1,MATCH(COLUMNS($U$1006:AC1006),$U$1006:$AC$1006,0))&gt;=100000), " ",IF(INDEX($U$2:$AC$1001,MATCH(ROWS($N$2:N142),$N$2:$N$1001,0),MATCH(COLUMNS($U$1006:AC1006),$U$1006:$AC$1006,0)), HYPERLINK("#",""), HYPERLINK(CONCATENATE("#metadata!", ADDRESS(INDEX($P$2:$P$1001,MATCH(ROWS($N$2:N142),$N$2:$N$1001,0),0), INDEX($U$1004:$AC$1004,1,MATCH(COLUMNS($U$1006:AC1006),$U$1006:$AC$1006,0)))),"Fix")))</f>
        <v>0</v>
      </c>
      <c r="N142">
        <v>0</v>
      </c>
      <c r="O142">
        <v>0</v>
      </c>
      <c r="P142">
        <v>0</v>
      </c>
      <c r="Q142">
        <f>IF(R142,TRUE,AND(U142:AC142))</f>
        <v>0</v>
      </c>
      <c r="R142">
        <f>COUNTBLANK(metadata!B142:J142)=COLUMNS(metadata!B142:J142)</f>
        <v>0</v>
      </c>
      <c r="S142">
        <v>0</v>
      </c>
      <c r="U142">
        <f>AND(IF(metadata!B142="",FALSE,TRUE),COUNTIF(metadata!B:B, metadata!B142) = 1,NOT(ISERROR(SUMPRODUCT(SEARCH(MID(metadata!B142,ROW(INDIRECT("1:"&amp;LEN(metadata!B142))), 1),"0123456789abcdefghijklmnopqrstuvwxyzABCDEFGHIJKLMNOPQRSTUVWXYZ.")))))</f>
        <v>0</v>
      </c>
      <c r="V142">
        <f>AND(IF(metadata!C142="",FALSE,TRUE),exact(metadata!C142,"UBERON:genitourinary"))</f>
        <v>0</v>
      </c>
      <c r="W142">
        <f>AND(IF(metadata!D142="",FALSE,TRUE),exact(metadata!D142,"UBERON:urine"))</f>
        <v>0</v>
      </c>
      <c r="X142">
        <f>AND(IF(metadata!E142="",FALSE,TRUE),exact(metadata!E142,"UBERON:kidney"))</f>
        <v>0</v>
      </c>
      <c r="Y142">
        <f>AND(IF(metadata!F142="",FALSE,TRUE),exact(metadata!F142,"animal corpus"))</f>
        <v>0</v>
      </c>
      <c r="Z142">
        <f>AND(IF(metadata!G142="",FALSE,TRUE),exact(metadata!G142,"urine"))</f>
        <v>0</v>
      </c>
      <c r="AA142">
        <f>AND(IF(metadata!H142="",FALSE,TRUE),exact(metadata!H142,"urine"))</f>
        <v>0</v>
      </c>
      <c r="AB142">
        <f>AND(IF(metadata!I142="",FALSE,TRUE),exact(metadata!I142,"urine metagenome"))</f>
        <v>0</v>
      </c>
      <c r="AC142">
        <f>AND(IF(metadata!J142="",FALSE,TRUE),exact(metadata!J142,"1346744"))</f>
        <v>0</v>
      </c>
    </row>
    <row r="143" spans="1:29">
      <c r="A143" s="4">
        <f>IF(B143=" "," ",HYPERLINK(CONCATENATE("#metadata!",ADDRESS(INDEX($P$2:$P$1001,MATCH(ROWS($N$2:N143),$N$2:$N$1001,0),0),1)),INDEX($S$2:$S$1001,MATCH(ROWS($N$2:N143),$N$2:$N$1001,0),0)))</f>
        <v>0</v>
      </c>
      <c r="B143" s="3">
        <f>IF(OR(INDEX($O$2:$O$1001,MATCH(ROWS($N$2:N143),$N$2:$N$1001,0),1)&gt;=100000,INDEX($U$1005:$AC$1005,1,MATCH(COLUMNS($U$1006:U1006),$U$1006:$AC$1006,0))&gt;=100000), " ",IF(INDEX($U$2:$AC$1001,MATCH(ROWS($N$2:N143),$N$2:$N$1001,0),MATCH(COLUMNS($U$1006:U1006),$U$1006:$AC$1006,0)), HYPERLINK("#",""), HYPERLINK(CONCATENATE("#metadata!", ADDRESS(INDEX($P$2:$P$1001,MATCH(ROWS($N$2:N143),$N$2:$N$1001,0),0), INDEX($U$1004:$AC$1004,1,MATCH(COLUMNS($U$1006:U1006),$U$1006:$AC$1006,0)))),"Fix")))</f>
        <v>0</v>
      </c>
      <c r="C143" s="3">
        <f>IF(OR(INDEX($O$2:$O$1001,MATCH(ROWS($N$2:N143),$N$2:$N$1001,0),1)&gt;=100000,INDEX($U$1005:$AC$1005,1,MATCH(COLUMNS($U$1006:V1006),$U$1006:$AC$1006,0))&gt;=100000), " ",IF(INDEX($U$2:$AC$1001,MATCH(ROWS($N$2:N143),$N$2:$N$1001,0),MATCH(COLUMNS($U$1006:V1006),$U$1006:$AC$1006,0)), HYPERLINK("#",""), HYPERLINK(CONCATENATE("#metadata!", ADDRESS(INDEX($P$2:$P$1001,MATCH(ROWS($N$2:N143),$N$2:$N$1001,0),0), INDEX($U$1004:$AC$1004,1,MATCH(COLUMNS($U$1006:V1006),$U$1006:$AC$1006,0)))),"Fix")))</f>
        <v>0</v>
      </c>
      <c r="D143" s="3">
        <f>IF(OR(INDEX($O$2:$O$1001,MATCH(ROWS($N$2:N143),$N$2:$N$1001,0),1)&gt;=100000,INDEX($U$1005:$AC$1005,1,MATCH(COLUMNS($U$1006:W1006),$U$1006:$AC$1006,0))&gt;=100000), " ",IF(INDEX($U$2:$AC$1001,MATCH(ROWS($N$2:N143),$N$2:$N$1001,0),MATCH(COLUMNS($U$1006:W1006),$U$1006:$AC$1006,0)), HYPERLINK("#",""), HYPERLINK(CONCATENATE("#metadata!", ADDRESS(INDEX($P$2:$P$1001,MATCH(ROWS($N$2:N143),$N$2:$N$1001,0),0), INDEX($U$1004:$AC$1004,1,MATCH(COLUMNS($U$1006:W1006),$U$1006:$AC$1006,0)))),"Fix")))</f>
        <v>0</v>
      </c>
      <c r="E143" s="3">
        <f>IF(OR(INDEX($O$2:$O$1001,MATCH(ROWS($N$2:N143),$N$2:$N$1001,0),1)&gt;=100000,INDEX($U$1005:$AC$1005,1,MATCH(COLUMNS($U$1006:X1006),$U$1006:$AC$1006,0))&gt;=100000), " ",IF(INDEX($U$2:$AC$1001,MATCH(ROWS($N$2:N143),$N$2:$N$1001,0),MATCH(COLUMNS($U$1006:X1006),$U$1006:$AC$1006,0)), HYPERLINK("#",""), HYPERLINK(CONCATENATE("#metadata!", ADDRESS(INDEX($P$2:$P$1001,MATCH(ROWS($N$2:N143),$N$2:$N$1001,0),0), INDEX($U$1004:$AC$1004,1,MATCH(COLUMNS($U$1006:X1006),$U$1006:$AC$1006,0)))),"Fix")))</f>
        <v>0</v>
      </c>
      <c r="F143" s="3">
        <f>IF(OR(INDEX($O$2:$O$1001,MATCH(ROWS($N$2:N143),$N$2:$N$1001,0),1)&gt;=100000,INDEX($U$1005:$AC$1005,1,MATCH(COLUMNS($U$1006:Y1006),$U$1006:$AC$1006,0))&gt;=100000), " ",IF(INDEX($U$2:$AC$1001,MATCH(ROWS($N$2:N143),$N$2:$N$1001,0),MATCH(COLUMNS($U$1006:Y1006),$U$1006:$AC$1006,0)), HYPERLINK("#",""), HYPERLINK(CONCATENATE("#metadata!", ADDRESS(INDEX($P$2:$P$1001,MATCH(ROWS($N$2:N143),$N$2:$N$1001,0),0), INDEX($U$1004:$AC$1004,1,MATCH(COLUMNS($U$1006:Y1006),$U$1006:$AC$1006,0)))),"Fix")))</f>
        <v>0</v>
      </c>
      <c r="G143" s="3">
        <f>IF(OR(INDEX($O$2:$O$1001,MATCH(ROWS($N$2:N143),$N$2:$N$1001,0),1)&gt;=100000,INDEX($U$1005:$AC$1005,1,MATCH(COLUMNS($U$1006:Z1006),$U$1006:$AC$1006,0))&gt;=100000), " ",IF(INDEX($U$2:$AC$1001,MATCH(ROWS($N$2:N143),$N$2:$N$1001,0),MATCH(COLUMNS($U$1006:Z1006),$U$1006:$AC$1006,0)), HYPERLINK("#",""), HYPERLINK(CONCATENATE("#metadata!", ADDRESS(INDEX($P$2:$P$1001,MATCH(ROWS($N$2:N143),$N$2:$N$1001,0),0), INDEX($U$1004:$AC$1004,1,MATCH(COLUMNS($U$1006:Z1006),$U$1006:$AC$1006,0)))),"Fix")))</f>
        <v>0</v>
      </c>
      <c r="H143" s="3">
        <f>IF(OR(INDEX($O$2:$O$1001,MATCH(ROWS($N$2:N143),$N$2:$N$1001,0),1)&gt;=100000,INDEX($U$1005:$AC$1005,1,MATCH(COLUMNS($U$1006:AA1006),$U$1006:$AC$1006,0))&gt;=100000), " ",IF(INDEX($U$2:$AC$1001,MATCH(ROWS($N$2:N143),$N$2:$N$1001,0),MATCH(COLUMNS($U$1006:AA1006),$U$1006:$AC$1006,0)), HYPERLINK("#",""), HYPERLINK(CONCATENATE("#metadata!", ADDRESS(INDEX($P$2:$P$1001,MATCH(ROWS($N$2:N143),$N$2:$N$1001,0),0), INDEX($U$1004:$AC$1004,1,MATCH(COLUMNS($U$1006:AA1006),$U$1006:$AC$1006,0)))),"Fix")))</f>
        <v>0</v>
      </c>
      <c r="I143" s="3">
        <f>IF(OR(INDEX($O$2:$O$1001,MATCH(ROWS($N$2:N143),$N$2:$N$1001,0),1)&gt;=100000,INDEX($U$1005:$AC$1005,1,MATCH(COLUMNS($U$1006:AB1006),$U$1006:$AC$1006,0))&gt;=100000), " ",IF(INDEX($U$2:$AC$1001,MATCH(ROWS($N$2:N143),$N$2:$N$1001,0),MATCH(COLUMNS($U$1006:AB1006),$U$1006:$AC$1006,0)), HYPERLINK("#",""), HYPERLINK(CONCATENATE("#metadata!", ADDRESS(INDEX($P$2:$P$1001,MATCH(ROWS($N$2:N143),$N$2:$N$1001,0),0), INDEX($U$1004:$AC$1004,1,MATCH(COLUMNS($U$1006:AB1006),$U$1006:$AC$1006,0)))),"Fix")))</f>
        <v>0</v>
      </c>
      <c r="J143" s="3">
        <f>IF(OR(INDEX($O$2:$O$1001,MATCH(ROWS($N$2:N143),$N$2:$N$1001,0),1)&gt;=100000,INDEX($U$1005:$AC$1005,1,MATCH(COLUMNS($U$1006:AC1006),$U$1006:$AC$1006,0))&gt;=100000), " ",IF(INDEX($U$2:$AC$1001,MATCH(ROWS($N$2:N143),$N$2:$N$1001,0),MATCH(COLUMNS($U$1006:AC1006),$U$1006:$AC$1006,0)), HYPERLINK("#",""), HYPERLINK(CONCATENATE("#metadata!", ADDRESS(INDEX($P$2:$P$1001,MATCH(ROWS($N$2:N143),$N$2:$N$1001,0),0), INDEX($U$1004:$AC$1004,1,MATCH(COLUMNS($U$1006:AC1006),$U$1006:$AC$1006,0)))),"Fix")))</f>
        <v>0</v>
      </c>
      <c r="N143">
        <v>0</v>
      </c>
      <c r="O143">
        <v>0</v>
      </c>
      <c r="P143">
        <v>0</v>
      </c>
      <c r="Q143">
        <f>IF(R143,TRUE,AND(U143:AC143))</f>
        <v>0</v>
      </c>
      <c r="R143">
        <f>COUNTBLANK(metadata!B143:J143)=COLUMNS(metadata!B143:J143)</f>
        <v>0</v>
      </c>
      <c r="S143">
        <v>0</v>
      </c>
      <c r="U143">
        <f>AND(IF(metadata!B143="",FALSE,TRUE),COUNTIF(metadata!B:B, metadata!B143) = 1,NOT(ISERROR(SUMPRODUCT(SEARCH(MID(metadata!B143,ROW(INDIRECT("1:"&amp;LEN(metadata!B143))), 1),"0123456789abcdefghijklmnopqrstuvwxyzABCDEFGHIJKLMNOPQRSTUVWXYZ.")))))</f>
        <v>0</v>
      </c>
      <c r="V143">
        <f>AND(IF(metadata!C143="",FALSE,TRUE),exact(metadata!C143,"UBERON:genitourinary"))</f>
        <v>0</v>
      </c>
      <c r="W143">
        <f>AND(IF(metadata!D143="",FALSE,TRUE),exact(metadata!D143,"UBERON:urine"))</f>
        <v>0</v>
      </c>
      <c r="X143">
        <f>AND(IF(metadata!E143="",FALSE,TRUE),exact(metadata!E143,"UBERON:kidney"))</f>
        <v>0</v>
      </c>
      <c r="Y143">
        <f>AND(IF(metadata!F143="",FALSE,TRUE),exact(metadata!F143,"animal corpus"))</f>
        <v>0</v>
      </c>
      <c r="Z143">
        <f>AND(IF(metadata!G143="",FALSE,TRUE),exact(metadata!G143,"urine"))</f>
        <v>0</v>
      </c>
      <c r="AA143">
        <f>AND(IF(metadata!H143="",FALSE,TRUE),exact(metadata!H143,"urine"))</f>
        <v>0</v>
      </c>
      <c r="AB143">
        <f>AND(IF(metadata!I143="",FALSE,TRUE),exact(metadata!I143,"urine metagenome"))</f>
        <v>0</v>
      </c>
      <c r="AC143">
        <f>AND(IF(metadata!J143="",FALSE,TRUE),exact(metadata!J143,"1346744"))</f>
        <v>0</v>
      </c>
    </row>
    <row r="144" spans="1:29">
      <c r="A144" s="4">
        <f>IF(B144=" "," ",HYPERLINK(CONCATENATE("#metadata!",ADDRESS(INDEX($P$2:$P$1001,MATCH(ROWS($N$2:N144),$N$2:$N$1001,0),0),1)),INDEX($S$2:$S$1001,MATCH(ROWS($N$2:N144),$N$2:$N$1001,0),0)))</f>
        <v>0</v>
      </c>
      <c r="B144" s="3">
        <f>IF(OR(INDEX($O$2:$O$1001,MATCH(ROWS($N$2:N144),$N$2:$N$1001,0),1)&gt;=100000,INDEX($U$1005:$AC$1005,1,MATCH(COLUMNS($U$1006:U1006),$U$1006:$AC$1006,0))&gt;=100000), " ",IF(INDEX($U$2:$AC$1001,MATCH(ROWS($N$2:N144),$N$2:$N$1001,0),MATCH(COLUMNS($U$1006:U1006),$U$1006:$AC$1006,0)), HYPERLINK("#",""), HYPERLINK(CONCATENATE("#metadata!", ADDRESS(INDEX($P$2:$P$1001,MATCH(ROWS($N$2:N144),$N$2:$N$1001,0),0), INDEX($U$1004:$AC$1004,1,MATCH(COLUMNS($U$1006:U1006),$U$1006:$AC$1006,0)))),"Fix")))</f>
        <v>0</v>
      </c>
      <c r="C144" s="3">
        <f>IF(OR(INDEX($O$2:$O$1001,MATCH(ROWS($N$2:N144),$N$2:$N$1001,0),1)&gt;=100000,INDEX($U$1005:$AC$1005,1,MATCH(COLUMNS($U$1006:V1006),$U$1006:$AC$1006,0))&gt;=100000), " ",IF(INDEX($U$2:$AC$1001,MATCH(ROWS($N$2:N144),$N$2:$N$1001,0),MATCH(COLUMNS($U$1006:V1006),$U$1006:$AC$1006,0)), HYPERLINK("#",""), HYPERLINK(CONCATENATE("#metadata!", ADDRESS(INDEX($P$2:$P$1001,MATCH(ROWS($N$2:N144),$N$2:$N$1001,0),0), INDEX($U$1004:$AC$1004,1,MATCH(COLUMNS($U$1006:V1006),$U$1006:$AC$1006,0)))),"Fix")))</f>
        <v>0</v>
      </c>
      <c r="D144" s="3">
        <f>IF(OR(INDEX($O$2:$O$1001,MATCH(ROWS($N$2:N144),$N$2:$N$1001,0),1)&gt;=100000,INDEX($U$1005:$AC$1005,1,MATCH(COLUMNS($U$1006:W1006),$U$1006:$AC$1006,0))&gt;=100000), " ",IF(INDEX($U$2:$AC$1001,MATCH(ROWS($N$2:N144),$N$2:$N$1001,0),MATCH(COLUMNS($U$1006:W1006),$U$1006:$AC$1006,0)), HYPERLINK("#",""), HYPERLINK(CONCATENATE("#metadata!", ADDRESS(INDEX($P$2:$P$1001,MATCH(ROWS($N$2:N144),$N$2:$N$1001,0),0), INDEX($U$1004:$AC$1004,1,MATCH(COLUMNS($U$1006:W1006),$U$1006:$AC$1006,0)))),"Fix")))</f>
        <v>0</v>
      </c>
      <c r="E144" s="3">
        <f>IF(OR(INDEX($O$2:$O$1001,MATCH(ROWS($N$2:N144),$N$2:$N$1001,0),1)&gt;=100000,INDEX($U$1005:$AC$1005,1,MATCH(COLUMNS($U$1006:X1006),$U$1006:$AC$1006,0))&gt;=100000), " ",IF(INDEX($U$2:$AC$1001,MATCH(ROWS($N$2:N144),$N$2:$N$1001,0),MATCH(COLUMNS($U$1006:X1006),$U$1006:$AC$1006,0)), HYPERLINK("#",""), HYPERLINK(CONCATENATE("#metadata!", ADDRESS(INDEX($P$2:$P$1001,MATCH(ROWS($N$2:N144),$N$2:$N$1001,0),0), INDEX($U$1004:$AC$1004,1,MATCH(COLUMNS($U$1006:X1006),$U$1006:$AC$1006,0)))),"Fix")))</f>
        <v>0</v>
      </c>
      <c r="F144" s="3">
        <f>IF(OR(INDEX($O$2:$O$1001,MATCH(ROWS($N$2:N144),$N$2:$N$1001,0),1)&gt;=100000,INDEX($U$1005:$AC$1005,1,MATCH(COLUMNS($U$1006:Y1006),$U$1006:$AC$1006,0))&gt;=100000), " ",IF(INDEX($U$2:$AC$1001,MATCH(ROWS($N$2:N144),$N$2:$N$1001,0),MATCH(COLUMNS($U$1006:Y1006),$U$1006:$AC$1006,0)), HYPERLINK("#",""), HYPERLINK(CONCATENATE("#metadata!", ADDRESS(INDEX($P$2:$P$1001,MATCH(ROWS($N$2:N144),$N$2:$N$1001,0),0), INDEX($U$1004:$AC$1004,1,MATCH(COLUMNS($U$1006:Y1006),$U$1006:$AC$1006,0)))),"Fix")))</f>
        <v>0</v>
      </c>
      <c r="G144" s="3">
        <f>IF(OR(INDEX($O$2:$O$1001,MATCH(ROWS($N$2:N144),$N$2:$N$1001,0),1)&gt;=100000,INDEX($U$1005:$AC$1005,1,MATCH(COLUMNS($U$1006:Z1006),$U$1006:$AC$1006,0))&gt;=100000), " ",IF(INDEX($U$2:$AC$1001,MATCH(ROWS($N$2:N144),$N$2:$N$1001,0),MATCH(COLUMNS($U$1006:Z1006),$U$1006:$AC$1006,0)), HYPERLINK("#",""), HYPERLINK(CONCATENATE("#metadata!", ADDRESS(INDEX($P$2:$P$1001,MATCH(ROWS($N$2:N144),$N$2:$N$1001,0),0), INDEX($U$1004:$AC$1004,1,MATCH(COLUMNS($U$1006:Z1006),$U$1006:$AC$1006,0)))),"Fix")))</f>
        <v>0</v>
      </c>
      <c r="H144" s="3">
        <f>IF(OR(INDEX($O$2:$O$1001,MATCH(ROWS($N$2:N144),$N$2:$N$1001,0),1)&gt;=100000,INDEX($U$1005:$AC$1005,1,MATCH(COLUMNS($U$1006:AA1006),$U$1006:$AC$1006,0))&gt;=100000), " ",IF(INDEX($U$2:$AC$1001,MATCH(ROWS($N$2:N144),$N$2:$N$1001,0),MATCH(COLUMNS($U$1006:AA1006),$U$1006:$AC$1006,0)), HYPERLINK("#",""), HYPERLINK(CONCATENATE("#metadata!", ADDRESS(INDEX($P$2:$P$1001,MATCH(ROWS($N$2:N144),$N$2:$N$1001,0),0), INDEX($U$1004:$AC$1004,1,MATCH(COLUMNS($U$1006:AA1006),$U$1006:$AC$1006,0)))),"Fix")))</f>
        <v>0</v>
      </c>
      <c r="I144" s="3">
        <f>IF(OR(INDEX($O$2:$O$1001,MATCH(ROWS($N$2:N144),$N$2:$N$1001,0),1)&gt;=100000,INDEX($U$1005:$AC$1005,1,MATCH(COLUMNS($U$1006:AB1006),$U$1006:$AC$1006,0))&gt;=100000), " ",IF(INDEX($U$2:$AC$1001,MATCH(ROWS($N$2:N144),$N$2:$N$1001,0),MATCH(COLUMNS($U$1006:AB1006),$U$1006:$AC$1006,0)), HYPERLINK("#",""), HYPERLINK(CONCATENATE("#metadata!", ADDRESS(INDEX($P$2:$P$1001,MATCH(ROWS($N$2:N144),$N$2:$N$1001,0),0), INDEX($U$1004:$AC$1004,1,MATCH(COLUMNS($U$1006:AB1006),$U$1006:$AC$1006,0)))),"Fix")))</f>
        <v>0</v>
      </c>
      <c r="J144" s="3">
        <f>IF(OR(INDEX($O$2:$O$1001,MATCH(ROWS($N$2:N144),$N$2:$N$1001,0),1)&gt;=100000,INDEX($U$1005:$AC$1005,1,MATCH(COLUMNS($U$1006:AC1006),$U$1006:$AC$1006,0))&gt;=100000), " ",IF(INDEX($U$2:$AC$1001,MATCH(ROWS($N$2:N144),$N$2:$N$1001,0),MATCH(COLUMNS($U$1006:AC1006),$U$1006:$AC$1006,0)), HYPERLINK("#",""), HYPERLINK(CONCATENATE("#metadata!", ADDRESS(INDEX($P$2:$P$1001,MATCH(ROWS($N$2:N144),$N$2:$N$1001,0),0), INDEX($U$1004:$AC$1004,1,MATCH(COLUMNS($U$1006:AC1006),$U$1006:$AC$1006,0)))),"Fix")))</f>
        <v>0</v>
      </c>
      <c r="N144">
        <v>0</v>
      </c>
      <c r="O144">
        <v>0</v>
      </c>
      <c r="P144">
        <v>0</v>
      </c>
      <c r="Q144">
        <f>IF(R144,TRUE,AND(U144:AC144))</f>
        <v>0</v>
      </c>
      <c r="R144">
        <f>COUNTBLANK(metadata!B144:J144)=COLUMNS(metadata!B144:J144)</f>
        <v>0</v>
      </c>
      <c r="S144">
        <v>0</v>
      </c>
      <c r="U144">
        <f>AND(IF(metadata!B144="",FALSE,TRUE),COUNTIF(metadata!B:B, metadata!B144) = 1,NOT(ISERROR(SUMPRODUCT(SEARCH(MID(metadata!B144,ROW(INDIRECT("1:"&amp;LEN(metadata!B144))), 1),"0123456789abcdefghijklmnopqrstuvwxyzABCDEFGHIJKLMNOPQRSTUVWXYZ.")))))</f>
        <v>0</v>
      </c>
      <c r="V144">
        <f>AND(IF(metadata!C144="",FALSE,TRUE),exact(metadata!C144,"UBERON:genitourinary"))</f>
        <v>0</v>
      </c>
      <c r="W144">
        <f>AND(IF(metadata!D144="",FALSE,TRUE),exact(metadata!D144,"UBERON:urine"))</f>
        <v>0</v>
      </c>
      <c r="X144">
        <f>AND(IF(metadata!E144="",FALSE,TRUE),exact(metadata!E144,"UBERON:kidney"))</f>
        <v>0</v>
      </c>
      <c r="Y144">
        <f>AND(IF(metadata!F144="",FALSE,TRUE),exact(metadata!F144,"animal corpus"))</f>
        <v>0</v>
      </c>
      <c r="Z144">
        <f>AND(IF(metadata!G144="",FALSE,TRUE),exact(metadata!G144,"urine"))</f>
        <v>0</v>
      </c>
      <c r="AA144">
        <f>AND(IF(metadata!H144="",FALSE,TRUE),exact(metadata!H144,"urine"))</f>
        <v>0</v>
      </c>
      <c r="AB144">
        <f>AND(IF(metadata!I144="",FALSE,TRUE),exact(metadata!I144,"urine metagenome"))</f>
        <v>0</v>
      </c>
      <c r="AC144">
        <f>AND(IF(metadata!J144="",FALSE,TRUE),exact(metadata!J144,"1346744"))</f>
        <v>0</v>
      </c>
    </row>
    <row r="145" spans="1:29">
      <c r="A145" s="4">
        <f>IF(B145=" "," ",HYPERLINK(CONCATENATE("#metadata!",ADDRESS(INDEX($P$2:$P$1001,MATCH(ROWS($N$2:N145),$N$2:$N$1001,0),0),1)),INDEX($S$2:$S$1001,MATCH(ROWS($N$2:N145),$N$2:$N$1001,0),0)))</f>
        <v>0</v>
      </c>
      <c r="B145" s="3">
        <f>IF(OR(INDEX($O$2:$O$1001,MATCH(ROWS($N$2:N145),$N$2:$N$1001,0),1)&gt;=100000,INDEX($U$1005:$AC$1005,1,MATCH(COLUMNS($U$1006:U1006),$U$1006:$AC$1006,0))&gt;=100000), " ",IF(INDEX($U$2:$AC$1001,MATCH(ROWS($N$2:N145),$N$2:$N$1001,0),MATCH(COLUMNS($U$1006:U1006),$U$1006:$AC$1006,0)), HYPERLINK("#",""), HYPERLINK(CONCATENATE("#metadata!", ADDRESS(INDEX($P$2:$P$1001,MATCH(ROWS($N$2:N145),$N$2:$N$1001,0),0), INDEX($U$1004:$AC$1004,1,MATCH(COLUMNS($U$1006:U1006),$U$1006:$AC$1006,0)))),"Fix")))</f>
        <v>0</v>
      </c>
      <c r="C145" s="3">
        <f>IF(OR(INDEX($O$2:$O$1001,MATCH(ROWS($N$2:N145),$N$2:$N$1001,0),1)&gt;=100000,INDEX($U$1005:$AC$1005,1,MATCH(COLUMNS($U$1006:V1006),$U$1006:$AC$1006,0))&gt;=100000), " ",IF(INDEX($U$2:$AC$1001,MATCH(ROWS($N$2:N145),$N$2:$N$1001,0),MATCH(COLUMNS($U$1006:V1006),$U$1006:$AC$1006,0)), HYPERLINK("#",""), HYPERLINK(CONCATENATE("#metadata!", ADDRESS(INDEX($P$2:$P$1001,MATCH(ROWS($N$2:N145),$N$2:$N$1001,0),0), INDEX($U$1004:$AC$1004,1,MATCH(COLUMNS($U$1006:V1006),$U$1006:$AC$1006,0)))),"Fix")))</f>
        <v>0</v>
      </c>
      <c r="D145" s="3">
        <f>IF(OR(INDEX($O$2:$O$1001,MATCH(ROWS($N$2:N145),$N$2:$N$1001,0),1)&gt;=100000,INDEX($U$1005:$AC$1005,1,MATCH(COLUMNS($U$1006:W1006),$U$1006:$AC$1006,0))&gt;=100000), " ",IF(INDEX($U$2:$AC$1001,MATCH(ROWS($N$2:N145),$N$2:$N$1001,0),MATCH(COLUMNS($U$1006:W1006),$U$1006:$AC$1006,0)), HYPERLINK("#",""), HYPERLINK(CONCATENATE("#metadata!", ADDRESS(INDEX($P$2:$P$1001,MATCH(ROWS($N$2:N145),$N$2:$N$1001,0),0), INDEX($U$1004:$AC$1004,1,MATCH(COLUMNS($U$1006:W1006),$U$1006:$AC$1006,0)))),"Fix")))</f>
        <v>0</v>
      </c>
      <c r="E145" s="3">
        <f>IF(OR(INDEX($O$2:$O$1001,MATCH(ROWS($N$2:N145),$N$2:$N$1001,0),1)&gt;=100000,INDEX($U$1005:$AC$1005,1,MATCH(COLUMNS($U$1006:X1006),$U$1006:$AC$1006,0))&gt;=100000), " ",IF(INDEX($U$2:$AC$1001,MATCH(ROWS($N$2:N145),$N$2:$N$1001,0),MATCH(COLUMNS($U$1006:X1006),$U$1006:$AC$1006,0)), HYPERLINK("#",""), HYPERLINK(CONCATENATE("#metadata!", ADDRESS(INDEX($P$2:$P$1001,MATCH(ROWS($N$2:N145),$N$2:$N$1001,0),0), INDEX($U$1004:$AC$1004,1,MATCH(COLUMNS($U$1006:X1006),$U$1006:$AC$1006,0)))),"Fix")))</f>
        <v>0</v>
      </c>
      <c r="F145" s="3">
        <f>IF(OR(INDEX($O$2:$O$1001,MATCH(ROWS($N$2:N145),$N$2:$N$1001,0),1)&gt;=100000,INDEX($U$1005:$AC$1005,1,MATCH(COLUMNS($U$1006:Y1006),$U$1006:$AC$1006,0))&gt;=100000), " ",IF(INDEX($U$2:$AC$1001,MATCH(ROWS($N$2:N145),$N$2:$N$1001,0),MATCH(COLUMNS($U$1006:Y1006),$U$1006:$AC$1006,0)), HYPERLINK("#",""), HYPERLINK(CONCATENATE("#metadata!", ADDRESS(INDEX($P$2:$P$1001,MATCH(ROWS($N$2:N145),$N$2:$N$1001,0),0), INDEX($U$1004:$AC$1004,1,MATCH(COLUMNS($U$1006:Y1006),$U$1006:$AC$1006,0)))),"Fix")))</f>
        <v>0</v>
      </c>
      <c r="G145" s="3">
        <f>IF(OR(INDEX($O$2:$O$1001,MATCH(ROWS($N$2:N145),$N$2:$N$1001,0),1)&gt;=100000,INDEX($U$1005:$AC$1005,1,MATCH(COLUMNS($U$1006:Z1006),$U$1006:$AC$1006,0))&gt;=100000), " ",IF(INDEX($U$2:$AC$1001,MATCH(ROWS($N$2:N145),$N$2:$N$1001,0),MATCH(COLUMNS($U$1006:Z1006),$U$1006:$AC$1006,0)), HYPERLINK("#",""), HYPERLINK(CONCATENATE("#metadata!", ADDRESS(INDEX($P$2:$P$1001,MATCH(ROWS($N$2:N145),$N$2:$N$1001,0),0), INDEX($U$1004:$AC$1004,1,MATCH(COLUMNS($U$1006:Z1006),$U$1006:$AC$1006,0)))),"Fix")))</f>
        <v>0</v>
      </c>
      <c r="H145" s="3">
        <f>IF(OR(INDEX($O$2:$O$1001,MATCH(ROWS($N$2:N145),$N$2:$N$1001,0),1)&gt;=100000,INDEX($U$1005:$AC$1005,1,MATCH(COLUMNS($U$1006:AA1006),$U$1006:$AC$1006,0))&gt;=100000), " ",IF(INDEX($U$2:$AC$1001,MATCH(ROWS($N$2:N145),$N$2:$N$1001,0),MATCH(COLUMNS($U$1006:AA1006),$U$1006:$AC$1006,0)), HYPERLINK("#",""), HYPERLINK(CONCATENATE("#metadata!", ADDRESS(INDEX($P$2:$P$1001,MATCH(ROWS($N$2:N145),$N$2:$N$1001,0),0), INDEX($U$1004:$AC$1004,1,MATCH(COLUMNS($U$1006:AA1006),$U$1006:$AC$1006,0)))),"Fix")))</f>
        <v>0</v>
      </c>
      <c r="I145" s="3">
        <f>IF(OR(INDEX($O$2:$O$1001,MATCH(ROWS($N$2:N145),$N$2:$N$1001,0),1)&gt;=100000,INDEX($U$1005:$AC$1005,1,MATCH(COLUMNS($U$1006:AB1006),$U$1006:$AC$1006,0))&gt;=100000), " ",IF(INDEX($U$2:$AC$1001,MATCH(ROWS($N$2:N145),$N$2:$N$1001,0),MATCH(COLUMNS($U$1006:AB1006),$U$1006:$AC$1006,0)), HYPERLINK("#",""), HYPERLINK(CONCATENATE("#metadata!", ADDRESS(INDEX($P$2:$P$1001,MATCH(ROWS($N$2:N145),$N$2:$N$1001,0),0), INDEX($U$1004:$AC$1004,1,MATCH(COLUMNS($U$1006:AB1006),$U$1006:$AC$1006,0)))),"Fix")))</f>
        <v>0</v>
      </c>
      <c r="J145" s="3">
        <f>IF(OR(INDEX($O$2:$O$1001,MATCH(ROWS($N$2:N145),$N$2:$N$1001,0),1)&gt;=100000,INDEX($U$1005:$AC$1005,1,MATCH(COLUMNS($U$1006:AC1006),$U$1006:$AC$1006,0))&gt;=100000), " ",IF(INDEX($U$2:$AC$1001,MATCH(ROWS($N$2:N145),$N$2:$N$1001,0),MATCH(COLUMNS($U$1006:AC1006),$U$1006:$AC$1006,0)), HYPERLINK("#",""), HYPERLINK(CONCATENATE("#metadata!", ADDRESS(INDEX($P$2:$P$1001,MATCH(ROWS($N$2:N145),$N$2:$N$1001,0),0), INDEX($U$1004:$AC$1004,1,MATCH(COLUMNS($U$1006:AC1006),$U$1006:$AC$1006,0)))),"Fix")))</f>
        <v>0</v>
      </c>
      <c r="N145">
        <v>0</v>
      </c>
      <c r="O145">
        <v>0</v>
      </c>
      <c r="P145">
        <v>0</v>
      </c>
      <c r="Q145">
        <f>IF(R145,TRUE,AND(U145:AC145))</f>
        <v>0</v>
      </c>
      <c r="R145">
        <f>COUNTBLANK(metadata!B145:J145)=COLUMNS(metadata!B145:J145)</f>
        <v>0</v>
      </c>
      <c r="S145">
        <v>0</v>
      </c>
      <c r="U145">
        <f>AND(IF(metadata!B145="",FALSE,TRUE),COUNTIF(metadata!B:B, metadata!B145) = 1,NOT(ISERROR(SUMPRODUCT(SEARCH(MID(metadata!B145,ROW(INDIRECT("1:"&amp;LEN(metadata!B145))), 1),"0123456789abcdefghijklmnopqrstuvwxyzABCDEFGHIJKLMNOPQRSTUVWXYZ.")))))</f>
        <v>0</v>
      </c>
      <c r="V145">
        <f>AND(IF(metadata!C145="",FALSE,TRUE),exact(metadata!C145,"UBERON:genitourinary"))</f>
        <v>0</v>
      </c>
      <c r="W145">
        <f>AND(IF(metadata!D145="",FALSE,TRUE),exact(metadata!D145,"UBERON:urine"))</f>
        <v>0</v>
      </c>
      <c r="X145">
        <f>AND(IF(metadata!E145="",FALSE,TRUE),exact(metadata!E145,"UBERON:kidney"))</f>
        <v>0</v>
      </c>
      <c r="Y145">
        <f>AND(IF(metadata!F145="",FALSE,TRUE),exact(metadata!F145,"animal corpus"))</f>
        <v>0</v>
      </c>
      <c r="Z145">
        <f>AND(IF(metadata!G145="",FALSE,TRUE),exact(metadata!G145,"urine"))</f>
        <v>0</v>
      </c>
      <c r="AA145">
        <f>AND(IF(metadata!H145="",FALSE,TRUE),exact(metadata!H145,"urine"))</f>
        <v>0</v>
      </c>
      <c r="AB145">
        <f>AND(IF(metadata!I145="",FALSE,TRUE),exact(metadata!I145,"urine metagenome"))</f>
        <v>0</v>
      </c>
      <c r="AC145">
        <f>AND(IF(metadata!J145="",FALSE,TRUE),exact(metadata!J145,"1346744"))</f>
        <v>0</v>
      </c>
    </row>
    <row r="146" spans="1:29">
      <c r="A146" s="4">
        <f>IF(B146=" "," ",HYPERLINK(CONCATENATE("#metadata!",ADDRESS(INDEX($P$2:$P$1001,MATCH(ROWS($N$2:N146),$N$2:$N$1001,0),0),1)),INDEX($S$2:$S$1001,MATCH(ROWS($N$2:N146),$N$2:$N$1001,0),0)))</f>
        <v>0</v>
      </c>
      <c r="B146" s="3">
        <f>IF(OR(INDEX($O$2:$O$1001,MATCH(ROWS($N$2:N146),$N$2:$N$1001,0),1)&gt;=100000,INDEX($U$1005:$AC$1005,1,MATCH(COLUMNS($U$1006:U1006),$U$1006:$AC$1006,0))&gt;=100000), " ",IF(INDEX($U$2:$AC$1001,MATCH(ROWS($N$2:N146),$N$2:$N$1001,0),MATCH(COLUMNS($U$1006:U1006),$U$1006:$AC$1006,0)), HYPERLINK("#",""), HYPERLINK(CONCATENATE("#metadata!", ADDRESS(INDEX($P$2:$P$1001,MATCH(ROWS($N$2:N146),$N$2:$N$1001,0),0), INDEX($U$1004:$AC$1004,1,MATCH(COLUMNS($U$1006:U1006),$U$1006:$AC$1006,0)))),"Fix")))</f>
        <v>0</v>
      </c>
      <c r="C146" s="3">
        <f>IF(OR(INDEX($O$2:$O$1001,MATCH(ROWS($N$2:N146),$N$2:$N$1001,0),1)&gt;=100000,INDEX($U$1005:$AC$1005,1,MATCH(COLUMNS($U$1006:V1006),$U$1006:$AC$1006,0))&gt;=100000), " ",IF(INDEX($U$2:$AC$1001,MATCH(ROWS($N$2:N146),$N$2:$N$1001,0),MATCH(COLUMNS($U$1006:V1006),$U$1006:$AC$1006,0)), HYPERLINK("#",""), HYPERLINK(CONCATENATE("#metadata!", ADDRESS(INDEX($P$2:$P$1001,MATCH(ROWS($N$2:N146),$N$2:$N$1001,0),0), INDEX($U$1004:$AC$1004,1,MATCH(COLUMNS($U$1006:V1006),$U$1006:$AC$1006,0)))),"Fix")))</f>
        <v>0</v>
      </c>
      <c r="D146" s="3">
        <f>IF(OR(INDEX($O$2:$O$1001,MATCH(ROWS($N$2:N146),$N$2:$N$1001,0),1)&gt;=100000,INDEX($U$1005:$AC$1005,1,MATCH(COLUMNS($U$1006:W1006),$U$1006:$AC$1006,0))&gt;=100000), " ",IF(INDEX($U$2:$AC$1001,MATCH(ROWS($N$2:N146),$N$2:$N$1001,0),MATCH(COLUMNS($U$1006:W1006),$U$1006:$AC$1006,0)), HYPERLINK("#",""), HYPERLINK(CONCATENATE("#metadata!", ADDRESS(INDEX($P$2:$P$1001,MATCH(ROWS($N$2:N146),$N$2:$N$1001,0),0), INDEX($U$1004:$AC$1004,1,MATCH(COLUMNS($U$1006:W1006),$U$1006:$AC$1006,0)))),"Fix")))</f>
        <v>0</v>
      </c>
      <c r="E146" s="3">
        <f>IF(OR(INDEX($O$2:$O$1001,MATCH(ROWS($N$2:N146),$N$2:$N$1001,0),1)&gt;=100000,INDEX($U$1005:$AC$1005,1,MATCH(COLUMNS($U$1006:X1006),$U$1006:$AC$1006,0))&gt;=100000), " ",IF(INDEX($U$2:$AC$1001,MATCH(ROWS($N$2:N146),$N$2:$N$1001,0),MATCH(COLUMNS($U$1006:X1006),$U$1006:$AC$1006,0)), HYPERLINK("#",""), HYPERLINK(CONCATENATE("#metadata!", ADDRESS(INDEX($P$2:$P$1001,MATCH(ROWS($N$2:N146),$N$2:$N$1001,0),0), INDEX($U$1004:$AC$1004,1,MATCH(COLUMNS($U$1006:X1006),$U$1006:$AC$1006,0)))),"Fix")))</f>
        <v>0</v>
      </c>
      <c r="F146" s="3">
        <f>IF(OR(INDEX($O$2:$O$1001,MATCH(ROWS($N$2:N146),$N$2:$N$1001,0),1)&gt;=100000,INDEX($U$1005:$AC$1005,1,MATCH(COLUMNS($U$1006:Y1006),$U$1006:$AC$1006,0))&gt;=100000), " ",IF(INDEX($U$2:$AC$1001,MATCH(ROWS($N$2:N146),$N$2:$N$1001,0),MATCH(COLUMNS($U$1006:Y1006),$U$1006:$AC$1006,0)), HYPERLINK("#",""), HYPERLINK(CONCATENATE("#metadata!", ADDRESS(INDEX($P$2:$P$1001,MATCH(ROWS($N$2:N146),$N$2:$N$1001,0),0), INDEX($U$1004:$AC$1004,1,MATCH(COLUMNS($U$1006:Y1006),$U$1006:$AC$1006,0)))),"Fix")))</f>
        <v>0</v>
      </c>
      <c r="G146" s="3">
        <f>IF(OR(INDEX($O$2:$O$1001,MATCH(ROWS($N$2:N146),$N$2:$N$1001,0),1)&gt;=100000,INDEX($U$1005:$AC$1005,1,MATCH(COLUMNS($U$1006:Z1006),$U$1006:$AC$1006,0))&gt;=100000), " ",IF(INDEX($U$2:$AC$1001,MATCH(ROWS($N$2:N146),$N$2:$N$1001,0),MATCH(COLUMNS($U$1006:Z1006),$U$1006:$AC$1006,0)), HYPERLINK("#",""), HYPERLINK(CONCATENATE("#metadata!", ADDRESS(INDEX($P$2:$P$1001,MATCH(ROWS($N$2:N146),$N$2:$N$1001,0),0), INDEX($U$1004:$AC$1004,1,MATCH(COLUMNS($U$1006:Z1006),$U$1006:$AC$1006,0)))),"Fix")))</f>
        <v>0</v>
      </c>
      <c r="H146" s="3">
        <f>IF(OR(INDEX($O$2:$O$1001,MATCH(ROWS($N$2:N146),$N$2:$N$1001,0),1)&gt;=100000,INDEX($U$1005:$AC$1005,1,MATCH(COLUMNS($U$1006:AA1006),$U$1006:$AC$1006,0))&gt;=100000), " ",IF(INDEX($U$2:$AC$1001,MATCH(ROWS($N$2:N146),$N$2:$N$1001,0),MATCH(COLUMNS($U$1006:AA1006),$U$1006:$AC$1006,0)), HYPERLINK("#",""), HYPERLINK(CONCATENATE("#metadata!", ADDRESS(INDEX($P$2:$P$1001,MATCH(ROWS($N$2:N146),$N$2:$N$1001,0),0), INDEX($U$1004:$AC$1004,1,MATCH(COLUMNS($U$1006:AA1006),$U$1006:$AC$1006,0)))),"Fix")))</f>
        <v>0</v>
      </c>
      <c r="I146" s="3">
        <f>IF(OR(INDEX($O$2:$O$1001,MATCH(ROWS($N$2:N146),$N$2:$N$1001,0),1)&gt;=100000,INDEX($U$1005:$AC$1005,1,MATCH(COLUMNS($U$1006:AB1006),$U$1006:$AC$1006,0))&gt;=100000), " ",IF(INDEX($U$2:$AC$1001,MATCH(ROWS($N$2:N146),$N$2:$N$1001,0),MATCH(COLUMNS($U$1006:AB1006),$U$1006:$AC$1006,0)), HYPERLINK("#",""), HYPERLINK(CONCATENATE("#metadata!", ADDRESS(INDEX($P$2:$P$1001,MATCH(ROWS($N$2:N146),$N$2:$N$1001,0),0), INDEX($U$1004:$AC$1004,1,MATCH(COLUMNS($U$1006:AB1006),$U$1006:$AC$1006,0)))),"Fix")))</f>
        <v>0</v>
      </c>
      <c r="J146" s="3">
        <f>IF(OR(INDEX($O$2:$O$1001,MATCH(ROWS($N$2:N146),$N$2:$N$1001,0),1)&gt;=100000,INDEX($U$1005:$AC$1005,1,MATCH(COLUMNS($U$1006:AC1006),$U$1006:$AC$1006,0))&gt;=100000), " ",IF(INDEX($U$2:$AC$1001,MATCH(ROWS($N$2:N146),$N$2:$N$1001,0),MATCH(COLUMNS($U$1006:AC1006),$U$1006:$AC$1006,0)), HYPERLINK("#",""), HYPERLINK(CONCATENATE("#metadata!", ADDRESS(INDEX($P$2:$P$1001,MATCH(ROWS($N$2:N146),$N$2:$N$1001,0),0), INDEX($U$1004:$AC$1004,1,MATCH(COLUMNS($U$1006:AC1006),$U$1006:$AC$1006,0)))),"Fix")))</f>
        <v>0</v>
      </c>
      <c r="N146">
        <v>0</v>
      </c>
      <c r="O146">
        <v>0</v>
      </c>
      <c r="P146">
        <v>0</v>
      </c>
      <c r="Q146">
        <f>IF(R146,TRUE,AND(U146:AC146))</f>
        <v>0</v>
      </c>
      <c r="R146">
        <f>COUNTBLANK(metadata!B146:J146)=COLUMNS(metadata!B146:J146)</f>
        <v>0</v>
      </c>
      <c r="S146">
        <v>0</v>
      </c>
      <c r="U146">
        <f>AND(IF(metadata!B146="",FALSE,TRUE),COUNTIF(metadata!B:B, metadata!B146) = 1,NOT(ISERROR(SUMPRODUCT(SEARCH(MID(metadata!B146,ROW(INDIRECT("1:"&amp;LEN(metadata!B146))), 1),"0123456789abcdefghijklmnopqrstuvwxyzABCDEFGHIJKLMNOPQRSTUVWXYZ.")))))</f>
        <v>0</v>
      </c>
      <c r="V146">
        <f>AND(IF(metadata!C146="",FALSE,TRUE),exact(metadata!C146,"UBERON:genitourinary"))</f>
        <v>0</v>
      </c>
      <c r="W146">
        <f>AND(IF(metadata!D146="",FALSE,TRUE),exact(metadata!D146,"UBERON:urine"))</f>
        <v>0</v>
      </c>
      <c r="X146">
        <f>AND(IF(metadata!E146="",FALSE,TRUE),exact(metadata!E146,"UBERON:kidney"))</f>
        <v>0</v>
      </c>
      <c r="Y146">
        <f>AND(IF(metadata!F146="",FALSE,TRUE),exact(metadata!F146,"animal corpus"))</f>
        <v>0</v>
      </c>
      <c r="Z146">
        <f>AND(IF(metadata!G146="",FALSE,TRUE),exact(metadata!G146,"urine"))</f>
        <v>0</v>
      </c>
      <c r="AA146">
        <f>AND(IF(metadata!H146="",FALSE,TRUE),exact(metadata!H146,"urine"))</f>
        <v>0</v>
      </c>
      <c r="AB146">
        <f>AND(IF(metadata!I146="",FALSE,TRUE),exact(metadata!I146,"urine metagenome"))</f>
        <v>0</v>
      </c>
      <c r="AC146">
        <f>AND(IF(metadata!J146="",FALSE,TRUE),exact(metadata!J146,"1346744"))</f>
        <v>0</v>
      </c>
    </row>
    <row r="147" spans="1:29">
      <c r="A147" s="4">
        <f>IF(B147=" "," ",HYPERLINK(CONCATENATE("#metadata!",ADDRESS(INDEX($P$2:$P$1001,MATCH(ROWS($N$2:N147),$N$2:$N$1001,0),0),1)),INDEX($S$2:$S$1001,MATCH(ROWS($N$2:N147),$N$2:$N$1001,0),0)))</f>
        <v>0</v>
      </c>
      <c r="B147" s="3">
        <f>IF(OR(INDEX($O$2:$O$1001,MATCH(ROWS($N$2:N147),$N$2:$N$1001,0),1)&gt;=100000,INDEX($U$1005:$AC$1005,1,MATCH(COLUMNS($U$1006:U1006),$U$1006:$AC$1006,0))&gt;=100000), " ",IF(INDEX($U$2:$AC$1001,MATCH(ROWS($N$2:N147),$N$2:$N$1001,0),MATCH(COLUMNS($U$1006:U1006),$U$1006:$AC$1006,0)), HYPERLINK("#",""), HYPERLINK(CONCATENATE("#metadata!", ADDRESS(INDEX($P$2:$P$1001,MATCH(ROWS($N$2:N147),$N$2:$N$1001,0),0), INDEX($U$1004:$AC$1004,1,MATCH(COLUMNS($U$1006:U1006),$U$1006:$AC$1006,0)))),"Fix")))</f>
        <v>0</v>
      </c>
      <c r="C147" s="3">
        <f>IF(OR(INDEX($O$2:$O$1001,MATCH(ROWS($N$2:N147),$N$2:$N$1001,0),1)&gt;=100000,INDEX($U$1005:$AC$1005,1,MATCH(COLUMNS($U$1006:V1006),$U$1006:$AC$1006,0))&gt;=100000), " ",IF(INDEX($U$2:$AC$1001,MATCH(ROWS($N$2:N147),$N$2:$N$1001,0),MATCH(COLUMNS($U$1006:V1006),$U$1006:$AC$1006,0)), HYPERLINK("#",""), HYPERLINK(CONCATENATE("#metadata!", ADDRESS(INDEX($P$2:$P$1001,MATCH(ROWS($N$2:N147),$N$2:$N$1001,0),0), INDEX($U$1004:$AC$1004,1,MATCH(COLUMNS($U$1006:V1006),$U$1006:$AC$1006,0)))),"Fix")))</f>
        <v>0</v>
      </c>
      <c r="D147" s="3">
        <f>IF(OR(INDEX($O$2:$O$1001,MATCH(ROWS($N$2:N147),$N$2:$N$1001,0),1)&gt;=100000,INDEX($U$1005:$AC$1005,1,MATCH(COLUMNS($U$1006:W1006),$U$1006:$AC$1006,0))&gt;=100000), " ",IF(INDEX($U$2:$AC$1001,MATCH(ROWS($N$2:N147),$N$2:$N$1001,0),MATCH(COLUMNS($U$1006:W1006),$U$1006:$AC$1006,0)), HYPERLINK("#",""), HYPERLINK(CONCATENATE("#metadata!", ADDRESS(INDEX($P$2:$P$1001,MATCH(ROWS($N$2:N147),$N$2:$N$1001,0),0), INDEX($U$1004:$AC$1004,1,MATCH(COLUMNS($U$1006:W1006),$U$1006:$AC$1006,0)))),"Fix")))</f>
        <v>0</v>
      </c>
      <c r="E147" s="3">
        <f>IF(OR(INDEX($O$2:$O$1001,MATCH(ROWS($N$2:N147),$N$2:$N$1001,0),1)&gt;=100000,INDEX($U$1005:$AC$1005,1,MATCH(COLUMNS($U$1006:X1006),$U$1006:$AC$1006,0))&gt;=100000), " ",IF(INDEX($U$2:$AC$1001,MATCH(ROWS($N$2:N147),$N$2:$N$1001,0),MATCH(COLUMNS($U$1006:X1006),$U$1006:$AC$1006,0)), HYPERLINK("#",""), HYPERLINK(CONCATENATE("#metadata!", ADDRESS(INDEX($P$2:$P$1001,MATCH(ROWS($N$2:N147),$N$2:$N$1001,0),0), INDEX($U$1004:$AC$1004,1,MATCH(COLUMNS($U$1006:X1006),$U$1006:$AC$1006,0)))),"Fix")))</f>
        <v>0</v>
      </c>
      <c r="F147" s="3">
        <f>IF(OR(INDEX($O$2:$O$1001,MATCH(ROWS($N$2:N147),$N$2:$N$1001,0),1)&gt;=100000,INDEX($U$1005:$AC$1005,1,MATCH(COLUMNS($U$1006:Y1006),$U$1006:$AC$1006,0))&gt;=100000), " ",IF(INDEX($U$2:$AC$1001,MATCH(ROWS($N$2:N147),$N$2:$N$1001,0),MATCH(COLUMNS($U$1006:Y1006),$U$1006:$AC$1006,0)), HYPERLINK("#",""), HYPERLINK(CONCATENATE("#metadata!", ADDRESS(INDEX($P$2:$P$1001,MATCH(ROWS($N$2:N147),$N$2:$N$1001,0),0), INDEX($U$1004:$AC$1004,1,MATCH(COLUMNS($U$1006:Y1006),$U$1006:$AC$1006,0)))),"Fix")))</f>
        <v>0</v>
      </c>
      <c r="G147" s="3">
        <f>IF(OR(INDEX($O$2:$O$1001,MATCH(ROWS($N$2:N147),$N$2:$N$1001,0),1)&gt;=100000,INDEX($U$1005:$AC$1005,1,MATCH(COLUMNS($U$1006:Z1006),$U$1006:$AC$1006,0))&gt;=100000), " ",IF(INDEX($U$2:$AC$1001,MATCH(ROWS($N$2:N147),$N$2:$N$1001,0),MATCH(COLUMNS($U$1006:Z1006),$U$1006:$AC$1006,0)), HYPERLINK("#",""), HYPERLINK(CONCATENATE("#metadata!", ADDRESS(INDEX($P$2:$P$1001,MATCH(ROWS($N$2:N147),$N$2:$N$1001,0),0), INDEX($U$1004:$AC$1004,1,MATCH(COLUMNS($U$1006:Z1006),$U$1006:$AC$1006,0)))),"Fix")))</f>
        <v>0</v>
      </c>
      <c r="H147" s="3">
        <f>IF(OR(INDEX($O$2:$O$1001,MATCH(ROWS($N$2:N147),$N$2:$N$1001,0),1)&gt;=100000,INDEX($U$1005:$AC$1005,1,MATCH(COLUMNS($U$1006:AA1006),$U$1006:$AC$1006,0))&gt;=100000), " ",IF(INDEX($U$2:$AC$1001,MATCH(ROWS($N$2:N147),$N$2:$N$1001,0),MATCH(COLUMNS($U$1006:AA1006),$U$1006:$AC$1006,0)), HYPERLINK("#",""), HYPERLINK(CONCATENATE("#metadata!", ADDRESS(INDEX($P$2:$P$1001,MATCH(ROWS($N$2:N147),$N$2:$N$1001,0),0), INDEX($U$1004:$AC$1004,1,MATCH(COLUMNS($U$1006:AA1006),$U$1006:$AC$1006,0)))),"Fix")))</f>
        <v>0</v>
      </c>
      <c r="I147" s="3">
        <f>IF(OR(INDEX($O$2:$O$1001,MATCH(ROWS($N$2:N147),$N$2:$N$1001,0),1)&gt;=100000,INDEX($U$1005:$AC$1005,1,MATCH(COLUMNS($U$1006:AB1006),$U$1006:$AC$1006,0))&gt;=100000), " ",IF(INDEX($U$2:$AC$1001,MATCH(ROWS($N$2:N147),$N$2:$N$1001,0),MATCH(COLUMNS($U$1006:AB1006),$U$1006:$AC$1006,0)), HYPERLINK("#",""), HYPERLINK(CONCATENATE("#metadata!", ADDRESS(INDEX($P$2:$P$1001,MATCH(ROWS($N$2:N147),$N$2:$N$1001,0),0), INDEX($U$1004:$AC$1004,1,MATCH(COLUMNS($U$1006:AB1006),$U$1006:$AC$1006,0)))),"Fix")))</f>
        <v>0</v>
      </c>
      <c r="J147" s="3">
        <f>IF(OR(INDEX($O$2:$O$1001,MATCH(ROWS($N$2:N147),$N$2:$N$1001,0),1)&gt;=100000,INDEX($U$1005:$AC$1005,1,MATCH(COLUMNS($U$1006:AC1006),$U$1006:$AC$1006,0))&gt;=100000), " ",IF(INDEX($U$2:$AC$1001,MATCH(ROWS($N$2:N147),$N$2:$N$1001,0),MATCH(COLUMNS($U$1006:AC1006),$U$1006:$AC$1006,0)), HYPERLINK("#",""), HYPERLINK(CONCATENATE("#metadata!", ADDRESS(INDEX($P$2:$P$1001,MATCH(ROWS($N$2:N147),$N$2:$N$1001,0),0), INDEX($U$1004:$AC$1004,1,MATCH(COLUMNS($U$1006:AC1006),$U$1006:$AC$1006,0)))),"Fix")))</f>
        <v>0</v>
      </c>
      <c r="N147">
        <v>0</v>
      </c>
      <c r="O147">
        <v>0</v>
      </c>
      <c r="P147">
        <v>0</v>
      </c>
      <c r="Q147">
        <f>IF(R147,TRUE,AND(U147:AC147))</f>
        <v>0</v>
      </c>
      <c r="R147">
        <f>COUNTBLANK(metadata!B147:J147)=COLUMNS(metadata!B147:J147)</f>
        <v>0</v>
      </c>
      <c r="S147">
        <v>0</v>
      </c>
      <c r="U147">
        <f>AND(IF(metadata!B147="",FALSE,TRUE),COUNTIF(metadata!B:B, metadata!B147) = 1,NOT(ISERROR(SUMPRODUCT(SEARCH(MID(metadata!B147,ROW(INDIRECT("1:"&amp;LEN(metadata!B147))), 1),"0123456789abcdefghijklmnopqrstuvwxyzABCDEFGHIJKLMNOPQRSTUVWXYZ.")))))</f>
        <v>0</v>
      </c>
      <c r="V147">
        <f>AND(IF(metadata!C147="",FALSE,TRUE),exact(metadata!C147,"UBERON:genitourinary"))</f>
        <v>0</v>
      </c>
      <c r="W147">
        <f>AND(IF(metadata!D147="",FALSE,TRUE),exact(metadata!D147,"UBERON:urine"))</f>
        <v>0</v>
      </c>
      <c r="X147">
        <f>AND(IF(metadata!E147="",FALSE,TRUE),exact(metadata!E147,"UBERON:kidney"))</f>
        <v>0</v>
      </c>
      <c r="Y147">
        <f>AND(IF(metadata!F147="",FALSE,TRUE),exact(metadata!F147,"animal corpus"))</f>
        <v>0</v>
      </c>
      <c r="Z147">
        <f>AND(IF(metadata!G147="",FALSE,TRUE),exact(metadata!G147,"urine"))</f>
        <v>0</v>
      </c>
      <c r="AA147">
        <f>AND(IF(metadata!H147="",FALSE,TRUE),exact(metadata!H147,"urine"))</f>
        <v>0</v>
      </c>
      <c r="AB147">
        <f>AND(IF(metadata!I147="",FALSE,TRUE),exact(metadata!I147,"urine metagenome"))</f>
        <v>0</v>
      </c>
      <c r="AC147">
        <f>AND(IF(metadata!J147="",FALSE,TRUE),exact(metadata!J147,"1346744"))</f>
        <v>0</v>
      </c>
    </row>
    <row r="148" spans="1:29">
      <c r="A148" s="4">
        <f>IF(B148=" "," ",HYPERLINK(CONCATENATE("#metadata!",ADDRESS(INDEX($P$2:$P$1001,MATCH(ROWS($N$2:N148),$N$2:$N$1001,0),0),1)),INDEX($S$2:$S$1001,MATCH(ROWS($N$2:N148),$N$2:$N$1001,0),0)))</f>
        <v>0</v>
      </c>
      <c r="B148" s="3">
        <f>IF(OR(INDEX($O$2:$O$1001,MATCH(ROWS($N$2:N148),$N$2:$N$1001,0),1)&gt;=100000,INDEX($U$1005:$AC$1005,1,MATCH(COLUMNS($U$1006:U1006),$U$1006:$AC$1006,0))&gt;=100000), " ",IF(INDEX($U$2:$AC$1001,MATCH(ROWS($N$2:N148),$N$2:$N$1001,0),MATCH(COLUMNS($U$1006:U1006),$U$1006:$AC$1006,0)), HYPERLINK("#",""), HYPERLINK(CONCATENATE("#metadata!", ADDRESS(INDEX($P$2:$P$1001,MATCH(ROWS($N$2:N148),$N$2:$N$1001,0),0), INDEX($U$1004:$AC$1004,1,MATCH(COLUMNS($U$1006:U1006),$U$1006:$AC$1006,0)))),"Fix")))</f>
        <v>0</v>
      </c>
      <c r="C148" s="3">
        <f>IF(OR(INDEX($O$2:$O$1001,MATCH(ROWS($N$2:N148),$N$2:$N$1001,0),1)&gt;=100000,INDEX($U$1005:$AC$1005,1,MATCH(COLUMNS($U$1006:V1006),$U$1006:$AC$1006,0))&gt;=100000), " ",IF(INDEX($U$2:$AC$1001,MATCH(ROWS($N$2:N148),$N$2:$N$1001,0),MATCH(COLUMNS($U$1006:V1006),$U$1006:$AC$1006,0)), HYPERLINK("#",""), HYPERLINK(CONCATENATE("#metadata!", ADDRESS(INDEX($P$2:$P$1001,MATCH(ROWS($N$2:N148),$N$2:$N$1001,0),0), INDEX($U$1004:$AC$1004,1,MATCH(COLUMNS($U$1006:V1006),$U$1006:$AC$1006,0)))),"Fix")))</f>
        <v>0</v>
      </c>
      <c r="D148" s="3">
        <f>IF(OR(INDEX($O$2:$O$1001,MATCH(ROWS($N$2:N148),$N$2:$N$1001,0),1)&gt;=100000,INDEX($U$1005:$AC$1005,1,MATCH(COLUMNS($U$1006:W1006),$U$1006:$AC$1006,0))&gt;=100000), " ",IF(INDEX($U$2:$AC$1001,MATCH(ROWS($N$2:N148),$N$2:$N$1001,0),MATCH(COLUMNS($U$1006:W1006),$U$1006:$AC$1006,0)), HYPERLINK("#",""), HYPERLINK(CONCATENATE("#metadata!", ADDRESS(INDEX($P$2:$P$1001,MATCH(ROWS($N$2:N148),$N$2:$N$1001,0),0), INDEX($U$1004:$AC$1004,1,MATCH(COLUMNS($U$1006:W1006),$U$1006:$AC$1006,0)))),"Fix")))</f>
        <v>0</v>
      </c>
      <c r="E148" s="3">
        <f>IF(OR(INDEX($O$2:$O$1001,MATCH(ROWS($N$2:N148),$N$2:$N$1001,0),1)&gt;=100000,INDEX($U$1005:$AC$1005,1,MATCH(COLUMNS($U$1006:X1006),$U$1006:$AC$1006,0))&gt;=100000), " ",IF(INDEX($U$2:$AC$1001,MATCH(ROWS($N$2:N148),$N$2:$N$1001,0),MATCH(COLUMNS($U$1006:X1006),$U$1006:$AC$1006,0)), HYPERLINK("#",""), HYPERLINK(CONCATENATE("#metadata!", ADDRESS(INDEX($P$2:$P$1001,MATCH(ROWS($N$2:N148),$N$2:$N$1001,0),0), INDEX($U$1004:$AC$1004,1,MATCH(COLUMNS($U$1006:X1006),$U$1006:$AC$1006,0)))),"Fix")))</f>
        <v>0</v>
      </c>
      <c r="F148" s="3">
        <f>IF(OR(INDEX($O$2:$O$1001,MATCH(ROWS($N$2:N148),$N$2:$N$1001,0),1)&gt;=100000,INDEX($U$1005:$AC$1005,1,MATCH(COLUMNS($U$1006:Y1006),$U$1006:$AC$1006,0))&gt;=100000), " ",IF(INDEX($U$2:$AC$1001,MATCH(ROWS($N$2:N148),$N$2:$N$1001,0),MATCH(COLUMNS($U$1006:Y1006),$U$1006:$AC$1006,0)), HYPERLINK("#",""), HYPERLINK(CONCATENATE("#metadata!", ADDRESS(INDEX($P$2:$P$1001,MATCH(ROWS($N$2:N148),$N$2:$N$1001,0),0), INDEX($U$1004:$AC$1004,1,MATCH(COLUMNS($U$1006:Y1006),$U$1006:$AC$1006,0)))),"Fix")))</f>
        <v>0</v>
      </c>
      <c r="G148" s="3">
        <f>IF(OR(INDEX($O$2:$O$1001,MATCH(ROWS($N$2:N148),$N$2:$N$1001,0),1)&gt;=100000,INDEX($U$1005:$AC$1005,1,MATCH(COLUMNS($U$1006:Z1006),$U$1006:$AC$1006,0))&gt;=100000), " ",IF(INDEX($U$2:$AC$1001,MATCH(ROWS($N$2:N148),$N$2:$N$1001,0),MATCH(COLUMNS($U$1006:Z1006),$U$1006:$AC$1006,0)), HYPERLINK("#",""), HYPERLINK(CONCATENATE("#metadata!", ADDRESS(INDEX($P$2:$P$1001,MATCH(ROWS($N$2:N148),$N$2:$N$1001,0),0), INDEX($U$1004:$AC$1004,1,MATCH(COLUMNS($U$1006:Z1006),$U$1006:$AC$1006,0)))),"Fix")))</f>
        <v>0</v>
      </c>
      <c r="H148" s="3">
        <f>IF(OR(INDEX($O$2:$O$1001,MATCH(ROWS($N$2:N148),$N$2:$N$1001,0),1)&gt;=100000,INDEX($U$1005:$AC$1005,1,MATCH(COLUMNS($U$1006:AA1006),$U$1006:$AC$1006,0))&gt;=100000), " ",IF(INDEX($U$2:$AC$1001,MATCH(ROWS($N$2:N148),$N$2:$N$1001,0),MATCH(COLUMNS($U$1006:AA1006),$U$1006:$AC$1006,0)), HYPERLINK("#",""), HYPERLINK(CONCATENATE("#metadata!", ADDRESS(INDEX($P$2:$P$1001,MATCH(ROWS($N$2:N148),$N$2:$N$1001,0),0), INDEX($U$1004:$AC$1004,1,MATCH(COLUMNS($U$1006:AA1006),$U$1006:$AC$1006,0)))),"Fix")))</f>
        <v>0</v>
      </c>
      <c r="I148" s="3">
        <f>IF(OR(INDEX($O$2:$O$1001,MATCH(ROWS($N$2:N148),$N$2:$N$1001,0),1)&gt;=100000,INDEX($U$1005:$AC$1005,1,MATCH(COLUMNS($U$1006:AB1006),$U$1006:$AC$1006,0))&gt;=100000), " ",IF(INDEX($U$2:$AC$1001,MATCH(ROWS($N$2:N148),$N$2:$N$1001,0),MATCH(COLUMNS($U$1006:AB1006),$U$1006:$AC$1006,0)), HYPERLINK("#",""), HYPERLINK(CONCATENATE("#metadata!", ADDRESS(INDEX($P$2:$P$1001,MATCH(ROWS($N$2:N148),$N$2:$N$1001,0),0), INDEX($U$1004:$AC$1004,1,MATCH(COLUMNS($U$1006:AB1006),$U$1006:$AC$1006,0)))),"Fix")))</f>
        <v>0</v>
      </c>
      <c r="J148" s="3">
        <f>IF(OR(INDEX($O$2:$O$1001,MATCH(ROWS($N$2:N148),$N$2:$N$1001,0),1)&gt;=100000,INDEX($U$1005:$AC$1005,1,MATCH(COLUMNS($U$1006:AC1006),$U$1006:$AC$1006,0))&gt;=100000), " ",IF(INDEX($U$2:$AC$1001,MATCH(ROWS($N$2:N148),$N$2:$N$1001,0),MATCH(COLUMNS($U$1006:AC1006),$U$1006:$AC$1006,0)), HYPERLINK("#",""), HYPERLINK(CONCATENATE("#metadata!", ADDRESS(INDEX($P$2:$P$1001,MATCH(ROWS($N$2:N148),$N$2:$N$1001,0),0), INDEX($U$1004:$AC$1004,1,MATCH(COLUMNS($U$1006:AC1006),$U$1006:$AC$1006,0)))),"Fix")))</f>
        <v>0</v>
      </c>
      <c r="N148">
        <v>0</v>
      </c>
      <c r="O148">
        <v>0</v>
      </c>
      <c r="P148">
        <v>0</v>
      </c>
      <c r="Q148">
        <f>IF(R148,TRUE,AND(U148:AC148))</f>
        <v>0</v>
      </c>
      <c r="R148">
        <f>COUNTBLANK(metadata!B148:J148)=COLUMNS(metadata!B148:J148)</f>
        <v>0</v>
      </c>
      <c r="S148">
        <v>0</v>
      </c>
      <c r="U148">
        <f>AND(IF(metadata!B148="",FALSE,TRUE),COUNTIF(metadata!B:B, metadata!B148) = 1,NOT(ISERROR(SUMPRODUCT(SEARCH(MID(metadata!B148,ROW(INDIRECT("1:"&amp;LEN(metadata!B148))), 1),"0123456789abcdefghijklmnopqrstuvwxyzABCDEFGHIJKLMNOPQRSTUVWXYZ.")))))</f>
        <v>0</v>
      </c>
      <c r="V148">
        <f>AND(IF(metadata!C148="",FALSE,TRUE),exact(metadata!C148,"UBERON:genitourinary"))</f>
        <v>0</v>
      </c>
      <c r="W148">
        <f>AND(IF(metadata!D148="",FALSE,TRUE),exact(metadata!D148,"UBERON:urine"))</f>
        <v>0</v>
      </c>
      <c r="X148">
        <f>AND(IF(metadata!E148="",FALSE,TRUE),exact(metadata!E148,"UBERON:kidney"))</f>
        <v>0</v>
      </c>
      <c r="Y148">
        <f>AND(IF(metadata!F148="",FALSE,TRUE),exact(metadata!F148,"animal corpus"))</f>
        <v>0</v>
      </c>
      <c r="Z148">
        <f>AND(IF(metadata!G148="",FALSE,TRUE),exact(metadata!G148,"urine"))</f>
        <v>0</v>
      </c>
      <c r="AA148">
        <f>AND(IF(metadata!H148="",FALSE,TRUE),exact(metadata!H148,"urine"))</f>
        <v>0</v>
      </c>
      <c r="AB148">
        <f>AND(IF(metadata!I148="",FALSE,TRUE),exact(metadata!I148,"urine metagenome"))</f>
        <v>0</v>
      </c>
      <c r="AC148">
        <f>AND(IF(metadata!J148="",FALSE,TRUE),exact(metadata!J148,"1346744"))</f>
        <v>0</v>
      </c>
    </row>
    <row r="149" spans="1:29">
      <c r="A149" s="4">
        <f>IF(B149=" "," ",HYPERLINK(CONCATENATE("#metadata!",ADDRESS(INDEX($P$2:$P$1001,MATCH(ROWS($N$2:N149),$N$2:$N$1001,0),0),1)),INDEX($S$2:$S$1001,MATCH(ROWS($N$2:N149),$N$2:$N$1001,0),0)))</f>
        <v>0</v>
      </c>
      <c r="B149" s="3">
        <f>IF(OR(INDEX($O$2:$O$1001,MATCH(ROWS($N$2:N149),$N$2:$N$1001,0),1)&gt;=100000,INDEX($U$1005:$AC$1005,1,MATCH(COLUMNS($U$1006:U1006),$U$1006:$AC$1006,0))&gt;=100000), " ",IF(INDEX($U$2:$AC$1001,MATCH(ROWS($N$2:N149),$N$2:$N$1001,0),MATCH(COLUMNS($U$1006:U1006),$U$1006:$AC$1006,0)), HYPERLINK("#",""), HYPERLINK(CONCATENATE("#metadata!", ADDRESS(INDEX($P$2:$P$1001,MATCH(ROWS($N$2:N149),$N$2:$N$1001,0),0), INDEX($U$1004:$AC$1004,1,MATCH(COLUMNS($U$1006:U1006),$U$1006:$AC$1006,0)))),"Fix")))</f>
        <v>0</v>
      </c>
      <c r="C149" s="3">
        <f>IF(OR(INDEX($O$2:$O$1001,MATCH(ROWS($N$2:N149),$N$2:$N$1001,0),1)&gt;=100000,INDEX($U$1005:$AC$1005,1,MATCH(COLUMNS($U$1006:V1006),$U$1006:$AC$1006,0))&gt;=100000), " ",IF(INDEX($U$2:$AC$1001,MATCH(ROWS($N$2:N149),$N$2:$N$1001,0),MATCH(COLUMNS($U$1006:V1006),$U$1006:$AC$1006,0)), HYPERLINK("#",""), HYPERLINK(CONCATENATE("#metadata!", ADDRESS(INDEX($P$2:$P$1001,MATCH(ROWS($N$2:N149),$N$2:$N$1001,0),0), INDEX($U$1004:$AC$1004,1,MATCH(COLUMNS($U$1006:V1006),$U$1006:$AC$1006,0)))),"Fix")))</f>
        <v>0</v>
      </c>
      <c r="D149" s="3">
        <f>IF(OR(INDEX($O$2:$O$1001,MATCH(ROWS($N$2:N149),$N$2:$N$1001,0),1)&gt;=100000,INDEX($U$1005:$AC$1005,1,MATCH(COLUMNS($U$1006:W1006),$U$1006:$AC$1006,0))&gt;=100000), " ",IF(INDEX($U$2:$AC$1001,MATCH(ROWS($N$2:N149),$N$2:$N$1001,0),MATCH(COLUMNS($U$1006:W1006),$U$1006:$AC$1006,0)), HYPERLINK("#",""), HYPERLINK(CONCATENATE("#metadata!", ADDRESS(INDEX($P$2:$P$1001,MATCH(ROWS($N$2:N149),$N$2:$N$1001,0),0), INDEX($U$1004:$AC$1004,1,MATCH(COLUMNS($U$1006:W1006),$U$1006:$AC$1006,0)))),"Fix")))</f>
        <v>0</v>
      </c>
      <c r="E149" s="3">
        <f>IF(OR(INDEX($O$2:$O$1001,MATCH(ROWS($N$2:N149),$N$2:$N$1001,0),1)&gt;=100000,INDEX($U$1005:$AC$1005,1,MATCH(COLUMNS($U$1006:X1006),$U$1006:$AC$1006,0))&gt;=100000), " ",IF(INDEX($U$2:$AC$1001,MATCH(ROWS($N$2:N149),$N$2:$N$1001,0),MATCH(COLUMNS($U$1006:X1006),$U$1006:$AC$1006,0)), HYPERLINK("#",""), HYPERLINK(CONCATENATE("#metadata!", ADDRESS(INDEX($P$2:$P$1001,MATCH(ROWS($N$2:N149),$N$2:$N$1001,0),0), INDEX($U$1004:$AC$1004,1,MATCH(COLUMNS($U$1006:X1006),$U$1006:$AC$1006,0)))),"Fix")))</f>
        <v>0</v>
      </c>
      <c r="F149" s="3">
        <f>IF(OR(INDEX($O$2:$O$1001,MATCH(ROWS($N$2:N149),$N$2:$N$1001,0),1)&gt;=100000,INDEX($U$1005:$AC$1005,1,MATCH(COLUMNS($U$1006:Y1006),$U$1006:$AC$1006,0))&gt;=100000), " ",IF(INDEX($U$2:$AC$1001,MATCH(ROWS($N$2:N149),$N$2:$N$1001,0),MATCH(COLUMNS($U$1006:Y1006),$U$1006:$AC$1006,0)), HYPERLINK("#",""), HYPERLINK(CONCATENATE("#metadata!", ADDRESS(INDEX($P$2:$P$1001,MATCH(ROWS($N$2:N149),$N$2:$N$1001,0),0), INDEX($U$1004:$AC$1004,1,MATCH(COLUMNS($U$1006:Y1006),$U$1006:$AC$1006,0)))),"Fix")))</f>
        <v>0</v>
      </c>
      <c r="G149" s="3">
        <f>IF(OR(INDEX($O$2:$O$1001,MATCH(ROWS($N$2:N149),$N$2:$N$1001,0),1)&gt;=100000,INDEX($U$1005:$AC$1005,1,MATCH(COLUMNS($U$1006:Z1006),$U$1006:$AC$1006,0))&gt;=100000), " ",IF(INDEX($U$2:$AC$1001,MATCH(ROWS($N$2:N149),$N$2:$N$1001,0),MATCH(COLUMNS($U$1006:Z1006),$U$1006:$AC$1006,0)), HYPERLINK("#",""), HYPERLINK(CONCATENATE("#metadata!", ADDRESS(INDEX($P$2:$P$1001,MATCH(ROWS($N$2:N149),$N$2:$N$1001,0),0), INDEX($U$1004:$AC$1004,1,MATCH(COLUMNS($U$1006:Z1006),$U$1006:$AC$1006,0)))),"Fix")))</f>
        <v>0</v>
      </c>
      <c r="H149" s="3">
        <f>IF(OR(INDEX($O$2:$O$1001,MATCH(ROWS($N$2:N149),$N$2:$N$1001,0),1)&gt;=100000,INDEX($U$1005:$AC$1005,1,MATCH(COLUMNS($U$1006:AA1006),$U$1006:$AC$1006,0))&gt;=100000), " ",IF(INDEX($U$2:$AC$1001,MATCH(ROWS($N$2:N149),$N$2:$N$1001,0),MATCH(COLUMNS($U$1006:AA1006),$U$1006:$AC$1006,0)), HYPERLINK("#",""), HYPERLINK(CONCATENATE("#metadata!", ADDRESS(INDEX($P$2:$P$1001,MATCH(ROWS($N$2:N149),$N$2:$N$1001,0),0), INDEX($U$1004:$AC$1004,1,MATCH(COLUMNS($U$1006:AA1006),$U$1006:$AC$1006,0)))),"Fix")))</f>
        <v>0</v>
      </c>
      <c r="I149" s="3">
        <f>IF(OR(INDEX($O$2:$O$1001,MATCH(ROWS($N$2:N149),$N$2:$N$1001,0),1)&gt;=100000,INDEX($U$1005:$AC$1005,1,MATCH(COLUMNS($U$1006:AB1006),$U$1006:$AC$1006,0))&gt;=100000), " ",IF(INDEX($U$2:$AC$1001,MATCH(ROWS($N$2:N149),$N$2:$N$1001,0),MATCH(COLUMNS($U$1006:AB1006),$U$1006:$AC$1006,0)), HYPERLINK("#",""), HYPERLINK(CONCATENATE("#metadata!", ADDRESS(INDEX($P$2:$P$1001,MATCH(ROWS($N$2:N149),$N$2:$N$1001,0),0), INDEX($U$1004:$AC$1004,1,MATCH(COLUMNS($U$1006:AB1006),$U$1006:$AC$1006,0)))),"Fix")))</f>
        <v>0</v>
      </c>
      <c r="J149" s="3">
        <f>IF(OR(INDEX($O$2:$O$1001,MATCH(ROWS($N$2:N149),$N$2:$N$1001,0),1)&gt;=100000,INDEX($U$1005:$AC$1005,1,MATCH(COLUMNS($U$1006:AC1006),$U$1006:$AC$1006,0))&gt;=100000), " ",IF(INDEX($U$2:$AC$1001,MATCH(ROWS($N$2:N149),$N$2:$N$1001,0),MATCH(COLUMNS($U$1006:AC1006),$U$1006:$AC$1006,0)), HYPERLINK("#",""), HYPERLINK(CONCATENATE("#metadata!", ADDRESS(INDEX($P$2:$P$1001,MATCH(ROWS($N$2:N149),$N$2:$N$1001,0),0), INDEX($U$1004:$AC$1004,1,MATCH(COLUMNS($U$1006:AC1006),$U$1006:$AC$1006,0)))),"Fix")))</f>
        <v>0</v>
      </c>
      <c r="N149">
        <v>0</v>
      </c>
      <c r="O149">
        <v>0</v>
      </c>
      <c r="P149">
        <v>0</v>
      </c>
      <c r="Q149">
        <f>IF(R149,TRUE,AND(U149:AC149))</f>
        <v>0</v>
      </c>
      <c r="R149">
        <f>COUNTBLANK(metadata!B149:J149)=COLUMNS(metadata!B149:J149)</f>
        <v>0</v>
      </c>
      <c r="S149">
        <v>0</v>
      </c>
      <c r="U149">
        <f>AND(IF(metadata!B149="",FALSE,TRUE),COUNTIF(metadata!B:B, metadata!B149) = 1,NOT(ISERROR(SUMPRODUCT(SEARCH(MID(metadata!B149,ROW(INDIRECT("1:"&amp;LEN(metadata!B149))), 1),"0123456789abcdefghijklmnopqrstuvwxyzABCDEFGHIJKLMNOPQRSTUVWXYZ.")))))</f>
        <v>0</v>
      </c>
      <c r="V149">
        <f>AND(IF(metadata!C149="",FALSE,TRUE),exact(metadata!C149,"UBERON:genitourinary"))</f>
        <v>0</v>
      </c>
      <c r="W149">
        <f>AND(IF(metadata!D149="",FALSE,TRUE),exact(metadata!D149,"UBERON:urine"))</f>
        <v>0</v>
      </c>
      <c r="X149">
        <f>AND(IF(metadata!E149="",FALSE,TRUE),exact(metadata!E149,"UBERON:kidney"))</f>
        <v>0</v>
      </c>
      <c r="Y149">
        <f>AND(IF(metadata!F149="",FALSE,TRUE),exact(metadata!F149,"animal corpus"))</f>
        <v>0</v>
      </c>
      <c r="Z149">
        <f>AND(IF(metadata!G149="",FALSE,TRUE),exact(metadata!G149,"urine"))</f>
        <v>0</v>
      </c>
      <c r="AA149">
        <f>AND(IF(metadata!H149="",FALSE,TRUE),exact(metadata!H149,"urine"))</f>
        <v>0</v>
      </c>
      <c r="AB149">
        <f>AND(IF(metadata!I149="",FALSE,TRUE),exact(metadata!I149,"urine metagenome"))</f>
        <v>0</v>
      </c>
      <c r="AC149">
        <f>AND(IF(metadata!J149="",FALSE,TRUE),exact(metadata!J149,"1346744"))</f>
        <v>0</v>
      </c>
    </row>
    <row r="150" spans="1:29">
      <c r="A150" s="4">
        <f>IF(B150=" "," ",HYPERLINK(CONCATENATE("#metadata!",ADDRESS(INDEX($P$2:$P$1001,MATCH(ROWS($N$2:N150),$N$2:$N$1001,0),0),1)),INDEX($S$2:$S$1001,MATCH(ROWS($N$2:N150),$N$2:$N$1001,0),0)))</f>
        <v>0</v>
      </c>
      <c r="B150" s="3">
        <f>IF(OR(INDEX($O$2:$O$1001,MATCH(ROWS($N$2:N150),$N$2:$N$1001,0),1)&gt;=100000,INDEX($U$1005:$AC$1005,1,MATCH(COLUMNS($U$1006:U1006),$U$1006:$AC$1006,0))&gt;=100000), " ",IF(INDEX($U$2:$AC$1001,MATCH(ROWS($N$2:N150),$N$2:$N$1001,0),MATCH(COLUMNS($U$1006:U1006),$U$1006:$AC$1006,0)), HYPERLINK("#",""), HYPERLINK(CONCATENATE("#metadata!", ADDRESS(INDEX($P$2:$P$1001,MATCH(ROWS($N$2:N150),$N$2:$N$1001,0),0), INDEX($U$1004:$AC$1004,1,MATCH(COLUMNS($U$1006:U1006),$U$1006:$AC$1006,0)))),"Fix")))</f>
        <v>0</v>
      </c>
      <c r="C150" s="3">
        <f>IF(OR(INDEX($O$2:$O$1001,MATCH(ROWS($N$2:N150),$N$2:$N$1001,0),1)&gt;=100000,INDEX($U$1005:$AC$1005,1,MATCH(COLUMNS($U$1006:V1006),$U$1006:$AC$1006,0))&gt;=100000), " ",IF(INDEX($U$2:$AC$1001,MATCH(ROWS($N$2:N150),$N$2:$N$1001,0),MATCH(COLUMNS($U$1006:V1006),$U$1006:$AC$1006,0)), HYPERLINK("#",""), HYPERLINK(CONCATENATE("#metadata!", ADDRESS(INDEX($P$2:$P$1001,MATCH(ROWS($N$2:N150),$N$2:$N$1001,0),0), INDEX($U$1004:$AC$1004,1,MATCH(COLUMNS($U$1006:V1006),$U$1006:$AC$1006,0)))),"Fix")))</f>
        <v>0</v>
      </c>
      <c r="D150" s="3">
        <f>IF(OR(INDEX($O$2:$O$1001,MATCH(ROWS($N$2:N150),$N$2:$N$1001,0),1)&gt;=100000,INDEX($U$1005:$AC$1005,1,MATCH(COLUMNS($U$1006:W1006),$U$1006:$AC$1006,0))&gt;=100000), " ",IF(INDEX($U$2:$AC$1001,MATCH(ROWS($N$2:N150),$N$2:$N$1001,0),MATCH(COLUMNS($U$1006:W1006),$U$1006:$AC$1006,0)), HYPERLINK("#",""), HYPERLINK(CONCATENATE("#metadata!", ADDRESS(INDEX($P$2:$P$1001,MATCH(ROWS($N$2:N150),$N$2:$N$1001,0),0), INDEX($U$1004:$AC$1004,1,MATCH(COLUMNS($U$1006:W1006),$U$1006:$AC$1006,0)))),"Fix")))</f>
        <v>0</v>
      </c>
      <c r="E150" s="3">
        <f>IF(OR(INDEX($O$2:$O$1001,MATCH(ROWS($N$2:N150),$N$2:$N$1001,0),1)&gt;=100000,INDEX($U$1005:$AC$1005,1,MATCH(COLUMNS($U$1006:X1006),$U$1006:$AC$1006,0))&gt;=100000), " ",IF(INDEX($U$2:$AC$1001,MATCH(ROWS($N$2:N150),$N$2:$N$1001,0),MATCH(COLUMNS($U$1006:X1006),$U$1006:$AC$1006,0)), HYPERLINK("#",""), HYPERLINK(CONCATENATE("#metadata!", ADDRESS(INDEX($P$2:$P$1001,MATCH(ROWS($N$2:N150),$N$2:$N$1001,0),0), INDEX($U$1004:$AC$1004,1,MATCH(COLUMNS($U$1006:X1006),$U$1006:$AC$1006,0)))),"Fix")))</f>
        <v>0</v>
      </c>
      <c r="F150" s="3">
        <f>IF(OR(INDEX($O$2:$O$1001,MATCH(ROWS($N$2:N150),$N$2:$N$1001,0),1)&gt;=100000,INDEX($U$1005:$AC$1005,1,MATCH(COLUMNS($U$1006:Y1006),$U$1006:$AC$1006,0))&gt;=100000), " ",IF(INDEX($U$2:$AC$1001,MATCH(ROWS($N$2:N150),$N$2:$N$1001,0),MATCH(COLUMNS($U$1006:Y1006),$U$1006:$AC$1006,0)), HYPERLINK("#",""), HYPERLINK(CONCATENATE("#metadata!", ADDRESS(INDEX($P$2:$P$1001,MATCH(ROWS($N$2:N150),$N$2:$N$1001,0),0), INDEX($U$1004:$AC$1004,1,MATCH(COLUMNS($U$1006:Y1006),$U$1006:$AC$1006,0)))),"Fix")))</f>
        <v>0</v>
      </c>
      <c r="G150" s="3">
        <f>IF(OR(INDEX($O$2:$O$1001,MATCH(ROWS($N$2:N150),$N$2:$N$1001,0),1)&gt;=100000,INDEX($U$1005:$AC$1005,1,MATCH(COLUMNS($U$1006:Z1006),$U$1006:$AC$1006,0))&gt;=100000), " ",IF(INDEX($U$2:$AC$1001,MATCH(ROWS($N$2:N150),$N$2:$N$1001,0),MATCH(COLUMNS($U$1006:Z1006),$U$1006:$AC$1006,0)), HYPERLINK("#",""), HYPERLINK(CONCATENATE("#metadata!", ADDRESS(INDEX($P$2:$P$1001,MATCH(ROWS($N$2:N150),$N$2:$N$1001,0),0), INDEX($U$1004:$AC$1004,1,MATCH(COLUMNS($U$1006:Z1006),$U$1006:$AC$1006,0)))),"Fix")))</f>
        <v>0</v>
      </c>
      <c r="H150" s="3">
        <f>IF(OR(INDEX($O$2:$O$1001,MATCH(ROWS($N$2:N150),$N$2:$N$1001,0),1)&gt;=100000,INDEX($U$1005:$AC$1005,1,MATCH(COLUMNS($U$1006:AA1006),$U$1006:$AC$1006,0))&gt;=100000), " ",IF(INDEX($U$2:$AC$1001,MATCH(ROWS($N$2:N150),$N$2:$N$1001,0),MATCH(COLUMNS($U$1006:AA1006),$U$1006:$AC$1006,0)), HYPERLINK("#",""), HYPERLINK(CONCATENATE("#metadata!", ADDRESS(INDEX($P$2:$P$1001,MATCH(ROWS($N$2:N150),$N$2:$N$1001,0),0), INDEX($U$1004:$AC$1004,1,MATCH(COLUMNS($U$1006:AA1006),$U$1006:$AC$1006,0)))),"Fix")))</f>
        <v>0</v>
      </c>
      <c r="I150" s="3">
        <f>IF(OR(INDEX($O$2:$O$1001,MATCH(ROWS($N$2:N150),$N$2:$N$1001,0),1)&gt;=100000,INDEX($U$1005:$AC$1005,1,MATCH(COLUMNS($U$1006:AB1006),$U$1006:$AC$1006,0))&gt;=100000), " ",IF(INDEX($U$2:$AC$1001,MATCH(ROWS($N$2:N150),$N$2:$N$1001,0),MATCH(COLUMNS($U$1006:AB1006),$U$1006:$AC$1006,0)), HYPERLINK("#",""), HYPERLINK(CONCATENATE("#metadata!", ADDRESS(INDEX($P$2:$P$1001,MATCH(ROWS($N$2:N150),$N$2:$N$1001,0),0), INDEX($U$1004:$AC$1004,1,MATCH(COLUMNS($U$1006:AB1006),$U$1006:$AC$1006,0)))),"Fix")))</f>
        <v>0</v>
      </c>
      <c r="J150" s="3">
        <f>IF(OR(INDEX($O$2:$O$1001,MATCH(ROWS($N$2:N150),$N$2:$N$1001,0),1)&gt;=100000,INDEX($U$1005:$AC$1005,1,MATCH(COLUMNS($U$1006:AC1006),$U$1006:$AC$1006,0))&gt;=100000), " ",IF(INDEX($U$2:$AC$1001,MATCH(ROWS($N$2:N150),$N$2:$N$1001,0),MATCH(COLUMNS($U$1006:AC1006),$U$1006:$AC$1006,0)), HYPERLINK("#",""), HYPERLINK(CONCATENATE("#metadata!", ADDRESS(INDEX($P$2:$P$1001,MATCH(ROWS($N$2:N150),$N$2:$N$1001,0),0), INDEX($U$1004:$AC$1004,1,MATCH(COLUMNS($U$1006:AC1006),$U$1006:$AC$1006,0)))),"Fix")))</f>
        <v>0</v>
      </c>
      <c r="N150">
        <v>0</v>
      </c>
      <c r="O150">
        <v>0</v>
      </c>
      <c r="P150">
        <v>0</v>
      </c>
      <c r="Q150">
        <f>IF(R150,TRUE,AND(U150:AC150))</f>
        <v>0</v>
      </c>
      <c r="R150">
        <f>COUNTBLANK(metadata!B150:J150)=COLUMNS(metadata!B150:J150)</f>
        <v>0</v>
      </c>
      <c r="S150">
        <v>0</v>
      </c>
      <c r="U150">
        <f>AND(IF(metadata!B150="",FALSE,TRUE),COUNTIF(metadata!B:B, metadata!B150) = 1,NOT(ISERROR(SUMPRODUCT(SEARCH(MID(metadata!B150,ROW(INDIRECT("1:"&amp;LEN(metadata!B150))), 1),"0123456789abcdefghijklmnopqrstuvwxyzABCDEFGHIJKLMNOPQRSTUVWXYZ.")))))</f>
        <v>0</v>
      </c>
      <c r="V150">
        <f>AND(IF(metadata!C150="",FALSE,TRUE),exact(metadata!C150,"UBERON:genitourinary"))</f>
        <v>0</v>
      </c>
      <c r="W150">
        <f>AND(IF(metadata!D150="",FALSE,TRUE),exact(metadata!D150,"UBERON:urine"))</f>
        <v>0</v>
      </c>
      <c r="X150">
        <f>AND(IF(metadata!E150="",FALSE,TRUE),exact(metadata!E150,"UBERON:kidney"))</f>
        <v>0</v>
      </c>
      <c r="Y150">
        <f>AND(IF(metadata!F150="",FALSE,TRUE),exact(metadata!F150,"animal corpus"))</f>
        <v>0</v>
      </c>
      <c r="Z150">
        <f>AND(IF(metadata!G150="",FALSE,TRUE),exact(metadata!G150,"urine"))</f>
        <v>0</v>
      </c>
      <c r="AA150">
        <f>AND(IF(metadata!H150="",FALSE,TRUE),exact(metadata!H150,"urine"))</f>
        <v>0</v>
      </c>
      <c r="AB150">
        <f>AND(IF(metadata!I150="",FALSE,TRUE),exact(metadata!I150,"urine metagenome"))</f>
        <v>0</v>
      </c>
      <c r="AC150">
        <f>AND(IF(metadata!J150="",FALSE,TRUE),exact(metadata!J150,"1346744"))</f>
        <v>0</v>
      </c>
    </row>
    <row r="151" spans="1:29">
      <c r="A151" s="4">
        <f>IF(B151=" "," ",HYPERLINK(CONCATENATE("#metadata!",ADDRESS(INDEX($P$2:$P$1001,MATCH(ROWS($N$2:N151),$N$2:$N$1001,0),0),1)),INDEX($S$2:$S$1001,MATCH(ROWS($N$2:N151),$N$2:$N$1001,0),0)))</f>
        <v>0</v>
      </c>
      <c r="B151" s="3">
        <f>IF(OR(INDEX($O$2:$O$1001,MATCH(ROWS($N$2:N151),$N$2:$N$1001,0),1)&gt;=100000,INDEX($U$1005:$AC$1005,1,MATCH(COLUMNS($U$1006:U1006),$U$1006:$AC$1006,0))&gt;=100000), " ",IF(INDEX($U$2:$AC$1001,MATCH(ROWS($N$2:N151),$N$2:$N$1001,0),MATCH(COLUMNS($U$1006:U1006),$U$1006:$AC$1006,0)), HYPERLINK("#",""), HYPERLINK(CONCATENATE("#metadata!", ADDRESS(INDEX($P$2:$P$1001,MATCH(ROWS($N$2:N151),$N$2:$N$1001,0),0), INDEX($U$1004:$AC$1004,1,MATCH(COLUMNS($U$1006:U1006),$U$1006:$AC$1006,0)))),"Fix")))</f>
        <v>0</v>
      </c>
      <c r="C151" s="3">
        <f>IF(OR(INDEX($O$2:$O$1001,MATCH(ROWS($N$2:N151),$N$2:$N$1001,0),1)&gt;=100000,INDEX($U$1005:$AC$1005,1,MATCH(COLUMNS($U$1006:V1006),$U$1006:$AC$1006,0))&gt;=100000), " ",IF(INDEX($U$2:$AC$1001,MATCH(ROWS($N$2:N151),$N$2:$N$1001,0),MATCH(COLUMNS($U$1006:V1006),$U$1006:$AC$1006,0)), HYPERLINK("#",""), HYPERLINK(CONCATENATE("#metadata!", ADDRESS(INDEX($P$2:$P$1001,MATCH(ROWS($N$2:N151),$N$2:$N$1001,0),0), INDEX($U$1004:$AC$1004,1,MATCH(COLUMNS($U$1006:V1006),$U$1006:$AC$1006,0)))),"Fix")))</f>
        <v>0</v>
      </c>
      <c r="D151" s="3">
        <f>IF(OR(INDEX($O$2:$O$1001,MATCH(ROWS($N$2:N151),$N$2:$N$1001,0),1)&gt;=100000,INDEX($U$1005:$AC$1005,1,MATCH(COLUMNS($U$1006:W1006),$U$1006:$AC$1006,0))&gt;=100000), " ",IF(INDEX($U$2:$AC$1001,MATCH(ROWS($N$2:N151),$N$2:$N$1001,0),MATCH(COLUMNS($U$1006:W1006),$U$1006:$AC$1006,0)), HYPERLINK("#",""), HYPERLINK(CONCATENATE("#metadata!", ADDRESS(INDEX($P$2:$P$1001,MATCH(ROWS($N$2:N151),$N$2:$N$1001,0),0), INDEX($U$1004:$AC$1004,1,MATCH(COLUMNS($U$1006:W1006),$U$1006:$AC$1006,0)))),"Fix")))</f>
        <v>0</v>
      </c>
      <c r="E151" s="3">
        <f>IF(OR(INDEX($O$2:$O$1001,MATCH(ROWS($N$2:N151),$N$2:$N$1001,0),1)&gt;=100000,INDEX($U$1005:$AC$1005,1,MATCH(COLUMNS($U$1006:X1006),$U$1006:$AC$1006,0))&gt;=100000), " ",IF(INDEX($U$2:$AC$1001,MATCH(ROWS($N$2:N151),$N$2:$N$1001,0),MATCH(COLUMNS($U$1006:X1006),$U$1006:$AC$1006,0)), HYPERLINK("#",""), HYPERLINK(CONCATENATE("#metadata!", ADDRESS(INDEX($P$2:$P$1001,MATCH(ROWS($N$2:N151),$N$2:$N$1001,0),0), INDEX($U$1004:$AC$1004,1,MATCH(COLUMNS($U$1006:X1006),$U$1006:$AC$1006,0)))),"Fix")))</f>
        <v>0</v>
      </c>
      <c r="F151" s="3">
        <f>IF(OR(INDEX($O$2:$O$1001,MATCH(ROWS($N$2:N151),$N$2:$N$1001,0),1)&gt;=100000,INDEX($U$1005:$AC$1005,1,MATCH(COLUMNS($U$1006:Y1006),$U$1006:$AC$1006,0))&gt;=100000), " ",IF(INDEX($U$2:$AC$1001,MATCH(ROWS($N$2:N151),$N$2:$N$1001,0),MATCH(COLUMNS($U$1006:Y1006),$U$1006:$AC$1006,0)), HYPERLINK("#",""), HYPERLINK(CONCATENATE("#metadata!", ADDRESS(INDEX($P$2:$P$1001,MATCH(ROWS($N$2:N151),$N$2:$N$1001,0),0), INDEX($U$1004:$AC$1004,1,MATCH(COLUMNS($U$1006:Y1006),$U$1006:$AC$1006,0)))),"Fix")))</f>
        <v>0</v>
      </c>
      <c r="G151" s="3">
        <f>IF(OR(INDEX($O$2:$O$1001,MATCH(ROWS($N$2:N151),$N$2:$N$1001,0),1)&gt;=100000,INDEX($U$1005:$AC$1005,1,MATCH(COLUMNS($U$1006:Z1006),$U$1006:$AC$1006,0))&gt;=100000), " ",IF(INDEX($U$2:$AC$1001,MATCH(ROWS($N$2:N151),$N$2:$N$1001,0),MATCH(COLUMNS($U$1006:Z1006),$U$1006:$AC$1006,0)), HYPERLINK("#",""), HYPERLINK(CONCATENATE("#metadata!", ADDRESS(INDEX($P$2:$P$1001,MATCH(ROWS($N$2:N151),$N$2:$N$1001,0),0), INDEX($U$1004:$AC$1004,1,MATCH(COLUMNS($U$1006:Z1006),$U$1006:$AC$1006,0)))),"Fix")))</f>
        <v>0</v>
      </c>
      <c r="H151" s="3">
        <f>IF(OR(INDEX($O$2:$O$1001,MATCH(ROWS($N$2:N151),$N$2:$N$1001,0),1)&gt;=100000,INDEX($U$1005:$AC$1005,1,MATCH(COLUMNS($U$1006:AA1006),$U$1006:$AC$1006,0))&gt;=100000), " ",IF(INDEX($U$2:$AC$1001,MATCH(ROWS($N$2:N151),$N$2:$N$1001,0),MATCH(COLUMNS($U$1006:AA1006),$U$1006:$AC$1006,0)), HYPERLINK("#",""), HYPERLINK(CONCATENATE("#metadata!", ADDRESS(INDEX($P$2:$P$1001,MATCH(ROWS($N$2:N151),$N$2:$N$1001,0),0), INDEX($U$1004:$AC$1004,1,MATCH(COLUMNS($U$1006:AA1006),$U$1006:$AC$1006,0)))),"Fix")))</f>
        <v>0</v>
      </c>
      <c r="I151" s="3">
        <f>IF(OR(INDEX($O$2:$O$1001,MATCH(ROWS($N$2:N151),$N$2:$N$1001,0),1)&gt;=100000,INDEX($U$1005:$AC$1005,1,MATCH(COLUMNS($U$1006:AB1006),$U$1006:$AC$1006,0))&gt;=100000), " ",IF(INDEX($U$2:$AC$1001,MATCH(ROWS($N$2:N151),$N$2:$N$1001,0),MATCH(COLUMNS($U$1006:AB1006),$U$1006:$AC$1006,0)), HYPERLINK("#",""), HYPERLINK(CONCATENATE("#metadata!", ADDRESS(INDEX($P$2:$P$1001,MATCH(ROWS($N$2:N151),$N$2:$N$1001,0),0), INDEX($U$1004:$AC$1004,1,MATCH(COLUMNS($U$1006:AB1006),$U$1006:$AC$1006,0)))),"Fix")))</f>
        <v>0</v>
      </c>
      <c r="J151" s="3">
        <f>IF(OR(INDEX($O$2:$O$1001,MATCH(ROWS($N$2:N151),$N$2:$N$1001,0),1)&gt;=100000,INDEX($U$1005:$AC$1005,1,MATCH(COLUMNS($U$1006:AC1006),$U$1006:$AC$1006,0))&gt;=100000), " ",IF(INDEX($U$2:$AC$1001,MATCH(ROWS($N$2:N151),$N$2:$N$1001,0),MATCH(COLUMNS($U$1006:AC1006),$U$1006:$AC$1006,0)), HYPERLINK("#",""), HYPERLINK(CONCATENATE("#metadata!", ADDRESS(INDEX($P$2:$P$1001,MATCH(ROWS($N$2:N151),$N$2:$N$1001,0),0), INDEX($U$1004:$AC$1004,1,MATCH(COLUMNS($U$1006:AC1006),$U$1006:$AC$1006,0)))),"Fix")))</f>
        <v>0</v>
      </c>
      <c r="N151">
        <v>0</v>
      </c>
      <c r="O151">
        <v>0</v>
      </c>
      <c r="P151">
        <v>0</v>
      </c>
      <c r="Q151">
        <f>IF(R151,TRUE,AND(U151:AC151))</f>
        <v>0</v>
      </c>
      <c r="R151">
        <f>COUNTBLANK(metadata!B151:J151)=COLUMNS(metadata!B151:J151)</f>
        <v>0</v>
      </c>
      <c r="S151">
        <v>0</v>
      </c>
      <c r="U151">
        <f>AND(IF(metadata!B151="",FALSE,TRUE),COUNTIF(metadata!B:B, metadata!B151) = 1,NOT(ISERROR(SUMPRODUCT(SEARCH(MID(metadata!B151,ROW(INDIRECT("1:"&amp;LEN(metadata!B151))), 1),"0123456789abcdefghijklmnopqrstuvwxyzABCDEFGHIJKLMNOPQRSTUVWXYZ.")))))</f>
        <v>0</v>
      </c>
      <c r="V151">
        <f>AND(IF(metadata!C151="",FALSE,TRUE),exact(metadata!C151,"UBERON:genitourinary"))</f>
        <v>0</v>
      </c>
      <c r="W151">
        <f>AND(IF(metadata!D151="",FALSE,TRUE),exact(metadata!D151,"UBERON:urine"))</f>
        <v>0</v>
      </c>
      <c r="X151">
        <f>AND(IF(metadata!E151="",FALSE,TRUE),exact(metadata!E151,"UBERON:kidney"))</f>
        <v>0</v>
      </c>
      <c r="Y151">
        <f>AND(IF(metadata!F151="",FALSE,TRUE),exact(metadata!F151,"animal corpus"))</f>
        <v>0</v>
      </c>
      <c r="Z151">
        <f>AND(IF(metadata!G151="",FALSE,TRUE),exact(metadata!G151,"urine"))</f>
        <v>0</v>
      </c>
      <c r="AA151">
        <f>AND(IF(metadata!H151="",FALSE,TRUE),exact(metadata!H151,"urine"))</f>
        <v>0</v>
      </c>
      <c r="AB151">
        <f>AND(IF(metadata!I151="",FALSE,TRUE),exact(metadata!I151,"urine metagenome"))</f>
        <v>0</v>
      </c>
      <c r="AC151">
        <f>AND(IF(metadata!J151="",FALSE,TRUE),exact(metadata!J151,"1346744"))</f>
        <v>0</v>
      </c>
    </row>
    <row r="152" spans="1:29">
      <c r="A152" s="4">
        <f>IF(B152=" "," ",HYPERLINK(CONCATENATE("#metadata!",ADDRESS(INDEX($P$2:$P$1001,MATCH(ROWS($N$2:N152),$N$2:$N$1001,0),0),1)),INDEX($S$2:$S$1001,MATCH(ROWS($N$2:N152),$N$2:$N$1001,0),0)))</f>
        <v>0</v>
      </c>
      <c r="B152" s="3">
        <f>IF(OR(INDEX($O$2:$O$1001,MATCH(ROWS($N$2:N152),$N$2:$N$1001,0),1)&gt;=100000,INDEX($U$1005:$AC$1005,1,MATCH(COLUMNS($U$1006:U1006),$U$1006:$AC$1006,0))&gt;=100000), " ",IF(INDEX($U$2:$AC$1001,MATCH(ROWS($N$2:N152),$N$2:$N$1001,0),MATCH(COLUMNS($U$1006:U1006),$U$1006:$AC$1006,0)), HYPERLINK("#",""), HYPERLINK(CONCATENATE("#metadata!", ADDRESS(INDEX($P$2:$P$1001,MATCH(ROWS($N$2:N152),$N$2:$N$1001,0),0), INDEX($U$1004:$AC$1004,1,MATCH(COLUMNS($U$1006:U1006),$U$1006:$AC$1006,0)))),"Fix")))</f>
        <v>0</v>
      </c>
      <c r="C152" s="3">
        <f>IF(OR(INDEX($O$2:$O$1001,MATCH(ROWS($N$2:N152),$N$2:$N$1001,0),1)&gt;=100000,INDEX($U$1005:$AC$1005,1,MATCH(COLUMNS($U$1006:V1006),$U$1006:$AC$1006,0))&gt;=100000), " ",IF(INDEX($U$2:$AC$1001,MATCH(ROWS($N$2:N152),$N$2:$N$1001,0),MATCH(COLUMNS($U$1006:V1006),$U$1006:$AC$1006,0)), HYPERLINK("#",""), HYPERLINK(CONCATENATE("#metadata!", ADDRESS(INDEX($P$2:$P$1001,MATCH(ROWS($N$2:N152),$N$2:$N$1001,0),0), INDEX($U$1004:$AC$1004,1,MATCH(COLUMNS($U$1006:V1006),$U$1006:$AC$1006,0)))),"Fix")))</f>
        <v>0</v>
      </c>
      <c r="D152" s="3">
        <f>IF(OR(INDEX($O$2:$O$1001,MATCH(ROWS($N$2:N152),$N$2:$N$1001,0),1)&gt;=100000,INDEX($U$1005:$AC$1005,1,MATCH(COLUMNS($U$1006:W1006),$U$1006:$AC$1006,0))&gt;=100000), " ",IF(INDEX($U$2:$AC$1001,MATCH(ROWS($N$2:N152),$N$2:$N$1001,0),MATCH(COLUMNS($U$1006:W1006),$U$1006:$AC$1006,0)), HYPERLINK("#",""), HYPERLINK(CONCATENATE("#metadata!", ADDRESS(INDEX($P$2:$P$1001,MATCH(ROWS($N$2:N152),$N$2:$N$1001,0),0), INDEX($U$1004:$AC$1004,1,MATCH(COLUMNS($U$1006:W1006),$U$1006:$AC$1006,0)))),"Fix")))</f>
        <v>0</v>
      </c>
      <c r="E152" s="3">
        <f>IF(OR(INDEX($O$2:$O$1001,MATCH(ROWS($N$2:N152),$N$2:$N$1001,0),1)&gt;=100000,INDEX($U$1005:$AC$1005,1,MATCH(COLUMNS($U$1006:X1006),$U$1006:$AC$1006,0))&gt;=100000), " ",IF(INDEX($U$2:$AC$1001,MATCH(ROWS($N$2:N152),$N$2:$N$1001,0),MATCH(COLUMNS($U$1006:X1006),$U$1006:$AC$1006,0)), HYPERLINK("#",""), HYPERLINK(CONCATENATE("#metadata!", ADDRESS(INDEX($P$2:$P$1001,MATCH(ROWS($N$2:N152),$N$2:$N$1001,0),0), INDEX($U$1004:$AC$1004,1,MATCH(COLUMNS($U$1006:X1006),$U$1006:$AC$1006,0)))),"Fix")))</f>
        <v>0</v>
      </c>
      <c r="F152" s="3">
        <f>IF(OR(INDEX($O$2:$O$1001,MATCH(ROWS($N$2:N152),$N$2:$N$1001,0),1)&gt;=100000,INDEX($U$1005:$AC$1005,1,MATCH(COLUMNS($U$1006:Y1006),$U$1006:$AC$1006,0))&gt;=100000), " ",IF(INDEX($U$2:$AC$1001,MATCH(ROWS($N$2:N152),$N$2:$N$1001,0),MATCH(COLUMNS($U$1006:Y1006),$U$1006:$AC$1006,0)), HYPERLINK("#",""), HYPERLINK(CONCATENATE("#metadata!", ADDRESS(INDEX($P$2:$P$1001,MATCH(ROWS($N$2:N152),$N$2:$N$1001,0),0), INDEX($U$1004:$AC$1004,1,MATCH(COLUMNS($U$1006:Y1006),$U$1006:$AC$1006,0)))),"Fix")))</f>
        <v>0</v>
      </c>
      <c r="G152" s="3">
        <f>IF(OR(INDEX($O$2:$O$1001,MATCH(ROWS($N$2:N152),$N$2:$N$1001,0),1)&gt;=100000,INDEX($U$1005:$AC$1005,1,MATCH(COLUMNS($U$1006:Z1006),$U$1006:$AC$1006,0))&gt;=100000), " ",IF(INDEX($U$2:$AC$1001,MATCH(ROWS($N$2:N152),$N$2:$N$1001,0),MATCH(COLUMNS($U$1006:Z1006),$U$1006:$AC$1006,0)), HYPERLINK("#",""), HYPERLINK(CONCATENATE("#metadata!", ADDRESS(INDEX($P$2:$P$1001,MATCH(ROWS($N$2:N152),$N$2:$N$1001,0),0), INDEX($U$1004:$AC$1004,1,MATCH(COLUMNS($U$1006:Z1006),$U$1006:$AC$1006,0)))),"Fix")))</f>
        <v>0</v>
      </c>
      <c r="H152" s="3">
        <f>IF(OR(INDEX($O$2:$O$1001,MATCH(ROWS($N$2:N152),$N$2:$N$1001,0),1)&gt;=100000,INDEX($U$1005:$AC$1005,1,MATCH(COLUMNS($U$1006:AA1006),$U$1006:$AC$1006,0))&gt;=100000), " ",IF(INDEX($U$2:$AC$1001,MATCH(ROWS($N$2:N152),$N$2:$N$1001,0),MATCH(COLUMNS($U$1006:AA1006),$U$1006:$AC$1006,0)), HYPERLINK("#",""), HYPERLINK(CONCATENATE("#metadata!", ADDRESS(INDEX($P$2:$P$1001,MATCH(ROWS($N$2:N152),$N$2:$N$1001,0),0), INDEX($U$1004:$AC$1004,1,MATCH(COLUMNS($U$1006:AA1006),$U$1006:$AC$1006,0)))),"Fix")))</f>
        <v>0</v>
      </c>
      <c r="I152" s="3">
        <f>IF(OR(INDEX($O$2:$O$1001,MATCH(ROWS($N$2:N152),$N$2:$N$1001,0),1)&gt;=100000,INDEX($U$1005:$AC$1005,1,MATCH(COLUMNS($U$1006:AB1006),$U$1006:$AC$1006,0))&gt;=100000), " ",IF(INDEX($U$2:$AC$1001,MATCH(ROWS($N$2:N152),$N$2:$N$1001,0),MATCH(COLUMNS($U$1006:AB1006),$U$1006:$AC$1006,0)), HYPERLINK("#",""), HYPERLINK(CONCATENATE("#metadata!", ADDRESS(INDEX($P$2:$P$1001,MATCH(ROWS($N$2:N152),$N$2:$N$1001,0),0), INDEX($U$1004:$AC$1004,1,MATCH(COLUMNS($U$1006:AB1006),$U$1006:$AC$1006,0)))),"Fix")))</f>
        <v>0</v>
      </c>
      <c r="J152" s="3">
        <f>IF(OR(INDEX($O$2:$O$1001,MATCH(ROWS($N$2:N152),$N$2:$N$1001,0),1)&gt;=100000,INDEX($U$1005:$AC$1005,1,MATCH(COLUMNS($U$1006:AC1006),$U$1006:$AC$1006,0))&gt;=100000), " ",IF(INDEX($U$2:$AC$1001,MATCH(ROWS($N$2:N152),$N$2:$N$1001,0),MATCH(COLUMNS($U$1006:AC1006),$U$1006:$AC$1006,0)), HYPERLINK("#",""), HYPERLINK(CONCATENATE("#metadata!", ADDRESS(INDEX($P$2:$P$1001,MATCH(ROWS($N$2:N152),$N$2:$N$1001,0),0), INDEX($U$1004:$AC$1004,1,MATCH(COLUMNS($U$1006:AC1006),$U$1006:$AC$1006,0)))),"Fix")))</f>
        <v>0</v>
      </c>
      <c r="N152">
        <v>0</v>
      </c>
      <c r="O152">
        <v>0</v>
      </c>
      <c r="P152">
        <v>0</v>
      </c>
      <c r="Q152">
        <f>IF(R152,TRUE,AND(U152:AC152))</f>
        <v>0</v>
      </c>
      <c r="R152">
        <f>COUNTBLANK(metadata!B152:J152)=COLUMNS(metadata!B152:J152)</f>
        <v>0</v>
      </c>
      <c r="S152">
        <v>0</v>
      </c>
      <c r="U152">
        <f>AND(IF(metadata!B152="",FALSE,TRUE),COUNTIF(metadata!B:B, metadata!B152) = 1,NOT(ISERROR(SUMPRODUCT(SEARCH(MID(metadata!B152,ROW(INDIRECT("1:"&amp;LEN(metadata!B152))), 1),"0123456789abcdefghijklmnopqrstuvwxyzABCDEFGHIJKLMNOPQRSTUVWXYZ.")))))</f>
        <v>0</v>
      </c>
      <c r="V152">
        <f>AND(IF(metadata!C152="",FALSE,TRUE),exact(metadata!C152,"UBERON:genitourinary"))</f>
        <v>0</v>
      </c>
      <c r="W152">
        <f>AND(IF(metadata!D152="",FALSE,TRUE),exact(metadata!D152,"UBERON:urine"))</f>
        <v>0</v>
      </c>
      <c r="X152">
        <f>AND(IF(metadata!E152="",FALSE,TRUE),exact(metadata!E152,"UBERON:kidney"))</f>
        <v>0</v>
      </c>
      <c r="Y152">
        <f>AND(IF(metadata!F152="",FALSE,TRUE),exact(metadata!F152,"animal corpus"))</f>
        <v>0</v>
      </c>
      <c r="Z152">
        <f>AND(IF(metadata!G152="",FALSE,TRUE),exact(metadata!G152,"urine"))</f>
        <v>0</v>
      </c>
      <c r="AA152">
        <f>AND(IF(metadata!H152="",FALSE,TRUE),exact(metadata!H152,"urine"))</f>
        <v>0</v>
      </c>
      <c r="AB152">
        <f>AND(IF(metadata!I152="",FALSE,TRUE),exact(metadata!I152,"urine metagenome"))</f>
        <v>0</v>
      </c>
      <c r="AC152">
        <f>AND(IF(metadata!J152="",FALSE,TRUE),exact(metadata!J152,"1346744"))</f>
        <v>0</v>
      </c>
    </row>
    <row r="153" spans="1:29">
      <c r="A153" s="4">
        <f>IF(B153=" "," ",HYPERLINK(CONCATENATE("#metadata!",ADDRESS(INDEX($P$2:$P$1001,MATCH(ROWS($N$2:N153),$N$2:$N$1001,0),0),1)),INDEX($S$2:$S$1001,MATCH(ROWS($N$2:N153),$N$2:$N$1001,0),0)))</f>
        <v>0</v>
      </c>
      <c r="B153" s="3">
        <f>IF(OR(INDEX($O$2:$O$1001,MATCH(ROWS($N$2:N153),$N$2:$N$1001,0),1)&gt;=100000,INDEX($U$1005:$AC$1005,1,MATCH(COLUMNS($U$1006:U1006),$U$1006:$AC$1006,0))&gt;=100000), " ",IF(INDEX($U$2:$AC$1001,MATCH(ROWS($N$2:N153),$N$2:$N$1001,0),MATCH(COLUMNS($U$1006:U1006),$U$1006:$AC$1006,0)), HYPERLINK("#",""), HYPERLINK(CONCATENATE("#metadata!", ADDRESS(INDEX($P$2:$P$1001,MATCH(ROWS($N$2:N153),$N$2:$N$1001,0),0), INDEX($U$1004:$AC$1004,1,MATCH(COLUMNS($U$1006:U1006),$U$1006:$AC$1006,0)))),"Fix")))</f>
        <v>0</v>
      </c>
      <c r="C153" s="3">
        <f>IF(OR(INDEX($O$2:$O$1001,MATCH(ROWS($N$2:N153),$N$2:$N$1001,0),1)&gt;=100000,INDEX($U$1005:$AC$1005,1,MATCH(COLUMNS($U$1006:V1006),$U$1006:$AC$1006,0))&gt;=100000), " ",IF(INDEX($U$2:$AC$1001,MATCH(ROWS($N$2:N153),$N$2:$N$1001,0),MATCH(COLUMNS($U$1006:V1006),$U$1006:$AC$1006,0)), HYPERLINK("#",""), HYPERLINK(CONCATENATE("#metadata!", ADDRESS(INDEX($P$2:$P$1001,MATCH(ROWS($N$2:N153),$N$2:$N$1001,0),0), INDEX($U$1004:$AC$1004,1,MATCH(COLUMNS($U$1006:V1006),$U$1006:$AC$1006,0)))),"Fix")))</f>
        <v>0</v>
      </c>
      <c r="D153" s="3">
        <f>IF(OR(INDEX($O$2:$O$1001,MATCH(ROWS($N$2:N153),$N$2:$N$1001,0),1)&gt;=100000,INDEX($U$1005:$AC$1005,1,MATCH(COLUMNS($U$1006:W1006),$U$1006:$AC$1006,0))&gt;=100000), " ",IF(INDEX($U$2:$AC$1001,MATCH(ROWS($N$2:N153),$N$2:$N$1001,0),MATCH(COLUMNS($U$1006:W1006),$U$1006:$AC$1006,0)), HYPERLINK("#",""), HYPERLINK(CONCATENATE("#metadata!", ADDRESS(INDEX($P$2:$P$1001,MATCH(ROWS($N$2:N153),$N$2:$N$1001,0),0), INDEX($U$1004:$AC$1004,1,MATCH(COLUMNS($U$1006:W1006),$U$1006:$AC$1006,0)))),"Fix")))</f>
        <v>0</v>
      </c>
      <c r="E153" s="3">
        <f>IF(OR(INDEX($O$2:$O$1001,MATCH(ROWS($N$2:N153),$N$2:$N$1001,0),1)&gt;=100000,INDEX($U$1005:$AC$1005,1,MATCH(COLUMNS($U$1006:X1006),$U$1006:$AC$1006,0))&gt;=100000), " ",IF(INDEX($U$2:$AC$1001,MATCH(ROWS($N$2:N153),$N$2:$N$1001,0),MATCH(COLUMNS($U$1006:X1006),$U$1006:$AC$1006,0)), HYPERLINK("#",""), HYPERLINK(CONCATENATE("#metadata!", ADDRESS(INDEX($P$2:$P$1001,MATCH(ROWS($N$2:N153),$N$2:$N$1001,0),0), INDEX($U$1004:$AC$1004,1,MATCH(COLUMNS($U$1006:X1006),$U$1006:$AC$1006,0)))),"Fix")))</f>
        <v>0</v>
      </c>
      <c r="F153" s="3">
        <f>IF(OR(INDEX($O$2:$O$1001,MATCH(ROWS($N$2:N153),$N$2:$N$1001,0),1)&gt;=100000,INDEX($U$1005:$AC$1005,1,MATCH(COLUMNS($U$1006:Y1006),$U$1006:$AC$1006,0))&gt;=100000), " ",IF(INDEX($U$2:$AC$1001,MATCH(ROWS($N$2:N153),$N$2:$N$1001,0),MATCH(COLUMNS($U$1006:Y1006),$U$1006:$AC$1006,0)), HYPERLINK("#",""), HYPERLINK(CONCATENATE("#metadata!", ADDRESS(INDEX($P$2:$P$1001,MATCH(ROWS($N$2:N153),$N$2:$N$1001,0),0), INDEX($U$1004:$AC$1004,1,MATCH(COLUMNS($U$1006:Y1006),$U$1006:$AC$1006,0)))),"Fix")))</f>
        <v>0</v>
      </c>
      <c r="G153" s="3">
        <f>IF(OR(INDEX($O$2:$O$1001,MATCH(ROWS($N$2:N153),$N$2:$N$1001,0),1)&gt;=100000,INDEX($U$1005:$AC$1005,1,MATCH(COLUMNS($U$1006:Z1006),$U$1006:$AC$1006,0))&gt;=100000), " ",IF(INDEX($U$2:$AC$1001,MATCH(ROWS($N$2:N153),$N$2:$N$1001,0),MATCH(COLUMNS($U$1006:Z1006),$U$1006:$AC$1006,0)), HYPERLINK("#",""), HYPERLINK(CONCATENATE("#metadata!", ADDRESS(INDEX($P$2:$P$1001,MATCH(ROWS($N$2:N153),$N$2:$N$1001,0),0), INDEX($U$1004:$AC$1004,1,MATCH(COLUMNS($U$1006:Z1006),$U$1006:$AC$1006,0)))),"Fix")))</f>
        <v>0</v>
      </c>
      <c r="H153" s="3">
        <f>IF(OR(INDEX($O$2:$O$1001,MATCH(ROWS($N$2:N153),$N$2:$N$1001,0),1)&gt;=100000,INDEX($U$1005:$AC$1005,1,MATCH(COLUMNS($U$1006:AA1006),$U$1006:$AC$1006,0))&gt;=100000), " ",IF(INDEX($U$2:$AC$1001,MATCH(ROWS($N$2:N153),$N$2:$N$1001,0),MATCH(COLUMNS($U$1006:AA1006),$U$1006:$AC$1006,0)), HYPERLINK("#",""), HYPERLINK(CONCATENATE("#metadata!", ADDRESS(INDEX($P$2:$P$1001,MATCH(ROWS($N$2:N153),$N$2:$N$1001,0),0), INDEX($U$1004:$AC$1004,1,MATCH(COLUMNS($U$1006:AA1006),$U$1006:$AC$1006,0)))),"Fix")))</f>
        <v>0</v>
      </c>
      <c r="I153" s="3">
        <f>IF(OR(INDEX($O$2:$O$1001,MATCH(ROWS($N$2:N153),$N$2:$N$1001,0),1)&gt;=100000,INDEX($U$1005:$AC$1005,1,MATCH(COLUMNS($U$1006:AB1006),$U$1006:$AC$1006,0))&gt;=100000), " ",IF(INDEX($U$2:$AC$1001,MATCH(ROWS($N$2:N153),$N$2:$N$1001,0),MATCH(COLUMNS($U$1006:AB1006),$U$1006:$AC$1006,0)), HYPERLINK("#",""), HYPERLINK(CONCATENATE("#metadata!", ADDRESS(INDEX($P$2:$P$1001,MATCH(ROWS($N$2:N153),$N$2:$N$1001,0),0), INDEX($U$1004:$AC$1004,1,MATCH(COLUMNS($U$1006:AB1006),$U$1006:$AC$1006,0)))),"Fix")))</f>
        <v>0</v>
      </c>
      <c r="J153" s="3">
        <f>IF(OR(INDEX($O$2:$O$1001,MATCH(ROWS($N$2:N153),$N$2:$N$1001,0),1)&gt;=100000,INDEX($U$1005:$AC$1005,1,MATCH(COLUMNS($U$1006:AC1006),$U$1006:$AC$1006,0))&gt;=100000), " ",IF(INDEX($U$2:$AC$1001,MATCH(ROWS($N$2:N153),$N$2:$N$1001,0),MATCH(COLUMNS($U$1006:AC1006),$U$1006:$AC$1006,0)), HYPERLINK("#",""), HYPERLINK(CONCATENATE("#metadata!", ADDRESS(INDEX($P$2:$P$1001,MATCH(ROWS($N$2:N153),$N$2:$N$1001,0),0), INDEX($U$1004:$AC$1004,1,MATCH(COLUMNS($U$1006:AC1006),$U$1006:$AC$1006,0)))),"Fix")))</f>
        <v>0</v>
      </c>
      <c r="N153">
        <v>0</v>
      </c>
      <c r="O153">
        <v>0</v>
      </c>
      <c r="P153">
        <v>0</v>
      </c>
      <c r="Q153">
        <f>IF(R153,TRUE,AND(U153:AC153))</f>
        <v>0</v>
      </c>
      <c r="R153">
        <f>COUNTBLANK(metadata!B153:J153)=COLUMNS(metadata!B153:J153)</f>
        <v>0</v>
      </c>
      <c r="S153">
        <v>0</v>
      </c>
      <c r="U153">
        <f>AND(IF(metadata!B153="",FALSE,TRUE),COUNTIF(metadata!B:B, metadata!B153) = 1,NOT(ISERROR(SUMPRODUCT(SEARCH(MID(metadata!B153,ROW(INDIRECT("1:"&amp;LEN(metadata!B153))), 1),"0123456789abcdefghijklmnopqrstuvwxyzABCDEFGHIJKLMNOPQRSTUVWXYZ.")))))</f>
        <v>0</v>
      </c>
      <c r="V153">
        <f>AND(IF(metadata!C153="",FALSE,TRUE),exact(metadata!C153,"UBERON:genitourinary"))</f>
        <v>0</v>
      </c>
      <c r="W153">
        <f>AND(IF(metadata!D153="",FALSE,TRUE),exact(metadata!D153,"UBERON:urine"))</f>
        <v>0</v>
      </c>
      <c r="X153">
        <f>AND(IF(metadata!E153="",FALSE,TRUE),exact(metadata!E153,"UBERON:kidney"))</f>
        <v>0</v>
      </c>
      <c r="Y153">
        <f>AND(IF(metadata!F153="",FALSE,TRUE),exact(metadata!F153,"animal corpus"))</f>
        <v>0</v>
      </c>
      <c r="Z153">
        <f>AND(IF(metadata!G153="",FALSE,TRUE),exact(metadata!G153,"urine"))</f>
        <v>0</v>
      </c>
      <c r="AA153">
        <f>AND(IF(metadata!H153="",FALSE,TRUE),exact(metadata!H153,"urine"))</f>
        <v>0</v>
      </c>
      <c r="AB153">
        <f>AND(IF(metadata!I153="",FALSE,TRUE),exact(metadata!I153,"urine metagenome"))</f>
        <v>0</v>
      </c>
      <c r="AC153">
        <f>AND(IF(metadata!J153="",FALSE,TRUE),exact(metadata!J153,"1346744"))</f>
        <v>0</v>
      </c>
    </row>
    <row r="154" spans="1:29">
      <c r="A154" s="4">
        <f>IF(B154=" "," ",HYPERLINK(CONCATENATE("#metadata!",ADDRESS(INDEX($P$2:$P$1001,MATCH(ROWS($N$2:N154),$N$2:$N$1001,0),0),1)),INDEX($S$2:$S$1001,MATCH(ROWS($N$2:N154),$N$2:$N$1001,0),0)))</f>
        <v>0</v>
      </c>
      <c r="B154" s="3">
        <f>IF(OR(INDEX($O$2:$O$1001,MATCH(ROWS($N$2:N154),$N$2:$N$1001,0),1)&gt;=100000,INDEX($U$1005:$AC$1005,1,MATCH(COLUMNS($U$1006:U1006),$U$1006:$AC$1006,0))&gt;=100000), " ",IF(INDEX($U$2:$AC$1001,MATCH(ROWS($N$2:N154),$N$2:$N$1001,0),MATCH(COLUMNS($U$1006:U1006),$U$1006:$AC$1006,0)), HYPERLINK("#",""), HYPERLINK(CONCATENATE("#metadata!", ADDRESS(INDEX($P$2:$P$1001,MATCH(ROWS($N$2:N154),$N$2:$N$1001,0),0), INDEX($U$1004:$AC$1004,1,MATCH(COLUMNS($U$1006:U1006),$U$1006:$AC$1006,0)))),"Fix")))</f>
        <v>0</v>
      </c>
      <c r="C154" s="3">
        <f>IF(OR(INDEX($O$2:$O$1001,MATCH(ROWS($N$2:N154),$N$2:$N$1001,0),1)&gt;=100000,INDEX($U$1005:$AC$1005,1,MATCH(COLUMNS($U$1006:V1006),$U$1006:$AC$1006,0))&gt;=100000), " ",IF(INDEX($U$2:$AC$1001,MATCH(ROWS($N$2:N154),$N$2:$N$1001,0),MATCH(COLUMNS($U$1006:V1006),$U$1006:$AC$1006,0)), HYPERLINK("#",""), HYPERLINK(CONCATENATE("#metadata!", ADDRESS(INDEX($P$2:$P$1001,MATCH(ROWS($N$2:N154),$N$2:$N$1001,0),0), INDEX($U$1004:$AC$1004,1,MATCH(COLUMNS($U$1006:V1006),$U$1006:$AC$1006,0)))),"Fix")))</f>
        <v>0</v>
      </c>
      <c r="D154" s="3">
        <f>IF(OR(INDEX($O$2:$O$1001,MATCH(ROWS($N$2:N154),$N$2:$N$1001,0),1)&gt;=100000,INDEX($U$1005:$AC$1005,1,MATCH(COLUMNS($U$1006:W1006),$U$1006:$AC$1006,0))&gt;=100000), " ",IF(INDEX($U$2:$AC$1001,MATCH(ROWS($N$2:N154),$N$2:$N$1001,0),MATCH(COLUMNS($U$1006:W1006),$U$1006:$AC$1006,0)), HYPERLINK("#",""), HYPERLINK(CONCATENATE("#metadata!", ADDRESS(INDEX($P$2:$P$1001,MATCH(ROWS($N$2:N154),$N$2:$N$1001,0),0), INDEX($U$1004:$AC$1004,1,MATCH(COLUMNS($U$1006:W1006),$U$1006:$AC$1006,0)))),"Fix")))</f>
        <v>0</v>
      </c>
      <c r="E154" s="3">
        <f>IF(OR(INDEX($O$2:$O$1001,MATCH(ROWS($N$2:N154),$N$2:$N$1001,0),1)&gt;=100000,INDEX($U$1005:$AC$1005,1,MATCH(COLUMNS($U$1006:X1006),$U$1006:$AC$1006,0))&gt;=100000), " ",IF(INDEX($U$2:$AC$1001,MATCH(ROWS($N$2:N154),$N$2:$N$1001,0),MATCH(COLUMNS($U$1006:X1006),$U$1006:$AC$1006,0)), HYPERLINK("#",""), HYPERLINK(CONCATENATE("#metadata!", ADDRESS(INDEX($P$2:$P$1001,MATCH(ROWS($N$2:N154),$N$2:$N$1001,0),0), INDEX($U$1004:$AC$1004,1,MATCH(COLUMNS($U$1006:X1006),$U$1006:$AC$1006,0)))),"Fix")))</f>
        <v>0</v>
      </c>
      <c r="F154" s="3">
        <f>IF(OR(INDEX($O$2:$O$1001,MATCH(ROWS($N$2:N154),$N$2:$N$1001,0),1)&gt;=100000,INDEX($U$1005:$AC$1005,1,MATCH(COLUMNS($U$1006:Y1006),$U$1006:$AC$1006,0))&gt;=100000), " ",IF(INDEX($U$2:$AC$1001,MATCH(ROWS($N$2:N154),$N$2:$N$1001,0),MATCH(COLUMNS($U$1006:Y1006),$U$1006:$AC$1006,0)), HYPERLINK("#",""), HYPERLINK(CONCATENATE("#metadata!", ADDRESS(INDEX($P$2:$P$1001,MATCH(ROWS($N$2:N154),$N$2:$N$1001,0),0), INDEX($U$1004:$AC$1004,1,MATCH(COLUMNS($U$1006:Y1006),$U$1006:$AC$1006,0)))),"Fix")))</f>
        <v>0</v>
      </c>
      <c r="G154" s="3">
        <f>IF(OR(INDEX($O$2:$O$1001,MATCH(ROWS($N$2:N154),$N$2:$N$1001,0),1)&gt;=100000,INDEX($U$1005:$AC$1005,1,MATCH(COLUMNS($U$1006:Z1006),$U$1006:$AC$1006,0))&gt;=100000), " ",IF(INDEX($U$2:$AC$1001,MATCH(ROWS($N$2:N154),$N$2:$N$1001,0),MATCH(COLUMNS($U$1006:Z1006),$U$1006:$AC$1006,0)), HYPERLINK("#",""), HYPERLINK(CONCATENATE("#metadata!", ADDRESS(INDEX($P$2:$P$1001,MATCH(ROWS($N$2:N154),$N$2:$N$1001,0),0), INDEX($U$1004:$AC$1004,1,MATCH(COLUMNS($U$1006:Z1006),$U$1006:$AC$1006,0)))),"Fix")))</f>
        <v>0</v>
      </c>
      <c r="H154" s="3">
        <f>IF(OR(INDEX($O$2:$O$1001,MATCH(ROWS($N$2:N154),$N$2:$N$1001,0),1)&gt;=100000,INDEX($U$1005:$AC$1005,1,MATCH(COLUMNS($U$1006:AA1006),$U$1006:$AC$1006,0))&gt;=100000), " ",IF(INDEX($U$2:$AC$1001,MATCH(ROWS($N$2:N154),$N$2:$N$1001,0),MATCH(COLUMNS($U$1006:AA1006),$U$1006:$AC$1006,0)), HYPERLINK("#",""), HYPERLINK(CONCATENATE("#metadata!", ADDRESS(INDEX($P$2:$P$1001,MATCH(ROWS($N$2:N154),$N$2:$N$1001,0),0), INDEX($U$1004:$AC$1004,1,MATCH(COLUMNS($U$1006:AA1006),$U$1006:$AC$1006,0)))),"Fix")))</f>
        <v>0</v>
      </c>
      <c r="I154" s="3">
        <f>IF(OR(INDEX($O$2:$O$1001,MATCH(ROWS($N$2:N154),$N$2:$N$1001,0),1)&gt;=100000,INDEX($U$1005:$AC$1005,1,MATCH(COLUMNS($U$1006:AB1006),$U$1006:$AC$1006,0))&gt;=100000), " ",IF(INDEX($U$2:$AC$1001,MATCH(ROWS($N$2:N154),$N$2:$N$1001,0),MATCH(COLUMNS($U$1006:AB1006),$U$1006:$AC$1006,0)), HYPERLINK("#",""), HYPERLINK(CONCATENATE("#metadata!", ADDRESS(INDEX($P$2:$P$1001,MATCH(ROWS($N$2:N154),$N$2:$N$1001,0),0), INDEX($U$1004:$AC$1004,1,MATCH(COLUMNS($U$1006:AB1006),$U$1006:$AC$1006,0)))),"Fix")))</f>
        <v>0</v>
      </c>
      <c r="J154" s="3">
        <f>IF(OR(INDEX($O$2:$O$1001,MATCH(ROWS($N$2:N154),$N$2:$N$1001,0),1)&gt;=100000,INDEX($U$1005:$AC$1005,1,MATCH(COLUMNS($U$1006:AC1006),$U$1006:$AC$1006,0))&gt;=100000), " ",IF(INDEX($U$2:$AC$1001,MATCH(ROWS($N$2:N154),$N$2:$N$1001,0),MATCH(COLUMNS($U$1006:AC1006),$U$1006:$AC$1006,0)), HYPERLINK("#",""), HYPERLINK(CONCATENATE("#metadata!", ADDRESS(INDEX($P$2:$P$1001,MATCH(ROWS($N$2:N154),$N$2:$N$1001,0),0), INDEX($U$1004:$AC$1004,1,MATCH(COLUMNS($U$1006:AC1006),$U$1006:$AC$1006,0)))),"Fix")))</f>
        <v>0</v>
      </c>
      <c r="N154">
        <v>0</v>
      </c>
      <c r="O154">
        <v>0</v>
      </c>
      <c r="P154">
        <v>0</v>
      </c>
      <c r="Q154">
        <f>IF(R154,TRUE,AND(U154:AC154))</f>
        <v>0</v>
      </c>
      <c r="R154">
        <f>COUNTBLANK(metadata!B154:J154)=COLUMNS(metadata!B154:J154)</f>
        <v>0</v>
      </c>
      <c r="S154">
        <v>0</v>
      </c>
      <c r="U154">
        <f>AND(IF(metadata!B154="",FALSE,TRUE),COUNTIF(metadata!B:B, metadata!B154) = 1,NOT(ISERROR(SUMPRODUCT(SEARCH(MID(metadata!B154,ROW(INDIRECT("1:"&amp;LEN(metadata!B154))), 1),"0123456789abcdefghijklmnopqrstuvwxyzABCDEFGHIJKLMNOPQRSTUVWXYZ.")))))</f>
        <v>0</v>
      </c>
      <c r="V154">
        <f>AND(IF(metadata!C154="",FALSE,TRUE),exact(metadata!C154,"UBERON:genitourinary"))</f>
        <v>0</v>
      </c>
      <c r="W154">
        <f>AND(IF(metadata!D154="",FALSE,TRUE),exact(metadata!D154,"UBERON:urine"))</f>
        <v>0</v>
      </c>
      <c r="X154">
        <f>AND(IF(metadata!E154="",FALSE,TRUE),exact(metadata!E154,"UBERON:kidney"))</f>
        <v>0</v>
      </c>
      <c r="Y154">
        <f>AND(IF(metadata!F154="",FALSE,TRUE),exact(metadata!F154,"animal corpus"))</f>
        <v>0</v>
      </c>
      <c r="Z154">
        <f>AND(IF(metadata!G154="",FALSE,TRUE),exact(metadata!G154,"urine"))</f>
        <v>0</v>
      </c>
      <c r="AA154">
        <f>AND(IF(metadata!H154="",FALSE,TRUE),exact(metadata!H154,"urine"))</f>
        <v>0</v>
      </c>
      <c r="AB154">
        <f>AND(IF(metadata!I154="",FALSE,TRUE),exact(metadata!I154,"urine metagenome"))</f>
        <v>0</v>
      </c>
      <c r="AC154">
        <f>AND(IF(metadata!J154="",FALSE,TRUE),exact(metadata!J154,"1346744"))</f>
        <v>0</v>
      </c>
    </row>
    <row r="155" spans="1:29">
      <c r="A155" s="4">
        <f>IF(B155=" "," ",HYPERLINK(CONCATENATE("#metadata!",ADDRESS(INDEX($P$2:$P$1001,MATCH(ROWS($N$2:N155),$N$2:$N$1001,0),0),1)),INDEX($S$2:$S$1001,MATCH(ROWS($N$2:N155),$N$2:$N$1001,0),0)))</f>
        <v>0</v>
      </c>
      <c r="B155" s="3">
        <f>IF(OR(INDEX($O$2:$O$1001,MATCH(ROWS($N$2:N155),$N$2:$N$1001,0),1)&gt;=100000,INDEX($U$1005:$AC$1005,1,MATCH(COLUMNS($U$1006:U1006),$U$1006:$AC$1006,0))&gt;=100000), " ",IF(INDEX($U$2:$AC$1001,MATCH(ROWS($N$2:N155),$N$2:$N$1001,0),MATCH(COLUMNS($U$1006:U1006),$U$1006:$AC$1006,0)), HYPERLINK("#",""), HYPERLINK(CONCATENATE("#metadata!", ADDRESS(INDEX($P$2:$P$1001,MATCH(ROWS($N$2:N155),$N$2:$N$1001,0),0), INDEX($U$1004:$AC$1004,1,MATCH(COLUMNS($U$1006:U1006),$U$1006:$AC$1006,0)))),"Fix")))</f>
        <v>0</v>
      </c>
      <c r="C155" s="3">
        <f>IF(OR(INDEX($O$2:$O$1001,MATCH(ROWS($N$2:N155),$N$2:$N$1001,0),1)&gt;=100000,INDEX($U$1005:$AC$1005,1,MATCH(COLUMNS($U$1006:V1006),$U$1006:$AC$1006,0))&gt;=100000), " ",IF(INDEX($U$2:$AC$1001,MATCH(ROWS($N$2:N155),$N$2:$N$1001,0),MATCH(COLUMNS($U$1006:V1006),$U$1006:$AC$1006,0)), HYPERLINK("#",""), HYPERLINK(CONCATENATE("#metadata!", ADDRESS(INDEX($P$2:$P$1001,MATCH(ROWS($N$2:N155),$N$2:$N$1001,0),0), INDEX($U$1004:$AC$1004,1,MATCH(COLUMNS($U$1006:V1006),$U$1006:$AC$1006,0)))),"Fix")))</f>
        <v>0</v>
      </c>
      <c r="D155" s="3">
        <f>IF(OR(INDEX($O$2:$O$1001,MATCH(ROWS($N$2:N155),$N$2:$N$1001,0),1)&gt;=100000,INDEX($U$1005:$AC$1005,1,MATCH(COLUMNS($U$1006:W1006),$U$1006:$AC$1006,0))&gt;=100000), " ",IF(INDEX($U$2:$AC$1001,MATCH(ROWS($N$2:N155),$N$2:$N$1001,0),MATCH(COLUMNS($U$1006:W1006),$U$1006:$AC$1006,0)), HYPERLINK("#",""), HYPERLINK(CONCATENATE("#metadata!", ADDRESS(INDEX($P$2:$P$1001,MATCH(ROWS($N$2:N155),$N$2:$N$1001,0),0), INDEX($U$1004:$AC$1004,1,MATCH(COLUMNS($U$1006:W1006),$U$1006:$AC$1006,0)))),"Fix")))</f>
        <v>0</v>
      </c>
      <c r="E155" s="3">
        <f>IF(OR(INDEX($O$2:$O$1001,MATCH(ROWS($N$2:N155),$N$2:$N$1001,0),1)&gt;=100000,INDEX($U$1005:$AC$1005,1,MATCH(COLUMNS($U$1006:X1006),$U$1006:$AC$1006,0))&gt;=100000), " ",IF(INDEX($U$2:$AC$1001,MATCH(ROWS($N$2:N155),$N$2:$N$1001,0),MATCH(COLUMNS($U$1006:X1006),$U$1006:$AC$1006,0)), HYPERLINK("#",""), HYPERLINK(CONCATENATE("#metadata!", ADDRESS(INDEX($P$2:$P$1001,MATCH(ROWS($N$2:N155),$N$2:$N$1001,0),0), INDEX($U$1004:$AC$1004,1,MATCH(COLUMNS($U$1006:X1006),$U$1006:$AC$1006,0)))),"Fix")))</f>
        <v>0</v>
      </c>
      <c r="F155" s="3">
        <f>IF(OR(INDEX($O$2:$O$1001,MATCH(ROWS($N$2:N155),$N$2:$N$1001,0),1)&gt;=100000,INDEX($U$1005:$AC$1005,1,MATCH(COLUMNS($U$1006:Y1006),$U$1006:$AC$1006,0))&gt;=100000), " ",IF(INDEX($U$2:$AC$1001,MATCH(ROWS($N$2:N155),$N$2:$N$1001,0),MATCH(COLUMNS($U$1006:Y1006),$U$1006:$AC$1006,0)), HYPERLINK("#",""), HYPERLINK(CONCATENATE("#metadata!", ADDRESS(INDEX($P$2:$P$1001,MATCH(ROWS($N$2:N155),$N$2:$N$1001,0),0), INDEX($U$1004:$AC$1004,1,MATCH(COLUMNS($U$1006:Y1006),$U$1006:$AC$1006,0)))),"Fix")))</f>
        <v>0</v>
      </c>
      <c r="G155" s="3">
        <f>IF(OR(INDEX($O$2:$O$1001,MATCH(ROWS($N$2:N155),$N$2:$N$1001,0),1)&gt;=100000,INDEX($U$1005:$AC$1005,1,MATCH(COLUMNS($U$1006:Z1006),$U$1006:$AC$1006,0))&gt;=100000), " ",IF(INDEX($U$2:$AC$1001,MATCH(ROWS($N$2:N155),$N$2:$N$1001,0),MATCH(COLUMNS($U$1006:Z1006),$U$1006:$AC$1006,0)), HYPERLINK("#",""), HYPERLINK(CONCATENATE("#metadata!", ADDRESS(INDEX($P$2:$P$1001,MATCH(ROWS($N$2:N155),$N$2:$N$1001,0),0), INDEX($U$1004:$AC$1004,1,MATCH(COLUMNS($U$1006:Z1006),$U$1006:$AC$1006,0)))),"Fix")))</f>
        <v>0</v>
      </c>
      <c r="H155" s="3">
        <f>IF(OR(INDEX($O$2:$O$1001,MATCH(ROWS($N$2:N155),$N$2:$N$1001,0),1)&gt;=100000,INDEX($U$1005:$AC$1005,1,MATCH(COLUMNS($U$1006:AA1006),$U$1006:$AC$1006,0))&gt;=100000), " ",IF(INDEX($U$2:$AC$1001,MATCH(ROWS($N$2:N155),$N$2:$N$1001,0),MATCH(COLUMNS($U$1006:AA1006),$U$1006:$AC$1006,0)), HYPERLINK("#",""), HYPERLINK(CONCATENATE("#metadata!", ADDRESS(INDEX($P$2:$P$1001,MATCH(ROWS($N$2:N155),$N$2:$N$1001,0),0), INDEX($U$1004:$AC$1004,1,MATCH(COLUMNS($U$1006:AA1006),$U$1006:$AC$1006,0)))),"Fix")))</f>
        <v>0</v>
      </c>
      <c r="I155" s="3">
        <f>IF(OR(INDEX($O$2:$O$1001,MATCH(ROWS($N$2:N155),$N$2:$N$1001,0),1)&gt;=100000,INDEX($U$1005:$AC$1005,1,MATCH(COLUMNS($U$1006:AB1006),$U$1006:$AC$1006,0))&gt;=100000), " ",IF(INDEX($U$2:$AC$1001,MATCH(ROWS($N$2:N155),$N$2:$N$1001,0),MATCH(COLUMNS($U$1006:AB1006),$U$1006:$AC$1006,0)), HYPERLINK("#",""), HYPERLINK(CONCATENATE("#metadata!", ADDRESS(INDEX($P$2:$P$1001,MATCH(ROWS($N$2:N155),$N$2:$N$1001,0),0), INDEX($U$1004:$AC$1004,1,MATCH(COLUMNS($U$1006:AB1006),$U$1006:$AC$1006,0)))),"Fix")))</f>
        <v>0</v>
      </c>
      <c r="J155" s="3">
        <f>IF(OR(INDEX($O$2:$O$1001,MATCH(ROWS($N$2:N155),$N$2:$N$1001,0),1)&gt;=100000,INDEX($U$1005:$AC$1005,1,MATCH(COLUMNS($U$1006:AC1006),$U$1006:$AC$1006,0))&gt;=100000), " ",IF(INDEX($U$2:$AC$1001,MATCH(ROWS($N$2:N155),$N$2:$N$1001,0),MATCH(COLUMNS($U$1006:AC1006),$U$1006:$AC$1006,0)), HYPERLINK("#",""), HYPERLINK(CONCATENATE("#metadata!", ADDRESS(INDEX($P$2:$P$1001,MATCH(ROWS($N$2:N155),$N$2:$N$1001,0),0), INDEX($U$1004:$AC$1004,1,MATCH(COLUMNS($U$1006:AC1006),$U$1006:$AC$1006,0)))),"Fix")))</f>
        <v>0</v>
      </c>
      <c r="N155">
        <v>0</v>
      </c>
      <c r="O155">
        <v>0</v>
      </c>
      <c r="P155">
        <v>0</v>
      </c>
      <c r="Q155">
        <f>IF(R155,TRUE,AND(U155:AC155))</f>
        <v>0</v>
      </c>
      <c r="R155">
        <f>COUNTBLANK(metadata!B155:J155)=COLUMNS(metadata!B155:J155)</f>
        <v>0</v>
      </c>
      <c r="S155">
        <v>0</v>
      </c>
      <c r="U155">
        <f>AND(IF(metadata!B155="",FALSE,TRUE),COUNTIF(metadata!B:B, metadata!B155) = 1,NOT(ISERROR(SUMPRODUCT(SEARCH(MID(metadata!B155,ROW(INDIRECT("1:"&amp;LEN(metadata!B155))), 1),"0123456789abcdefghijklmnopqrstuvwxyzABCDEFGHIJKLMNOPQRSTUVWXYZ.")))))</f>
        <v>0</v>
      </c>
      <c r="V155">
        <f>AND(IF(metadata!C155="",FALSE,TRUE),exact(metadata!C155,"UBERON:genitourinary"))</f>
        <v>0</v>
      </c>
      <c r="W155">
        <f>AND(IF(metadata!D155="",FALSE,TRUE),exact(metadata!D155,"UBERON:urine"))</f>
        <v>0</v>
      </c>
      <c r="X155">
        <f>AND(IF(metadata!E155="",FALSE,TRUE),exact(metadata!E155,"UBERON:kidney"))</f>
        <v>0</v>
      </c>
      <c r="Y155">
        <f>AND(IF(metadata!F155="",FALSE,TRUE),exact(metadata!F155,"animal corpus"))</f>
        <v>0</v>
      </c>
      <c r="Z155">
        <f>AND(IF(metadata!G155="",FALSE,TRUE),exact(metadata!G155,"urine"))</f>
        <v>0</v>
      </c>
      <c r="AA155">
        <f>AND(IF(metadata!H155="",FALSE,TRUE),exact(metadata!H155,"urine"))</f>
        <v>0</v>
      </c>
      <c r="AB155">
        <f>AND(IF(metadata!I155="",FALSE,TRUE),exact(metadata!I155,"urine metagenome"))</f>
        <v>0</v>
      </c>
      <c r="AC155">
        <f>AND(IF(metadata!J155="",FALSE,TRUE),exact(metadata!J155,"1346744"))</f>
        <v>0</v>
      </c>
    </row>
    <row r="156" spans="1:29">
      <c r="A156" s="4">
        <f>IF(B156=" "," ",HYPERLINK(CONCATENATE("#metadata!",ADDRESS(INDEX($P$2:$P$1001,MATCH(ROWS($N$2:N156),$N$2:$N$1001,0),0),1)),INDEX($S$2:$S$1001,MATCH(ROWS($N$2:N156),$N$2:$N$1001,0),0)))</f>
        <v>0</v>
      </c>
      <c r="B156" s="3">
        <f>IF(OR(INDEX($O$2:$O$1001,MATCH(ROWS($N$2:N156),$N$2:$N$1001,0),1)&gt;=100000,INDEX($U$1005:$AC$1005,1,MATCH(COLUMNS($U$1006:U1006),$U$1006:$AC$1006,0))&gt;=100000), " ",IF(INDEX($U$2:$AC$1001,MATCH(ROWS($N$2:N156),$N$2:$N$1001,0),MATCH(COLUMNS($U$1006:U1006),$U$1006:$AC$1006,0)), HYPERLINK("#",""), HYPERLINK(CONCATENATE("#metadata!", ADDRESS(INDEX($P$2:$P$1001,MATCH(ROWS($N$2:N156),$N$2:$N$1001,0),0), INDEX($U$1004:$AC$1004,1,MATCH(COLUMNS($U$1006:U1006),$U$1006:$AC$1006,0)))),"Fix")))</f>
        <v>0</v>
      </c>
      <c r="C156" s="3">
        <f>IF(OR(INDEX($O$2:$O$1001,MATCH(ROWS($N$2:N156),$N$2:$N$1001,0),1)&gt;=100000,INDEX($U$1005:$AC$1005,1,MATCH(COLUMNS($U$1006:V1006),$U$1006:$AC$1006,0))&gt;=100000), " ",IF(INDEX($U$2:$AC$1001,MATCH(ROWS($N$2:N156),$N$2:$N$1001,0),MATCH(COLUMNS($U$1006:V1006),$U$1006:$AC$1006,0)), HYPERLINK("#",""), HYPERLINK(CONCATENATE("#metadata!", ADDRESS(INDEX($P$2:$P$1001,MATCH(ROWS($N$2:N156),$N$2:$N$1001,0),0), INDEX($U$1004:$AC$1004,1,MATCH(COLUMNS($U$1006:V1006),$U$1006:$AC$1006,0)))),"Fix")))</f>
        <v>0</v>
      </c>
      <c r="D156" s="3">
        <f>IF(OR(INDEX($O$2:$O$1001,MATCH(ROWS($N$2:N156),$N$2:$N$1001,0),1)&gt;=100000,INDEX($U$1005:$AC$1005,1,MATCH(COLUMNS($U$1006:W1006),$U$1006:$AC$1006,0))&gt;=100000), " ",IF(INDEX($U$2:$AC$1001,MATCH(ROWS($N$2:N156),$N$2:$N$1001,0),MATCH(COLUMNS($U$1006:W1006),$U$1006:$AC$1006,0)), HYPERLINK("#",""), HYPERLINK(CONCATENATE("#metadata!", ADDRESS(INDEX($P$2:$P$1001,MATCH(ROWS($N$2:N156),$N$2:$N$1001,0),0), INDEX($U$1004:$AC$1004,1,MATCH(COLUMNS($U$1006:W1006),$U$1006:$AC$1006,0)))),"Fix")))</f>
        <v>0</v>
      </c>
      <c r="E156" s="3">
        <f>IF(OR(INDEX($O$2:$O$1001,MATCH(ROWS($N$2:N156),$N$2:$N$1001,0),1)&gt;=100000,INDEX($U$1005:$AC$1005,1,MATCH(COLUMNS($U$1006:X1006),$U$1006:$AC$1006,0))&gt;=100000), " ",IF(INDEX($U$2:$AC$1001,MATCH(ROWS($N$2:N156),$N$2:$N$1001,0),MATCH(COLUMNS($U$1006:X1006),$U$1006:$AC$1006,0)), HYPERLINK("#",""), HYPERLINK(CONCATENATE("#metadata!", ADDRESS(INDEX($P$2:$P$1001,MATCH(ROWS($N$2:N156),$N$2:$N$1001,0),0), INDEX($U$1004:$AC$1004,1,MATCH(COLUMNS($U$1006:X1006),$U$1006:$AC$1006,0)))),"Fix")))</f>
        <v>0</v>
      </c>
      <c r="F156" s="3">
        <f>IF(OR(INDEX($O$2:$O$1001,MATCH(ROWS($N$2:N156),$N$2:$N$1001,0),1)&gt;=100000,INDEX($U$1005:$AC$1005,1,MATCH(COLUMNS($U$1006:Y1006),$U$1006:$AC$1006,0))&gt;=100000), " ",IF(INDEX($U$2:$AC$1001,MATCH(ROWS($N$2:N156),$N$2:$N$1001,0),MATCH(COLUMNS($U$1006:Y1006),$U$1006:$AC$1006,0)), HYPERLINK("#",""), HYPERLINK(CONCATENATE("#metadata!", ADDRESS(INDEX($P$2:$P$1001,MATCH(ROWS($N$2:N156),$N$2:$N$1001,0),0), INDEX($U$1004:$AC$1004,1,MATCH(COLUMNS($U$1006:Y1006),$U$1006:$AC$1006,0)))),"Fix")))</f>
        <v>0</v>
      </c>
      <c r="G156" s="3">
        <f>IF(OR(INDEX($O$2:$O$1001,MATCH(ROWS($N$2:N156),$N$2:$N$1001,0),1)&gt;=100000,INDEX($U$1005:$AC$1005,1,MATCH(COLUMNS($U$1006:Z1006),$U$1006:$AC$1006,0))&gt;=100000), " ",IF(INDEX($U$2:$AC$1001,MATCH(ROWS($N$2:N156),$N$2:$N$1001,0),MATCH(COLUMNS($U$1006:Z1006),$U$1006:$AC$1006,0)), HYPERLINK("#",""), HYPERLINK(CONCATENATE("#metadata!", ADDRESS(INDEX($P$2:$P$1001,MATCH(ROWS($N$2:N156),$N$2:$N$1001,0),0), INDEX($U$1004:$AC$1004,1,MATCH(COLUMNS($U$1006:Z1006),$U$1006:$AC$1006,0)))),"Fix")))</f>
        <v>0</v>
      </c>
      <c r="H156" s="3">
        <f>IF(OR(INDEX($O$2:$O$1001,MATCH(ROWS($N$2:N156),$N$2:$N$1001,0),1)&gt;=100000,INDEX($U$1005:$AC$1005,1,MATCH(COLUMNS($U$1006:AA1006),$U$1006:$AC$1006,0))&gt;=100000), " ",IF(INDEX($U$2:$AC$1001,MATCH(ROWS($N$2:N156),$N$2:$N$1001,0),MATCH(COLUMNS($U$1006:AA1006),$U$1006:$AC$1006,0)), HYPERLINK("#",""), HYPERLINK(CONCATENATE("#metadata!", ADDRESS(INDEX($P$2:$P$1001,MATCH(ROWS($N$2:N156),$N$2:$N$1001,0),0), INDEX($U$1004:$AC$1004,1,MATCH(COLUMNS($U$1006:AA1006),$U$1006:$AC$1006,0)))),"Fix")))</f>
        <v>0</v>
      </c>
      <c r="I156" s="3">
        <f>IF(OR(INDEX($O$2:$O$1001,MATCH(ROWS($N$2:N156),$N$2:$N$1001,0),1)&gt;=100000,INDEX($U$1005:$AC$1005,1,MATCH(COLUMNS($U$1006:AB1006),$U$1006:$AC$1006,0))&gt;=100000), " ",IF(INDEX($U$2:$AC$1001,MATCH(ROWS($N$2:N156),$N$2:$N$1001,0),MATCH(COLUMNS($U$1006:AB1006),$U$1006:$AC$1006,0)), HYPERLINK("#",""), HYPERLINK(CONCATENATE("#metadata!", ADDRESS(INDEX($P$2:$P$1001,MATCH(ROWS($N$2:N156),$N$2:$N$1001,0),0), INDEX($U$1004:$AC$1004,1,MATCH(COLUMNS($U$1006:AB1006),$U$1006:$AC$1006,0)))),"Fix")))</f>
        <v>0</v>
      </c>
      <c r="J156" s="3">
        <f>IF(OR(INDEX($O$2:$O$1001,MATCH(ROWS($N$2:N156),$N$2:$N$1001,0),1)&gt;=100000,INDEX($U$1005:$AC$1005,1,MATCH(COLUMNS($U$1006:AC1006),$U$1006:$AC$1006,0))&gt;=100000), " ",IF(INDEX($U$2:$AC$1001,MATCH(ROWS($N$2:N156),$N$2:$N$1001,0),MATCH(COLUMNS($U$1006:AC1006),$U$1006:$AC$1006,0)), HYPERLINK("#",""), HYPERLINK(CONCATENATE("#metadata!", ADDRESS(INDEX($P$2:$P$1001,MATCH(ROWS($N$2:N156),$N$2:$N$1001,0),0), INDEX($U$1004:$AC$1004,1,MATCH(COLUMNS($U$1006:AC1006),$U$1006:$AC$1006,0)))),"Fix")))</f>
        <v>0</v>
      </c>
      <c r="N156">
        <v>0</v>
      </c>
      <c r="O156">
        <v>0</v>
      </c>
      <c r="P156">
        <v>0</v>
      </c>
      <c r="Q156">
        <f>IF(R156,TRUE,AND(U156:AC156))</f>
        <v>0</v>
      </c>
      <c r="R156">
        <f>COUNTBLANK(metadata!B156:J156)=COLUMNS(metadata!B156:J156)</f>
        <v>0</v>
      </c>
      <c r="S156">
        <v>0</v>
      </c>
      <c r="U156">
        <f>AND(IF(metadata!B156="",FALSE,TRUE),COUNTIF(metadata!B:B, metadata!B156) = 1,NOT(ISERROR(SUMPRODUCT(SEARCH(MID(metadata!B156,ROW(INDIRECT("1:"&amp;LEN(metadata!B156))), 1),"0123456789abcdefghijklmnopqrstuvwxyzABCDEFGHIJKLMNOPQRSTUVWXYZ.")))))</f>
        <v>0</v>
      </c>
      <c r="V156">
        <f>AND(IF(metadata!C156="",FALSE,TRUE),exact(metadata!C156,"UBERON:genitourinary"))</f>
        <v>0</v>
      </c>
      <c r="W156">
        <f>AND(IF(metadata!D156="",FALSE,TRUE),exact(metadata!D156,"UBERON:urine"))</f>
        <v>0</v>
      </c>
      <c r="X156">
        <f>AND(IF(metadata!E156="",FALSE,TRUE),exact(metadata!E156,"UBERON:kidney"))</f>
        <v>0</v>
      </c>
      <c r="Y156">
        <f>AND(IF(metadata!F156="",FALSE,TRUE),exact(metadata!F156,"animal corpus"))</f>
        <v>0</v>
      </c>
      <c r="Z156">
        <f>AND(IF(metadata!G156="",FALSE,TRUE),exact(metadata!G156,"urine"))</f>
        <v>0</v>
      </c>
      <c r="AA156">
        <f>AND(IF(metadata!H156="",FALSE,TRUE),exact(metadata!H156,"urine"))</f>
        <v>0</v>
      </c>
      <c r="AB156">
        <f>AND(IF(metadata!I156="",FALSE,TRUE),exact(metadata!I156,"urine metagenome"))</f>
        <v>0</v>
      </c>
      <c r="AC156">
        <f>AND(IF(metadata!J156="",FALSE,TRUE),exact(metadata!J156,"1346744"))</f>
        <v>0</v>
      </c>
    </row>
    <row r="157" spans="1:29">
      <c r="A157" s="4">
        <f>IF(B157=" "," ",HYPERLINK(CONCATENATE("#metadata!",ADDRESS(INDEX($P$2:$P$1001,MATCH(ROWS($N$2:N157),$N$2:$N$1001,0),0),1)),INDEX($S$2:$S$1001,MATCH(ROWS($N$2:N157),$N$2:$N$1001,0),0)))</f>
        <v>0</v>
      </c>
      <c r="B157" s="3">
        <f>IF(OR(INDEX($O$2:$O$1001,MATCH(ROWS($N$2:N157),$N$2:$N$1001,0),1)&gt;=100000,INDEX($U$1005:$AC$1005,1,MATCH(COLUMNS($U$1006:U1006),$U$1006:$AC$1006,0))&gt;=100000), " ",IF(INDEX($U$2:$AC$1001,MATCH(ROWS($N$2:N157),$N$2:$N$1001,0),MATCH(COLUMNS($U$1006:U1006),$U$1006:$AC$1006,0)), HYPERLINK("#",""), HYPERLINK(CONCATENATE("#metadata!", ADDRESS(INDEX($P$2:$P$1001,MATCH(ROWS($N$2:N157),$N$2:$N$1001,0),0), INDEX($U$1004:$AC$1004,1,MATCH(COLUMNS($U$1006:U1006),$U$1006:$AC$1006,0)))),"Fix")))</f>
        <v>0</v>
      </c>
      <c r="C157" s="3">
        <f>IF(OR(INDEX($O$2:$O$1001,MATCH(ROWS($N$2:N157),$N$2:$N$1001,0),1)&gt;=100000,INDEX($U$1005:$AC$1005,1,MATCH(COLUMNS($U$1006:V1006),$U$1006:$AC$1006,0))&gt;=100000), " ",IF(INDEX($U$2:$AC$1001,MATCH(ROWS($N$2:N157),$N$2:$N$1001,0),MATCH(COLUMNS($U$1006:V1006),$U$1006:$AC$1006,0)), HYPERLINK("#",""), HYPERLINK(CONCATENATE("#metadata!", ADDRESS(INDEX($P$2:$P$1001,MATCH(ROWS($N$2:N157),$N$2:$N$1001,0),0), INDEX($U$1004:$AC$1004,1,MATCH(COLUMNS($U$1006:V1006),$U$1006:$AC$1006,0)))),"Fix")))</f>
        <v>0</v>
      </c>
      <c r="D157" s="3">
        <f>IF(OR(INDEX($O$2:$O$1001,MATCH(ROWS($N$2:N157),$N$2:$N$1001,0),1)&gt;=100000,INDEX($U$1005:$AC$1005,1,MATCH(COLUMNS($U$1006:W1006),$U$1006:$AC$1006,0))&gt;=100000), " ",IF(INDEX($U$2:$AC$1001,MATCH(ROWS($N$2:N157),$N$2:$N$1001,0),MATCH(COLUMNS($U$1006:W1006),$U$1006:$AC$1006,0)), HYPERLINK("#",""), HYPERLINK(CONCATENATE("#metadata!", ADDRESS(INDEX($P$2:$P$1001,MATCH(ROWS($N$2:N157),$N$2:$N$1001,0),0), INDEX($U$1004:$AC$1004,1,MATCH(COLUMNS($U$1006:W1006),$U$1006:$AC$1006,0)))),"Fix")))</f>
        <v>0</v>
      </c>
      <c r="E157" s="3">
        <f>IF(OR(INDEX($O$2:$O$1001,MATCH(ROWS($N$2:N157),$N$2:$N$1001,0),1)&gt;=100000,INDEX($U$1005:$AC$1005,1,MATCH(COLUMNS($U$1006:X1006),$U$1006:$AC$1006,0))&gt;=100000), " ",IF(INDEX($U$2:$AC$1001,MATCH(ROWS($N$2:N157),$N$2:$N$1001,0),MATCH(COLUMNS($U$1006:X1006),$U$1006:$AC$1006,0)), HYPERLINK("#",""), HYPERLINK(CONCATENATE("#metadata!", ADDRESS(INDEX($P$2:$P$1001,MATCH(ROWS($N$2:N157),$N$2:$N$1001,0),0), INDEX($U$1004:$AC$1004,1,MATCH(COLUMNS($U$1006:X1006),$U$1006:$AC$1006,0)))),"Fix")))</f>
        <v>0</v>
      </c>
      <c r="F157" s="3">
        <f>IF(OR(INDEX($O$2:$O$1001,MATCH(ROWS($N$2:N157),$N$2:$N$1001,0),1)&gt;=100000,INDEX($U$1005:$AC$1005,1,MATCH(COLUMNS($U$1006:Y1006),$U$1006:$AC$1006,0))&gt;=100000), " ",IF(INDEX($U$2:$AC$1001,MATCH(ROWS($N$2:N157),$N$2:$N$1001,0),MATCH(COLUMNS($U$1006:Y1006),$U$1006:$AC$1006,0)), HYPERLINK("#",""), HYPERLINK(CONCATENATE("#metadata!", ADDRESS(INDEX($P$2:$P$1001,MATCH(ROWS($N$2:N157),$N$2:$N$1001,0),0), INDEX($U$1004:$AC$1004,1,MATCH(COLUMNS($U$1006:Y1006),$U$1006:$AC$1006,0)))),"Fix")))</f>
        <v>0</v>
      </c>
      <c r="G157" s="3">
        <f>IF(OR(INDEX($O$2:$O$1001,MATCH(ROWS($N$2:N157),$N$2:$N$1001,0),1)&gt;=100000,INDEX($U$1005:$AC$1005,1,MATCH(COLUMNS($U$1006:Z1006),$U$1006:$AC$1006,0))&gt;=100000), " ",IF(INDEX($U$2:$AC$1001,MATCH(ROWS($N$2:N157),$N$2:$N$1001,0),MATCH(COLUMNS($U$1006:Z1006),$U$1006:$AC$1006,0)), HYPERLINK("#",""), HYPERLINK(CONCATENATE("#metadata!", ADDRESS(INDEX($P$2:$P$1001,MATCH(ROWS($N$2:N157),$N$2:$N$1001,0),0), INDEX($U$1004:$AC$1004,1,MATCH(COLUMNS($U$1006:Z1006),$U$1006:$AC$1006,0)))),"Fix")))</f>
        <v>0</v>
      </c>
      <c r="H157" s="3">
        <f>IF(OR(INDEX($O$2:$O$1001,MATCH(ROWS($N$2:N157),$N$2:$N$1001,0),1)&gt;=100000,INDEX($U$1005:$AC$1005,1,MATCH(COLUMNS($U$1006:AA1006),$U$1006:$AC$1006,0))&gt;=100000), " ",IF(INDEX($U$2:$AC$1001,MATCH(ROWS($N$2:N157),$N$2:$N$1001,0),MATCH(COLUMNS($U$1006:AA1006),$U$1006:$AC$1006,0)), HYPERLINK("#",""), HYPERLINK(CONCATENATE("#metadata!", ADDRESS(INDEX($P$2:$P$1001,MATCH(ROWS($N$2:N157),$N$2:$N$1001,0),0), INDEX($U$1004:$AC$1004,1,MATCH(COLUMNS($U$1006:AA1006),$U$1006:$AC$1006,0)))),"Fix")))</f>
        <v>0</v>
      </c>
      <c r="I157" s="3">
        <f>IF(OR(INDEX($O$2:$O$1001,MATCH(ROWS($N$2:N157),$N$2:$N$1001,0),1)&gt;=100000,INDEX($U$1005:$AC$1005,1,MATCH(COLUMNS($U$1006:AB1006),$U$1006:$AC$1006,0))&gt;=100000), " ",IF(INDEX($U$2:$AC$1001,MATCH(ROWS($N$2:N157),$N$2:$N$1001,0),MATCH(COLUMNS($U$1006:AB1006),$U$1006:$AC$1006,0)), HYPERLINK("#",""), HYPERLINK(CONCATENATE("#metadata!", ADDRESS(INDEX($P$2:$P$1001,MATCH(ROWS($N$2:N157),$N$2:$N$1001,0),0), INDEX($U$1004:$AC$1004,1,MATCH(COLUMNS($U$1006:AB1006),$U$1006:$AC$1006,0)))),"Fix")))</f>
        <v>0</v>
      </c>
      <c r="J157" s="3">
        <f>IF(OR(INDEX($O$2:$O$1001,MATCH(ROWS($N$2:N157),$N$2:$N$1001,0),1)&gt;=100000,INDEX($U$1005:$AC$1005,1,MATCH(COLUMNS($U$1006:AC1006),$U$1006:$AC$1006,0))&gt;=100000), " ",IF(INDEX($U$2:$AC$1001,MATCH(ROWS($N$2:N157),$N$2:$N$1001,0),MATCH(COLUMNS($U$1006:AC1006),$U$1006:$AC$1006,0)), HYPERLINK("#",""), HYPERLINK(CONCATENATE("#metadata!", ADDRESS(INDEX($P$2:$P$1001,MATCH(ROWS($N$2:N157),$N$2:$N$1001,0),0), INDEX($U$1004:$AC$1004,1,MATCH(COLUMNS($U$1006:AC1006),$U$1006:$AC$1006,0)))),"Fix")))</f>
        <v>0</v>
      </c>
      <c r="N157">
        <v>0</v>
      </c>
      <c r="O157">
        <v>0</v>
      </c>
      <c r="P157">
        <v>0</v>
      </c>
      <c r="Q157">
        <f>IF(R157,TRUE,AND(U157:AC157))</f>
        <v>0</v>
      </c>
      <c r="R157">
        <f>COUNTBLANK(metadata!B157:J157)=COLUMNS(metadata!B157:J157)</f>
        <v>0</v>
      </c>
      <c r="S157">
        <v>0</v>
      </c>
      <c r="U157">
        <f>AND(IF(metadata!B157="",FALSE,TRUE),COUNTIF(metadata!B:B, metadata!B157) = 1,NOT(ISERROR(SUMPRODUCT(SEARCH(MID(metadata!B157,ROW(INDIRECT("1:"&amp;LEN(metadata!B157))), 1),"0123456789abcdefghijklmnopqrstuvwxyzABCDEFGHIJKLMNOPQRSTUVWXYZ.")))))</f>
        <v>0</v>
      </c>
      <c r="V157">
        <f>AND(IF(metadata!C157="",FALSE,TRUE),exact(metadata!C157,"UBERON:genitourinary"))</f>
        <v>0</v>
      </c>
      <c r="W157">
        <f>AND(IF(metadata!D157="",FALSE,TRUE),exact(metadata!D157,"UBERON:urine"))</f>
        <v>0</v>
      </c>
      <c r="X157">
        <f>AND(IF(metadata!E157="",FALSE,TRUE),exact(metadata!E157,"UBERON:kidney"))</f>
        <v>0</v>
      </c>
      <c r="Y157">
        <f>AND(IF(metadata!F157="",FALSE,TRUE),exact(metadata!F157,"animal corpus"))</f>
        <v>0</v>
      </c>
      <c r="Z157">
        <f>AND(IF(metadata!G157="",FALSE,TRUE),exact(metadata!G157,"urine"))</f>
        <v>0</v>
      </c>
      <c r="AA157">
        <f>AND(IF(metadata!H157="",FALSE,TRUE),exact(metadata!H157,"urine"))</f>
        <v>0</v>
      </c>
      <c r="AB157">
        <f>AND(IF(metadata!I157="",FALSE,TRUE),exact(metadata!I157,"urine metagenome"))</f>
        <v>0</v>
      </c>
      <c r="AC157">
        <f>AND(IF(metadata!J157="",FALSE,TRUE),exact(metadata!J157,"1346744"))</f>
        <v>0</v>
      </c>
    </row>
    <row r="158" spans="1:29">
      <c r="A158" s="4">
        <f>IF(B158=" "," ",HYPERLINK(CONCATENATE("#metadata!",ADDRESS(INDEX($P$2:$P$1001,MATCH(ROWS($N$2:N158),$N$2:$N$1001,0),0),1)),INDEX($S$2:$S$1001,MATCH(ROWS($N$2:N158),$N$2:$N$1001,0),0)))</f>
        <v>0</v>
      </c>
      <c r="B158" s="3">
        <f>IF(OR(INDEX($O$2:$O$1001,MATCH(ROWS($N$2:N158),$N$2:$N$1001,0),1)&gt;=100000,INDEX($U$1005:$AC$1005,1,MATCH(COLUMNS($U$1006:U1006),$U$1006:$AC$1006,0))&gt;=100000), " ",IF(INDEX($U$2:$AC$1001,MATCH(ROWS($N$2:N158),$N$2:$N$1001,0),MATCH(COLUMNS($U$1006:U1006),$U$1006:$AC$1006,0)), HYPERLINK("#",""), HYPERLINK(CONCATENATE("#metadata!", ADDRESS(INDEX($P$2:$P$1001,MATCH(ROWS($N$2:N158),$N$2:$N$1001,0),0), INDEX($U$1004:$AC$1004,1,MATCH(COLUMNS($U$1006:U1006),$U$1006:$AC$1006,0)))),"Fix")))</f>
        <v>0</v>
      </c>
      <c r="C158" s="3">
        <f>IF(OR(INDEX($O$2:$O$1001,MATCH(ROWS($N$2:N158),$N$2:$N$1001,0),1)&gt;=100000,INDEX($U$1005:$AC$1005,1,MATCH(COLUMNS($U$1006:V1006),$U$1006:$AC$1006,0))&gt;=100000), " ",IF(INDEX($U$2:$AC$1001,MATCH(ROWS($N$2:N158),$N$2:$N$1001,0),MATCH(COLUMNS($U$1006:V1006),$U$1006:$AC$1006,0)), HYPERLINK("#",""), HYPERLINK(CONCATENATE("#metadata!", ADDRESS(INDEX($P$2:$P$1001,MATCH(ROWS($N$2:N158),$N$2:$N$1001,0),0), INDEX($U$1004:$AC$1004,1,MATCH(COLUMNS($U$1006:V1006),$U$1006:$AC$1006,0)))),"Fix")))</f>
        <v>0</v>
      </c>
      <c r="D158" s="3">
        <f>IF(OR(INDEX($O$2:$O$1001,MATCH(ROWS($N$2:N158),$N$2:$N$1001,0),1)&gt;=100000,INDEX($U$1005:$AC$1005,1,MATCH(COLUMNS($U$1006:W1006),$U$1006:$AC$1006,0))&gt;=100000), " ",IF(INDEX($U$2:$AC$1001,MATCH(ROWS($N$2:N158),$N$2:$N$1001,0),MATCH(COLUMNS($U$1006:W1006),$U$1006:$AC$1006,0)), HYPERLINK("#",""), HYPERLINK(CONCATENATE("#metadata!", ADDRESS(INDEX($P$2:$P$1001,MATCH(ROWS($N$2:N158),$N$2:$N$1001,0),0), INDEX($U$1004:$AC$1004,1,MATCH(COLUMNS($U$1006:W1006),$U$1006:$AC$1006,0)))),"Fix")))</f>
        <v>0</v>
      </c>
      <c r="E158" s="3">
        <f>IF(OR(INDEX($O$2:$O$1001,MATCH(ROWS($N$2:N158),$N$2:$N$1001,0),1)&gt;=100000,INDEX($U$1005:$AC$1005,1,MATCH(COLUMNS($U$1006:X1006),$U$1006:$AC$1006,0))&gt;=100000), " ",IF(INDEX($U$2:$AC$1001,MATCH(ROWS($N$2:N158),$N$2:$N$1001,0),MATCH(COLUMNS($U$1006:X1006),$U$1006:$AC$1006,0)), HYPERLINK("#",""), HYPERLINK(CONCATENATE("#metadata!", ADDRESS(INDEX($P$2:$P$1001,MATCH(ROWS($N$2:N158),$N$2:$N$1001,0),0), INDEX($U$1004:$AC$1004,1,MATCH(COLUMNS($U$1006:X1006),$U$1006:$AC$1006,0)))),"Fix")))</f>
        <v>0</v>
      </c>
      <c r="F158" s="3">
        <f>IF(OR(INDEX($O$2:$O$1001,MATCH(ROWS($N$2:N158),$N$2:$N$1001,0),1)&gt;=100000,INDEX($U$1005:$AC$1005,1,MATCH(COLUMNS($U$1006:Y1006),$U$1006:$AC$1006,0))&gt;=100000), " ",IF(INDEX($U$2:$AC$1001,MATCH(ROWS($N$2:N158),$N$2:$N$1001,0),MATCH(COLUMNS($U$1006:Y1006),$U$1006:$AC$1006,0)), HYPERLINK("#",""), HYPERLINK(CONCATENATE("#metadata!", ADDRESS(INDEX($P$2:$P$1001,MATCH(ROWS($N$2:N158),$N$2:$N$1001,0),0), INDEX($U$1004:$AC$1004,1,MATCH(COLUMNS($U$1006:Y1006),$U$1006:$AC$1006,0)))),"Fix")))</f>
        <v>0</v>
      </c>
      <c r="G158" s="3">
        <f>IF(OR(INDEX($O$2:$O$1001,MATCH(ROWS($N$2:N158),$N$2:$N$1001,0),1)&gt;=100000,INDEX($U$1005:$AC$1005,1,MATCH(COLUMNS($U$1006:Z1006),$U$1006:$AC$1006,0))&gt;=100000), " ",IF(INDEX($U$2:$AC$1001,MATCH(ROWS($N$2:N158),$N$2:$N$1001,0),MATCH(COLUMNS($U$1006:Z1006),$U$1006:$AC$1006,0)), HYPERLINK("#",""), HYPERLINK(CONCATENATE("#metadata!", ADDRESS(INDEX($P$2:$P$1001,MATCH(ROWS($N$2:N158),$N$2:$N$1001,0),0), INDEX($U$1004:$AC$1004,1,MATCH(COLUMNS($U$1006:Z1006),$U$1006:$AC$1006,0)))),"Fix")))</f>
        <v>0</v>
      </c>
      <c r="H158" s="3">
        <f>IF(OR(INDEX($O$2:$O$1001,MATCH(ROWS($N$2:N158),$N$2:$N$1001,0),1)&gt;=100000,INDEX($U$1005:$AC$1005,1,MATCH(COLUMNS($U$1006:AA1006),$U$1006:$AC$1006,0))&gt;=100000), " ",IF(INDEX($U$2:$AC$1001,MATCH(ROWS($N$2:N158),$N$2:$N$1001,0),MATCH(COLUMNS($U$1006:AA1006),$U$1006:$AC$1006,0)), HYPERLINK("#",""), HYPERLINK(CONCATENATE("#metadata!", ADDRESS(INDEX($P$2:$P$1001,MATCH(ROWS($N$2:N158),$N$2:$N$1001,0),0), INDEX($U$1004:$AC$1004,1,MATCH(COLUMNS($U$1006:AA1006),$U$1006:$AC$1006,0)))),"Fix")))</f>
        <v>0</v>
      </c>
      <c r="I158" s="3">
        <f>IF(OR(INDEX($O$2:$O$1001,MATCH(ROWS($N$2:N158),$N$2:$N$1001,0),1)&gt;=100000,INDEX($U$1005:$AC$1005,1,MATCH(COLUMNS($U$1006:AB1006),$U$1006:$AC$1006,0))&gt;=100000), " ",IF(INDEX($U$2:$AC$1001,MATCH(ROWS($N$2:N158),$N$2:$N$1001,0),MATCH(COLUMNS($U$1006:AB1006),$U$1006:$AC$1006,0)), HYPERLINK("#",""), HYPERLINK(CONCATENATE("#metadata!", ADDRESS(INDEX($P$2:$P$1001,MATCH(ROWS($N$2:N158),$N$2:$N$1001,0),0), INDEX($U$1004:$AC$1004,1,MATCH(COLUMNS($U$1006:AB1006),$U$1006:$AC$1006,0)))),"Fix")))</f>
        <v>0</v>
      </c>
      <c r="J158" s="3">
        <f>IF(OR(INDEX($O$2:$O$1001,MATCH(ROWS($N$2:N158),$N$2:$N$1001,0),1)&gt;=100000,INDEX($U$1005:$AC$1005,1,MATCH(COLUMNS($U$1006:AC1006),$U$1006:$AC$1006,0))&gt;=100000), " ",IF(INDEX($U$2:$AC$1001,MATCH(ROWS($N$2:N158),$N$2:$N$1001,0),MATCH(COLUMNS($U$1006:AC1006),$U$1006:$AC$1006,0)), HYPERLINK("#",""), HYPERLINK(CONCATENATE("#metadata!", ADDRESS(INDEX($P$2:$P$1001,MATCH(ROWS($N$2:N158),$N$2:$N$1001,0),0), INDEX($U$1004:$AC$1004,1,MATCH(COLUMNS($U$1006:AC1006),$U$1006:$AC$1006,0)))),"Fix")))</f>
        <v>0</v>
      </c>
      <c r="N158">
        <v>0</v>
      </c>
      <c r="O158">
        <v>0</v>
      </c>
      <c r="P158">
        <v>0</v>
      </c>
      <c r="Q158">
        <f>IF(R158,TRUE,AND(U158:AC158))</f>
        <v>0</v>
      </c>
      <c r="R158">
        <f>COUNTBLANK(metadata!B158:J158)=COLUMNS(metadata!B158:J158)</f>
        <v>0</v>
      </c>
      <c r="S158">
        <v>0</v>
      </c>
      <c r="U158">
        <f>AND(IF(metadata!B158="",FALSE,TRUE),COUNTIF(metadata!B:B, metadata!B158) = 1,NOT(ISERROR(SUMPRODUCT(SEARCH(MID(metadata!B158,ROW(INDIRECT("1:"&amp;LEN(metadata!B158))), 1),"0123456789abcdefghijklmnopqrstuvwxyzABCDEFGHIJKLMNOPQRSTUVWXYZ.")))))</f>
        <v>0</v>
      </c>
      <c r="V158">
        <f>AND(IF(metadata!C158="",FALSE,TRUE),exact(metadata!C158,"UBERON:genitourinary"))</f>
        <v>0</v>
      </c>
      <c r="W158">
        <f>AND(IF(metadata!D158="",FALSE,TRUE),exact(metadata!D158,"UBERON:urine"))</f>
        <v>0</v>
      </c>
      <c r="X158">
        <f>AND(IF(metadata!E158="",FALSE,TRUE),exact(metadata!E158,"UBERON:kidney"))</f>
        <v>0</v>
      </c>
      <c r="Y158">
        <f>AND(IF(metadata!F158="",FALSE,TRUE),exact(metadata!F158,"animal corpus"))</f>
        <v>0</v>
      </c>
      <c r="Z158">
        <f>AND(IF(metadata!G158="",FALSE,TRUE),exact(metadata!G158,"urine"))</f>
        <v>0</v>
      </c>
      <c r="AA158">
        <f>AND(IF(metadata!H158="",FALSE,TRUE),exact(metadata!H158,"urine"))</f>
        <v>0</v>
      </c>
      <c r="AB158">
        <f>AND(IF(metadata!I158="",FALSE,TRUE),exact(metadata!I158,"urine metagenome"))</f>
        <v>0</v>
      </c>
      <c r="AC158">
        <f>AND(IF(metadata!J158="",FALSE,TRUE),exact(metadata!J158,"1346744"))</f>
        <v>0</v>
      </c>
    </row>
    <row r="159" spans="1:29">
      <c r="A159" s="4">
        <f>IF(B159=" "," ",HYPERLINK(CONCATENATE("#metadata!",ADDRESS(INDEX($P$2:$P$1001,MATCH(ROWS($N$2:N159),$N$2:$N$1001,0),0),1)),INDEX($S$2:$S$1001,MATCH(ROWS($N$2:N159),$N$2:$N$1001,0),0)))</f>
        <v>0</v>
      </c>
      <c r="B159" s="3">
        <f>IF(OR(INDEX($O$2:$O$1001,MATCH(ROWS($N$2:N159),$N$2:$N$1001,0),1)&gt;=100000,INDEX($U$1005:$AC$1005,1,MATCH(COLUMNS($U$1006:U1006),$U$1006:$AC$1006,0))&gt;=100000), " ",IF(INDEX($U$2:$AC$1001,MATCH(ROWS($N$2:N159),$N$2:$N$1001,0),MATCH(COLUMNS($U$1006:U1006),$U$1006:$AC$1006,0)), HYPERLINK("#",""), HYPERLINK(CONCATENATE("#metadata!", ADDRESS(INDEX($P$2:$P$1001,MATCH(ROWS($N$2:N159),$N$2:$N$1001,0),0), INDEX($U$1004:$AC$1004,1,MATCH(COLUMNS($U$1006:U1006),$U$1006:$AC$1006,0)))),"Fix")))</f>
        <v>0</v>
      </c>
      <c r="C159" s="3">
        <f>IF(OR(INDEX($O$2:$O$1001,MATCH(ROWS($N$2:N159),$N$2:$N$1001,0),1)&gt;=100000,INDEX($U$1005:$AC$1005,1,MATCH(COLUMNS($U$1006:V1006),$U$1006:$AC$1006,0))&gt;=100000), " ",IF(INDEX($U$2:$AC$1001,MATCH(ROWS($N$2:N159),$N$2:$N$1001,0),MATCH(COLUMNS($U$1006:V1006),$U$1006:$AC$1006,0)), HYPERLINK("#",""), HYPERLINK(CONCATENATE("#metadata!", ADDRESS(INDEX($P$2:$P$1001,MATCH(ROWS($N$2:N159),$N$2:$N$1001,0),0), INDEX($U$1004:$AC$1004,1,MATCH(COLUMNS($U$1006:V1006),$U$1006:$AC$1006,0)))),"Fix")))</f>
        <v>0</v>
      </c>
      <c r="D159" s="3">
        <f>IF(OR(INDEX($O$2:$O$1001,MATCH(ROWS($N$2:N159),$N$2:$N$1001,0),1)&gt;=100000,INDEX($U$1005:$AC$1005,1,MATCH(COLUMNS($U$1006:W1006),$U$1006:$AC$1006,0))&gt;=100000), " ",IF(INDEX($U$2:$AC$1001,MATCH(ROWS($N$2:N159),$N$2:$N$1001,0),MATCH(COLUMNS($U$1006:W1006),$U$1006:$AC$1006,0)), HYPERLINK("#",""), HYPERLINK(CONCATENATE("#metadata!", ADDRESS(INDEX($P$2:$P$1001,MATCH(ROWS($N$2:N159),$N$2:$N$1001,0),0), INDEX($U$1004:$AC$1004,1,MATCH(COLUMNS($U$1006:W1006),$U$1006:$AC$1006,0)))),"Fix")))</f>
        <v>0</v>
      </c>
      <c r="E159" s="3">
        <f>IF(OR(INDEX($O$2:$O$1001,MATCH(ROWS($N$2:N159),$N$2:$N$1001,0),1)&gt;=100000,INDEX($U$1005:$AC$1005,1,MATCH(COLUMNS($U$1006:X1006),$U$1006:$AC$1006,0))&gt;=100000), " ",IF(INDEX($U$2:$AC$1001,MATCH(ROWS($N$2:N159),$N$2:$N$1001,0),MATCH(COLUMNS($U$1006:X1006),$U$1006:$AC$1006,0)), HYPERLINK("#",""), HYPERLINK(CONCATENATE("#metadata!", ADDRESS(INDEX($P$2:$P$1001,MATCH(ROWS($N$2:N159),$N$2:$N$1001,0),0), INDEX($U$1004:$AC$1004,1,MATCH(COLUMNS($U$1006:X1006),$U$1006:$AC$1006,0)))),"Fix")))</f>
        <v>0</v>
      </c>
      <c r="F159" s="3">
        <f>IF(OR(INDEX($O$2:$O$1001,MATCH(ROWS($N$2:N159),$N$2:$N$1001,0),1)&gt;=100000,INDEX($U$1005:$AC$1005,1,MATCH(COLUMNS($U$1006:Y1006),$U$1006:$AC$1006,0))&gt;=100000), " ",IF(INDEX($U$2:$AC$1001,MATCH(ROWS($N$2:N159),$N$2:$N$1001,0),MATCH(COLUMNS($U$1006:Y1006),$U$1006:$AC$1006,0)), HYPERLINK("#",""), HYPERLINK(CONCATENATE("#metadata!", ADDRESS(INDEX($P$2:$P$1001,MATCH(ROWS($N$2:N159),$N$2:$N$1001,0),0), INDEX($U$1004:$AC$1004,1,MATCH(COLUMNS($U$1006:Y1006),$U$1006:$AC$1006,0)))),"Fix")))</f>
        <v>0</v>
      </c>
      <c r="G159" s="3">
        <f>IF(OR(INDEX($O$2:$O$1001,MATCH(ROWS($N$2:N159),$N$2:$N$1001,0),1)&gt;=100000,INDEX($U$1005:$AC$1005,1,MATCH(COLUMNS($U$1006:Z1006),$U$1006:$AC$1006,0))&gt;=100000), " ",IF(INDEX($U$2:$AC$1001,MATCH(ROWS($N$2:N159),$N$2:$N$1001,0),MATCH(COLUMNS($U$1006:Z1006),$U$1006:$AC$1006,0)), HYPERLINK("#",""), HYPERLINK(CONCATENATE("#metadata!", ADDRESS(INDEX($P$2:$P$1001,MATCH(ROWS($N$2:N159),$N$2:$N$1001,0),0), INDEX($U$1004:$AC$1004,1,MATCH(COLUMNS($U$1006:Z1006),$U$1006:$AC$1006,0)))),"Fix")))</f>
        <v>0</v>
      </c>
      <c r="H159" s="3">
        <f>IF(OR(INDEX($O$2:$O$1001,MATCH(ROWS($N$2:N159),$N$2:$N$1001,0),1)&gt;=100000,INDEX($U$1005:$AC$1005,1,MATCH(COLUMNS($U$1006:AA1006),$U$1006:$AC$1006,0))&gt;=100000), " ",IF(INDEX($U$2:$AC$1001,MATCH(ROWS($N$2:N159),$N$2:$N$1001,0),MATCH(COLUMNS($U$1006:AA1006),$U$1006:$AC$1006,0)), HYPERLINK("#",""), HYPERLINK(CONCATENATE("#metadata!", ADDRESS(INDEX($P$2:$P$1001,MATCH(ROWS($N$2:N159),$N$2:$N$1001,0),0), INDEX($U$1004:$AC$1004,1,MATCH(COLUMNS($U$1006:AA1006),$U$1006:$AC$1006,0)))),"Fix")))</f>
        <v>0</v>
      </c>
      <c r="I159" s="3">
        <f>IF(OR(INDEX($O$2:$O$1001,MATCH(ROWS($N$2:N159),$N$2:$N$1001,0),1)&gt;=100000,INDEX($U$1005:$AC$1005,1,MATCH(COLUMNS($U$1006:AB1006),$U$1006:$AC$1006,0))&gt;=100000), " ",IF(INDEX($U$2:$AC$1001,MATCH(ROWS($N$2:N159),$N$2:$N$1001,0),MATCH(COLUMNS($U$1006:AB1006),$U$1006:$AC$1006,0)), HYPERLINK("#",""), HYPERLINK(CONCATENATE("#metadata!", ADDRESS(INDEX($P$2:$P$1001,MATCH(ROWS($N$2:N159),$N$2:$N$1001,0),0), INDEX($U$1004:$AC$1004,1,MATCH(COLUMNS($U$1006:AB1006),$U$1006:$AC$1006,0)))),"Fix")))</f>
        <v>0</v>
      </c>
      <c r="J159" s="3">
        <f>IF(OR(INDEX($O$2:$O$1001,MATCH(ROWS($N$2:N159),$N$2:$N$1001,0),1)&gt;=100000,INDEX($U$1005:$AC$1005,1,MATCH(COLUMNS($U$1006:AC1006),$U$1006:$AC$1006,0))&gt;=100000), " ",IF(INDEX($U$2:$AC$1001,MATCH(ROWS($N$2:N159),$N$2:$N$1001,0),MATCH(COLUMNS($U$1006:AC1006),$U$1006:$AC$1006,0)), HYPERLINK("#",""), HYPERLINK(CONCATENATE("#metadata!", ADDRESS(INDEX($P$2:$P$1001,MATCH(ROWS($N$2:N159),$N$2:$N$1001,0),0), INDEX($U$1004:$AC$1004,1,MATCH(COLUMNS($U$1006:AC1006),$U$1006:$AC$1006,0)))),"Fix")))</f>
        <v>0</v>
      </c>
      <c r="N159">
        <v>0</v>
      </c>
      <c r="O159">
        <v>0</v>
      </c>
      <c r="P159">
        <v>0</v>
      </c>
      <c r="Q159">
        <f>IF(R159,TRUE,AND(U159:AC159))</f>
        <v>0</v>
      </c>
      <c r="R159">
        <f>COUNTBLANK(metadata!B159:J159)=COLUMNS(metadata!B159:J159)</f>
        <v>0</v>
      </c>
      <c r="S159">
        <v>0</v>
      </c>
      <c r="U159">
        <f>AND(IF(metadata!B159="",FALSE,TRUE),COUNTIF(metadata!B:B, metadata!B159) = 1,NOT(ISERROR(SUMPRODUCT(SEARCH(MID(metadata!B159,ROW(INDIRECT("1:"&amp;LEN(metadata!B159))), 1),"0123456789abcdefghijklmnopqrstuvwxyzABCDEFGHIJKLMNOPQRSTUVWXYZ.")))))</f>
        <v>0</v>
      </c>
      <c r="V159">
        <f>AND(IF(metadata!C159="",FALSE,TRUE),exact(metadata!C159,"UBERON:genitourinary"))</f>
        <v>0</v>
      </c>
      <c r="W159">
        <f>AND(IF(metadata!D159="",FALSE,TRUE),exact(metadata!D159,"UBERON:urine"))</f>
        <v>0</v>
      </c>
      <c r="X159">
        <f>AND(IF(metadata!E159="",FALSE,TRUE),exact(metadata!E159,"UBERON:kidney"))</f>
        <v>0</v>
      </c>
      <c r="Y159">
        <f>AND(IF(metadata!F159="",FALSE,TRUE),exact(metadata!F159,"animal corpus"))</f>
        <v>0</v>
      </c>
      <c r="Z159">
        <f>AND(IF(metadata!G159="",FALSE,TRUE),exact(metadata!G159,"urine"))</f>
        <v>0</v>
      </c>
      <c r="AA159">
        <f>AND(IF(metadata!H159="",FALSE,TRUE),exact(metadata!H159,"urine"))</f>
        <v>0</v>
      </c>
      <c r="AB159">
        <f>AND(IF(metadata!I159="",FALSE,TRUE),exact(metadata!I159,"urine metagenome"))</f>
        <v>0</v>
      </c>
      <c r="AC159">
        <f>AND(IF(metadata!J159="",FALSE,TRUE),exact(metadata!J159,"1346744"))</f>
        <v>0</v>
      </c>
    </row>
    <row r="160" spans="1:29">
      <c r="A160" s="4">
        <f>IF(B160=" "," ",HYPERLINK(CONCATENATE("#metadata!",ADDRESS(INDEX($P$2:$P$1001,MATCH(ROWS($N$2:N160),$N$2:$N$1001,0),0),1)),INDEX($S$2:$S$1001,MATCH(ROWS($N$2:N160),$N$2:$N$1001,0),0)))</f>
        <v>0</v>
      </c>
      <c r="B160" s="3">
        <f>IF(OR(INDEX($O$2:$O$1001,MATCH(ROWS($N$2:N160),$N$2:$N$1001,0),1)&gt;=100000,INDEX($U$1005:$AC$1005,1,MATCH(COLUMNS($U$1006:U1006),$U$1006:$AC$1006,0))&gt;=100000), " ",IF(INDEX($U$2:$AC$1001,MATCH(ROWS($N$2:N160),$N$2:$N$1001,0),MATCH(COLUMNS($U$1006:U1006),$U$1006:$AC$1006,0)), HYPERLINK("#",""), HYPERLINK(CONCATENATE("#metadata!", ADDRESS(INDEX($P$2:$P$1001,MATCH(ROWS($N$2:N160),$N$2:$N$1001,0),0), INDEX($U$1004:$AC$1004,1,MATCH(COLUMNS($U$1006:U1006),$U$1006:$AC$1006,0)))),"Fix")))</f>
        <v>0</v>
      </c>
      <c r="C160" s="3">
        <f>IF(OR(INDEX($O$2:$O$1001,MATCH(ROWS($N$2:N160),$N$2:$N$1001,0),1)&gt;=100000,INDEX($U$1005:$AC$1005,1,MATCH(COLUMNS($U$1006:V1006),$U$1006:$AC$1006,0))&gt;=100000), " ",IF(INDEX($U$2:$AC$1001,MATCH(ROWS($N$2:N160),$N$2:$N$1001,0),MATCH(COLUMNS($U$1006:V1006),$U$1006:$AC$1006,0)), HYPERLINK("#",""), HYPERLINK(CONCATENATE("#metadata!", ADDRESS(INDEX($P$2:$P$1001,MATCH(ROWS($N$2:N160),$N$2:$N$1001,0),0), INDEX($U$1004:$AC$1004,1,MATCH(COLUMNS($U$1006:V1006),$U$1006:$AC$1006,0)))),"Fix")))</f>
        <v>0</v>
      </c>
      <c r="D160" s="3">
        <f>IF(OR(INDEX($O$2:$O$1001,MATCH(ROWS($N$2:N160),$N$2:$N$1001,0),1)&gt;=100000,INDEX($U$1005:$AC$1005,1,MATCH(COLUMNS($U$1006:W1006),$U$1006:$AC$1006,0))&gt;=100000), " ",IF(INDEX($U$2:$AC$1001,MATCH(ROWS($N$2:N160),$N$2:$N$1001,0),MATCH(COLUMNS($U$1006:W1006),$U$1006:$AC$1006,0)), HYPERLINK("#",""), HYPERLINK(CONCATENATE("#metadata!", ADDRESS(INDEX($P$2:$P$1001,MATCH(ROWS($N$2:N160),$N$2:$N$1001,0),0), INDEX($U$1004:$AC$1004,1,MATCH(COLUMNS($U$1006:W1006),$U$1006:$AC$1006,0)))),"Fix")))</f>
        <v>0</v>
      </c>
      <c r="E160" s="3">
        <f>IF(OR(INDEX($O$2:$O$1001,MATCH(ROWS($N$2:N160),$N$2:$N$1001,0),1)&gt;=100000,INDEX($U$1005:$AC$1005,1,MATCH(COLUMNS($U$1006:X1006),$U$1006:$AC$1006,0))&gt;=100000), " ",IF(INDEX($U$2:$AC$1001,MATCH(ROWS($N$2:N160),$N$2:$N$1001,0),MATCH(COLUMNS($U$1006:X1006),$U$1006:$AC$1006,0)), HYPERLINK("#",""), HYPERLINK(CONCATENATE("#metadata!", ADDRESS(INDEX($P$2:$P$1001,MATCH(ROWS($N$2:N160),$N$2:$N$1001,0),0), INDEX($U$1004:$AC$1004,1,MATCH(COLUMNS($U$1006:X1006),$U$1006:$AC$1006,0)))),"Fix")))</f>
        <v>0</v>
      </c>
      <c r="F160" s="3">
        <f>IF(OR(INDEX($O$2:$O$1001,MATCH(ROWS($N$2:N160),$N$2:$N$1001,0),1)&gt;=100000,INDEX($U$1005:$AC$1005,1,MATCH(COLUMNS($U$1006:Y1006),$U$1006:$AC$1006,0))&gt;=100000), " ",IF(INDEX($U$2:$AC$1001,MATCH(ROWS($N$2:N160),$N$2:$N$1001,0),MATCH(COLUMNS($U$1006:Y1006),$U$1006:$AC$1006,0)), HYPERLINK("#",""), HYPERLINK(CONCATENATE("#metadata!", ADDRESS(INDEX($P$2:$P$1001,MATCH(ROWS($N$2:N160),$N$2:$N$1001,0),0), INDEX($U$1004:$AC$1004,1,MATCH(COLUMNS($U$1006:Y1006),$U$1006:$AC$1006,0)))),"Fix")))</f>
        <v>0</v>
      </c>
      <c r="G160" s="3">
        <f>IF(OR(INDEX($O$2:$O$1001,MATCH(ROWS($N$2:N160),$N$2:$N$1001,0),1)&gt;=100000,INDEX($U$1005:$AC$1005,1,MATCH(COLUMNS($U$1006:Z1006),$U$1006:$AC$1006,0))&gt;=100000), " ",IF(INDEX($U$2:$AC$1001,MATCH(ROWS($N$2:N160),$N$2:$N$1001,0),MATCH(COLUMNS($U$1006:Z1006),$U$1006:$AC$1006,0)), HYPERLINK("#",""), HYPERLINK(CONCATENATE("#metadata!", ADDRESS(INDEX($P$2:$P$1001,MATCH(ROWS($N$2:N160),$N$2:$N$1001,0),0), INDEX($U$1004:$AC$1004,1,MATCH(COLUMNS($U$1006:Z1006),$U$1006:$AC$1006,0)))),"Fix")))</f>
        <v>0</v>
      </c>
      <c r="H160" s="3">
        <f>IF(OR(INDEX($O$2:$O$1001,MATCH(ROWS($N$2:N160),$N$2:$N$1001,0),1)&gt;=100000,INDEX($U$1005:$AC$1005,1,MATCH(COLUMNS($U$1006:AA1006),$U$1006:$AC$1006,0))&gt;=100000), " ",IF(INDEX($U$2:$AC$1001,MATCH(ROWS($N$2:N160),$N$2:$N$1001,0),MATCH(COLUMNS($U$1006:AA1006),$U$1006:$AC$1006,0)), HYPERLINK("#",""), HYPERLINK(CONCATENATE("#metadata!", ADDRESS(INDEX($P$2:$P$1001,MATCH(ROWS($N$2:N160),$N$2:$N$1001,0),0), INDEX($U$1004:$AC$1004,1,MATCH(COLUMNS($U$1006:AA1006),$U$1006:$AC$1006,0)))),"Fix")))</f>
        <v>0</v>
      </c>
      <c r="I160" s="3">
        <f>IF(OR(INDEX($O$2:$O$1001,MATCH(ROWS($N$2:N160),$N$2:$N$1001,0),1)&gt;=100000,INDEX($U$1005:$AC$1005,1,MATCH(COLUMNS($U$1006:AB1006),$U$1006:$AC$1006,0))&gt;=100000), " ",IF(INDEX($U$2:$AC$1001,MATCH(ROWS($N$2:N160),$N$2:$N$1001,0),MATCH(COLUMNS($U$1006:AB1006),$U$1006:$AC$1006,0)), HYPERLINK("#",""), HYPERLINK(CONCATENATE("#metadata!", ADDRESS(INDEX($P$2:$P$1001,MATCH(ROWS($N$2:N160),$N$2:$N$1001,0),0), INDEX($U$1004:$AC$1004,1,MATCH(COLUMNS($U$1006:AB1006),$U$1006:$AC$1006,0)))),"Fix")))</f>
        <v>0</v>
      </c>
      <c r="J160" s="3">
        <f>IF(OR(INDEX($O$2:$O$1001,MATCH(ROWS($N$2:N160),$N$2:$N$1001,0),1)&gt;=100000,INDEX($U$1005:$AC$1005,1,MATCH(COLUMNS($U$1006:AC1006),$U$1006:$AC$1006,0))&gt;=100000), " ",IF(INDEX($U$2:$AC$1001,MATCH(ROWS($N$2:N160),$N$2:$N$1001,0),MATCH(COLUMNS($U$1006:AC1006),$U$1006:$AC$1006,0)), HYPERLINK("#",""), HYPERLINK(CONCATENATE("#metadata!", ADDRESS(INDEX($P$2:$P$1001,MATCH(ROWS($N$2:N160),$N$2:$N$1001,0),0), INDEX($U$1004:$AC$1004,1,MATCH(COLUMNS($U$1006:AC1006),$U$1006:$AC$1006,0)))),"Fix")))</f>
        <v>0</v>
      </c>
      <c r="N160">
        <v>0</v>
      </c>
      <c r="O160">
        <v>0</v>
      </c>
      <c r="P160">
        <v>0</v>
      </c>
      <c r="Q160">
        <f>IF(R160,TRUE,AND(U160:AC160))</f>
        <v>0</v>
      </c>
      <c r="R160">
        <f>COUNTBLANK(metadata!B160:J160)=COLUMNS(metadata!B160:J160)</f>
        <v>0</v>
      </c>
      <c r="S160">
        <v>0</v>
      </c>
      <c r="U160">
        <f>AND(IF(metadata!B160="",FALSE,TRUE),COUNTIF(metadata!B:B, metadata!B160) = 1,NOT(ISERROR(SUMPRODUCT(SEARCH(MID(metadata!B160,ROW(INDIRECT("1:"&amp;LEN(metadata!B160))), 1),"0123456789abcdefghijklmnopqrstuvwxyzABCDEFGHIJKLMNOPQRSTUVWXYZ.")))))</f>
        <v>0</v>
      </c>
      <c r="V160">
        <f>AND(IF(metadata!C160="",FALSE,TRUE),exact(metadata!C160,"UBERON:genitourinary"))</f>
        <v>0</v>
      </c>
      <c r="W160">
        <f>AND(IF(metadata!D160="",FALSE,TRUE),exact(metadata!D160,"UBERON:urine"))</f>
        <v>0</v>
      </c>
      <c r="X160">
        <f>AND(IF(metadata!E160="",FALSE,TRUE),exact(metadata!E160,"UBERON:kidney"))</f>
        <v>0</v>
      </c>
      <c r="Y160">
        <f>AND(IF(metadata!F160="",FALSE,TRUE),exact(metadata!F160,"animal corpus"))</f>
        <v>0</v>
      </c>
      <c r="Z160">
        <f>AND(IF(metadata!G160="",FALSE,TRUE),exact(metadata!G160,"urine"))</f>
        <v>0</v>
      </c>
      <c r="AA160">
        <f>AND(IF(metadata!H160="",FALSE,TRUE),exact(metadata!H160,"urine"))</f>
        <v>0</v>
      </c>
      <c r="AB160">
        <f>AND(IF(metadata!I160="",FALSE,TRUE),exact(metadata!I160,"urine metagenome"))</f>
        <v>0</v>
      </c>
      <c r="AC160">
        <f>AND(IF(metadata!J160="",FALSE,TRUE),exact(metadata!J160,"1346744"))</f>
        <v>0</v>
      </c>
    </row>
    <row r="161" spans="1:29">
      <c r="A161" s="4">
        <f>IF(B161=" "," ",HYPERLINK(CONCATENATE("#metadata!",ADDRESS(INDEX($P$2:$P$1001,MATCH(ROWS($N$2:N161),$N$2:$N$1001,0),0),1)),INDEX($S$2:$S$1001,MATCH(ROWS($N$2:N161),$N$2:$N$1001,0),0)))</f>
        <v>0</v>
      </c>
      <c r="B161" s="3">
        <f>IF(OR(INDEX($O$2:$O$1001,MATCH(ROWS($N$2:N161),$N$2:$N$1001,0),1)&gt;=100000,INDEX($U$1005:$AC$1005,1,MATCH(COLUMNS($U$1006:U1006),$U$1006:$AC$1006,0))&gt;=100000), " ",IF(INDEX($U$2:$AC$1001,MATCH(ROWS($N$2:N161),$N$2:$N$1001,0),MATCH(COLUMNS($U$1006:U1006),$U$1006:$AC$1006,0)), HYPERLINK("#",""), HYPERLINK(CONCATENATE("#metadata!", ADDRESS(INDEX($P$2:$P$1001,MATCH(ROWS($N$2:N161),$N$2:$N$1001,0),0), INDEX($U$1004:$AC$1004,1,MATCH(COLUMNS($U$1006:U1006),$U$1006:$AC$1006,0)))),"Fix")))</f>
        <v>0</v>
      </c>
      <c r="C161" s="3">
        <f>IF(OR(INDEX($O$2:$O$1001,MATCH(ROWS($N$2:N161),$N$2:$N$1001,0),1)&gt;=100000,INDEX($U$1005:$AC$1005,1,MATCH(COLUMNS($U$1006:V1006),$U$1006:$AC$1006,0))&gt;=100000), " ",IF(INDEX($U$2:$AC$1001,MATCH(ROWS($N$2:N161),$N$2:$N$1001,0),MATCH(COLUMNS($U$1006:V1006),$U$1006:$AC$1006,0)), HYPERLINK("#",""), HYPERLINK(CONCATENATE("#metadata!", ADDRESS(INDEX($P$2:$P$1001,MATCH(ROWS($N$2:N161),$N$2:$N$1001,0),0), INDEX($U$1004:$AC$1004,1,MATCH(COLUMNS($U$1006:V1006),$U$1006:$AC$1006,0)))),"Fix")))</f>
        <v>0</v>
      </c>
      <c r="D161" s="3">
        <f>IF(OR(INDEX($O$2:$O$1001,MATCH(ROWS($N$2:N161),$N$2:$N$1001,0),1)&gt;=100000,INDEX($U$1005:$AC$1005,1,MATCH(COLUMNS($U$1006:W1006),$U$1006:$AC$1006,0))&gt;=100000), " ",IF(INDEX($U$2:$AC$1001,MATCH(ROWS($N$2:N161),$N$2:$N$1001,0),MATCH(COLUMNS($U$1006:W1006),$U$1006:$AC$1006,0)), HYPERLINK("#",""), HYPERLINK(CONCATENATE("#metadata!", ADDRESS(INDEX($P$2:$P$1001,MATCH(ROWS($N$2:N161),$N$2:$N$1001,0),0), INDEX($U$1004:$AC$1004,1,MATCH(COLUMNS($U$1006:W1006),$U$1006:$AC$1006,0)))),"Fix")))</f>
        <v>0</v>
      </c>
      <c r="E161" s="3">
        <f>IF(OR(INDEX($O$2:$O$1001,MATCH(ROWS($N$2:N161),$N$2:$N$1001,0),1)&gt;=100000,INDEX($U$1005:$AC$1005,1,MATCH(COLUMNS($U$1006:X1006),$U$1006:$AC$1006,0))&gt;=100000), " ",IF(INDEX($U$2:$AC$1001,MATCH(ROWS($N$2:N161),$N$2:$N$1001,0),MATCH(COLUMNS($U$1006:X1006),$U$1006:$AC$1006,0)), HYPERLINK("#",""), HYPERLINK(CONCATENATE("#metadata!", ADDRESS(INDEX($P$2:$P$1001,MATCH(ROWS($N$2:N161),$N$2:$N$1001,0),0), INDEX($U$1004:$AC$1004,1,MATCH(COLUMNS($U$1006:X1006),$U$1006:$AC$1006,0)))),"Fix")))</f>
        <v>0</v>
      </c>
      <c r="F161" s="3">
        <f>IF(OR(INDEX($O$2:$O$1001,MATCH(ROWS($N$2:N161),$N$2:$N$1001,0),1)&gt;=100000,INDEX($U$1005:$AC$1005,1,MATCH(COLUMNS($U$1006:Y1006),$U$1006:$AC$1006,0))&gt;=100000), " ",IF(INDEX($U$2:$AC$1001,MATCH(ROWS($N$2:N161),$N$2:$N$1001,0),MATCH(COLUMNS($U$1006:Y1006),$U$1006:$AC$1006,0)), HYPERLINK("#",""), HYPERLINK(CONCATENATE("#metadata!", ADDRESS(INDEX($P$2:$P$1001,MATCH(ROWS($N$2:N161),$N$2:$N$1001,0),0), INDEX($U$1004:$AC$1004,1,MATCH(COLUMNS($U$1006:Y1006),$U$1006:$AC$1006,0)))),"Fix")))</f>
        <v>0</v>
      </c>
      <c r="G161" s="3">
        <f>IF(OR(INDEX($O$2:$O$1001,MATCH(ROWS($N$2:N161),$N$2:$N$1001,0),1)&gt;=100000,INDEX($U$1005:$AC$1005,1,MATCH(COLUMNS($U$1006:Z1006),$U$1006:$AC$1006,0))&gt;=100000), " ",IF(INDEX($U$2:$AC$1001,MATCH(ROWS($N$2:N161),$N$2:$N$1001,0),MATCH(COLUMNS($U$1006:Z1006),$U$1006:$AC$1006,0)), HYPERLINK("#",""), HYPERLINK(CONCATENATE("#metadata!", ADDRESS(INDEX($P$2:$P$1001,MATCH(ROWS($N$2:N161),$N$2:$N$1001,0),0), INDEX($U$1004:$AC$1004,1,MATCH(COLUMNS($U$1006:Z1006),$U$1006:$AC$1006,0)))),"Fix")))</f>
        <v>0</v>
      </c>
      <c r="H161" s="3">
        <f>IF(OR(INDEX($O$2:$O$1001,MATCH(ROWS($N$2:N161),$N$2:$N$1001,0),1)&gt;=100000,INDEX($U$1005:$AC$1005,1,MATCH(COLUMNS($U$1006:AA1006),$U$1006:$AC$1006,0))&gt;=100000), " ",IF(INDEX($U$2:$AC$1001,MATCH(ROWS($N$2:N161),$N$2:$N$1001,0),MATCH(COLUMNS($U$1006:AA1006),$U$1006:$AC$1006,0)), HYPERLINK("#",""), HYPERLINK(CONCATENATE("#metadata!", ADDRESS(INDEX($P$2:$P$1001,MATCH(ROWS($N$2:N161),$N$2:$N$1001,0),0), INDEX($U$1004:$AC$1004,1,MATCH(COLUMNS($U$1006:AA1006),$U$1006:$AC$1006,0)))),"Fix")))</f>
        <v>0</v>
      </c>
      <c r="I161" s="3">
        <f>IF(OR(INDEX($O$2:$O$1001,MATCH(ROWS($N$2:N161),$N$2:$N$1001,0),1)&gt;=100000,INDEX($U$1005:$AC$1005,1,MATCH(COLUMNS($U$1006:AB1006),$U$1006:$AC$1006,0))&gt;=100000), " ",IF(INDEX($U$2:$AC$1001,MATCH(ROWS($N$2:N161),$N$2:$N$1001,0),MATCH(COLUMNS($U$1006:AB1006),$U$1006:$AC$1006,0)), HYPERLINK("#",""), HYPERLINK(CONCATENATE("#metadata!", ADDRESS(INDEX($P$2:$P$1001,MATCH(ROWS($N$2:N161),$N$2:$N$1001,0),0), INDEX($U$1004:$AC$1004,1,MATCH(COLUMNS($U$1006:AB1006),$U$1006:$AC$1006,0)))),"Fix")))</f>
        <v>0</v>
      </c>
      <c r="J161" s="3">
        <f>IF(OR(INDEX($O$2:$O$1001,MATCH(ROWS($N$2:N161),$N$2:$N$1001,0),1)&gt;=100000,INDEX($U$1005:$AC$1005,1,MATCH(COLUMNS($U$1006:AC1006),$U$1006:$AC$1006,0))&gt;=100000), " ",IF(INDEX($U$2:$AC$1001,MATCH(ROWS($N$2:N161),$N$2:$N$1001,0),MATCH(COLUMNS($U$1006:AC1006),$U$1006:$AC$1006,0)), HYPERLINK("#",""), HYPERLINK(CONCATENATE("#metadata!", ADDRESS(INDEX($P$2:$P$1001,MATCH(ROWS($N$2:N161),$N$2:$N$1001,0),0), INDEX($U$1004:$AC$1004,1,MATCH(COLUMNS($U$1006:AC1006),$U$1006:$AC$1006,0)))),"Fix")))</f>
        <v>0</v>
      </c>
      <c r="N161">
        <v>0</v>
      </c>
      <c r="O161">
        <v>0</v>
      </c>
      <c r="P161">
        <v>0</v>
      </c>
      <c r="Q161">
        <f>IF(R161,TRUE,AND(U161:AC161))</f>
        <v>0</v>
      </c>
      <c r="R161">
        <f>COUNTBLANK(metadata!B161:J161)=COLUMNS(metadata!B161:J161)</f>
        <v>0</v>
      </c>
      <c r="S161">
        <v>0</v>
      </c>
      <c r="U161">
        <f>AND(IF(metadata!B161="",FALSE,TRUE),COUNTIF(metadata!B:B, metadata!B161) = 1,NOT(ISERROR(SUMPRODUCT(SEARCH(MID(metadata!B161,ROW(INDIRECT("1:"&amp;LEN(metadata!B161))), 1),"0123456789abcdefghijklmnopqrstuvwxyzABCDEFGHIJKLMNOPQRSTUVWXYZ.")))))</f>
        <v>0</v>
      </c>
      <c r="V161">
        <f>AND(IF(metadata!C161="",FALSE,TRUE),exact(metadata!C161,"UBERON:genitourinary"))</f>
        <v>0</v>
      </c>
      <c r="W161">
        <f>AND(IF(metadata!D161="",FALSE,TRUE),exact(metadata!D161,"UBERON:urine"))</f>
        <v>0</v>
      </c>
      <c r="X161">
        <f>AND(IF(metadata!E161="",FALSE,TRUE),exact(metadata!E161,"UBERON:kidney"))</f>
        <v>0</v>
      </c>
      <c r="Y161">
        <f>AND(IF(metadata!F161="",FALSE,TRUE),exact(metadata!F161,"animal corpus"))</f>
        <v>0</v>
      </c>
      <c r="Z161">
        <f>AND(IF(metadata!G161="",FALSE,TRUE),exact(metadata!G161,"urine"))</f>
        <v>0</v>
      </c>
      <c r="AA161">
        <f>AND(IF(metadata!H161="",FALSE,TRUE),exact(metadata!H161,"urine"))</f>
        <v>0</v>
      </c>
      <c r="AB161">
        <f>AND(IF(metadata!I161="",FALSE,TRUE),exact(metadata!I161,"urine metagenome"))</f>
        <v>0</v>
      </c>
      <c r="AC161">
        <f>AND(IF(metadata!J161="",FALSE,TRUE),exact(metadata!J161,"1346744"))</f>
        <v>0</v>
      </c>
    </row>
    <row r="162" spans="1:29">
      <c r="A162" s="4">
        <f>IF(B162=" "," ",HYPERLINK(CONCATENATE("#metadata!",ADDRESS(INDEX($P$2:$P$1001,MATCH(ROWS($N$2:N162),$N$2:$N$1001,0),0),1)),INDEX($S$2:$S$1001,MATCH(ROWS($N$2:N162),$N$2:$N$1001,0),0)))</f>
        <v>0</v>
      </c>
      <c r="B162" s="3">
        <f>IF(OR(INDEX($O$2:$O$1001,MATCH(ROWS($N$2:N162),$N$2:$N$1001,0),1)&gt;=100000,INDEX($U$1005:$AC$1005,1,MATCH(COLUMNS($U$1006:U1006),$U$1006:$AC$1006,0))&gt;=100000), " ",IF(INDEX($U$2:$AC$1001,MATCH(ROWS($N$2:N162),$N$2:$N$1001,0),MATCH(COLUMNS($U$1006:U1006),$U$1006:$AC$1006,0)), HYPERLINK("#",""), HYPERLINK(CONCATENATE("#metadata!", ADDRESS(INDEX($P$2:$P$1001,MATCH(ROWS($N$2:N162),$N$2:$N$1001,0),0), INDEX($U$1004:$AC$1004,1,MATCH(COLUMNS($U$1006:U1006),$U$1006:$AC$1006,0)))),"Fix")))</f>
        <v>0</v>
      </c>
      <c r="C162" s="3">
        <f>IF(OR(INDEX($O$2:$O$1001,MATCH(ROWS($N$2:N162),$N$2:$N$1001,0),1)&gt;=100000,INDEX($U$1005:$AC$1005,1,MATCH(COLUMNS($U$1006:V1006),$U$1006:$AC$1006,0))&gt;=100000), " ",IF(INDEX($U$2:$AC$1001,MATCH(ROWS($N$2:N162),$N$2:$N$1001,0),MATCH(COLUMNS($U$1006:V1006),$U$1006:$AC$1006,0)), HYPERLINK("#",""), HYPERLINK(CONCATENATE("#metadata!", ADDRESS(INDEX($P$2:$P$1001,MATCH(ROWS($N$2:N162),$N$2:$N$1001,0),0), INDEX($U$1004:$AC$1004,1,MATCH(COLUMNS($U$1006:V1006),$U$1006:$AC$1006,0)))),"Fix")))</f>
        <v>0</v>
      </c>
      <c r="D162" s="3">
        <f>IF(OR(INDEX($O$2:$O$1001,MATCH(ROWS($N$2:N162),$N$2:$N$1001,0),1)&gt;=100000,INDEX($U$1005:$AC$1005,1,MATCH(COLUMNS($U$1006:W1006),$U$1006:$AC$1006,0))&gt;=100000), " ",IF(INDEX($U$2:$AC$1001,MATCH(ROWS($N$2:N162),$N$2:$N$1001,0),MATCH(COLUMNS($U$1006:W1006),$U$1006:$AC$1006,0)), HYPERLINK("#",""), HYPERLINK(CONCATENATE("#metadata!", ADDRESS(INDEX($P$2:$P$1001,MATCH(ROWS($N$2:N162),$N$2:$N$1001,0),0), INDEX($U$1004:$AC$1004,1,MATCH(COLUMNS($U$1006:W1006),$U$1006:$AC$1006,0)))),"Fix")))</f>
        <v>0</v>
      </c>
      <c r="E162" s="3">
        <f>IF(OR(INDEX($O$2:$O$1001,MATCH(ROWS($N$2:N162),$N$2:$N$1001,0),1)&gt;=100000,INDEX($U$1005:$AC$1005,1,MATCH(COLUMNS($U$1006:X1006),$U$1006:$AC$1006,0))&gt;=100000), " ",IF(INDEX($U$2:$AC$1001,MATCH(ROWS($N$2:N162),$N$2:$N$1001,0),MATCH(COLUMNS($U$1006:X1006),$U$1006:$AC$1006,0)), HYPERLINK("#",""), HYPERLINK(CONCATENATE("#metadata!", ADDRESS(INDEX($P$2:$P$1001,MATCH(ROWS($N$2:N162),$N$2:$N$1001,0),0), INDEX($U$1004:$AC$1004,1,MATCH(COLUMNS($U$1006:X1006),$U$1006:$AC$1006,0)))),"Fix")))</f>
        <v>0</v>
      </c>
      <c r="F162" s="3">
        <f>IF(OR(INDEX($O$2:$O$1001,MATCH(ROWS($N$2:N162),$N$2:$N$1001,0),1)&gt;=100000,INDEX($U$1005:$AC$1005,1,MATCH(COLUMNS($U$1006:Y1006),$U$1006:$AC$1006,0))&gt;=100000), " ",IF(INDEX($U$2:$AC$1001,MATCH(ROWS($N$2:N162),$N$2:$N$1001,0),MATCH(COLUMNS($U$1006:Y1006),$U$1006:$AC$1006,0)), HYPERLINK("#",""), HYPERLINK(CONCATENATE("#metadata!", ADDRESS(INDEX($P$2:$P$1001,MATCH(ROWS($N$2:N162),$N$2:$N$1001,0),0), INDEX($U$1004:$AC$1004,1,MATCH(COLUMNS($U$1006:Y1006),$U$1006:$AC$1006,0)))),"Fix")))</f>
        <v>0</v>
      </c>
      <c r="G162" s="3">
        <f>IF(OR(INDEX($O$2:$O$1001,MATCH(ROWS($N$2:N162),$N$2:$N$1001,0),1)&gt;=100000,INDEX($U$1005:$AC$1005,1,MATCH(COLUMNS($U$1006:Z1006),$U$1006:$AC$1006,0))&gt;=100000), " ",IF(INDEX($U$2:$AC$1001,MATCH(ROWS($N$2:N162),$N$2:$N$1001,0),MATCH(COLUMNS($U$1006:Z1006),$U$1006:$AC$1006,0)), HYPERLINK("#",""), HYPERLINK(CONCATENATE("#metadata!", ADDRESS(INDEX($P$2:$P$1001,MATCH(ROWS($N$2:N162),$N$2:$N$1001,0),0), INDEX($U$1004:$AC$1004,1,MATCH(COLUMNS($U$1006:Z1006),$U$1006:$AC$1006,0)))),"Fix")))</f>
        <v>0</v>
      </c>
      <c r="H162" s="3">
        <f>IF(OR(INDEX($O$2:$O$1001,MATCH(ROWS($N$2:N162),$N$2:$N$1001,0),1)&gt;=100000,INDEX($U$1005:$AC$1005,1,MATCH(COLUMNS($U$1006:AA1006),$U$1006:$AC$1006,0))&gt;=100000), " ",IF(INDEX($U$2:$AC$1001,MATCH(ROWS($N$2:N162),$N$2:$N$1001,0),MATCH(COLUMNS($U$1006:AA1006),$U$1006:$AC$1006,0)), HYPERLINK("#",""), HYPERLINK(CONCATENATE("#metadata!", ADDRESS(INDEX($P$2:$P$1001,MATCH(ROWS($N$2:N162),$N$2:$N$1001,0),0), INDEX($U$1004:$AC$1004,1,MATCH(COLUMNS($U$1006:AA1006),$U$1006:$AC$1006,0)))),"Fix")))</f>
        <v>0</v>
      </c>
      <c r="I162" s="3">
        <f>IF(OR(INDEX($O$2:$O$1001,MATCH(ROWS($N$2:N162),$N$2:$N$1001,0),1)&gt;=100000,INDEX($U$1005:$AC$1005,1,MATCH(COLUMNS($U$1006:AB1006),$U$1006:$AC$1006,0))&gt;=100000), " ",IF(INDEX($U$2:$AC$1001,MATCH(ROWS($N$2:N162),$N$2:$N$1001,0),MATCH(COLUMNS($U$1006:AB1006),$U$1006:$AC$1006,0)), HYPERLINK("#",""), HYPERLINK(CONCATENATE("#metadata!", ADDRESS(INDEX($P$2:$P$1001,MATCH(ROWS($N$2:N162),$N$2:$N$1001,0),0), INDEX($U$1004:$AC$1004,1,MATCH(COLUMNS($U$1006:AB1006),$U$1006:$AC$1006,0)))),"Fix")))</f>
        <v>0</v>
      </c>
      <c r="J162" s="3">
        <f>IF(OR(INDEX($O$2:$O$1001,MATCH(ROWS($N$2:N162),$N$2:$N$1001,0),1)&gt;=100000,INDEX($U$1005:$AC$1005,1,MATCH(COLUMNS($U$1006:AC1006),$U$1006:$AC$1006,0))&gt;=100000), " ",IF(INDEX($U$2:$AC$1001,MATCH(ROWS($N$2:N162),$N$2:$N$1001,0),MATCH(COLUMNS($U$1006:AC1006),$U$1006:$AC$1006,0)), HYPERLINK("#",""), HYPERLINK(CONCATENATE("#metadata!", ADDRESS(INDEX($P$2:$P$1001,MATCH(ROWS($N$2:N162),$N$2:$N$1001,0),0), INDEX($U$1004:$AC$1004,1,MATCH(COLUMNS($U$1006:AC1006),$U$1006:$AC$1006,0)))),"Fix")))</f>
        <v>0</v>
      </c>
      <c r="N162">
        <v>0</v>
      </c>
      <c r="O162">
        <v>0</v>
      </c>
      <c r="P162">
        <v>0</v>
      </c>
      <c r="Q162">
        <f>IF(R162,TRUE,AND(U162:AC162))</f>
        <v>0</v>
      </c>
      <c r="R162">
        <f>COUNTBLANK(metadata!B162:J162)=COLUMNS(metadata!B162:J162)</f>
        <v>0</v>
      </c>
      <c r="S162">
        <v>0</v>
      </c>
      <c r="U162">
        <f>AND(IF(metadata!B162="",FALSE,TRUE),COUNTIF(metadata!B:B, metadata!B162) = 1,NOT(ISERROR(SUMPRODUCT(SEARCH(MID(metadata!B162,ROW(INDIRECT("1:"&amp;LEN(metadata!B162))), 1),"0123456789abcdefghijklmnopqrstuvwxyzABCDEFGHIJKLMNOPQRSTUVWXYZ.")))))</f>
        <v>0</v>
      </c>
      <c r="V162">
        <f>AND(IF(metadata!C162="",FALSE,TRUE),exact(metadata!C162,"UBERON:genitourinary"))</f>
        <v>0</v>
      </c>
      <c r="W162">
        <f>AND(IF(metadata!D162="",FALSE,TRUE),exact(metadata!D162,"UBERON:urine"))</f>
        <v>0</v>
      </c>
      <c r="X162">
        <f>AND(IF(metadata!E162="",FALSE,TRUE),exact(metadata!E162,"UBERON:kidney"))</f>
        <v>0</v>
      </c>
      <c r="Y162">
        <f>AND(IF(metadata!F162="",FALSE,TRUE),exact(metadata!F162,"animal corpus"))</f>
        <v>0</v>
      </c>
      <c r="Z162">
        <f>AND(IF(metadata!G162="",FALSE,TRUE),exact(metadata!G162,"urine"))</f>
        <v>0</v>
      </c>
      <c r="AA162">
        <f>AND(IF(metadata!H162="",FALSE,TRUE),exact(metadata!H162,"urine"))</f>
        <v>0</v>
      </c>
      <c r="AB162">
        <f>AND(IF(metadata!I162="",FALSE,TRUE),exact(metadata!I162,"urine metagenome"))</f>
        <v>0</v>
      </c>
      <c r="AC162">
        <f>AND(IF(metadata!J162="",FALSE,TRUE),exact(metadata!J162,"1346744"))</f>
        <v>0</v>
      </c>
    </row>
    <row r="163" spans="1:29">
      <c r="A163" s="4">
        <f>IF(B163=" "," ",HYPERLINK(CONCATENATE("#metadata!",ADDRESS(INDEX($P$2:$P$1001,MATCH(ROWS($N$2:N163),$N$2:$N$1001,0),0),1)),INDEX($S$2:$S$1001,MATCH(ROWS($N$2:N163),$N$2:$N$1001,0),0)))</f>
        <v>0</v>
      </c>
      <c r="B163" s="3">
        <f>IF(OR(INDEX($O$2:$O$1001,MATCH(ROWS($N$2:N163),$N$2:$N$1001,0),1)&gt;=100000,INDEX($U$1005:$AC$1005,1,MATCH(COLUMNS($U$1006:U1006),$U$1006:$AC$1006,0))&gt;=100000), " ",IF(INDEX($U$2:$AC$1001,MATCH(ROWS($N$2:N163),$N$2:$N$1001,0),MATCH(COLUMNS($U$1006:U1006),$U$1006:$AC$1006,0)), HYPERLINK("#",""), HYPERLINK(CONCATENATE("#metadata!", ADDRESS(INDEX($P$2:$P$1001,MATCH(ROWS($N$2:N163),$N$2:$N$1001,0),0), INDEX($U$1004:$AC$1004,1,MATCH(COLUMNS($U$1006:U1006),$U$1006:$AC$1006,0)))),"Fix")))</f>
        <v>0</v>
      </c>
      <c r="C163" s="3">
        <f>IF(OR(INDEX($O$2:$O$1001,MATCH(ROWS($N$2:N163),$N$2:$N$1001,0),1)&gt;=100000,INDEX($U$1005:$AC$1005,1,MATCH(COLUMNS($U$1006:V1006),$U$1006:$AC$1006,0))&gt;=100000), " ",IF(INDEX($U$2:$AC$1001,MATCH(ROWS($N$2:N163),$N$2:$N$1001,0),MATCH(COLUMNS($U$1006:V1006),$U$1006:$AC$1006,0)), HYPERLINK("#",""), HYPERLINK(CONCATENATE("#metadata!", ADDRESS(INDEX($P$2:$P$1001,MATCH(ROWS($N$2:N163),$N$2:$N$1001,0),0), INDEX($U$1004:$AC$1004,1,MATCH(COLUMNS($U$1006:V1006),$U$1006:$AC$1006,0)))),"Fix")))</f>
        <v>0</v>
      </c>
      <c r="D163" s="3">
        <f>IF(OR(INDEX($O$2:$O$1001,MATCH(ROWS($N$2:N163),$N$2:$N$1001,0),1)&gt;=100000,INDEX($U$1005:$AC$1005,1,MATCH(COLUMNS($U$1006:W1006),$U$1006:$AC$1006,0))&gt;=100000), " ",IF(INDEX($U$2:$AC$1001,MATCH(ROWS($N$2:N163),$N$2:$N$1001,0),MATCH(COLUMNS($U$1006:W1006),$U$1006:$AC$1006,0)), HYPERLINK("#",""), HYPERLINK(CONCATENATE("#metadata!", ADDRESS(INDEX($P$2:$P$1001,MATCH(ROWS($N$2:N163),$N$2:$N$1001,0),0), INDEX($U$1004:$AC$1004,1,MATCH(COLUMNS($U$1006:W1006),$U$1006:$AC$1006,0)))),"Fix")))</f>
        <v>0</v>
      </c>
      <c r="E163" s="3">
        <f>IF(OR(INDEX($O$2:$O$1001,MATCH(ROWS($N$2:N163),$N$2:$N$1001,0),1)&gt;=100000,INDEX($U$1005:$AC$1005,1,MATCH(COLUMNS($U$1006:X1006),$U$1006:$AC$1006,0))&gt;=100000), " ",IF(INDEX($U$2:$AC$1001,MATCH(ROWS($N$2:N163),$N$2:$N$1001,0),MATCH(COLUMNS($U$1006:X1006),$U$1006:$AC$1006,0)), HYPERLINK("#",""), HYPERLINK(CONCATENATE("#metadata!", ADDRESS(INDEX($P$2:$P$1001,MATCH(ROWS($N$2:N163),$N$2:$N$1001,0),0), INDEX($U$1004:$AC$1004,1,MATCH(COLUMNS($U$1006:X1006),$U$1006:$AC$1006,0)))),"Fix")))</f>
        <v>0</v>
      </c>
      <c r="F163" s="3">
        <f>IF(OR(INDEX($O$2:$O$1001,MATCH(ROWS($N$2:N163),$N$2:$N$1001,0),1)&gt;=100000,INDEX($U$1005:$AC$1005,1,MATCH(COLUMNS($U$1006:Y1006),$U$1006:$AC$1006,0))&gt;=100000), " ",IF(INDEX($U$2:$AC$1001,MATCH(ROWS($N$2:N163),$N$2:$N$1001,0),MATCH(COLUMNS($U$1006:Y1006),$U$1006:$AC$1006,0)), HYPERLINK("#",""), HYPERLINK(CONCATENATE("#metadata!", ADDRESS(INDEX($P$2:$P$1001,MATCH(ROWS($N$2:N163),$N$2:$N$1001,0),0), INDEX($U$1004:$AC$1004,1,MATCH(COLUMNS($U$1006:Y1006),$U$1006:$AC$1006,0)))),"Fix")))</f>
        <v>0</v>
      </c>
      <c r="G163" s="3">
        <f>IF(OR(INDEX($O$2:$O$1001,MATCH(ROWS($N$2:N163),$N$2:$N$1001,0),1)&gt;=100000,INDEX($U$1005:$AC$1005,1,MATCH(COLUMNS($U$1006:Z1006),$U$1006:$AC$1006,0))&gt;=100000), " ",IF(INDEX($U$2:$AC$1001,MATCH(ROWS($N$2:N163),$N$2:$N$1001,0),MATCH(COLUMNS($U$1006:Z1006),$U$1006:$AC$1006,0)), HYPERLINK("#",""), HYPERLINK(CONCATENATE("#metadata!", ADDRESS(INDEX($P$2:$P$1001,MATCH(ROWS($N$2:N163),$N$2:$N$1001,0),0), INDEX($U$1004:$AC$1004,1,MATCH(COLUMNS($U$1006:Z1006),$U$1006:$AC$1006,0)))),"Fix")))</f>
        <v>0</v>
      </c>
      <c r="H163" s="3">
        <f>IF(OR(INDEX($O$2:$O$1001,MATCH(ROWS($N$2:N163),$N$2:$N$1001,0),1)&gt;=100000,INDEX($U$1005:$AC$1005,1,MATCH(COLUMNS($U$1006:AA1006),$U$1006:$AC$1006,0))&gt;=100000), " ",IF(INDEX($U$2:$AC$1001,MATCH(ROWS($N$2:N163),$N$2:$N$1001,0),MATCH(COLUMNS($U$1006:AA1006),$U$1006:$AC$1006,0)), HYPERLINK("#",""), HYPERLINK(CONCATENATE("#metadata!", ADDRESS(INDEX($P$2:$P$1001,MATCH(ROWS($N$2:N163),$N$2:$N$1001,0),0), INDEX($U$1004:$AC$1004,1,MATCH(COLUMNS($U$1006:AA1006),$U$1006:$AC$1006,0)))),"Fix")))</f>
        <v>0</v>
      </c>
      <c r="I163" s="3">
        <f>IF(OR(INDEX($O$2:$O$1001,MATCH(ROWS($N$2:N163),$N$2:$N$1001,0),1)&gt;=100000,INDEX($U$1005:$AC$1005,1,MATCH(COLUMNS($U$1006:AB1006),$U$1006:$AC$1006,0))&gt;=100000), " ",IF(INDEX($U$2:$AC$1001,MATCH(ROWS($N$2:N163),$N$2:$N$1001,0),MATCH(COLUMNS($U$1006:AB1006),$U$1006:$AC$1006,0)), HYPERLINK("#",""), HYPERLINK(CONCATENATE("#metadata!", ADDRESS(INDEX($P$2:$P$1001,MATCH(ROWS($N$2:N163),$N$2:$N$1001,0),0), INDEX($U$1004:$AC$1004,1,MATCH(COLUMNS($U$1006:AB1006),$U$1006:$AC$1006,0)))),"Fix")))</f>
        <v>0</v>
      </c>
      <c r="J163" s="3">
        <f>IF(OR(INDEX($O$2:$O$1001,MATCH(ROWS($N$2:N163),$N$2:$N$1001,0),1)&gt;=100000,INDEX($U$1005:$AC$1005,1,MATCH(COLUMNS($U$1006:AC1006),$U$1006:$AC$1006,0))&gt;=100000), " ",IF(INDEX($U$2:$AC$1001,MATCH(ROWS($N$2:N163),$N$2:$N$1001,0),MATCH(COLUMNS($U$1006:AC1006),$U$1006:$AC$1006,0)), HYPERLINK("#",""), HYPERLINK(CONCATENATE("#metadata!", ADDRESS(INDEX($P$2:$P$1001,MATCH(ROWS($N$2:N163),$N$2:$N$1001,0),0), INDEX($U$1004:$AC$1004,1,MATCH(COLUMNS($U$1006:AC1006),$U$1006:$AC$1006,0)))),"Fix")))</f>
        <v>0</v>
      </c>
      <c r="N163">
        <v>0</v>
      </c>
      <c r="O163">
        <v>0</v>
      </c>
      <c r="P163">
        <v>0</v>
      </c>
      <c r="Q163">
        <f>IF(R163,TRUE,AND(U163:AC163))</f>
        <v>0</v>
      </c>
      <c r="R163">
        <f>COUNTBLANK(metadata!B163:J163)=COLUMNS(metadata!B163:J163)</f>
        <v>0</v>
      </c>
      <c r="S163">
        <v>0</v>
      </c>
      <c r="U163">
        <f>AND(IF(metadata!B163="",FALSE,TRUE),COUNTIF(metadata!B:B, metadata!B163) = 1,NOT(ISERROR(SUMPRODUCT(SEARCH(MID(metadata!B163,ROW(INDIRECT("1:"&amp;LEN(metadata!B163))), 1),"0123456789abcdefghijklmnopqrstuvwxyzABCDEFGHIJKLMNOPQRSTUVWXYZ.")))))</f>
        <v>0</v>
      </c>
      <c r="V163">
        <f>AND(IF(metadata!C163="",FALSE,TRUE),exact(metadata!C163,"UBERON:genitourinary"))</f>
        <v>0</v>
      </c>
      <c r="W163">
        <f>AND(IF(metadata!D163="",FALSE,TRUE),exact(metadata!D163,"UBERON:urine"))</f>
        <v>0</v>
      </c>
      <c r="X163">
        <f>AND(IF(metadata!E163="",FALSE,TRUE),exact(metadata!E163,"UBERON:kidney"))</f>
        <v>0</v>
      </c>
      <c r="Y163">
        <f>AND(IF(metadata!F163="",FALSE,TRUE),exact(metadata!F163,"animal corpus"))</f>
        <v>0</v>
      </c>
      <c r="Z163">
        <f>AND(IF(metadata!G163="",FALSE,TRUE),exact(metadata!G163,"urine"))</f>
        <v>0</v>
      </c>
      <c r="AA163">
        <f>AND(IF(metadata!H163="",FALSE,TRUE),exact(metadata!H163,"urine"))</f>
        <v>0</v>
      </c>
      <c r="AB163">
        <f>AND(IF(metadata!I163="",FALSE,TRUE),exact(metadata!I163,"urine metagenome"))</f>
        <v>0</v>
      </c>
      <c r="AC163">
        <f>AND(IF(metadata!J163="",FALSE,TRUE),exact(metadata!J163,"1346744"))</f>
        <v>0</v>
      </c>
    </row>
    <row r="164" spans="1:29">
      <c r="A164" s="4">
        <f>IF(B164=" "," ",HYPERLINK(CONCATENATE("#metadata!",ADDRESS(INDEX($P$2:$P$1001,MATCH(ROWS($N$2:N164),$N$2:$N$1001,0),0),1)),INDEX($S$2:$S$1001,MATCH(ROWS($N$2:N164),$N$2:$N$1001,0),0)))</f>
        <v>0</v>
      </c>
      <c r="B164" s="3">
        <f>IF(OR(INDEX($O$2:$O$1001,MATCH(ROWS($N$2:N164),$N$2:$N$1001,0),1)&gt;=100000,INDEX($U$1005:$AC$1005,1,MATCH(COLUMNS($U$1006:U1006),$U$1006:$AC$1006,0))&gt;=100000), " ",IF(INDEX($U$2:$AC$1001,MATCH(ROWS($N$2:N164),$N$2:$N$1001,0),MATCH(COLUMNS($U$1006:U1006),$U$1006:$AC$1006,0)), HYPERLINK("#",""), HYPERLINK(CONCATENATE("#metadata!", ADDRESS(INDEX($P$2:$P$1001,MATCH(ROWS($N$2:N164),$N$2:$N$1001,0),0), INDEX($U$1004:$AC$1004,1,MATCH(COLUMNS($U$1006:U1006),$U$1006:$AC$1006,0)))),"Fix")))</f>
        <v>0</v>
      </c>
      <c r="C164" s="3">
        <f>IF(OR(INDEX($O$2:$O$1001,MATCH(ROWS($N$2:N164),$N$2:$N$1001,0),1)&gt;=100000,INDEX($U$1005:$AC$1005,1,MATCH(COLUMNS($U$1006:V1006),$U$1006:$AC$1006,0))&gt;=100000), " ",IF(INDEX($U$2:$AC$1001,MATCH(ROWS($N$2:N164),$N$2:$N$1001,0),MATCH(COLUMNS($U$1006:V1006),$U$1006:$AC$1006,0)), HYPERLINK("#",""), HYPERLINK(CONCATENATE("#metadata!", ADDRESS(INDEX($P$2:$P$1001,MATCH(ROWS($N$2:N164),$N$2:$N$1001,0),0), INDEX($U$1004:$AC$1004,1,MATCH(COLUMNS($U$1006:V1006),$U$1006:$AC$1006,0)))),"Fix")))</f>
        <v>0</v>
      </c>
      <c r="D164" s="3">
        <f>IF(OR(INDEX($O$2:$O$1001,MATCH(ROWS($N$2:N164),$N$2:$N$1001,0),1)&gt;=100000,INDEX($U$1005:$AC$1005,1,MATCH(COLUMNS($U$1006:W1006),$U$1006:$AC$1006,0))&gt;=100000), " ",IF(INDEX($U$2:$AC$1001,MATCH(ROWS($N$2:N164),$N$2:$N$1001,0),MATCH(COLUMNS($U$1006:W1006),$U$1006:$AC$1006,0)), HYPERLINK("#",""), HYPERLINK(CONCATENATE("#metadata!", ADDRESS(INDEX($P$2:$P$1001,MATCH(ROWS($N$2:N164),$N$2:$N$1001,0),0), INDEX($U$1004:$AC$1004,1,MATCH(COLUMNS($U$1006:W1006),$U$1006:$AC$1006,0)))),"Fix")))</f>
        <v>0</v>
      </c>
      <c r="E164" s="3">
        <f>IF(OR(INDEX($O$2:$O$1001,MATCH(ROWS($N$2:N164),$N$2:$N$1001,0),1)&gt;=100000,INDEX($U$1005:$AC$1005,1,MATCH(COLUMNS($U$1006:X1006),$U$1006:$AC$1006,0))&gt;=100000), " ",IF(INDEX($U$2:$AC$1001,MATCH(ROWS($N$2:N164),$N$2:$N$1001,0),MATCH(COLUMNS($U$1006:X1006),$U$1006:$AC$1006,0)), HYPERLINK("#",""), HYPERLINK(CONCATENATE("#metadata!", ADDRESS(INDEX($P$2:$P$1001,MATCH(ROWS($N$2:N164),$N$2:$N$1001,0),0), INDEX($U$1004:$AC$1004,1,MATCH(COLUMNS($U$1006:X1006),$U$1006:$AC$1006,0)))),"Fix")))</f>
        <v>0</v>
      </c>
      <c r="F164" s="3">
        <f>IF(OR(INDEX($O$2:$O$1001,MATCH(ROWS($N$2:N164),$N$2:$N$1001,0),1)&gt;=100000,INDEX($U$1005:$AC$1005,1,MATCH(COLUMNS($U$1006:Y1006),$U$1006:$AC$1006,0))&gt;=100000), " ",IF(INDEX($U$2:$AC$1001,MATCH(ROWS($N$2:N164),$N$2:$N$1001,0),MATCH(COLUMNS($U$1006:Y1006),$U$1006:$AC$1006,0)), HYPERLINK("#",""), HYPERLINK(CONCATENATE("#metadata!", ADDRESS(INDEX($P$2:$P$1001,MATCH(ROWS($N$2:N164),$N$2:$N$1001,0),0), INDEX($U$1004:$AC$1004,1,MATCH(COLUMNS($U$1006:Y1006),$U$1006:$AC$1006,0)))),"Fix")))</f>
        <v>0</v>
      </c>
      <c r="G164" s="3">
        <f>IF(OR(INDEX($O$2:$O$1001,MATCH(ROWS($N$2:N164),$N$2:$N$1001,0),1)&gt;=100000,INDEX($U$1005:$AC$1005,1,MATCH(COLUMNS($U$1006:Z1006),$U$1006:$AC$1006,0))&gt;=100000), " ",IF(INDEX($U$2:$AC$1001,MATCH(ROWS($N$2:N164),$N$2:$N$1001,0),MATCH(COLUMNS($U$1006:Z1006),$U$1006:$AC$1006,0)), HYPERLINK("#",""), HYPERLINK(CONCATENATE("#metadata!", ADDRESS(INDEX($P$2:$P$1001,MATCH(ROWS($N$2:N164),$N$2:$N$1001,0),0), INDEX($U$1004:$AC$1004,1,MATCH(COLUMNS($U$1006:Z1006),$U$1006:$AC$1006,0)))),"Fix")))</f>
        <v>0</v>
      </c>
      <c r="H164" s="3">
        <f>IF(OR(INDEX($O$2:$O$1001,MATCH(ROWS($N$2:N164),$N$2:$N$1001,0),1)&gt;=100000,INDEX($U$1005:$AC$1005,1,MATCH(COLUMNS($U$1006:AA1006),$U$1006:$AC$1006,0))&gt;=100000), " ",IF(INDEX($U$2:$AC$1001,MATCH(ROWS($N$2:N164),$N$2:$N$1001,0),MATCH(COLUMNS($U$1006:AA1006),$U$1006:$AC$1006,0)), HYPERLINK("#",""), HYPERLINK(CONCATENATE("#metadata!", ADDRESS(INDEX($P$2:$P$1001,MATCH(ROWS($N$2:N164),$N$2:$N$1001,0),0), INDEX($U$1004:$AC$1004,1,MATCH(COLUMNS($U$1006:AA1006),$U$1006:$AC$1006,0)))),"Fix")))</f>
        <v>0</v>
      </c>
      <c r="I164" s="3">
        <f>IF(OR(INDEX($O$2:$O$1001,MATCH(ROWS($N$2:N164),$N$2:$N$1001,0),1)&gt;=100000,INDEX($U$1005:$AC$1005,1,MATCH(COLUMNS($U$1006:AB1006),$U$1006:$AC$1006,0))&gt;=100000), " ",IF(INDEX($U$2:$AC$1001,MATCH(ROWS($N$2:N164),$N$2:$N$1001,0),MATCH(COLUMNS($U$1006:AB1006),$U$1006:$AC$1006,0)), HYPERLINK("#",""), HYPERLINK(CONCATENATE("#metadata!", ADDRESS(INDEX($P$2:$P$1001,MATCH(ROWS($N$2:N164),$N$2:$N$1001,0),0), INDEX($U$1004:$AC$1004,1,MATCH(COLUMNS($U$1006:AB1006),$U$1006:$AC$1006,0)))),"Fix")))</f>
        <v>0</v>
      </c>
      <c r="J164" s="3">
        <f>IF(OR(INDEX($O$2:$O$1001,MATCH(ROWS($N$2:N164),$N$2:$N$1001,0),1)&gt;=100000,INDEX($U$1005:$AC$1005,1,MATCH(COLUMNS($U$1006:AC1006),$U$1006:$AC$1006,0))&gt;=100000), " ",IF(INDEX($U$2:$AC$1001,MATCH(ROWS($N$2:N164),$N$2:$N$1001,0),MATCH(COLUMNS($U$1006:AC1006),$U$1006:$AC$1006,0)), HYPERLINK("#",""), HYPERLINK(CONCATENATE("#metadata!", ADDRESS(INDEX($P$2:$P$1001,MATCH(ROWS($N$2:N164),$N$2:$N$1001,0),0), INDEX($U$1004:$AC$1004,1,MATCH(COLUMNS($U$1006:AC1006),$U$1006:$AC$1006,0)))),"Fix")))</f>
        <v>0</v>
      </c>
      <c r="N164">
        <v>0</v>
      </c>
      <c r="O164">
        <v>0</v>
      </c>
      <c r="P164">
        <v>0</v>
      </c>
      <c r="Q164">
        <f>IF(R164,TRUE,AND(U164:AC164))</f>
        <v>0</v>
      </c>
      <c r="R164">
        <f>COUNTBLANK(metadata!B164:J164)=COLUMNS(metadata!B164:J164)</f>
        <v>0</v>
      </c>
      <c r="S164">
        <v>0</v>
      </c>
      <c r="U164">
        <f>AND(IF(metadata!B164="",FALSE,TRUE),COUNTIF(metadata!B:B, metadata!B164) = 1,NOT(ISERROR(SUMPRODUCT(SEARCH(MID(metadata!B164,ROW(INDIRECT("1:"&amp;LEN(metadata!B164))), 1),"0123456789abcdefghijklmnopqrstuvwxyzABCDEFGHIJKLMNOPQRSTUVWXYZ.")))))</f>
        <v>0</v>
      </c>
      <c r="V164">
        <f>AND(IF(metadata!C164="",FALSE,TRUE),exact(metadata!C164,"UBERON:genitourinary"))</f>
        <v>0</v>
      </c>
      <c r="W164">
        <f>AND(IF(metadata!D164="",FALSE,TRUE),exact(metadata!D164,"UBERON:urine"))</f>
        <v>0</v>
      </c>
      <c r="X164">
        <f>AND(IF(metadata!E164="",FALSE,TRUE),exact(metadata!E164,"UBERON:kidney"))</f>
        <v>0</v>
      </c>
      <c r="Y164">
        <f>AND(IF(metadata!F164="",FALSE,TRUE),exact(metadata!F164,"animal corpus"))</f>
        <v>0</v>
      </c>
      <c r="Z164">
        <f>AND(IF(metadata!G164="",FALSE,TRUE),exact(metadata!G164,"urine"))</f>
        <v>0</v>
      </c>
      <c r="AA164">
        <f>AND(IF(metadata!H164="",FALSE,TRUE),exact(metadata!H164,"urine"))</f>
        <v>0</v>
      </c>
      <c r="AB164">
        <f>AND(IF(metadata!I164="",FALSE,TRUE),exact(metadata!I164,"urine metagenome"))</f>
        <v>0</v>
      </c>
      <c r="AC164">
        <f>AND(IF(metadata!J164="",FALSE,TRUE),exact(metadata!J164,"1346744"))</f>
        <v>0</v>
      </c>
    </row>
    <row r="165" spans="1:29">
      <c r="A165" s="4">
        <f>IF(B165=" "," ",HYPERLINK(CONCATENATE("#metadata!",ADDRESS(INDEX($P$2:$P$1001,MATCH(ROWS($N$2:N165),$N$2:$N$1001,0),0),1)),INDEX($S$2:$S$1001,MATCH(ROWS($N$2:N165),$N$2:$N$1001,0),0)))</f>
        <v>0</v>
      </c>
      <c r="B165" s="3">
        <f>IF(OR(INDEX($O$2:$O$1001,MATCH(ROWS($N$2:N165),$N$2:$N$1001,0),1)&gt;=100000,INDEX($U$1005:$AC$1005,1,MATCH(COLUMNS($U$1006:U1006),$U$1006:$AC$1006,0))&gt;=100000), " ",IF(INDEX($U$2:$AC$1001,MATCH(ROWS($N$2:N165),$N$2:$N$1001,0),MATCH(COLUMNS($U$1006:U1006),$U$1006:$AC$1006,0)), HYPERLINK("#",""), HYPERLINK(CONCATENATE("#metadata!", ADDRESS(INDEX($P$2:$P$1001,MATCH(ROWS($N$2:N165),$N$2:$N$1001,0),0), INDEX($U$1004:$AC$1004,1,MATCH(COLUMNS($U$1006:U1006),$U$1006:$AC$1006,0)))),"Fix")))</f>
        <v>0</v>
      </c>
      <c r="C165" s="3">
        <f>IF(OR(INDEX($O$2:$O$1001,MATCH(ROWS($N$2:N165),$N$2:$N$1001,0),1)&gt;=100000,INDEX($U$1005:$AC$1005,1,MATCH(COLUMNS($U$1006:V1006),$U$1006:$AC$1006,0))&gt;=100000), " ",IF(INDEX($U$2:$AC$1001,MATCH(ROWS($N$2:N165),$N$2:$N$1001,0),MATCH(COLUMNS($U$1006:V1006),$U$1006:$AC$1006,0)), HYPERLINK("#",""), HYPERLINK(CONCATENATE("#metadata!", ADDRESS(INDEX($P$2:$P$1001,MATCH(ROWS($N$2:N165),$N$2:$N$1001,0),0), INDEX($U$1004:$AC$1004,1,MATCH(COLUMNS($U$1006:V1006),$U$1006:$AC$1006,0)))),"Fix")))</f>
        <v>0</v>
      </c>
      <c r="D165" s="3">
        <f>IF(OR(INDEX($O$2:$O$1001,MATCH(ROWS($N$2:N165),$N$2:$N$1001,0),1)&gt;=100000,INDEX($U$1005:$AC$1005,1,MATCH(COLUMNS($U$1006:W1006),$U$1006:$AC$1006,0))&gt;=100000), " ",IF(INDEX($U$2:$AC$1001,MATCH(ROWS($N$2:N165),$N$2:$N$1001,0),MATCH(COLUMNS($U$1006:W1006),$U$1006:$AC$1006,0)), HYPERLINK("#",""), HYPERLINK(CONCATENATE("#metadata!", ADDRESS(INDEX($P$2:$P$1001,MATCH(ROWS($N$2:N165),$N$2:$N$1001,0),0), INDEX($U$1004:$AC$1004,1,MATCH(COLUMNS($U$1006:W1006),$U$1006:$AC$1006,0)))),"Fix")))</f>
        <v>0</v>
      </c>
      <c r="E165" s="3">
        <f>IF(OR(INDEX($O$2:$O$1001,MATCH(ROWS($N$2:N165),$N$2:$N$1001,0),1)&gt;=100000,INDEX($U$1005:$AC$1005,1,MATCH(COLUMNS($U$1006:X1006),$U$1006:$AC$1006,0))&gt;=100000), " ",IF(INDEX($U$2:$AC$1001,MATCH(ROWS($N$2:N165),$N$2:$N$1001,0),MATCH(COLUMNS($U$1006:X1006),$U$1006:$AC$1006,0)), HYPERLINK("#",""), HYPERLINK(CONCATENATE("#metadata!", ADDRESS(INDEX($P$2:$P$1001,MATCH(ROWS($N$2:N165),$N$2:$N$1001,0),0), INDEX($U$1004:$AC$1004,1,MATCH(COLUMNS($U$1006:X1006),$U$1006:$AC$1006,0)))),"Fix")))</f>
        <v>0</v>
      </c>
      <c r="F165" s="3">
        <f>IF(OR(INDEX($O$2:$O$1001,MATCH(ROWS($N$2:N165),$N$2:$N$1001,0),1)&gt;=100000,INDEX($U$1005:$AC$1005,1,MATCH(COLUMNS($U$1006:Y1006),$U$1006:$AC$1006,0))&gt;=100000), " ",IF(INDEX($U$2:$AC$1001,MATCH(ROWS($N$2:N165),$N$2:$N$1001,0),MATCH(COLUMNS($U$1006:Y1006),$U$1006:$AC$1006,0)), HYPERLINK("#",""), HYPERLINK(CONCATENATE("#metadata!", ADDRESS(INDEX($P$2:$P$1001,MATCH(ROWS($N$2:N165),$N$2:$N$1001,0),0), INDEX($U$1004:$AC$1004,1,MATCH(COLUMNS($U$1006:Y1006),$U$1006:$AC$1006,0)))),"Fix")))</f>
        <v>0</v>
      </c>
      <c r="G165" s="3">
        <f>IF(OR(INDEX($O$2:$O$1001,MATCH(ROWS($N$2:N165),$N$2:$N$1001,0),1)&gt;=100000,INDEX($U$1005:$AC$1005,1,MATCH(COLUMNS($U$1006:Z1006),$U$1006:$AC$1006,0))&gt;=100000), " ",IF(INDEX($U$2:$AC$1001,MATCH(ROWS($N$2:N165),$N$2:$N$1001,0),MATCH(COLUMNS($U$1006:Z1006),$U$1006:$AC$1006,0)), HYPERLINK("#",""), HYPERLINK(CONCATENATE("#metadata!", ADDRESS(INDEX($P$2:$P$1001,MATCH(ROWS($N$2:N165),$N$2:$N$1001,0),0), INDEX($U$1004:$AC$1004,1,MATCH(COLUMNS($U$1006:Z1006),$U$1006:$AC$1006,0)))),"Fix")))</f>
        <v>0</v>
      </c>
      <c r="H165" s="3">
        <f>IF(OR(INDEX($O$2:$O$1001,MATCH(ROWS($N$2:N165),$N$2:$N$1001,0),1)&gt;=100000,INDEX($U$1005:$AC$1005,1,MATCH(COLUMNS($U$1006:AA1006),$U$1006:$AC$1006,0))&gt;=100000), " ",IF(INDEX($U$2:$AC$1001,MATCH(ROWS($N$2:N165),$N$2:$N$1001,0),MATCH(COLUMNS($U$1006:AA1006),$U$1006:$AC$1006,0)), HYPERLINK("#",""), HYPERLINK(CONCATENATE("#metadata!", ADDRESS(INDEX($P$2:$P$1001,MATCH(ROWS($N$2:N165),$N$2:$N$1001,0),0), INDEX($U$1004:$AC$1004,1,MATCH(COLUMNS($U$1006:AA1006),$U$1006:$AC$1006,0)))),"Fix")))</f>
        <v>0</v>
      </c>
      <c r="I165" s="3">
        <f>IF(OR(INDEX($O$2:$O$1001,MATCH(ROWS($N$2:N165),$N$2:$N$1001,0),1)&gt;=100000,INDEX($U$1005:$AC$1005,1,MATCH(COLUMNS($U$1006:AB1006),$U$1006:$AC$1006,0))&gt;=100000), " ",IF(INDEX($U$2:$AC$1001,MATCH(ROWS($N$2:N165),$N$2:$N$1001,0),MATCH(COLUMNS($U$1006:AB1006),$U$1006:$AC$1006,0)), HYPERLINK("#",""), HYPERLINK(CONCATENATE("#metadata!", ADDRESS(INDEX($P$2:$P$1001,MATCH(ROWS($N$2:N165),$N$2:$N$1001,0),0), INDEX($U$1004:$AC$1004,1,MATCH(COLUMNS($U$1006:AB1006),$U$1006:$AC$1006,0)))),"Fix")))</f>
        <v>0</v>
      </c>
      <c r="J165" s="3">
        <f>IF(OR(INDEX($O$2:$O$1001,MATCH(ROWS($N$2:N165),$N$2:$N$1001,0),1)&gt;=100000,INDEX($U$1005:$AC$1005,1,MATCH(COLUMNS($U$1006:AC1006),$U$1006:$AC$1006,0))&gt;=100000), " ",IF(INDEX($U$2:$AC$1001,MATCH(ROWS($N$2:N165),$N$2:$N$1001,0),MATCH(COLUMNS($U$1006:AC1006),$U$1006:$AC$1006,0)), HYPERLINK("#",""), HYPERLINK(CONCATENATE("#metadata!", ADDRESS(INDEX($P$2:$P$1001,MATCH(ROWS($N$2:N165),$N$2:$N$1001,0),0), INDEX($U$1004:$AC$1004,1,MATCH(COLUMNS($U$1006:AC1006),$U$1006:$AC$1006,0)))),"Fix")))</f>
        <v>0</v>
      </c>
      <c r="N165">
        <v>0</v>
      </c>
      <c r="O165">
        <v>0</v>
      </c>
      <c r="P165">
        <v>0</v>
      </c>
      <c r="Q165">
        <f>IF(R165,TRUE,AND(U165:AC165))</f>
        <v>0</v>
      </c>
      <c r="R165">
        <f>COUNTBLANK(metadata!B165:J165)=COLUMNS(metadata!B165:J165)</f>
        <v>0</v>
      </c>
      <c r="S165">
        <v>0</v>
      </c>
      <c r="U165">
        <f>AND(IF(metadata!B165="",FALSE,TRUE),COUNTIF(metadata!B:B, metadata!B165) = 1,NOT(ISERROR(SUMPRODUCT(SEARCH(MID(metadata!B165,ROW(INDIRECT("1:"&amp;LEN(metadata!B165))), 1),"0123456789abcdefghijklmnopqrstuvwxyzABCDEFGHIJKLMNOPQRSTUVWXYZ.")))))</f>
        <v>0</v>
      </c>
      <c r="V165">
        <f>AND(IF(metadata!C165="",FALSE,TRUE),exact(metadata!C165,"UBERON:genitourinary"))</f>
        <v>0</v>
      </c>
      <c r="W165">
        <f>AND(IF(metadata!D165="",FALSE,TRUE),exact(metadata!D165,"UBERON:urine"))</f>
        <v>0</v>
      </c>
      <c r="X165">
        <f>AND(IF(metadata!E165="",FALSE,TRUE),exact(metadata!E165,"UBERON:kidney"))</f>
        <v>0</v>
      </c>
      <c r="Y165">
        <f>AND(IF(metadata!F165="",FALSE,TRUE),exact(metadata!F165,"animal corpus"))</f>
        <v>0</v>
      </c>
      <c r="Z165">
        <f>AND(IF(metadata!G165="",FALSE,TRUE),exact(metadata!G165,"urine"))</f>
        <v>0</v>
      </c>
      <c r="AA165">
        <f>AND(IF(metadata!H165="",FALSE,TRUE),exact(metadata!H165,"urine"))</f>
        <v>0</v>
      </c>
      <c r="AB165">
        <f>AND(IF(metadata!I165="",FALSE,TRUE),exact(metadata!I165,"urine metagenome"))</f>
        <v>0</v>
      </c>
      <c r="AC165">
        <f>AND(IF(metadata!J165="",FALSE,TRUE),exact(metadata!J165,"1346744"))</f>
        <v>0</v>
      </c>
    </row>
    <row r="166" spans="1:29">
      <c r="A166" s="4">
        <f>IF(B166=" "," ",HYPERLINK(CONCATENATE("#metadata!",ADDRESS(INDEX($P$2:$P$1001,MATCH(ROWS($N$2:N166),$N$2:$N$1001,0),0),1)),INDEX($S$2:$S$1001,MATCH(ROWS($N$2:N166),$N$2:$N$1001,0),0)))</f>
        <v>0</v>
      </c>
      <c r="B166" s="3">
        <f>IF(OR(INDEX($O$2:$O$1001,MATCH(ROWS($N$2:N166),$N$2:$N$1001,0),1)&gt;=100000,INDEX($U$1005:$AC$1005,1,MATCH(COLUMNS($U$1006:U1006),$U$1006:$AC$1006,0))&gt;=100000), " ",IF(INDEX($U$2:$AC$1001,MATCH(ROWS($N$2:N166),$N$2:$N$1001,0),MATCH(COLUMNS($U$1006:U1006),$U$1006:$AC$1006,0)), HYPERLINK("#",""), HYPERLINK(CONCATENATE("#metadata!", ADDRESS(INDEX($P$2:$P$1001,MATCH(ROWS($N$2:N166),$N$2:$N$1001,0),0), INDEX($U$1004:$AC$1004,1,MATCH(COLUMNS($U$1006:U1006),$U$1006:$AC$1006,0)))),"Fix")))</f>
        <v>0</v>
      </c>
      <c r="C166" s="3">
        <f>IF(OR(INDEX($O$2:$O$1001,MATCH(ROWS($N$2:N166),$N$2:$N$1001,0),1)&gt;=100000,INDEX($U$1005:$AC$1005,1,MATCH(COLUMNS($U$1006:V1006),$U$1006:$AC$1006,0))&gt;=100000), " ",IF(INDEX($U$2:$AC$1001,MATCH(ROWS($N$2:N166),$N$2:$N$1001,0),MATCH(COLUMNS($U$1006:V1006),$U$1006:$AC$1006,0)), HYPERLINK("#",""), HYPERLINK(CONCATENATE("#metadata!", ADDRESS(INDEX($P$2:$P$1001,MATCH(ROWS($N$2:N166),$N$2:$N$1001,0),0), INDEX($U$1004:$AC$1004,1,MATCH(COLUMNS($U$1006:V1006),$U$1006:$AC$1006,0)))),"Fix")))</f>
        <v>0</v>
      </c>
      <c r="D166" s="3">
        <f>IF(OR(INDEX($O$2:$O$1001,MATCH(ROWS($N$2:N166),$N$2:$N$1001,0),1)&gt;=100000,INDEX($U$1005:$AC$1005,1,MATCH(COLUMNS($U$1006:W1006),$U$1006:$AC$1006,0))&gt;=100000), " ",IF(INDEX($U$2:$AC$1001,MATCH(ROWS($N$2:N166),$N$2:$N$1001,0),MATCH(COLUMNS($U$1006:W1006),$U$1006:$AC$1006,0)), HYPERLINK("#",""), HYPERLINK(CONCATENATE("#metadata!", ADDRESS(INDEX($P$2:$P$1001,MATCH(ROWS($N$2:N166),$N$2:$N$1001,0),0), INDEX($U$1004:$AC$1004,1,MATCH(COLUMNS($U$1006:W1006),$U$1006:$AC$1006,0)))),"Fix")))</f>
        <v>0</v>
      </c>
      <c r="E166" s="3">
        <f>IF(OR(INDEX($O$2:$O$1001,MATCH(ROWS($N$2:N166),$N$2:$N$1001,0),1)&gt;=100000,INDEX($U$1005:$AC$1005,1,MATCH(COLUMNS($U$1006:X1006),$U$1006:$AC$1006,0))&gt;=100000), " ",IF(INDEX($U$2:$AC$1001,MATCH(ROWS($N$2:N166),$N$2:$N$1001,0),MATCH(COLUMNS($U$1006:X1006),$U$1006:$AC$1006,0)), HYPERLINK("#",""), HYPERLINK(CONCATENATE("#metadata!", ADDRESS(INDEX($P$2:$P$1001,MATCH(ROWS($N$2:N166),$N$2:$N$1001,0),0), INDEX($U$1004:$AC$1004,1,MATCH(COLUMNS($U$1006:X1006),$U$1006:$AC$1006,0)))),"Fix")))</f>
        <v>0</v>
      </c>
      <c r="F166" s="3">
        <f>IF(OR(INDEX($O$2:$O$1001,MATCH(ROWS($N$2:N166),$N$2:$N$1001,0),1)&gt;=100000,INDEX($U$1005:$AC$1005,1,MATCH(COLUMNS($U$1006:Y1006),$U$1006:$AC$1006,0))&gt;=100000), " ",IF(INDEX($U$2:$AC$1001,MATCH(ROWS($N$2:N166),$N$2:$N$1001,0),MATCH(COLUMNS($U$1006:Y1006),$U$1006:$AC$1006,0)), HYPERLINK("#",""), HYPERLINK(CONCATENATE("#metadata!", ADDRESS(INDEX($P$2:$P$1001,MATCH(ROWS($N$2:N166),$N$2:$N$1001,0),0), INDEX($U$1004:$AC$1004,1,MATCH(COLUMNS($U$1006:Y1006),$U$1006:$AC$1006,0)))),"Fix")))</f>
        <v>0</v>
      </c>
      <c r="G166" s="3">
        <f>IF(OR(INDEX($O$2:$O$1001,MATCH(ROWS($N$2:N166),$N$2:$N$1001,0),1)&gt;=100000,INDEX($U$1005:$AC$1005,1,MATCH(COLUMNS($U$1006:Z1006),$U$1006:$AC$1006,0))&gt;=100000), " ",IF(INDEX($U$2:$AC$1001,MATCH(ROWS($N$2:N166),$N$2:$N$1001,0),MATCH(COLUMNS($U$1006:Z1006),$U$1006:$AC$1006,0)), HYPERLINK("#",""), HYPERLINK(CONCATENATE("#metadata!", ADDRESS(INDEX($P$2:$P$1001,MATCH(ROWS($N$2:N166),$N$2:$N$1001,0),0), INDEX($U$1004:$AC$1004,1,MATCH(COLUMNS($U$1006:Z1006),$U$1006:$AC$1006,0)))),"Fix")))</f>
        <v>0</v>
      </c>
      <c r="H166" s="3">
        <f>IF(OR(INDEX($O$2:$O$1001,MATCH(ROWS($N$2:N166),$N$2:$N$1001,0),1)&gt;=100000,INDEX($U$1005:$AC$1005,1,MATCH(COLUMNS($U$1006:AA1006),$U$1006:$AC$1006,0))&gt;=100000), " ",IF(INDEX($U$2:$AC$1001,MATCH(ROWS($N$2:N166),$N$2:$N$1001,0),MATCH(COLUMNS($U$1006:AA1006),$U$1006:$AC$1006,0)), HYPERLINK("#",""), HYPERLINK(CONCATENATE("#metadata!", ADDRESS(INDEX($P$2:$P$1001,MATCH(ROWS($N$2:N166),$N$2:$N$1001,0),0), INDEX($U$1004:$AC$1004,1,MATCH(COLUMNS($U$1006:AA1006),$U$1006:$AC$1006,0)))),"Fix")))</f>
        <v>0</v>
      </c>
      <c r="I166" s="3">
        <f>IF(OR(INDEX($O$2:$O$1001,MATCH(ROWS($N$2:N166),$N$2:$N$1001,0),1)&gt;=100000,INDEX($U$1005:$AC$1005,1,MATCH(COLUMNS($U$1006:AB1006),$U$1006:$AC$1006,0))&gt;=100000), " ",IF(INDEX($U$2:$AC$1001,MATCH(ROWS($N$2:N166),$N$2:$N$1001,0),MATCH(COLUMNS($U$1006:AB1006),$U$1006:$AC$1006,0)), HYPERLINK("#",""), HYPERLINK(CONCATENATE("#metadata!", ADDRESS(INDEX($P$2:$P$1001,MATCH(ROWS($N$2:N166),$N$2:$N$1001,0),0), INDEX($U$1004:$AC$1004,1,MATCH(COLUMNS($U$1006:AB1006),$U$1006:$AC$1006,0)))),"Fix")))</f>
        <v>0</v>
      </c>
      <c r="J166" s="3">
        <f>IF(OR(INDEX($O$2:$O$1001,MATCH(ROWS($N$2:N166),$N$2:$N$1001,0),1)&gt;=100000,INDEX($U$1005:$AC$1005,1,MATCH(COLUMNS($U$1006:AC1006),$U$1006:$AC$1006,0))&gt;=100000), " ",IF(INDEX($U$2:$AC$1001,MATCH(ROWS($N$2:N166),$N$2:$N$1001,0),MATCH(COLUMNS($U$1006:AC1006),$U$1006:$AC$1006,0)), HYPERLINK("#",""), HYPERLINK(CONCATENATE("#metadata!", ADDRESS(INDEX($P$2:$P$1001,MATCH(ROWS($N$2:N166),$N$2:$N$1001,0),0), INDEX($U$1004:$AC$1004,1,MATCH(COLUMNS($U$1006:AC1006),$U$1006:$AC$1006,0)))),"Fix")))</f>
        <v>0</v>
      </c>
      <c r="N166">
        <v>0</v>
      </c>
      <c r="O166">
        <v>0</v>
      </c>
      <c r="P166">
        <v>0</v>
      </c>
      <c r="Q166">
        <f>IF(R166,TRUE,AND(U166:AC166))</f>
        <v>0</v>
      </c>
      <c r="R166">
        <f>COUNTBLANK(metadata!B166:J166)=COLUMNS(metadata!B166:J166)</f>
        <v>0</v>
      </c>
      <c r="S166">
        <v>0</v>
      </c>
      <c r="U166">
        <f>AND(IF(metadata!B166="",FALSE,TRUE),COUNTIF(metadata!B:B, metadata!B166) = 1,NOT(ISERROR(SUMPRODUCT(SEARCH(MID(metadata!B166,ROW(INDIRECT("1:"&amp;LEN(metadata!B166))), 1),"0123456789abcdefghijklmnopqrstuvwxyzABCDEFGHIJKLMNOPQRSTUVWXYZ.")))))</f>
        <v>0</v>
      </c>
      <c r="V166">
        <f>AND(IF(metadata!C166="",FALSE,TRUE),exact(metadata!C166,"UBERON:genitourinary"))</f>
        <v>0</v>
      </c>
      <c r="W166">
        <f>AND(IF(metadata!D166="",FALSE,TRUE),exact(metadata!D166,"UBERON:urine"))</f>
        <v>0</v>
      </c>
      <c r="X166">
        <f>AND(IF(metadata!E166="",FALSE,TRUE),exact(metadata!E166,"UBERON:kidney"))</f>
        <v>0</v>
      </c>
      <c r="Y166">
        <f>AND(IF(metadata!F166="",FALSE,TRUE),exact(metadata!F166,"animal corpus"))</f>
        <v>0</v>
      </c>
      <c r="Z166">
        <f>AND(IF(metadata!G166="",FALSE,TRUE),exact(metadata!G166,"urine"))</f>
        <v>0</v>
      </c>
      <c r="AA166">
        <f>AND(IF(metadata!H166="",FALSE,TRUE),exact(metadata!H166,"urine"))</f>
        <v>0</v>
      </c>
      <c r="AB166">
        <f>AND(IF(metadata!I166="",FALSE,TRUE),exact(metadata!I166,"urine metagenome"))</f>
        <v>0</v>
      </c>
      <c r="AC166">
        <f>AND(IF(metadata!J166="",FALSE,TRUE),exact(metadata!J166,"1346744"))</f>
        <v>0</v>
      </c>
    </row>
    <row r="167" spans="1:29">
      <c r="A167" s="4">
        <f>IF(B167=" "," ",HYPERLINK(CONCATENATE("#metadata!",ADDRESS(INDEX($P$2:$P$1001,MATCH(ROWS($N$2:N167),$N$2:$N$1001,0),0),1)),INDEX($S$2:$S$1001,MATCH(ROWS($N$2:N167),$N$2:$N$1001,0),0)))</f>
        <v>0</v>
      </c>
      <c r="B167" s="3">
        <f>IF(OR(INDEX($O$2:$O$1001,MATCH(ROWS($N$2:N167),$N$2:$N$1001,0),1)&gt;=100000,INDEX($U$1005:$AC$1005,1,MATCH(COLUMNS($U$1006:U1006),$U$1006:$AC$1006,0))&gt;=100000), " ",IF(INDEX($U$2:$AC$1001,MATCH(ROWS($N$2:N167),$N$2:$N$1001,0),MATCH(COLUMNS($U$1006:U1006),$U$1006:$AC$1006,0)), HYPERLINK("#",""), HYPERLINK(CONCATENATE("#metadata!", ADDRESS(INDEX($P$2:$P$1001,MATCH(ROWS($N$2:N167),$N$2:$N$1001,0),0), INDEX($U$1004:$AC$1004,1,MATCH(COLUMNS($U$1006:U1006),$U$1006:$AC$1006,0)))),"Fix")))</f>
        <v>0</v>
      </c>
      <c r="C167" s="3">
        <f>IF(OR(INDEX($O$2:$O$1001,MATCH(ROWS($N$2:N167),$N$2:$N$1001,0),1)&gt;=100000,INDEX($U$1005:$AC$1005,1,MATCH(COLUMNS($U$1006:V1006),$U$1006:$AC$1006,0))&gt;=100000), " ",IF(INDEX($U$2:$AC$1001,MATCH(ROWS($N$2:N167),$N$2:$N$1001,0),MATCH(COLUMNS($U$1006:V1006),$U$1006:$AC$1006,0)), HYPERLINK("#",""), HYPERLINK(CONCATENATE("#metadata!", ADDRESS(INDEX($P$2:$P$1001,MATCH(ROWS($N$2:N167),$N$2:$N$1001,0),0), INDEX($U$1004:$AC$1004,1,MATCH(COLUMNS($U$1006:V1006),$U$1006:$AC$1006,0)))),"Fix")))</f>
        <v>0</v>
      </c>
      <c r="D167" s="3">
        <f>IF(OR(INDEX($O$2:$O$1001,MATCH(ROWS($N$2:N167),$N$2:$N$1001,0),1)&gt;=100000,INDEX($U$1005:$AC$1005,1,MATCH(COLUMNS($U$1006:W1006),$U$1006:$AC$1006,0))&gt;=100000), " ",IF(INDEX($U$2:$AC$1001,MATCH(ROWS($N$2:N167),$N$2:$N$1001,0),MATCH(COLUMNS($U$1006:W1006),$U$1006:$AC$1006,0)), HYPERLINK("#",""), HYPERLINK(CONCATENATE("#metadata!", ADDRESS(INDEX($P$2:$P$1001,MATCH(ROWS($N$2:N167),$N$2:$N$1001,0),0), INDEX($U$1004:$AC$1004,1,MATCH(COLUMNS($U$1006:W1006),$U$1006:$AC$1006,0)))),"Fix")))</f>
        <v>0</v>
      </c>
      <c r="E167" s="3">
        <f>IF(OR(INDEX($O$2:$O$1001,MATCH(ROWS($N$2:N167),$N$2:$N$1001,0),1)&gt;=100000,INDEX($U$1005:$AC$1005,1,MATCH(COLUMNS($U$1006:X1006),$U$1006:$AC$1006,0))&gt;=100000), " ",IF(INDEX($U$2:$AC$1001,MATCH(ROWS($N$2:N167),$N$2:$N$1001,0),MATCH(COLUMNS($U$1006:X1006),$U$1006:$AC$1006,0)), HYPERLINK("#",""), HYPERLINK(CONCATENATE("#metadata!", ADDRESS(INDEX($P$2:$P$1001,MATCH(ROWS($N$2:N167),$N$2:$N$1001,0),0), INDEX($U$1004:$AC$1004,1,MATCH(COLUMNS($U$1006:X1006),$U$1006:$AC$1006,0)))),"Fix")))</f>
        <v>0</v>
      </c>
      <c r="F167" s="3">
        <f>IF(OR(INDEX($O$2:$O$1001,MATCH(ROWS($N$2:N167),$N$2:$N$1001,0),1)&gt;=100000,INDEX($U$1005:$AC$1005,1,MATCH(COLUMNS($U$1006:Y1006),$U$1006:$AC$1006,0))&gt;=100000), " ",IF(INDEX($U$2:$AC$1001,MATCH(ROWS($N$2:N167),$N$2:$N$1001,0),MATCH(COLUMNS($U$1006:Y1006),$U$1006:$AC$1006,0)), HYPERLINK("#",""), HYPERLINK(CONCATENATE("#metadata!", ADDRESS(INDEX($P$2:$P$1001,MATCH(ROWS($N$2:N167),$N$2:$N$1001,0),0), INDEX($U$1004:$AC$1004,1,MATCH(COLUMNS($U$1006:Y1006),$U$1006:$AC$1006,0)))),"Fix")))</f>
        <v>0</v>
      </c>
      <c r="G167" s="3">
        <f>IF(OR(INDEX($O$2:$O$1001,MATCH(ROWS($N$2:N167),$N$2:$N$1001,0),1)&gt;=100000,INDEX($U$1005:$AC$1005,1,MATCH(COLUMNS($U$1006:Z1006),$U$1006:$AC$1006,0))&gt;=100000), " ",IF(INDEX($U$2:$AC$1001,MATCH(ROWS($N$2:N167),$N$2:$N$1001,0),MATCH(COLUMNS($U$1006:Z1006),$U$1006:$AC$1006,0)), HYPERLINK("#",""), HYPERLINK(CONCATENATE("#metadata!", ADDRESS(INDEX($P$2:$P$1001,MATCH(ROWS($N$2:N167),$N$2:$N$1001,0),0), INDEX($U$1004:$AC$1004,1,MATCH(COLUMNS($U$1006:Z1006),$U$1006:$AC$1006,0)))),"Fix")))</f>
        <v>0</v>
      </c>
      <c r="H167" s="3">
        <f>IF(OR(INDEX($O$2:$O$1001,MATCH(ROWS($N$2:N167),$N$2:$N$1001,0),1)&gt;=100000,INDEX($U$1005:$AC$1005,1,MATCH(COLUMNS($U$1006:AA1006),$U$1006:$AC$1006,0))&gt;=100000), " ",IF(INDEX($U$2:$AC$1001,MATCH(ROWS($N$2:N167),$N$2:$N$1001,0),MATCH(COLUMNS($U$1006:AA1006),$U$1006:$AC$1006,0)), HYPERLINK("#",""), HYPERLINK(CONCATENATE("#metadata!", ADDRESS(INDEX($P$2:$P$1001,MATCH(ROWS($N$2:N167),$N$2:$N$1001,0),0), INDEX($U$1004:$AC$1004,1,MATCH(COLUMNS($U$1006:AA1006),$U$1006:$AC$1006,0)))),"Fix")))</f>
        <v>0</v>
      </c>
      <c r="I167" s="3">
        <f>IF(OR(INDEX($O$2:$O$1001,MATCH(ROWS($N$2:N167),$N$2:$N$1001,0),1)&gt;=100000,INDEX($U$1005:$AC$1005,1,MATCH(COLUMNS($U$1006:AB1006),$U$1006:$AC$1006,0))&gt;=100000), " ",IF(INDEX($U$2:$AC$1001,MATCH(ROWS($N$2:N167),$N$2:$N$1001,0),MATCH(COLUMNS($U$1006:AB1006),$U$1006:$AC$1006,0)), HYPERLINK("#",""), HYPERLINK(CONCATENATE("#metadata!", ADDRESS(INDEX($P$2:$P$1001,MATCH(ROWS($N$2:N167),$N$2:$N$1001,0),0), INDEX($U$1004:$AC$1004,1,MATCH(COLUMNS($U$1006:AB1006),$U$1006:$AC$1006,0)))),"Fix")))</f>
        <v>0</v>
      </c>
      <c r="J167" s="3">
        <f>IF(OR(INDEX($O$2:$O$1001,MATCH(ROWS($N$2:N167),$N$2:$N$1001,0),1)&gt;=100000,INDEX($U$1005:$AC$1005,1,MATCH(COLUMNS($U$1006:AC1006),$U$1006:$AC$1006,0))&gt;=100000), " ",IF(INDEX($U$2:$AC$1001,MATCH(ROWS($N$2:N167),$N$2:$N$1001,0),MATCH(COLUMNS($U$1006:AC1006),$U$1006:$AC$1006,0)), HYPERLINK("#",""), HYPERLINK(CONCATENATE("#metadata!", ADDRESS(INDEX($P$2:$P$1001,MATCH(ROWS($N$2:N167),$N$2:$N$1001,0),0), INDEX($U$1004:$AC$1004,1,MATCH(COLUMNS($U$1006:AC1006),$U$1006:$AC$1006,0)))),"Fix")))</f>
        <v>0</v>
      </c>
      <c r="N167">
        <v>0</v>
      </c>
      <c r="O167">
        <v>0</v>
      </c>
      <c r="P167">
        <v>0</v>
      </c>
      <c r="Q167">
        <f>IF(R167,TRUE,AND(U167:AC167))</f>
        <v>0</v>
      </c>
      <c r="R167">
        <f>COUNTBLANK(metadata!B167:J167)=COLUMNS(metadata!B167:J167)</f>
        <v>0</v>
      </c>
      <c r="S167">
        <v>0</v>
      </c>
      <c r="U167">
        <f>AND(IF(metadata!B167="",FALSE,TRUE),COUNTIF(metadata!B:B, metadata!B167) = 1,NOT(ISERROR(SUMPRODUCT(SEARCH(MID(metadata!B167,ROW(INDIRECT("1:"&amp;LEN(metadata!B167))), 1),"0123456789abcdefghijklmnopqrstuvwxyzABCDEFGHIJKLMNOPQRSTUVWXYZ.")))))</f>
        <v>0</v>
      </c>
      <c r="V167">
        <f>AND(IF(metadata!C167="",FALSE,TRUE),exact(metadata!C167,"UBERON:genitourinary"))</f>
        <v>0</v>
      </c>
      <c r="W167">
        <f>AND(IF(metadata!D167="",FALSE,TRUE),exact(metadata!D167,"UBERON:urine"))</f>
        <v>0</v>
      </c>
      <c r="X167">
        <f>AND(IF(metadata!E167="",FALSE,TRUE),exact(metadata!E167,"UBERON:kidney"))</f>
        <v>0</v>
      </c>
      <c r="Y167">
        <f>AND(IF(metadata!F167="",FALSE,TRUE),exact(metadata!F167,"animal corpus"))</f>
        <v>0</v>
      </c>
      <c r="Z167">
        <f>AND(IF(metadata!G167="",FALSE,TRUE),exact(metadata!G167,"urine"))</f>
        <v>0</v>
      </c>
      <c r="AA167">
        <f>AND(IF(metadata!H167="",FALSE,TRUE),exact(metadata!H167,"urine"))</f>
        <v>0</v>
      </c>
      <c r="AB167">
        <f>AND(IF(metadata!I167="",FALSE,TRUE),exact(metadata!I167,"urine metagenome"))</f>
        <v>0</v>
      </c>
      <c r="AC167">
        <f>AND(IF(metadata!J167="",FALSE,TRUE),exact(metadata!J167,"1346744"))</f>
        <v>0</v>
      </c>
    </row>
    <row r="168" spans="1:29">
      <c r="A168" s="4">
        <f>IF(B168=" "," ",HYPERLINK(CONCATENATE("#metadata!",ADDRESS(INDEX($P$2:$P$1001,MATCH(ROWS($N$2:N168),$N$2:$N$1001,0),0),1)),INDEX($S$2:$S$1001,MATCH(ROWS($N$2:N168),$N$2:$N$1001,0),0)))</f>
        <v>0</v>
      </c>
      <c r="B168" s="3">
        <f>IF(OR(INDEX($O$2:$O$1001,MATCH(ROWS($N$2:N168),$N$2:$N$1001,0),1)&gt;=100000,INDEX($U$1005:$AC$1005,1,MATCH(COLUMNS($U$1006:U1006),$U$1006:$AC$1006,0))&gt;=100000), " ",IF(INDEX($U$2:$AC$1001,MATCH(ROWS($N$2:N168),$N$2:$N$1001,0),MATCH(COLUMNS($U$1006:U1006),$U$1006:$AC$1006,0)), HYPERLINK("#",""), HYPERLINK(CONCATENATE("#metadata!", ADDRESS(INDEX($P$2:$P$1001,MATCH(ROWS($N$2:N168),$N$2:$N$1001,0),0), INDEX($U$1004:$AC$1004,1,MATCH(COLUMNS($U$1006:U1006),$U$1006:$AC$1006,0)))),"Fix")))</f>
        <v>0</v>
      </c>
      <c r="C168" s="3">
        <f>IF(OR(INDEX($O$2:$O$1001,MATCH(ROWS($N$2:N168),$N$2:$N$1001,0),1)&gt;=100000,INDEX($U$1005:$AC$1005,1,MATCH(COLUMNS($U$1006:V1006),$U$1006:$AC$1006,0))&gt;=100000), " ",IF(INDEX($U$2:$AC$1001,MATCH(ROWS($N$2:N168),$N$2:$N$1001,0),MATCH(COLUMNS($U$1006:V1006),$U$1006:$AC$1006,0)), HYPERLINK("#",""), HYPERLINK(CONCATENATE("#metadata!", ADDRESS(INDEX($P$2:$P$1001,MATCH(ROWS($N$2:N168),$N$2:$N$1001,0),0), INDEX($U$1004:$AC$1004,1,MATCH(COLUMNS($U$1006:V1006),$U$1006:$AC$1006,0)))),"Fix")))</f>
        <v>0</v>
      </c>
      <c r="D168" s="3">
        <f>IF(OR(INDEX($O$2:$O$1001,MATCH(ROWS($N$2:N168),$N$2:$N$1001,0),1)&gt;=100000,INDEX($U$1005:$AC$1005,1,MATCH(COLUMNS($U$1006:W1006),$U$1006:$AC$1006,0))&gt;=100000), " ",IF(INDEX($U$2:$AC$1001,MATCH(ROWS($N$2:N168),$N$2:$N$1001,0),MATCH(COLUMNS($U$1006:W1006),$U$1006:$AC$1006,0)), HYPERLINK("#",""), HYPERLINK(CONCATENATE("#metadata!", ADDRESS(INDEX($P$2:$P$1001,MATCH(ROWS($N$2:N168),$N$2:$N$1001,0),0), INDEX($U$1004:$AC$1004,1,MATCH(COLUMNS($U$1006:W1006),$U$1006:$AC$1006,0)))),"Fix")))</f>
        <v>0</v>
      </c>
      <c r="E168" s="3">
        <f>IF(OR(INDEX($O$2:$O$1001,MATCH(ROWS($N$2:N168),$N$2:$N$1001,0),1)&gt;=100000,INDEX($U$1005:$AC$1005,1,MATCH(COLUMNS($U$1006:X1006),$U$1006:$AC$1006,0))&gt;=100000), " ",IF(INDEX($U$2:$AC$1001,MATCH(ROWS($N$2:N168),$N$2:$N$1001,0),MATCH(COLUMNS($U$1006:X1006),$U$1006:$AC$1006,0)), HYPERLINK("#",""), HYPERLINK(CONCATENATE("#metadata!", ADDRESS(INDEX($P$2:$P$1001,MATCH(ROWS($N$2:N168),$N$2:$N$1001,0),0), INDEX($U$1004:$AC$1004,1,MATCH(COLUMNS($U$1006:X1006),$U$1006:$AC$1006,0)))),"Fix")))</f>
        <v>0</v>
      </c>
      <c r="F168" s="3">
        <f>IF(OR(INDEX($O$2:$O$1001,MATCH(ROWS($N$2:N168),$N$2:$N$1001,0),1)&gt;=100000,INDEX($U$1005:$AC$1005,1,MATCH(COLUMNS($U$1006:Y1006),$U$1006:$AC$1006,0))&gt;=100000), " ",IF(INDEX($U$2:$AC$1001,MATCH(ROWS($N$2:N168),$N$2:$N$1001,0),MATCH(COLUMNS($U$1006:Y1006),$U$1006:$AC$1006,0)), HYPERLINK("#",""), HYPERLINK(CONCATENATE("#metadata!", ADDRESS(INDEX($P$2:$P$1001,MATCH(ROWS($N$2:N168),$N$2:$N$1001,0),0), INDEX($U$1004:$AC$1004,1,MATCH(COLUMNS($U$1006:Y1006),$U$1006:$AC$1006,0)))),"Fix")))</f>
        <v>0</v>
      </c>
      <c r="G168" s="3">
        <f>IF(OR(INDEX($O$2:$O$1001,MATCH(ROWS($N$2:N168),$N$2:$N$1001,0),1)&gt;=100000,INDEX($U$1005:$AC$1005,1,MATCH(COLUMNS($U$1006:Z1006),$U$1006:$AC$1006,0))&gt;=100000), " ",IF(INDEX($U$2:$AC$1001,MATCH(ROWS($N$2:N168),$N$2:$N$1001,0),MATCH(COLUMNS($U$1006:Z1006),$U$1006:$AC$1006,0)), HYPERLINK("#",""), HYPERLINK(CONCATENATE("#metadata!", ADDRESS(INDEX($P$2:$P$1001,MATCH(ROWS($N$2:N168),$N$2:$N$1001,0),0), INDEX($U$1004:$AC$1004,1,MATCH(COLUMNS($U$1006:Z1006),$U$1006:$AC$1006,0)))),"Fix")))</f>
        <v>0</v>
      </c>
      <c r="H168" s="3">
        <f>IF(OR(INDEX($O$2:$O$1001,MATCH(ROWS($N$2:N168),$N$2:$N$1001,0),1)&gt;=100000,INDEX($U$1005:$AC$1005,1,MATCH(COLUMNS($U$1006:AA1006),$U$1006:$AC$1006,0))&gt;=100000), " ",IF(INDEX($U$2:$AC$1001,MATCH(ROWS($N$2:N168),$N$2:$N$1001,0),MATCH(COLUMNS($U$1006:AA1006),$U$1006:$AC$1006,0)), HYPERLINK("#",""), HYPERLINK(CONCATENATE("#metadata!", ADDRESS(INDEX($P$2:$P$1001,MATCH(ROWS($N$2:N168),$N$2:$N$1001,0),0), INDEX($U$1004:$AC$1004,1,MATCH(COLUMNS($U$1006:AA1006),$U$1006:$AC$1006,0)))),"Fix")))</f>
        <v>0</v>
      </c>
      <c r="I168" s="3">
        <f>IF(OR(INDEX($O$2:$O$1001,MATCH(ROWS($N$2:N168),$N$2:$N$1001,0),1)&gt;=100000,INDEX($U$1005:$AC$1005,1,MATCH(COLUMNS($U$1006:AB1006),$U$1006:$AC$1006,0))&gt;=100000), " ",IF(INDEX($U$2:$AC$1001,MATCH(ROWS($N$2:N168),$N$2:$N$1001,0),MATCH(COLUMNS($U$1006:AB1006),$U$1006:$AC$1006,0)), HYPERLINK("#",""), HYPERLINK(CONCATENATE("#metadata!", ADDRESS(INDEX($P$2:$P$1001,MATCH(ROWS($N$2:N168),$N$2:$N$1001,0),0), INDEX($U$1004:$AC$1004,1,MATCH(COLUMNS($U$1006:AB1006),$U$1006:$AC$1006,0)))),"Fix")))</f>
        <v>0</v>
      </c>
      <c r="J168" s="3">
        <f>IF(OR(INDEX($O$2:$O$1001,MATCH(ROWS($N$2:N168),$N$2:$N$1001,0),1)&gt;=100000,INDEX($U$1005:$AC$1005,1,MATCH(COLUMNS($U$1006:AC1006),$U$1006:$AC$1006,0))&gt;=100000), " ",IF(INDEX($U$2:$AC$1001,MATCH(ROWS($N$2:N168),$N$2:$N$1001,0),MATCH(COLUMNS($U$1006:AC1006),$U$1006:$AC$1006,0)), HYPERLINK("#",""), HYPERLINK(CONCATENATE("#metadata!", ADDRESS(INDEX($P$2:$P$1001,MATCH(ROWS($N$2:N168),$N$2:$N$1001,0),0), INDEX($U$1004:$AC$1004,1,MATCH(COLUMNS($U$1006:AC1006),$U$1006:$AC$1006,0)))),"Fix")))</f>
        <v>0</v>
      </c>
      <c r="N168">
        <v>0</v>
      </c>
      <c r="O168">
        <v>0</v>
      </c>
      <c r="P168">
        <v>0</v>
      </c>
      <c r="Q168">
        <f>IF(R168,TRUE,AND(U168:AC168))</f>
        <v>0</v>
      </c>
      <c r="R168">
        <f>COUNTBLANK(metadata!B168:J168)=COLUMNS(metadata!B168:J168)</f>
        <v>0</v>
      </c>
      <c r="S168">
        <v>0</v>
      </c>
      <c r="U168">
        <f>AND(IF(metadata!B168="",FALSE,TRUE),COUNTIF(metadata!B:B, metadata!B168) = 1,NOT(ISERROR(SUMPRODUCT(SEARCH(MID(metadata!B168,ROW(INDIRECT("1:"&amp;LEN(metadata!B168))), 1),"0123456789abcdefghijklmnopqrstuvwxyzABCDEFGHIJKLMNOPQRSTUVWXYZ.")))))</f>
        <v>0</v>
      </c>
      <c r="V168">
        <f>AND(IF(metadata!C168="",FALSE,TRUE),exact(metadata!C168,"UBERON:genitourinary"))</f>
        <v>0</v>
      </c>
      <c r="W168">
        <f>AND(IF(metadata!D168="",FALSE,TRUE),exact(metadata!D168,"UBERON:urine"))</f>
        <v>0</v>
      </c>
      <c r="X168">
        <f>AND(IF(metadata!E168="",FALSE,TRUE),exact(metadata!E168,"UBERON:kidney"))</f>
        <v>0</v>
      </c>
      <c r="Y168">
        <f>AND(IF(metadata!F168="",FALSE,TRUE),exact(metadata!F168,"animal corpus"))</f>
        <v>0</v>
      </c>
      <c r="Z168">
        <f>AND(IF(metadata!G168="",FALSE,TRUE),exact(metadata!G168,"urine"))</f>
        <v>0</v>
      </c>
      <c r="AA168">
        <f>AND(IF(metadata!H168="",FALSE,TRUE),exact(metadata!H168,"urine"))</f>
        <v>0</v>
      </c>
      <c r="AB168">
        <f>AND(IF(metadata!I168="",FALSE,TRUE),exact(metadata!I168,"urine metagenome"))</f>
        <v>0</v>
      </c>
      <c r="AC168">
        <f>AND(IF(metadata!J168="",FALSE,TRUE),exact(metadata!J168,"1346744"))</f>
        <v>0</v>
      </c>
    </row>
    <row r="169" spans="1:29">
      <c r="A169" s="4">
        <f>IF(B169=" "," ",HYPERLINK(CONCATENATE("#metadata!",ADDRESS(INDEX($P$2:$P$1001,MATCH(ROWS($N$2:N169),$N$2:$N$1001,0),0),1)),INDEX($S$2:$S$1001,MATCH(ROWS($N$2:N169),$N$2:$N$1001,0),0)))</f>
        <v>0</v>
      </c>
      <c r="B169" s="3">
        <f>IF(OR(INDEX($O$2:$O$1001,MATCH(ROWS($N$2:N169),$N$2:$N$1001,0),1)&gt;=100000,INDEX($U$1005:$AC$1005,1,MATCH(COLUMNS($U$1006:U1006),$U$1006:$AC$1006,0))&gt;=100000), " ",IF(INDEX($U$2:$AC$1001,MATCH(ROWS($N$2:N169),$N$2:$N$1001,0),MATCH(COLUMNS($U$1006:U1006),$U$1006:$AC$1006,0)), HYPERLINK("#",""), HYPERLINK(CONCATENATE("#metadata!", ADDRESS(INDEX($P$2:$P$1001,MATCH(ROWS($N$2:N169),$N$2:$N$1001,0),0), INDEX($U$1004:$AC$1004,1,MATCH(COLUMNS($U$1006:U1006),$U$1006:$AC$1006,0)))),"Fix")))</f>
        <v>0</v>
      </c>
      <c r="C169" s="3">
        <f>IF(OR(INDEX($O$2:$O$1001,MATCH(ROWS($N$2:N169),$N$2:$N$1001,0),1)&gt;=100000,INDEX($U$1005:$AC$1005,1,MATCH(COLUMNS($U$1006:V1006),$U$1006:$AC$1006,0))&gt;=100000), " ",IF(INDEX($U$2:$AC$1001,MATCH(ROWS($N$2:N169),$N$2:$N$1001,0),MATCH(COLUMNS($U$1006:V1006),$U$1006:$AC$1006,0)), HYPERLINK("#",""), HYPERLINK(CONCATENATE("#metadata!", ADDRESS(INDEX($P$2:$P$1001,MATCH(ROWS($N$2:N169),$N$2:$N$1001,0),0), INDEX($U$1004:$AC$1004,1,MATCH(COLUMNS($U$1006:V1006),$U$1006:$AC$1006,0)))),"Fix")))</f>
        <v>0</v>
      </c>
      <c r="D169" s="3">
        <f>IF(OR(INDEX($O$2:$O$1001,MATCH(ROWS($N$2:N169),$N$2:$N$1001,0),1)&gt;=100000,INDEX($U$1005:$AC$1005,1,MATCH(COLUMNS($U$1006:W1006),$U$1006:$AC$1006,0))&gt;=100000), " ",IF(INDEX($U$2:$AC$1001,MATCH(ROWS($N$2:N169),$N$2:$N$1001,0),MATCH(COLUMNS($U$1006:W1006),$U$1006:$AC$1006,0)), HYPERLINK("#",""), HYPERLINK(CONCATENATE("#metadata!", ADDRESS(INDEX($P$2:$P$1001,MATCH(ROWS($N$2:N169),$N$2:$N$1001,0),0), INDEX($U$1004:$AC$1004,1,MATCH(COLUMNS($U$1006:W1006),$U$1006:$AC$1006,0)))),"Fix")))</f>
        <v>0</v>
      </c>
      <c r="E169" s="3">
        <f>IF(OR(INDEX($O$2:$O$1001,MATCH(ROWS($N$2:N169),$N$2:$N$1001,0),1)&gt;=100000,INDEX($U$1005:$AC$1005,1,MATCH(COLUMNS($U$1006:X1006),$U$1006:$AC$1006,0))&gt;=100000), " ",IF(INDEX($U$2:$AC$1001,MATCH(ROWS($N$2:N169),$N$2:$N$1001,0),MATCH(COLUMNS($U$1006:X1006),$U$1006:$AC$1006,0)), HYPERLINK("#",""), HYPERLINK(CONCATENATE("#metadata!", ADDRESS(INDEX($P$2:$P$1001,MATCH(ROWS($N$2:N169),$N$2:$N$1001,0),0), INDEX($U$1004:$AC$1004,1,MATCH(COLUMNS($U$1006:X1006),$U$1006:$AC$1006,0)))),"Fix")))</f>
        <v>0</v>
      </c>
      <c r="F169" s="3">
        <f>IF(OR(INDEX($O$2:$O$1001,MATCH(ROWS($N$2:N169),$N$2:$N$1001,0),1)&gt;=100000,INDEX($U$1005:$AC$1005,1,MATCH(COLUMNS($U$1006:Y1006),$U$1006:$AC$1006,0))&gt;=100000), " ",IF(INDEX($U$2:$AC$1001,MATCH(ROWS($N$2:N169),$N$2:$N$1001,0),MATCH(COLUMNS($U$1006:Y1006),$U$1006:$AC$1006,0)), HYPERLINK("#",""), HYPERLINK(CONCATENATE("#metadata!", ADDRESS(INDEX($P$2:$P$1001,MATCH(ROWS($N$2:N169),$N$2:$N$1001,0),0), INDEX($U$1004:$AC$1004,1,MATCH(COLUMNS($U$1006:Y1006),$U$1006:$AC$1006,0)))),"Fix")))</f>
        <v>0</v>
      </c>
      <c r="G169" s="3">
        <f>IF(OR(INDEX($O$2:$O$1001,MATCH(ROWS($N$2:N169),$N$2:$N$1001,0),1)&gt;=100000,INDEX($U$1005:$AC$1005,1,MATCH(COLUMNS($U$1006:Z1006),$U$1006:$AC$1006,0))&gt;=100000), " ",IF(INDEX($U$2:$AC$1001,MATCH(ROWS($N$2:N169),$N$2:$N$1001,0),MATCH(COLUMNS($U$1006:Z1006),$U$1006:$AC$1006,0)), HYPERLINK("#",""), HYPERLINK(CONCATENATE("#metadata!", ADDRESS(INDEX($P$2:$P$1001,MATCH(ROWS($N$2:N169),$N$2:$N$1001,0),0), INDEX($U$1004:$AC$1004,1,MATCH(COLUMNS($U$1006:Z1006),$U$1006:$AC$1006,0)))),"Fix")))</f>
        <v>0</v>
      </c>
      <c r="H169" s="3">
        <f>IF(OR(INDEX($O$2:$O$1001,MATCH(ROWS($N$2:N169),$N$2:$N$1001,0),1)&gt;=100000,INDEX($U$1005:$AC$1005,1,MATCH(COLUMNS($U$1006:AA1006),$U$1006:$AC$1006,0))&gt;=100000), " ",IF(INDEX($U$2:$AC$1001,MATCH(ROWS($N$2:N169),$N$2:$N$1001,0),MATCH(COLUMNS($U$1006:AA1006),$U$1006:$AC$1006,0)), HYPERLINK("#",""), HYPERLINK(CONCATENATE("#metadata!", ADDRESS(INDEX($P$2:$P$1001,MATCH(ROWS($N$2:N169),$N$2:$N$1001,0),0), INDEX($U$1004:$AC$1004,1,MATCH(COLUMNS($U$1006:AA1006),$U$1006:$AC$1006,0)))),"Fix")))</f>
        <v>0</v>
      </c>
      <c r="I169" s="3">
        <f>IF(OR(INDEX($O$2:$O$1001,MATCH(ROWS($N$2:N169),$N$2:$N$1001,0),1)&gt;=100000,INDEX($U$1005:$AC$1005,1,MATCH(COLUMNS($U$1006:AB1006),$U$1006:$AC$1006,0))&gt;=100000), " ",IF(INDEX($U$2:$AC$1001,MATCH(ROWS($N$2:N169),$N$2:$N$1001,0),MATCH(COLUMNS($U$1006:AB1006),$U$1006:$AC$1006,0)), HYPERLINK("#",""), HYPERLINK(CONCATENATE("#metadata!", ADDRESS(INDEX($P$2:$P$1001,MATCH(ROWS($N$2:N169),$N$2:$N$1001,0),0), INDEX($U$1004:$AC$1004,1,MATCH(COLUMNS($U$1006:AB1006),$U$1006:$AC$1006,0)))),"Fix")))</f>
        <v>0</v>
      </c>
      <c r="J169" s="3">
        <f>IF(OR(INDEX($O$2:$O$1001,MATCH(ROWS($N$2:N169),$N$2:$N$1001,0),1)&gt;=100000,INDEX($U$1005:$AC$1005,1,MATCH(COLUMNS($U$1006:AC1006),$U$1006:$AC$1006,0))&gt;=100000), " ",IF(INDEX($U$2:$AC$1001,MATCH(ROWS($N$2:N169),$N$2:$N$1001,0),MATCH(COLUMNS($U$1006:AC1006),$U$1006:$AC$1006,0)), HYPERLINK("#",""), HYPERLINK(CONCATENATE("#metadata!", ADDRESS(INDEX($P$2:$P$1001,MATCH(ROWS($N$2:N169),$N$2:$N$1001,0),0), INDEX($U$1004:$AC$1004,1,MATCH(COLUMNS($U$1006:AC1006),$U$1006:$AC$1006,0)))),"Fix")))</f>
        <v>0</v>
      </c>
      <c r="N169">
        <v>0</v>
      </c>
      <c r="O169">
        <v>0</v>
      </c>
      <c r="P169">
        <v>0</v>
      </c>
      <c r="Q169">
        <f>IF(R169,TRUE,AND(U169:AC169))</f>
        <v>0</v>
      </c>
      <c r="R169">
        <f>COUNTBLANK(metadata!B169:J169)=COLUMNS(metadata!B169:J169)</f>
        <v>0</v>
      </c>
      <c r="S169">
        <v>0</v>
      </c>
      <c r="U169">
        <f>AND(IF(metadata!B169="",FALSE,TRUE),COUNTIF(metadata!B:B, metadata!B169) = 1,NOT(ISERROR(SUMPRODUCT(SEARCH(MID(metadata!B169,ROW(INDIRECT("1:"&amp;LEN(metadata!B169))), 1),"0123456789abcdefghijklmnopqrstuvwxyzABCDEFGHIJKLMNOPQRSTUVWXYZ.")))))</f>
        <v>0</v>
      </c>
      <c r="V169">
        <f>AND(IF(metadata!C169="",FALSE,TRUE),exact(metadata!C169,"UBERON:genitourinary"))</f>
        <v>0</v>
      </c>
      <c r="W169">
        <f>AND(IF(metadata!D169="",FALSE,TRUE),exact(metadata!D169,"UBERON:urine"))</f>
        <v>0</v>
      </c>
      <c r="X169">
        <f>AND(IF(metadata!E169="",FALSE,TRUE),exact(metadata!E169,"UBERON:kidney"))</f>
        <v>0</v>
      </c>
      <c r="Y169">
        <f>AND(IF(metadata!F169="",FALSE,TRUE),exact(metadata!F169,"animal corpus"))</f>
        <v>0</v>
      </c>
      <c r="Z169">
        <f>AND(IF(metadata!G169="",FALSE,TRUE),exact(metadata!G169,"urine"))</f>
        <v>0</v>
      </c>
      <c r="AA169">
        <f>AND(IF(metadata!H169="",FALSE,TRUE),exact(metadata!H169,"urine"))</f>
        <v>0</v>
      </c>
      <c r="AB169">
        <f>AND(IF(metadata!I169="",FALSE,TRUE),exact(metadata!I169,"urine metagenome"))</f>
        <v>0</v>
      </c>
      <c r="AC169">
        <f>AND(IF(metadata!J169="",FALSE,TRUE),exact(metadata!J169,"1346744"))</f>
        <v>0</v>
      </c>
    </row>
    <row r="170" spans="1:29">
      <c r="A170" s="4">
        <f>IF(B170=" "," ",HYPERLINK(CONCATENATE("#metadata!",ADDRESS(INDEX($P$2:$P$1001,MATCH(ROWS($N$2:N170),$N$2:$N$1001,0),0),1)),INDEX($S$2:$S$1001,MATCH(ROWS($N$2:N170),$N$2:$N$1001,0),0)))</f>
        <v>0</v>
      </c>
      <c r="B170" s="3">
        <f>IF(OR(INDEX($O$2:$O$1001,MATCH(ROWS($N$2:N170),$N$2:$N$1001,0),1)&gt;=100000,INDEX($U$1005:$AC$1005,1,MATCH(COLUMNS($U$1006:U1006),$U$1006:$AC$1006,0))&gt;=100000), " ",IF(INDEX($U$2:$AC$1001,MATCH(ROWS($N$2:N170),$N$2:$N$1001,0),MATCH(COLUMNS($U$1006:U1006),$U$1006:$AC$1006,0)), HYPERLINK("#",""), HYPERLINK(CONCATENATE("#metadata!", ADDRESS(INDEX($P$2:$P$1001,MATCH(ROWS($N$2:N170),$N$2:$N$1001,0),0), INDEX($U$1004:$AC$1004,1,MATCH(COLUMNS($U$1006:U1006),$U$1006:$AC$1006,0)))),"Fix")))</f>
        <v>0</v>
      </c>
      <c r="C170" s="3">
        <f>IF(OR(INDEX($O$2:$O$1001,MATCH(ROWS($N$2:N170),$N$2:$N$1001,0),1)&gt;=100000,INDEX($U$1005:$AC$1005,1,MATCH(COLUMNS($U$1006:V1006),$U$1006:$AC$1006,0))&gt;=100000), " ",IF(INDEX($U$2:$AC$1001,MATCH(ROWS($N$2:N170),$N$2:$N$1001,0),MATCH(COLUMNS($U$1006:V1006),$U$1006:$AC$1006,0)), HYPERLINK("#",""), HYPERLINK(CONCATENATE("#metadata!", ADDRESS(INDEX($P$2:$P$1001,MATCH(ROWS($N$2:N170),$N$2:$N$1001,0),0), INDEX($U$1004:$AC$1004,1,MATCH(COLUMNS($U$1006:V1006),$U$1006:$AC$1006,0)))),"Fix")))</f>
        <v>0</v>
      </c>
      <c r="D170" s="3">
        <f>IF(OR(INDEX($O$2:$O$1001,MATCH(ROWS($N$2:N170),$N$2:$N$1001,0),1)&gt;=100000,INDEX($U$1005:$AC$1005,1,MATCH(COLUMNS($U$1006:W1006),$U$1006:$AC$1006,0))&gt;=100000), " ",IF(INDEX($U$2:$AC$1001,MATCH(ROWS($N$2:N170),$N$2:$N$1001,0),MATCH(COLUMNS($U$1006:W1006),$U$1006:$AC$1006,0)), HYPERLINK("#",""), HYPERLINK(CONCATENATE("#metadata!", ADDRESS(INDEX($P$2:$P$1001,MATCH(ROWS($N$2:N170),$N$2:$N$1001,0),0), INDEX($U$1004:$AC$1004,1,MATCH(COLUMNS($U$1006:W1006),$U$1006:$AC$1006,0)))),"Fix")))</f>
        <v>0</v>
      </c>
      <c r="E170" s="3">
        <f>IF(OR(INDEX($O$2:$O$1001,MATCH(ROWS($N$2:N170),$N$2:$N$1001,0),1)&gt;=100000,INDEX($U$1005:$AC$1005,1,MATCH(COLUMNS($U$1006:X1006),$U$1006:$AC$1006,0))&gt;=100000), " ",IF(INDEX($U$2:$AC$1001,MATCH(ROWS($N$2:N170),$N$2:$N$1001,0),MATCH(COLUMNS($U$1006:X1006),$U$1006:$AC$1006,0)), HYPERLINK("#",""), HYPERLINK(CONCATENATE("#metadata!", ADDRESS(INDEX($P$2:$P$1001,MATCH(ROWS($N$2:N170),$N$2:$N$1001,0),0), INDEX($U$1004:$AC$1004,1,MATCH(COLUMNS($U$1006:X1006),$U$1006:$AC$1006,0)))),"Fix")))</f>
        <v>0</v>
      </c>
      <c r="F170" s="3">
        <f>IF(OR(INDEX($O$2:$O$1001,MATCH(ROWS($N$2:N170),$N$2:$N$1001,0),1)&gt;=100000,INDEX($U$1005:$AC$1005,1,MATCH(COLUMNS($U$1006:Y1006),$U$1006:$AC$1006,0))&gt;=100000), " ",IF(INDEX($U$2:$AC$1001,MATCH(ROWS($N$2:N170),$N$2:$N$1001,0),MATCH(COLUMNS($U$1006:Y1006),$U$1006:$AC$1006,0)), HYPERLINK("#",""), HYPERLINK(CONCATENATE("#metadata!", ADDRESS(INDEX($P$2:$P$1001,MATCH(ROWS($N$2:N170),$N$2:$N$1001,0),0), INDEX($U$1004:$AC$1004,1,MATCH(COLUMNS($U$1006:Y1006),$U$1006:$AC$1006,0)))),"Fix")))</f>
        <v>0</v>
      </c>
      <c r="G170" s="3">
        <f>IF(OR(INDEX($O$2:$O$1001,MATCH(ROWS($N$2:N170),$N$2:$N$1001,0),1)&gt;=100000,INDEX($U$1005:$AC$1005,1,MATCH(COLUMNS($U$1006:Z1006),$U$1006:$AC$1006,0))&gt;=100000), " ",IF(INDEX($U$2:$AC$1001,MATCH(ROWS($N$2:N170),$N$2:$N$1001,0),MATCH(COLUMNS($U$1006:Z1006),$U$1006:$AC$1006,0)), HYPERLINK("#",""), HYPERLINK(CONCATENATE("#metadata!", ADDRESS(INDEX($P$2:$P$1001,MATCH(ROWS($N$2:N170),$N$2:$N$1001,0),0), INDEX($U$1004:$AC$1004,1,MATCH(COLUMNS($U$1006:Z1006),$U$1006:$AC$1006,0)))),"Fix")))</f>
        <v>0</v>
      </c>
      <c r="H170" s="3">
        <f>IF(OR(INDEX($O$2:$O$1001,MATCH(ROWS($N$2:N170),$N$2:$N$1001,0),1)&gt;=100000,INDEX($U$1005:$AC$1005,1,MATCH(COLUMNS($U$1006:AA1006),$U$1006:$AC$1006,0))&gt;=100000), " ",IF(INDEX($U$2:$AC$1001,MATCH(ROWS($N$2:N170),$N$2:$N$1001,0),MATCH(COLUMNS($U$1006:AA1006),$U$1006:$AC$1006,0)), HYPERLINK("#",""), HYPERLINK(CONCATENATE("#metadata!", ADDRESS(INDEX($P$2:$P$1001,MATCH(ROWS($N$2:N170),$N$2:$N$1001,0),0), INDEX($U$1004:$AC$1004,1,MATCH(COLUMNS($U$1006:AA1006),$U$1006:$AC$1006,0)))),"Fix")))</f>
        <v>0</v>
      </c>
      <c r="I170" s="3">
        <f>IF(OR(INDEX($O$2:$O$1001,MATCH(ROWS($N$2:N170),$N$2:$N$1001,0),1)&gt;=100000,INDEX($U$1005:$AC$1005,1,MATCH(COLUMNS($U$1006:AB1006),$U$1006:$AC$1006,0))&gt;=100000), " ",IF(INDEX($U$2:$AC$1001,MATCH(ROWS($N$2:N170),$N$2:$N$1001,0),MATCH(COLUMNS($U$1006:AB1006),$U$1006:$AC$1006,0)), HYPERLINK("#",""), HYPERLINK(CONCATENATE("#metadata!", ADDRESS(INDEX($P$2:$P$1001,MATCH(ROWS($N$2:N170),$N$2:$N$1001,0),0), INDEX($U$1004:$AC$1004,1,MATCH(COLUMNS($U$1006:AB1006),$U$1006:$AC$1006,0)))),"Fix")))</f>
        <v>0</v>
      </c>
      <c r="J170" s="3">
        <f>IF(OR(INDEX($O$2:$O$1001,MATCH(ROWS($N$2:N170),$N$2:$N$1001,0),1)&gt;=100000,INDEX($U$1005:$AC$1005,1,MATCH(COLUMNS($U$1006:AC1006),$U$1006:$AC$1006,0))&gt;=100000), " ",IF(INDEX($U$2:$AC$1001,MATCH(ROWS($N$2:N170),$N$2:$N$1001,0),MATCH(COLUMNS($U$1006:AC1006),$U$1006:$AC$1006,0)), HYPERLINK("#",""), HYPERLINK(CONCATENATE("#metadata!", ADDRESS(INDEX($P$2:$P$1001,MATCH(ROWS($N$2:N170),$N$2:$N$1001,0),0), INDEX($U$1004:$AC$1004,1,MATCH(COLUMNS($U$1006:AC1006),$U$1006:$AC$1006,0)))),"Fix")))</f>
        <v>0</v>
      </c>
      <c r="N170">
        <v>0</v>
      </c>
      <c r="O170">
        <v>0</v>
      </c>
      <c r="P170">
        <v>0</v>
      </c>
      <c r="Q170">
        <f>IF(R170,TRUE,AND(U170:AC170))</f>
        <v>0</v>
      </c>
      <c r="R170">
        <f>COUNTBLANK(metadata!B170:J170)=COLUMNS(metadata!B170:J170)</f>
        <v>0</v>
      </c>
      <c r="S170">
        <v>0</v>
      </c>
      <c r="U170">
        <f>AND(IF(metadata!B170="",FALSE,TRUE),COUNTIF(metadata!B:B, metadata!B170) = 1,NOT(ISERROR(SUMPRODUCT(SEARCH(MID(metadata!B170,ROW(INDIRECT("1:"&amp;LEN(metadata!B170))), 1),"0123456789abcdefghijklmnopqrstuvwxyzABCDEFGHIJKLMNOPQRSTUVWXYZ.")))))</f>
        <v>0</v>
      </c>
      <c r="V170">
        <f>AND(IF(metadata!C170="",FALSE,TRUE),exact(metadata!C170,"UBERON:genitourinary"))</f>
        <v>0</v>
      </c>
      <c r="W170">
        <f>AND(IF(metadata!D170="",FALSE,TRUE),exact(metadata!D170,"UBERON:urine"))</f>
        <v>0</v>
      </c>
      <c r="X170">
        <f>AND(IF(metadata!E170="",FALSE,TRUE),exact(metadata!E170,"UBERON:kidney"))</f>
        <v>0</v>
      </c>
      <c r="Y170">
        <f>AND(IF(metadata!F170="",FALSE,TRUE),exact(metadata!F170,"animal corpus"))</f>
        <v>0</v>
      </c>
      <c r="Z170">
        <f>AND(IF(metadata!G170="",FALSE,TRUE),exact(metadata!G170,"urine"))</f>
        <v>0</v>
      </c>
      <c r="AA170">
        <f>AND(IF(metadata!H170="",FALSE,TRUE),exact(metadata!H170,"urine"))</f>
        <v>0</v>
      </c>
      <c r="AB170">
        <f>AND(IF(metadata!I170="",FALSE,TRUE),exact(metadata!I170,"urine metagenome"))</f>
        <v>0</v>
      </c>
      <c r="AC170">
        <f>AND(IF(metadata!J170="",FALSE,TRUE),exact(metadata!J170,"1346744"))</f>
        <v>0</v>
      </c>
    </row>
    <row r="171" spans="1:29">
      <c r="A171" s="4">
        <f>IF(B171=" "," ",HYPERLINK(CONCATENATE("#metadata!",ADDRESS(INDEX($P$2:$P$1001,MATCH(ROWS($N$2:N171),$N$2:$N$1001,0),0),1)),INDEX($S$2:$S$1001,MATCH(ROWS($N$2:N171),$N$2:$N$1001,0),0)))</f>
        <v>0</v>
      </c>
      <c r="B171" s="3">
        <f>IF(OR(INDEX($O$2:$O$1001,MATCH(ROWS($N$2:N171),$N$2:$N$1001,0),1)&gt;=100000,INDEX($U$1005:$AC$1005,1,MATCH(COLUMNS($U$1006:U1006),$U$1006:$AC$1006,0))&gt;=100000), " ",IF(INDEX($U$2:$AC$1001,MATCH(ROWS($N$2:N171),$N$2:$N$1001,0),MATCH(COLUMNS($U$1006:U1006),$U$1006:$AC$1006,0)), HYPERLINK("#",""), HYPERLINK(CONCATENATE("#metadata!", ADDRESS(INDEX($P$2:$P$1001,MATCH(ROWS($N$2:N171),$N$2:$N$1001,0),0), INDEX($U$1004:$AC$1004,1,MATCH(COLUMNS($U$1006:U1006),$U$1006:$AC$1006,0)))),"Fix")))</f>
        <v>0</v>
      </c>
      <c r="C171" s="3">
        <f>IF(OR(INDEX($O$2:$O$1001,MATCH(ROWS($N$2:N171),$N$2:$N$1001,0),1)&gt;=100000,INDEX($U$1005:$AC$1005,1,MATCH(COLUMNS($U$1006:V1006),$U$1006:$AC$1006,0))&gt;=100000), " ",IF(INDEX($U$2:$AC$1001,MATCH(ROWS($N$2:N171),$N$2:$N$1001,0),MATCH(COLUMNS($U$1006:V1006),$U$1006:$AC$1006,0)), HYPERLINK("#",""), HYPERLINK(CONCATENATE("#metadata!", ADDRESS(INDEX($P$2:$P$1001,MATCH(ROWS($N$2:N171),$N$2:$N$1001,0),0), INDEX($U$1004:$AC$1004,1,MATCH(COLUMNS($U$1006:V1006),$U$1006:$AC$1006,0)))),"Fix")))</f>
        <v>0</v>
      </c>
      <c r="D171" s="3">
        <f>IF(OR(INDEX($O$2:$O$1001,MATCH(ROWS($N$2:N171),$N$2:$N$1001,0),1)&gt;=100000,INDEX($U$1005:$AC$1005,1,MATCH(COLUMNS($U$1006:W1006),$U$1006:$AC$1006,0))&gt;=100000), " ",IF(INDEX($U$2:$AC$1001,MATCH(ROWS($N$2:N171),$N$2:$N$1001,0),MATCH(COLUMNS($U$1006:W1006),$U$1006:$AC$1006,0)), HYPERLINK("#",""), HYPERLINK(CONCATENATE("#metadata!", ADDRESS(INDEX($P$2:$P$1001,MATCH(ROWS($N$2:N171),$N$2:$N$1001,0),0), INDEX($U$1004:$AC$1004,1,MATCH(COLUMNS($U$1006:W1006),$U$1006:$AC$1006,0)))),"Fix")))</f>
        <v>0</v>
      </c>
      <c r="E171" s="3">
        <f>IF(OR(INDEX($O$2:$O$1001,MATCH(ROWS($N$2:N171),$N$2:$N$1001,0),1)&gt;=100000,INDEX($U$1005:$AC$1005,1,MATCH(COLUMNS($U$1006:X1006),$U$1006:$AC$1006,0))&gt;=100000), " ",IF(INDEX($U$2:$AC$1001,MATCH(ROWS($N$2:N171),$N$2:$N$1001,0),MATCH(COLUMNS($U$1006:X1006),$U$1006:$AC$1006,0)), HYPERLINK("#",""), HYPERLINK(CONCATENATE("#metadata!", ADDRESS(INDEX($P$2:$P$1001,MATCH(ROWS($N$2:N171),$N$2:$N$1001,0),0), INDEX($U$1004:$AC$1004,1,MATCH(COLUMNS($U$1006:X1006),$U$1006:$AC$1006,0)))),"Fix")))</f>
        <v>0</v>
      </c>
      <c r="F171" s="3">
        <f>IF(OR(INDEX($O$2:$O$1001,MATCH(ROWS($N$2:N171),$N$2:$N$1001,0),1)&gt;=100000,INDEX($U$1005:$AC$1005,1,MATCH(COLUMNS($U$1006:Y1006),$U$1006:$AC$1006,0))&gt;=100000), " ",IF(INDEX($U$2:$AC$1001,MATCH(ROWS($N$2:N171),$N$2:$N$1001,0),MATCH(COLUMNS($U$1006:Y1006),$U$1006:$AC$1006,0)), HYPERLINK("#",""), HYPERLINK(CONCATENATE("#metadata!", ADDRESS(INDEX($P$2:$P$1001,MATCH(ROWS($N$2:N171),$N$2:$N$1001,0),0), INDEX($U$1004:$AC$1004,1,MATCH(COLUMNS($U$1006:Y1006),$U$1006:$AC$1006,0)))),"Fix")))</f>
        <v>0</v>
      </c>
      <c r="G171" s="3">
        <f>IF(OR(INDEX($O$2:$O$1001,MATCH(ROWS($N$2:N171),$N$2:$N$1001,0),1)&gt;=100000,INDEX($U$1005:$AC$1005,1,MATCH(COLUMNS($U$1006:Z1006),$U$1006:$AC$1006,0))&gt;=100000), " ",IF(INDEX($U$2:$AC$1001,MATCH(ROWS($N$2:N171),$N$2:$N$1001,0),MATCH(COLUMNS($U$1006:Z1006),$U$1006:$AC$1006,0)), HYPERLINK("#",""), HYPERLINK(CONCATENATE("#metadata!", ADDRESS(INDEX($P$2:$P$1001,MATCH(ROWS($N$2:N171),$N$2:$N$1001,0),0), INDEX($U$1004:$AC$1004,1,MATCH(COLUMNS($U$1006:Z1006),$U$1006:$AC$1006,0)))),"Fix")))</f>
        <v>0</v>
      </c>
      <c r="H171" s="3">
        <f>IF(OR(INDEX($O$2:$O$1001,MATCH(ROWS($N$2:N171),$N$2:$N$1001,0),1)&gt;=100000,INDEX($U$1005:$AC$1005,1,MATCH(COLUMNS($U$1006:AA1006),$U$1006:$AC$1006,0))&gt;=100000), " ",IF(INDEX($U$2:$AC$1001,MATCH(ROWS($N$2:N171),$N$2:$N$1001,0),MATCH(COLUMNS($U$1006:AA1006),$U$1006:$AC$1006,0)), HYPERLINK("#",""), HYPERLINK(CONCATENATE("#metadata!", ADDRESS(INDEX($P$2:$P$1001,MATCH(ROWS($N$2:N171),$N$2:$N$1001,0),0), INDEX($U$1004:$AC$1004,1,MATCH(COLUMNS($U$1006:AA1006),$U$1006:$AC$1006,0)))),"Fix")))</f>
        <v>0</v>
      </c>
      <c r="I171" s="3">
        <f>IF(OR(INDEX($O$2:$O$1001,MATCH(ROWS($N$2:N171),$N$2:$N$1001,0),1)&gt;=100000,INDEX($U$1005:$AC$1005,1,MATCH(COLUMNS($U$1006:AB1006),$U$1006:$AC$1006,0))&gt;=100000), " ",IF(INDEX($U$2:$AC$1001,MATCH(ROWS($N$2:N171),$N$2:$N$1001,0),MATCH(COLUMNS($U$1006:AB1006),$U$1006:$AC$1006,0)), HYPERLINK("#",""), HYPERLINK(CONCATENATE("#metadata!", ADDRESS(INDEX($P$2:$P$1001,MATCH(ROWS($N$2:N171),$N$2:$N$1001,0),0), INDEX($U$1004:$AC$1004,1,MATCH(COLUMNS($U$1006:AB1006),$U$1006:$AC$1006,0)))),"Fix")))</f>
        <v>0</v>
      </c>
      <c r="J171" s="3">
        <f>IF(OR(INDEX($O$2:$O$1001,MATCH(ROWS($N$2:N171),$N$2:$N$1001,0),1)&gt;=100000,INDEX($U$1005:$AC$1005,1,MATCH(COLUMNS($U$1006:AC1006),$U$1006:$AC$1006,0))&gt;=100000), " ",IF(INDEX($U$2:$AC$1001,MATCH(ROWS($N$2:N171),$N$2:$N$1001,0),MATCH(COLUMNS($U$1006:AC1006),$U$1006:$AC$1006,0)), HYPERLINK("#",""), HYPERLINK(CONCATENATE("#metadata!", ADDRESS(INDEX($P$2:$P$1001,MATCH(ROWS($N$2:N171),$N$2:$N$1001,0),0), INDEX($U$1004:$AC$1004,1,MATCH(COLUMNS($U$1006:AC1006),$U$1006:$AC$1006,0)))),"Fix")))</f>
        <v>0</v>
      </c>
      <c r="N171">
        <v>0</v>
      </c>
      <c r="O171">
        <v>0</v>
      </c>
      <c r="P171">
        <v>0</v>
      </c>
      <c r="Q171">
        <f>IF(R171,TRUE,AND(U171:AC171))</f>
        <v>0</v>
      </c>
      <c r="R171">
        <f>COUNTBLANK(metadata!B171:J171)=COLUMNS(metadata!B171:J171)</f>
        <v>0</v>
      </c>
      <c r="S171">
        <v>0</v>
      </c>
      <c r="U171">
        <f>AND(IF(metadata!B171="",FALSE,TRUE),COUNTIF(metadata!B:B, metadata!B171) = 1,NOT(ISERROR(SUMPRODUCT(SEARCH(MID(metadata!B171,ROW(INDIRECT("1:"&amp;LEN(metadata!B171))), 1),"0123456789abcdefghijklmnopqrstuvwxyzABCDEFGHIJKLMNOPQRSTUVWXYZ.")))))</f>
        <v>0</v>
      </c>
      <c r="V171">
        <f>AND(IF(metadata!C171="",FALSE,TRUE),exact(metadata!C171,"UBERON:genitourinary"))</f>
        <v>0</v>
      </c>
      <c r="W171">
        <f>AND(IF(metadata!D171="",FALSE,TRUE),exact(metadata!D171,"UBERON:urine"))</f>
        <v>0</v>
      </c>
      <c r="X171">
        <f>AND(IF(metadata!E171="",FALSE,TRUE),exact(metadata!E171,"UBERON:kidney"))</f>
        <v>0</v>
      </c>
      <c r="Y171">
        <f>AND(IF(metadata!F171="",FALSE,TRUE),exact(metadata!F171,"animal corpus"))</f>
        <v>0</v>
      </c>
      <c r="Z171">
        <f>AND(IF(metadata!G171="",FALSE,TRUE),exact(metadata!G171,"urine"))</f>
        <v>0</v>
      </c>
      <c r="AA171">
        <f>AND(IF(metadata!H171="",FALSE,TRUE),exact(metadata!H171,"urine"))</f>
        <v>0</v>
      </c>
      <c r="AB171">
        <f>AND(IF(metadata!I171="",FALSE,TRUE),exact(metadata!I171,"urine metagenome"))</f>
        <v>0</v>
      </c>
      <c r="AC171">
        <f>AND(IF(metadata!J171="",FALSE,TRUE),exact(metadata!J171,"1346744"))</f>
        <v>0</v>
      </c>
    </row>
    <row r="172" spans="1:29">
      <c r="A172" s="4">
        <f>IF(B172=" "," ",HYPERLINK(CONCATENATE("#metadata!",ADDRESS(INDEX($P$2:$P$1001,MATCH(ROWS($N$2:N172),$N$2:$N$1001,0),0),1)),INDEX($S$2:$S$1001,MATCH(ROWS($N$2:N172),$N$2:$N$1001,0),0)))</f>
        <v>0</v>
      </c>
      <c r="B172" s="3">
        <f>IF(OR(INDEX($O$2:$O$1001,MATCH(ROWS($N$2:N172),$N$2:$N$1001,0),1)&gt;=100000,INDEX($U$1005:$AC$1005,1,MATCH(COLUMNS($U$1006:U1006),$U$1006:$AC$1006,0))&gt;=100000), " ",IF(INDEX($U$2:$AC$1001,MATCH(ROWS($N$2:N172),$N$2:$N$1001,0),MATCH(COLUMNS($U$1006:U1006),$U$1006:$AC$1006,0)), HYPERLINK("#",""), HYPERLINK(CONCATENATE("#metadata!", ADDRESS(INDEX($P$2:$P$1001,MATCH(ROWS($N$2:N172),$N$2:$N$1001,0),0), INDEX($U$1004:$AC$1004,1,MATCH(COLUMNS($U$1006:U1006),$U$1006:$AC$1006,0)))),"Fix")))</f>
        <v>0</v>
      </c>
      <c r="C172" s="3">
        <f>IF(OR(INDEX($O$2:$O$1001,MATCH(ROWS($N$2:N172),$N$2:$N$1001,0),1)&gt;=100000,INDEX($U$1005:$AC$1005,1,MATCH(COLUMNS($U$1006:V1006),$U$1006:$AC$1006,0))&gt;=100000), " ",IF(INDEX($U$2:$AC$1001,MATCH(ROWS($N$2:N172),$N$2:$N$1001,0),MATCH(COLUMNS($U$1006:V1006),$U$1006:$AC$1006,0)), HYPERLINK("#",""), HYPERLINK(CONCATENATE("#metadata!", ADDRESS(INDEX($P$2:$P$1001,MATCH(ROWS($N$2:N172),$N$2:$N$1001,0),0), INDEX($U$1004:$AC$1004,1,MATCH(COLUMNS($U$1006:V1006),$U$1006:$AC$1006,0)))),"Fix")))</f>
        <v>0</v>
      </c>
      <c r="D172" s="3">
        <f>IF(OR(INDEX($O$2:$O$1001,MATCH(ROWS($N$2:N172),$N$2:$N$1001,0),1)&gt;=100000,INDEX($U$1005:$AC$1005,1,MATCH(COLUMNS($U$1006:W1006),$U$1006:$AC$1006,0))&gt;=100000), " ",IF(INDEX($U$2:$AC$1001,MATCH(ROWS($N$2:N172),$N$2:$N$1001,0),MATCH(COLUMNS($U$1006:W1006),$U$1006:$AC$1006,0)), HYPERLINK("#",""), HYPERLINK(CONCATENATE("#metadata!", ADDRESS(INDEX($P$2:$P$1001,MATCH(ROWS($N$2:N172),$N$2:$N$1001,0),0), INDEX($U$1004:$AC$1004,1,MATCH(COLUMNS($U$1006:W1006),$U$1006:$AC$1006,0)))),"Fix")))</f>
        <v>0</v>
      </c>
      <c r="E172" s="3">
        <f>IF(OR(INDEX($O$2:$O$1001,MATCH(ROWS($N$2:N172),$N$2:$N$1001,0),1)&gt;=100000,INDEX($U$1005:$AC$1005,1,MATCH(COLUMNS($U$1006:X1006),$U$1006:$AC$1006,0))&gt;=100000), " ",IF(INDEX($U$2:$AC$1001,MATCH(ROWS($N$2:N172),$N$2:$N$1001,0),MATCH(COLUMNS($U$1006:X1006),$U$1006:$AC$1006,0)), HYPERLINK("#",""), HYPERLINK(CONCATENATE("#metadata!", ADDRESS(INDEX($P$2:$P$1001,MATCH(ROWS($N$2:N172),$N$2:$N$1001,0),0), INDEX($U$1004:$AC$1004,1,MATCH(COLUMNS($U$1006:X1006),$U$1006:$AC$1006,0)))),"Fix")))</f>
        <v>0</v>
      </c>
      <c r="F172" s="3">
        <f>IF(OR(INDEX($O$2:$O$1001,MATCH(ROWS($N$2:N172),$N$2:$N$1001,0),1)&gt;=100000,INDEX($U$1005:$AC$1005,1,MATCH(COLUMNS($U$1006:Y1006),$U$1006:$AC$1006,0))&gt;=100000), " ",IF(INDEX($U$2:$AC$1001,MATCH(ROWS($N$2:N172),$N$2:$N$1001,0),MATCH(COLUMNS($U$1006:Y1006),$U$1006:$AC$1006,0)), HYPERLINK("#",""), HYPERLINK(CONCATENATE("#metadata!", ADDRESS(INDEX($P$2:$P$1001,MATCH(ROWS($N$2:N172),$N$2:$N$1001,0),0), INDEX($U$1004:$AC$1004,1,MATCH(COLUMNS($U$1006:Y1006),$U$1006:$AC$1006,0)))),"Fix")))</f>
        <v>0</v>
      </c>
      <c r="G172" s="3">
        <f>IF(OR(INDEX($O$2:$O$1001,MATCH(ROWS($N$2:N172),$N$2:$N$1001,0),1)&gt;=100000,INDEX($U$1005:$AC$1005,1,MATCH(COLUMNS($U$1006:Z1006),$U$1006:$AC$1006,0))&gt;=100000), " ",IF(INDEX($U$2:$AC$1001,MATCH(ROWS($N$2:N172),$N$2:$N$1001,0),MATCH(COLUMNS($U$1006:Z1006),$U$1006:$AC$1006,0)), HYPERLINK("#",""), HYPERLINK(CONCATENATE("#metadata!", ADDRESS(INDEX($P$2:$P$1001,MATCH(ROWS($N$2:N172),$N$2:$N$1001,0),0), INDEX($U$1004:$AC$1004,1,MATCH(COLUMNS($U$1006:Z1006),$U$1006:$AC$1006,0)))),"Fix")))</f>
        <v>0</v>
      </c>
      <c r="H172" s="3">
        <f>IF(OR(INDEX($O$2:$O$1001,MATCH(ROWS($N$2:N172),$N$2:$N$1001,0),1)&gt;=100000,INDEX($U$1005:$AC$1005,1,MATCH(COLUMNS($U$1006:AA1006),$U$1006:$AC$1006,0))&gt;=100000), " ",IF(INDEX($U$2:$AC$1001,MATCH(ROWS($N$2:N172),$N$2:$N$1001,0),MATCH(COLUMNS($U$1006:AA1006),$U$1006:$AC$1006,0)), HYPERLINK("#",""), HYPERLINK(CONCATENATE("#metadata!", ADDRESS(INDEX($P$2:$P$1001,MATCH(ROWS($N$2:N172),$N$2:$N$1001,0),0), INDEX($U$1004:$AC$1004,1,MATCH(COLUMNS($U$1006:AA1006),$U$1006:$AC$1006,0)))),"Fix")))</f>
        <v>0</v>
      </c>
      <c r="I172" s="3">
        <f>IF(OR(INDEX($O$2:$O$1001,MATCH(ROWS($N$2:N172),$N$2:$N$1001,0),1)&gt;=100000,INDEX($U$1005:$AC$1005,1,MATCH(COLUMNS($U$1006:AB1006),$U$1006:$AC$1006,0))&gt;=100000), " ",IF(INDEX($U$2:$AC$1001,MATCH(ROWS($N$2:N172),$N$2:$N$1001,0),MATCH(COLUMNS($U$1006:AB1006),$U$1006:$AC$1006,0)), HYPERLINK("#",""), HYPERLINK(CONCATENATE("#metadata!", ADDRESS(INDEX($P$2:$P$1001,MATCH(ROWS($N$2:N172),$N$2:$N$1001,0),0), INDEX($U$1004:$AC$1004,1,MATCH(COLUMNS($U$1006:AB1006),$U$1006:$AC$1006,0)))),"Fix")))</f>
        <v>0</v>
      </c>
      <c r="J172" s="3">
        <f>IF(OR(INDEX($O$2:$O$1001,MATCH(ROWS($N$2:N172),$N$2:$N$1001,0),1)&gt;=100000,INDEX($U$1005:$AC$1005,1,MATCH(COLUMNS($U$1006:AC1006),$U$1006:$AC$1006,0))&gt;=100000), " ",IF(INDEX($U$2:$AC$1001,MATCH(ROWS($N$2:N172),$N$2:$N$1001,0),MATCH(COLUMNS($U$1006:AC1006),$U$1006:$AC$1006,0)), HYPERLINK("#",""), HYPERLINK(CONCATENATE("#metadata!", ADDRESS(INDEX($P$2:$P$1001,MATCH(ROWS($N$2:N172),$N$2:$N$1001,0),0), INDEX($U$1004:$AC$1004,1,MATCH(COLUMNS($U$1006:AC1006),$U$1006:$AC$1006,0)))),"Fix")))</f>
        <v>0</v>
      </c>
      <c r="N172">
        <v>0</v>
      </c>
      <c r="O172">
        <v>0</v>
      </c>
      <c r="P172">
        <v>0</v>
      </c>
      <c r="Q172">
        <f>IF(R172,TRUE,AND(U172:AC172))</f>
        <v>0</v>
      </c>
      <c r="R172">
        <f>COUNTBLANK(metadata!B172:J172)=COLUMNS(metadata!B172:J172)</f>
        <v>0</v>
      </c>
      <c r="S172">
        <v>0</v>
      </c>
      <c r="U172">
        <f>AND(IF(metadata!B172="",FALSE,TRUE),COUNTIF(metadata!B:B, metadata!B172) = 1,NOT(ISERROR(SUMPRODUCT(SEARCH(MID(metadata!B172,ROW(INDIRECT("1:"&amp;LEN(metadata!B172))), 1),"0123456789abcdefghijklmnopqrstuvwxyzABCDEFGHIJKLMNOPQRSTUVWXYZ.")))))</f>
        <v>0</v>
      </c>
      <c r="V172">
        <f>AND(IF(metadata!C172="",FALSE,TRUE),exact(metadata!C172,"UBERON:genitourinary"))</f>
        <v>0</v>
      </c>
      <c r="W172">
        <f>AND(IF(metadata!D172="",FALSE,TRUE),exact(metadata!D172,"UBERON:urine"))</f>
        <v>0</v>
      </c>
      <c r="X172">
        <f>AND(IF(metadata!E172="",FALSE,TRUE),exact(metadata!E172,"UBERON:kidney"))</f>
        <v>0</v>
      </c>
      <c r="Y172">
        <f>AND(IF(metadata!F172="",FALSE,TRUE),exact(metadata!F172,"animal corpus"))</f>
        <v>0</v>
      </c>
      <c r="Z172">
        <f>AND(IF(metadata!G172="",FALSE,TRUE),exact(metadata!G172,"urine"))</f>
        <v>0</v>
      </c>
      <c r="AA172">
        <f>AND(IF(metadata!H172="",FALSE,TRUE),exact(metadata!H172,"urine"))</f>
        <v>0</v>
      </c>
      <c r="AB172">
        <f>AND(IF(metadata!I172="",FALSE,TRUE),exact(metadata!I172,"urine metagenome"))</f>
        <v>0</v>
      </c>
      <c r="AC172">
        <f>AND(IF(metadata!J172="",FALSE,TRUE),exact(metadata!J172,"1346744"))</f>
        <v>0</v>
      </c>
    </row>
    <row r="173" spans="1:29">
      <c r="A173" s="4">
        <f>IF(B173=" "," ",HYPERLINK(CONCATENATE("#metadata!",ADDRESS(INDEX($P$2:$P$1001,MATCH(ROWS($N$2:N173),$N$2:$N$1001,0),0),1)),INDEX($S$2:$S$1001,MATCH(ROWS($N$2:N173),$N$2:$N$1001,0),0)))</f>
        <v>0</v>
      </c>
      <c r="B173" s="3">
        <f>IF(OR(INDEX($O$2:$O$1001,MATCH(ROWS($N$2:N173),$N$2:$N$1001,0),1)&gt;=100000,INDEX($U$1005:$AC$1005,1,MATCH(COLUMNS($U$1006:U1006),$U$1006:$AC$1006,0))&gt;=100000), " ",IF(INDEX($U$2:$AC$1001,MATCH(ROWS($N$2:N173),$N$2:$N$1001,0),MATCH(COLUMNS($U$1006:U1006),$U$1006:$AC$1006,0)), HYPERLINK("#",""), HYPERLINK(CONCATENATE("#metadata!", ADDRESS(INDEX($P$2:$P$1001,MATCH(ROWS($N$2:N173),$N$2:$N$1001,0),0), INDEX($U$1004:$AC$1004,1,MATCH(COLUMNS($U$1006:U1006),$U$1006:$AC$1006,0)))),"Fix")))</f>
        <v>0</v>
      </c>
      <c r="C173" s="3">
        <f>IF(OR(INDEX($O$2:$O$1001,MATCH(ROWS($N$2:N173),$N$2:$N$1001,0),1)&gt;=100000,INDEX($U$1005:$AC$1005,1,MATCH(COLUMNS($U$1006:V1006),$U$1006:$AC$1006,0))&gt;=100000), " ",IF(INDEX($U$2:$AC$1001,MATCH(ROWS($N$2:N173),$N$2:$N$1001,0),MATCH(COLUMNS($U$1006:V1006),$U$1006:$AC$1006,0)), HYPERLINK("#",""), HYPERLINK(CONCATENATE("#metadata!", ADDRESS(INDEX($P$2:$P$1001,MATCH(ROWS($N$2:N173),$N$2:$N$1001,0),0), INDEX($U$1004:$AC$1004,1,MATCH(COLUMNS($U$1006:V1006),$U$1006:$AC$1006,0)))),"Fix")))</f>
        <v>0</v>
      </c>
      <c r="D173" s="3">
        <f>IF(OR(INDEX($O$2:$O$1001,MATCH(ROWS($N$2:N173),$N$2:$N$1001,0),1)&gt;=100000,INDEX($U$1005:$AC$1005,1,MATCH(COLUMNS($U$1006:W1006),$U$1006:$AC$1006,0))&gt;=100000), " ",IF(INDEX($U$2:$AC$1001,MATCH(ROWS($N$2:N173),$N$2:$N$1001,0),MATCH(COLUMNS($U$1006:W1006),$U$1006:$AC$1006,0)), HYPERLINK("#",""), HYPERLINK(CONCATENATE("#metadata!", ADDRESS(INDEX($P$2:$P$1001,MATCH(ROWS($N$2:N173),$N$2:$N$1001,0),0), INDEX($U$1004:$AC$1004,1,MATCH(COLUMNS($U$1006:W1006),$U$1006:$AC$1006,0)))),"Fix")))</f>
        <v>0</v>
      </c>
      <c r="E173" s="3">
        <f>IF(OR(INDEX($O$2:$O$1001,MATCH(ROWS($N$2:N173),$N$2:$N$1001,0),1)&gt;=100000,INDEX($U$1005:$AC$1005,1,MATCH(COLUMNS($U$1006:X1006),$U$1006:$AC$1006,0))&gt;=100000), " ",IF(INDEX($U$2:$AC$1001,MATCH(ROWS($N$2:N173),$N$2:$N$1001,0),MATCH(COLUMNS($U$1006:X1006),$U$1006:$AC$1006,0)), HYPERLINK("#",""), HYPERLINK(CONCATENATE("#metadata!", ADDRESS(INDEX($P$2:$P$1001,MATCH(ROWS($N$2:N173),$N$2:$N$1001,0),0), INDEX($U$1004:$AC$1004,1,MATCH(COLUMNS($U$1006:X1006),$U$1006:$AC$1006,0)))),"Fix")))</f>
        <v>0</v>
      </c>
      <c r="F173" s="3">
        <f>IF(OR(INDEX($O$2:$O$1001,MATCH(ROWS($N$2:N173),$N$2:$N$1001,0),1)&gt;=100000,INDEX($U$1005:$AC$1005,1,MATCH(COLUMNS($U$1006:Y1006),$U$1006:$AC$1006,0))&gt;=100000), " ",IF(INDEX($U$2:$AC$1001,MATCH(ROWS($N$2:N173),$N$2:$N$1001,0),MATCH(COLUMNS($U$1006:Y1006),$U$1006:$AC$1006,0)), HYPERLINK("#",""), HYPERLINK(CONCATENATE("#metadata!", ADDRESS(INDEX($P$2:$P$1001,MATCH(ROWS($N$2:N173),$N$2:$N$1001,0),0), INDEX($U$1004:$AC$1004,1,MATCH(COLUMNS($U$1006:Y1006),$U$1006:$AC$1006,0)))),"Fix")))</f>
        <v>0</v>
      </c>
      <c r="G173" s="3">
        <f>IF(OR(INDEX($O$2:$O$1001,MATCH(ROWS($N$2:N173),$N$2:$N$1001,0),1)&gt;=100000,INDEX($U$1005:$AC$1005,1,MATCH(COLUMNS($U$1006:Z1006),$U$1006:$AC$1006,0))&gt;=100000), " ",IF(INDEX($U$2:$AC$1001,MATCH(ROWS($N$2:N173),$N$2:$N$1001,0),MATCH(COLUMNS($U$1006:Z1006),$U$1006:$AC$1006,0)), HYPERLINK("#",""), HYPERLINK(CONCATENATE("#metadata!", ADDRESS(INDEX($P$2:$P$1001,MATCH(ROWS($N$2:N173),$N$2:$N$1001,0),0), INDEX($U$1004:$AC$1004,1,MATCH(COLUMNS($U$1006:Z1006),$U$1006:$AC$1006,0)))),"Fix")))</f>
        <v>0</v>
      </c>
      <c r="H173" s="3">
        <f>IF(OR(INDEX($O$2:$O$1001,MATCH(ROWS($N$2:N173),$N$2:$N$1001,0),1)&gt;=100000,INDEX($U$1005:$AC$1005,1,MATCH(COLUMNS($U$1006:AA1006),$U$1006:$AC$1006,0))&gt;=100000), " ",IF(INDEX($U$2:$AC$1001,MATCH(ROWS($N$2:N173),$N$2:$N$1001,0),MATCH(COLUMNS($U$1006:AA1006),$U$1006:$AC$1006,0)), HYPERLINK("#",""), HYPERLINK(CONCATENATE("#metadata!", ADDRESS(INDEX($P$2:$P$1001,MATCH(ROWS($N$2:N173),$N$2:$N$1001,0),0), INDEX($U$1004:$AC$1004,1,MATCH(COLUMNS($U$1006:AA1006),$U$1006:$AC$1006,0)))),"Fix")))</f>
        <v>0</v>
      </c>
      <c r="I173" s="3">
        <f>IF(OR(INDEX($O$2:$O$1001,MATCH(ROWS($N$2:N173),$N$2:$N$1001,0),1)&gt;=100000,INDEX($U$1005:$AC$1005,1,MATCH(COLUMNS($U$1006:AB1006),$U$1006:$AC$1006,0))&gt;=100000), " ",IF(INDEX($U$2:$AC$1001,MATCH(ROWS($N$2:N173),$N$2:$N$1001,0),MATCH(COLUMNS($U$1006:AB1006),$U$1006:$AC$1006,0)), HYPERLINK("#",""), HYPERLINK(CONCATENATE("#metadata!", ADDRESS(INDEX($P$2:$P$1001,MATCH(ROWS($N$2:N173),$N$2:$N$1001,0),0), INDEX($U$1004:$AC$1004,1,MATCH(COLUMNS($U$1006:AB1006),$U$1006:$AC$1006,0)))),"Fix")))</f>
        <v>0</v>
      </c>
      <c r="J173" s="3">
        <f>IF(OR(INDEX($O$2:$O$1001,MATCH(ROWS($N$2:N173),$N$2:$N$1001,0),1)&gt;=100000,INDEX($U$1005:$AC$1005,1,MATCH(COLUMNS($U$1006:AC1006),$U$1006:$AC$1006,0))&gt;=100000), " ",IF(INDEX($U$2:$AC$1001,MATCH(ROWS($N$2:N173),$N$2:$N$1001,0),MATCH(COLUMNS($U$1006:AC1006),$U$1006:$AC$1006,0)), HYPERLINK("#",""), HYPERLINK(CONCATENATE("#metadata!", ADDRESS(INDEX($P$2:$P$1001,MATCH(ROWS($N$2:N173),$N$2:$N$1001,0),0), INDEX($U$1004:$AC$1004,1,MATCH(COLUMNS($U$1006:AC1006),$U$1006:$AC$1006,0)))),"Fix")))</f>
        <v>0</v>
      </c>
      <c r="N173">
        <v>0</v>
      </c>
      <c r="O173">
        <v>0</v>
      </c>
      <c r="P173">
        <v>0</v>
      </c>
      <c r="Q173">
        <f>IF(R173,TRUE,AND(U173:AC173))</f>
        <v>0</v>
      </c>
      <c r="R173">
        <f>COUNTBLANK(metadata!B173:J173)=COLUMNS(metadata!B173:J173)</f>
        <v>0</v>
      </c>
      <c r="S173">
        <v>0</v>
      </c>
      <c r="U173">
        <f>AND(IF(metadata!B173="",FALSE,TRUE),COUNTIF(metadata!B:B, metadata!B173) = 1,NOT(ISERROR(SUMPRODUCT(SEARCH(MID(metadata!B173,ROW(INDIRECT("1:"&amp;LEN(metadata!B173))), 1),"0123456789abcdefghijklmnopqrstuvwxyzABCDEFGHIJKLMNOPQRSTUVWXYZ.")))))</f>
        <v>0</v>
      </c>
      <c r="V173">
        <f>AND(IF(metadata!C173="",FALSE,TRUE),exact(metadata!C173,"UBERON:genitourinary"))</f>
        <v>0</v>
      </c>
      <c r="W173">
        <f>AND(IF(metadata!D173="",FALSE,TRUE),exact(metadata!D173,"UBERON:urine"))</f>
        <v>0</v>
      </c>
      <c r="X173">
        <f>AND(IF(metadata!E173="",FALSE,TRUE),exact(metadata!E173,"UBERON:kidney"))</f>
        <v>0</v>
      </c>
      <c r="Y173">
        <f>AND(IF(metadata!F173="",FALSE,TRUE),exact(metadata!F173,"animal corpus"))</f>
        <v>0</v>
      </c>
      <c r="Z173">
        <f>AND(IF(metadata!G173="",FALSE,TRUE),exact(metadata!G173,"urine"))</f>
        <v>0</v>
      </c>
      <c r="AA173">
        <f>AND(IF(metadata!H173="",FALSE,TRUE),exact(metadata!H173,"urine"))</f>
        <v>0</v>
      </c>
      <c r="AB173">
        <f>AND(IF(metadata!I173="",FALSE,TRUE),exact(metadata!I173,"urine metagenome"))</f>
        <v>0</v>
      </c>
      <c r="AC173">
        <f>AND(IF(metadata!J173="",FALSE,TRUE),exact(metadata!J173,"1346744"))</f>
        <v>0</v>
      </c>
    </row>
    <row r="174" spans="1:29">
      <c r="A174" s="4">
        <f>IF(B174=" "," ",HYPERLINK(CONCATENATE("#metadata!",ADDRESS(INDEX($P$2:$P$1001,MATCH(ROWS($N$2:N174),$N$2:$N$1001,0),0),1)),INDEX($S$2:$S$1001,MATCH(ROWS($N$2:N174),$N$2:$N$1001,0),0)))</f>
        <v>0</v>
      </c>
      <c r="B174" s="3">
        <f>IF(OR(INDEX($O$2:$O$1001,MATCH(ROWS($N$2:N174),$N$2:$N$1001,0),1)&gt;=100000,INDEX($U$1005:$AC$1005,1,MATCH(COLUMNS($U$1006:U1006),$U$1006:$AC$1006,0))&gt;=100000), " ",IF(INDEX($U$2:$AC$1001,MATCH(ROWS($N$2:N174),$N$2:$N$1001,0),MATCH(COLUMNS($U$1006:U1006),$U$1006:$AC$1006,0)), HYPERLINK("#",""), HYPERLINK(CONCATENATE("#metadata!", ADDRESS(INDEX($P$2:$P$1001,MATCH(ROWS($N$2:N174),$N$2:$N$1001,0),0), INDEX($U$1004:$AC$1004,1,MATCH(COLUMNS($U$1006:U1006),$U$1006:$AC$1006,0)))),"Fix")))</f>
        <v>0</v>
      </c>
      <c r="C174" s="3">
        <f>IF(OR(INDEX($O$2:$O$1001,MATCH(ROWS($N$2:N174),$N$2:$N$1001,0),1)&gt;=100000,INDEX($U$1005:$AC$1005,1,MATCH(COLUMNS($U$1006:V1006),$U$1006:$AC$1006,0))&gt;=100000), " ",IF(INDEX($U$2:$AC$1001,MATCH(ROWS($N$2:N174),$N$2:$N$1001,0),MATCH(COLUMNS($U$1006:V1006),$U$1006:$AC$1006,0)), HYPERLINK("#",""), HYPERLINK(CONCATENATE("#metadata!", ADDRESS(INDEX($P$2:$P$1001,MATCH(ROWS($N$2:N174),$N$2:$N$1001,0),0), INDEX($U$1004:$AC$1004,1,MATCH(COLUMNS($U$1006:V1006),$U$1006:$AC$1006,0)))),"Fix")))</f>
        <v>0</v>
      </c>
      <c r="D174" s="3">
        <f>IF(OR(INDEX($O$2:$O$1001,MATCH(ROWS($N$2:N174),$N$2:$N$1001,0),1)&gt;=100000,INDEX($U$1005:$AC$1005,1,MATCH(COLUMNS($U$1006:W1006),$U$1006:$AC$1006,0))&gt;=100000), " ",IF(INDEX($U$2:$AC$1001,MATCH(ROWS($N$2:N174),$N$2:$N$1001,0),MATCH(COLUMNS($U$1006:W1006),$U$1006:$AC$1006,0)), HYPERLINK("#",""), HYPERLINK(CONCATENATE("#metadata!", ADDRESS(INDEX($P$2:$P$1001,MATCH(ROWS($N$2:N174),$N$2:$N$1001,0),0), INDEX($U$1004:$AC$1004,1,MATCH(COLUMNS($U$1006:W1006),$U$1006:$AC$1006,0)))),"Fix")))</f>
        <v>0</v>
      </c>
      <c r="E174" s="3">
        <f>IF(OR(INDEX($O$2:$O$1001,MATCH(ROWS($N$2:N174),$N$2:$N$1001,0),1)&gt;=100000,INDEX($U$1005:$AC$1005,1,MATCH(COLUMNS($U$1006:X1006),$U$1006:$AC$1006,0))&gt;=100000), " ",IF(INDEX($U$2:$AC$1001,MATCH(ROWS($N$2:N174),$N$2:$N$1001,0),MATCH(COLUMNS($U$1006:X1006),$U$1006:$AC$1006,0)), HYPERLINK("#",""), HYPERLINK(CONCATENATE("#metadata!", ADDRESS(INDEX($P$2:$P$1001,MATCH(ROWS($N$2:N174),$N$2:$N$1001,0),0), INDEX($U$1004:$AC$1004,1,MATCH(COLUMNS($U$1006:X1006),$U$1006:$AC$1006,0)))),"Fix")))</f>
        <v>0</v>
      </c>
      <c r="F174" s="3">
        <f>IF(OR(INDEX($O$2:$O$1001,MATCH(ROWS($N$2:N174),$N$2:$N$1001,0),1)&gt;=100000,INDEX($U$1005:$AC$1005,1,MATCH(COLUMNS($U$1006:Y1006),$U$1006:$AC$1006,0))&gt;=100000), " ",IF(INDEX($U$2:$AC$1001,MATCH(ROWS($N$2:N174),$N$2:$N$1001,0),MATCH(COLUMNS($U$1006:Y1006),$U$1006:$AC$1006,0)), HYPERLINK("#",""), HYPERLINK(CONCATENATE("#metadata!", ADDRESS(INDEX($P$2:$P$1001,MATCH(ROWS($N$2:N174),$N$2:$N$1001,0),0), INDEX($U$1004:$AC$1004,1,MATCH(COLUMNS($U$1006:Y1006),$U$1006:$AC$1006,0)))),"Fix")))</f>
        <v>0</v>
      </c>
      <c r="G174" s="3">
        <f>IF(OR(INDEX($O$2:$O$1001,MATCH(ROWS($N$2:N174),$N$2:$N$1001,0),1)&gt;=100000,INDEX($U$1005:$AC$1005,1,MATCH(COLUMNS($U$1006:Z1006),$U$1006:$AC$1006,0))&gt;=100000), " ",IF(INDEX($U$2:$AC$1001,MATCH(ROWS($N$2:N174),$N$2:$N$1001,0),MATCH(COLUMNS($U$1006:Z1006),$U$1006:$AC$1006,0)), HYPERLINK("#",""), HYPERLINK(CONCATENATE("#metadata!", ADDRESS(INDEX($P$2:$P$1001,MATCH(ROWS($N$2:N174),$N$2:$N$1001,0),0), INDEX($U$1004:$AC$1004,1,MATCH(COLUMNS($U$1006:Z1006),$U$1006:$AC$1006,0)))),"Fix")))</f>
        <v>0</v>
      </c>
      <c r="H174" s="3">
        <f>IF(OR(INDEX($O$2:$O$1001,MATCH(ROWS($N$2:N174),$N$2:$N$1001,0),1)&gt;=100000,INDEX($U$1005:$AC$1005,1,MATCH(COLUMNS($U$1006:AA1006),$U$1006:$AC$1006,0))&gt;=100000), " ",IF(INDEX($U$2:$AC$1001,MATCH(ROWS($N$2:N174),$N$2:$N$1001,0),MATCH(COLUMNS($U$1006:AA1006),$U$1006:$AC$1006,0)), HYPERLINK("#",""), HYPERLINK(CONCATENATE("#metadata!", ADDRESS(INDEX($P$2:$P$1001,MATCH(ROWS($N$2:N174),$N$2:$N$1001,0),0), INDEX($U$1004:$AC$1004,1,MATCH(COLUMNS($U$1006:AA1006),$U$1006:$AC$1006,0)))),"Fix")))</f>
        <v>0</v>
      </c>
      <c r="I174" s="3">
        <f>IF(OR(INDEX($O$2:$O$1001,MATCH(ROWS($N$2:N174),$N$2:$N$1001,0),1)&gt;=100000,INDEX($U$1005:$AC$1005,1,MATCH(COLUMNS($U$1006:AB1006),$U$1006:$AC$1006,0))&gt;=100000), " ",IF(INDEX($U$2:$AC$1001,MATCH(ROWS($N$2:N174),$N$2:$N$1001,0),MATCH(COLUMNS($U$1006:AB1006),$U$1006:$AC$1006,0)), HYPERLINK("#",""), HYPERLINK(CONCATENATE("#metadata!", ADDRESS(INDEX($P$2:$P$1001,MATCH(ROWS($N$2:N174),$N$2:$N$1001,0),0), INDEX($U$1004:$AC$1004,1,MATCH(COLUMNS($U$1006:AB1006),$U$1006:$AC$1006,0)))),"Fix")))</f>
        <v>0</v>
      </c>
      <c r="J174" s="3">
        <f>IF(OR(INDEX($O$2:$O$1001,MATCH(ROWS($N$2:N174),$N$2:$N$1001,0),1)&gt;=100000,INDEX($U$1005:$AC$1005,1,MATCH(COLUMNS($U$1006:AC1006),$U$1006:$AC$1006,0))&gt;=100000), " ",IF(INDEX($U$2:$AC$1001,MATCH(ROWS($N$2:N174),$N$2:$N$1001,0),MATCH(COLUMNS($U$1006:AC1006),$U$1006:$AC$1006,0)), HYPERLINK("#",""), HYPERLINK(CONCATENATE("#metadata!", ADDRESS(INDEX($P$2:$P$1001,MATCH(ROWS($N$2:N174),$N$2:$N$1001,0),0), INDEX($U$1004:$AC$1004,1,MATCH(COLUMNS($U$1006:AC1006),$U$1006:$AC$1006,0)))),"Fix")))</f>
        <v>0</v>
      </c>
      <c r="N174">
        <v>0</v>
      </c>
      <c r="O174">
        <v>0</v>
      </c>
      <c r="P174">
        <v>0</v>
      </c>
      <c r="Q174">
        <f>IF(R174,TRUE,AND(U174:AC174))</f>
        <v>0</v>
      </c>
      <c r="R174">
        <f>COUNTBLANK(metadata!B174:J174)=COLUMNS(metadata!B174:J174)</f>
        <v>0</v>
      </c>
      <c r="S174">
        <v>0</v>
      </c>
      <c r="U174">
        <f>AND(IF(metadata!B174="",FALSE,TRUE),COUNTIF(metadata!B:B, metadata!B174) = 1,NOT(ISERROR(SUMPRODUCT(SEARCH(MID(metadata!B174,ROW(INDIRECT("1:"&amp;LEN(metadata!B174))), 1),"0123456789abcdefghijklmnopqrstuvwxyzABCDEFGHIJKLMNOPQRSTUVWXYZ.")))))</f>
        <v>0</v>
      </c>
      <c r="V174">
        <f>AND(IF(metadata!C174="",FALSE,TRUE),exact(metadata!C174,"UBERON:genitourinary"))</f>
        <v>0</v>
      </c>
      <c r="W174">
        <f>AND(IF(metadata!D174="",FALSE,TRUE),exact(metadata!D174,"UBERON:urine"))</f>
        <v>0</v>
      </c>
      <c r="X174">
        <f>AND(IF(metadata!E174="",FALSE,TRUE),exact(metadata!E174,"UBERON:kidney"))</f>
        <v>0</v>
      </c>
      <c r="Y174">
        <f>AND(IF(metadata!F174="",FALSE,TRUE),exact(metadata!F174,"animal corpus"))</f>
        <v>0</v>
      </c>
      <c r="Z174">
        <f>AND(IF(metadata!G174="",FALSE,TRUE),exact(metadata!G174,"urine"))</f>
        <v>0</v>
      </c>
      <c r="AA174">
        <f>AND(IF(metadata!H174="",FALSE,TRUE),exact(metadata!H174,"urine"))</f>
        <v>0</v>
      </c>
      <c r="AB174">
        <f>AND(IF(metadata!I174="",FALSE,TRUE),exact(metadata!I174,"urine metagenome"))</f>
        <v>0</v>
      </c>
      <c r="AC174">
        <f>AND(IF(metadata!J174="",FALSE,TRUE),exact(metadata!J174,"1346744"))</f>
        <v>0</v>
      </c>
    </row>
    <row r="175" spans="1:29">
      <c r="A175" s="4">
        <f>IF(B175=" "," ",HYPERLINK(CONCATENATE("#metadata!",ADDRESS(INDEX($P$2:$P$1001,MATCH(ROWS($N$2:N175),$N$2:$N$1001,0),0),1)),INDEX($S$2:$S$1001,MATCH(ROWS($N$2:N175),$N$2:$N$1001,0),0)))</f>
        <v>0</v>
      </c>
      <c r="B175" s="3">
        <f>IF(OR(INDEX($O$2:$O$1001,MATCH(ROWS($N$2:N175),$N$2:$N$1001,0),1)&gt;=100000,INDEX($U$1005:$AC$1005,1,MATCH(COLUMNS($U$1006:U1006),$U$1006:$AC$1006,0))&gt;=100000), " ",IF(INDEX($U$2:$AC$1001,MATCH(ROWS($N$2:N175),$N$2:$N$1001,0),MATCH(COLUMNS($U$1006:U1006),$U$1006:$AC$1006,0)), HYPERLINK("#",""), HYPERLINK(CONCATENATE("#metadata!", ADDRESS(INDEX($P$2:$P$1001,MATCH(ROWS($N$2:N175),$N$2:$N$1001,0),0), INDEX($U$1004:$AC$1004,1,MATCH(COLUMNS($U$1006:U1006),$U$1006:$AC$1006,0)))),"Fix")))</f>
        <v>0</v>
      </c>
      <c r="C175" s="3">
        <f>IF(OR(INDEX($O$2:$O$1001,MATCH(ROWS($N$2:N175),$N$2:$N$1001,0),1)&gt;=100000,INDEX($U$1005:$AC$1005,1,MATCH(COLUMNS($U$1006:V1006),$U$1006:$AC$1006,0))&gt;=100000), " ",IF(INDEX($U$2:$AC$1001,MATCH(ROWS($N$2:N175),$N$2:$N$1001,0),MATCH(COLUMNS($U$1006:V1006),$U$1006:$AC$1006,0)), HYPERLINK("#",""), HYPERLINK(CONCATENATE("#metadata!", ADDRESS(INDEX($P$2:$P$1001,MATCH(ROWS($N$2:N175),$N$2:$N$1001,0),0), INDEX($U$1004:$AC$1004,1,MATCH(COLUMNS($U$1006:V1006),$U$1006:$AC$1006,0)))),"Fix")))</f>
        <v>0</v>
      </c>
      <c r="D175" s="3">
        <f>IF(OR(INDEX($O$2:$O$1001,MATCH(ROWS($N$2:N175),$N$2:$N$1001,0),1)&gt;=100000,INDEX($U$1005:$AC$1005,1,MATCH(COLUMNS($U$1006:W1006),$U$1006:$AC$1006,0))&gt;=100000), " ",IF(INDEX($U$2:$AC$1001,MATCH(ROWS($N$2:N175),$N$2:$N$1001,0),MATCH(COLUMNS($U$1006:W1006),$U$1006:$AC$1006,0)), HYPERLINK("#",""), HYPERLINK(CONCATENATE("#metadata!", ADDRESS(INDEX($P$2:$P$1001,MATCH(ROWS($N$2:N175),$N$2:$N$1001,0),0), INDEX($U$1004:$AC$1004,1,MATCH(COLUMNS($U$1006:W1006),$U$1006:$AC$1006,0)))),"Fix")))</f>
        <v>0</v>
      </c>
      <c r="E175" s="3">
        <f>IF(OR(INDEX($O$2:$O$1001,MATCH(ROWS($N$2:N175),$N$2:$N$1001,0),1)&gt;=100000,INDEX($U$1005:$AC$1005,1,MATCH(COLUMNS($U$1006:X1006),$U$1006:$AC$1006,0))&gt;=100000), " ",IF(INDEX($U$2:$AC$1001,MATCH(ROWS($N$2:N175),$N$2:$N$1001,0),MATCH(COLUMNS($U$1006:X1006),$U$1006:$AC$1006,0)), HYPERLINK("#",""), HYPERLINK(CONCATENATE("#metadata!", ADDRESS(INDEX($P$2:$P$1001,MATCH(ROWS($N$2:N175),$N$2:$N$1001,0),0), INDEX($U$1004:$AC$1004,1,MATCH(COLUMNS($U$1006:X1006),$U$1006:$AC$1006,0)))),"Fix")))</f>
        <v>0</v>
      </c>
      <c r="F175" s="3">
        <f>IF(OR(INDEX($O$2:$O$1001,MATCH(ROWS($N$2:N175),$N$2:$N$1001,0),1)&gt;=100000,INDEX($U$1005:$AC$1005,1,MATCH(COLUMNS($U$1006:Y1006),$U$1006:$AC$1006,0))&gt;=100000), " ",IF(INDEX($U$2:$AC$1001,MATCH(ROWS($N$2:N175),$N$2:$N$1001,0),MATCH(COLUMNS($U$1006:Y1006),$U$1006:$AC$1006,0)), HYPERLINK("#",""), HYPERLINK(CONCATENATE("#metadata!", ADDRESS(INDEX($P$2:$P$1001,MATCH(ROWS($N$2:N175),$N$2:$N$1001,0),0), INDEX($U$1004:$AC$1004,1,MATCH(COLUMNS($U$1006:Y1006),$U$1006:$AC$1006,0)))),"Fix")))</f>
        <v>0</v>
      </c>
      <c r="G175" s="3">
        <f>IF(OR(INDEX($O$2:$O$1001,MATCH(ROWS($N$2:N175),$N$2:$N$1001,0),1)&gt;=100000,INDEX($U$1005:$AC$1005,1,MATCH(COLUMNS($U$1006:Z1006),$U$1006:$AC$1006,0))&gt;=100000), " ",IF(INDEX($U$2:$AC$1001,MATCH(ROWS($N$2:N175),$N$2:$N$1001,0),MATCH(COLUMNS($U$1006:Z1006),$U$1006:$AC$1006,0)), HYPERLINK("#",""), HYPERLINK(CONCATENATE("#metadata!", ADDRESS(INDEX($P$2:$P$1001,MATCH(ROWS($N$2:N175),$N$2:$N$1001,0),0), INDEX($U$1004:$AC$1004,1,MATCH(COLUMNS($U$1006:Z1006),$U$1006:$AC$1006,0)))),"Fix")))</f>
        <v>0</v>
      </c>
      <c r="H175" s="3">
        <f>IF(OR(INDEX($O$2:$O$1001,MATCH(ROWS($N$2:N175),$N$2:$N$1001,0),1)&gt;=100000,INDEX($U$1005:$AC$1005,1,MATCH(COLUMNS($U$1006:AA1006),$U$1006:$AC$1006,0))&gt;=100000), " ",IF(INDEX($U$2:$AC$1001,MATCH(ROWS($N$2:N175),$N$2:$N$1001,0),MATCH(COLUMNS($U$1006:AA1006),$U$1006:$AC$1006,0)), HYPERLINK("#",""), HYPERLINK(CONCATENATE("#metadata!", ADDRESS(INDEX($P$2:$P$1001,MATCH(ROWS($N$2:N175),$N$2:$N$1001,0),0), INDEX($U$1004:$AC$1004,1,MATCH(COLUMNS($U$1006:AA1006),$U$1006:$AC$1006,0)))),"Fix")))</f>
        <v>0</v>
      </c>
      <c r="I175" s="3">
        <f>IF(OR(INDEX($O$2:$O$1001,MATCH(ROWS($N$2:N175),$N$2:$N$1001,0),1)&gt;=100000,INDEX($U$1005:$AC$1005,1,MATCH(COLUMNS($U$1006:AB1006),$U$1006:$AC$1006,0))&gt;=100000), " ",IF(INDEX($U$2:$AC$1001,MATCH(ROWS($N$2:N175),$N$2:$N$1001,0),MATCH(COLUMNS($U$1006:AB1006),$U$1006:$AC$1006,0)), HYPERLINK("#",""), HYPERLINK(CONCATENATE("#metadata!", ADDRESS(INDEX($P$2:$P$1001,MATCH(ROWS($N$2:N175),$N$2:$N$1001,0),0), INDEX($U$1004:$AC$1004,1,MATCH(COLUMNS($U$1006:AB1006),$U$1006:$AC$1006,0)))),"Fix")))</f>
        <v>0</v>
      </c>
      <c r="J175" s="3">
        <f>IF(OR(INDEX($O$2:$O$1001,MATCH(ROWS($N$2:N175),$N$2:$N$1001,0),1)&gt;=100000,INDEX($U$1005:$AC$1005,1,MATCH(COLUMNS($U$1006:AC1006),$U$1006:$AC$1006,0))&gt;=100000), " ",IF(INDEX($U$2:$AC$1001,MATCH(ROWS($N$2:N175),$N$2:$N$1001,0),MATCH(COLUMNS($U$1006:AC1006),$U$1006:$AC$1006,0)), HYPERLINK("#",""), HYPERLINK(CONCATENATE("#metadata!", ADDRESS(INDEX($P$2:$P$1001,MATCH(ROWS($N$2:N175),$N$2:$N$1001,0),0), INDEX($U$1004:$AC$1004,1,MATCH(COLUMNS($U$1006:AC1006),$U$1006:$AC$1006,0)))),"Fix")))</f>
        <v>0</v>
      </c>
      <c r="N175">
        <v>0</v>
      </c>
      <c r="O175">
        <v>0</v>
      </c>
      <c r="P175">
        <v>0</v>
      </c>
      <c r="Q175">
        <f>IF(R175,TRUE,AND(U175:AC175))</f>
        <v>0</v>
      </c>
      <c r="R175">
        <f>COUNTBLANK(metadata!B175:J175)=COLUMNS(metadata!B175:J175)</f>
        <v>0</v>
      </c>
      <c r="S175">
        <v>0</v>
      </c>
      <c r="U175">
        <f>AND(IF(metadata!B175="",FALSE,TRUE),COUNTIF(metadata!B:B, metadata!B175) = 1,NOT(ISERROR(SUMPRODUCT(SEARCH(MID(metadata!B175,ROW(INDIRECT("1:"&amp;LEN(metadata!B175))), 1),"0123456789abcdefghijklmnopqrstuvwxyzABCDEFGHIJKLMNOPQRSTUVWXYZ.")))))</f>
        <v>0</v>
      </c>
      <c r="V175">
        <f>AND(IF(metadata!C175="",FALSE,TRUE),exact(metadata!C175,"UBERON:genitourinary"))</f>
        <v>0</v>
      </c>
      <c r="W175">
        <f>AND(IF(metadata!D175="",FALSE,TRUE),exact(metadata!D175,"UBERON:urine"))</f>
        <v>0</v>
      </c>
      <c r="X175">
        <f>AND(IF(metadata!E175="",FALSE,TRUE),exact(metadata!E175,"UBERON:kidney"))</f>
        <v>0</v>
      </c>
      <c r="Y175">
        <f>AND(IF(metadata!F175="",FALSE,TRUE),exact(metadata!F175,"animal corpus"))</f>
        <v>0</v>
      </c>
      <c r="Z175">
        <f>AND(IF(metadata!G175="",FALSE,TRUE),exact(metadata!G175,"urine"))</f>
        <v>0</v>
      </c>
      <c r="AA175">
        <f>AND(IF(metadata!H175="",FALSE,TRUE),exact(metadata!H175,"urine"))</f>
        <v>0</v>
      </c>
      <c r="AB175">
        <f>AND(IF(metadata!I175="",FALSE,TRUE),exact(metadata!I175,"urine metagenome"))</f>
        <v>0</v>
      </c>
      <c r="AC175">
        <f>AND(IF(metadata!J175="",FALSE,TRUE),exact(metadata!J175,"1346744"))</f>
        <v>0</v>
      </c>
    </row>
    <row r="176" spans="1:29">
      <c r="A176" s="4">
        <f>IF(B176=" "," ",HYPERLINK(CONCATENATE("#metadata!",ADDRESS(INDEX($P$2:$P$1001,MATCH(ROWS($N$2:N176),$N$2:$N$1001,0),0),1)),INDEX($S$2:$S$1001,MATCH(ROWS($N$2:N176),$N$2:$N$1001,0),0)))</f>
        <v>0</v>
      </c>
      <c r="B176" s="3">
        <f>IF(OR(INDEX($O$2:$O$1001,MATCH(ROWS($N$2:N176),$N$2:$N$1001,0),1)&gt;=100000,INDEX($U$1005:$AC$1005,1,MATCH(COLUMNS($U$1006:U1006),$U$1006:$AC$1006,0))&gt;=100000), " ",IF(INDEX($U$2:$AC$1001,MATCH(ROWS($N$2:N176),$N$2:$N$1001,0),MATCH(COLUMNS($U$1006:U1006),$U$1006:$AC$1006,0)), HYPERLINK("#",""), HYPERLINK(CONCATENATE("#metadata!", ADDRESS(INDEX($P$2:$P$1001,MATCH(ROWS($N$2:N176),$N$2:$N$1001,0),0), INDEX($U$1004:$AC$1004,1,MATCH(COLUMNS($U$1006:U1006),$U$1006:$AC$1006,0)))),"Fix")))</f>
        <v>0</v>
      </c>
      <c r="C176" s="3">
        <f>IF(OR(INDEX($O$2:$O$1001,MATCH(ROWS($N$2:N176),$N$2:$N$1001,0),1)&gt;=100000,INDEX($U$1005:$AC$1005,1,MATCH(COLUMNS($U$1006:V1006),$U$1006:$AC$1006,0))&gt;=100000), " ",IF(INDEX($U$2:$AC$1001,MATCH(ROWS($N$2:N176),$N$2:$N$1001,0),MATCH(COLUMNS($U$1006:V1006),$U$1006:$AC$1006,0)), HYPERLINK("#",""), HYPERLINK(CONCATENATE("#metadata!", ADDRESS(INDEX($P$2:$P$1001,MATCH(ROWS($N$2:N176),$N$2:$N$1001,0),0), INDEX($U$1004:$AC$1004,1,MATCH(COLUMNS($U$1006:V1006),$U$1006:$AC$1006,0)))),"Fix")))</f>
        <v>0</v>
      </c>
      <c r="D176" s="3">
        <f>IF(OR(INDEX($O$2:$O$1001,MATCH(ROWS($N$2:N176),$N$2:$N$1001,0),1)&gt;=100000,INDEX($U$1005:$AC$1005,1,MATCH(COLUMNS($U$1006:W1006),$U$1006:$AC$1006,0))&gt;=100000), " ",IF(INDEX($U$2:$AC$1001,MATCH(ROWS($N$2:N176),$N$2:$N$1001,0),MATCH(COLUMNS($U$1006:W1006),$U$1006:$AC$1006,0)), HYPERLINK("#",""), HYPERLINK(CONCATENATE("#metadata!", ADDRESS(INDEX($P$2:$P$1001,MATCH(ROWS($N$2:N176),$N$2:$N$1001,0),0), INDEX($U$1004:$AC$1004,1,MATCH(COLUMNS($U$1006:W1006),$U$1006:$AC$1006,0)))),"Fix")))</f>
        <v>0</v>
      </c>
      <c r="E176" s="3">
        <f>IF(OR(INDEX($O$2:$O$1001,MATCH(ROWS($N$2:N176),$N$2:$N$1001,0),1)&gt;=100000,INDEX($U$1005:$AC$1005,1,MATCH(COLUMNS($U$1006:X1006),$U$1006:$AC$1006,0))&gt;=100000), " ",IF(INDEX($U$2:$AC$1001,MATCH(ROWS($N$2:N176),$N$2:$N$1001,0),MATCH(COLUMNS($U$1006:X1006),$U$1006:$AC$1006,0)), HYPERLINK("#",""), HYPERLINK(CONCATENATE("#metadata!", ADDRESS(INDEX($P$2:$P$1001,MATCH(ROWS($N$2:N176),$N$2:$N$1001,0),0), INDEX($U$1004:$AC$1004,1,MATCH(COLUMNS($U$1006:X1006),$U$1006:$AC$1006,0)))),"Fix")))</f>
        <v>0</v>
      </c>
      <c r="F176" s="3">
        <f>IF(OR(INDEX($O$2:$O$1001,MATCH(ROWS($N$2:N176),$N$2:$N$1001,0),1)&gt;=100000,INDEX($U$1005:$AC$1005,1,MATCH(COLUMNS($U$1006:Y1006),$U$1006:$AC$1006,0))&gt;=100000), " ",IF(INDEX($U$2:$AC$1001,MATCH(ROWS($N$2:N176),$N$2:$N$1001,0),MATCH(COLUMNS($U$1006:Y1006),$U$1006:$AC$1006,0)), HYPERLINK("#",""), HYPERLINK(CONCATENATE("#metadata!", ADDRESS(INDEX($P$2:$P$1001,MATCH(ROWS($N$2:N176),$N$2:$N$1001,0),0), INDEX($U$1004:$AC$1004,1,MATCH(COLUMNS($U$1006:Y1006),$U$1006:$AC$1006,0)))),"Fix")))</f>
        <v>0</v>
      </c>
      <c r="G176" s="3">
        <f>IF(OR(INDEX($O$2:$O$1001,MATCH(ROWS($N$2:N176),$N$2:$N$1001,0),1)&gt;=100000,INDEX($U$1005:$AC$1005,1,MATCH(COLUMNS($U$1006:Z1006),$U$1006:$AC$1006,0))&gt;=100000), " ",IF(INDEX($U$2:$AC$1001,MATCH(ROWS($N$2:N176),$N$2:$N$1001,0),MATCH(COLUMNS($U$1006:Z1006),$U$1006:$AC$1006,0)), HYPERLINK("#",""), HYPERLINK(CONCATENATE("#metadata!", ADDRESS(INDEX($P$2:$P$1001,MATCH(ROWS($N$2:N176),$N$2:$N$1001,0),0), INDEX($U$1004:$AC$1004,1,MATCH(COLUMNS($U$1006:Z1006),$U$1006:$AC$1006,0)))),"Fix")))</f>
        <v>0</v>
      </c>
      <c r="H176" s="3">
        <f>IF(OR(INDEX($O$2:$O$1001,MATCH(ROWS($N$2:N176),$N$2:$N$1001,0),1)&gt;=100000,INDEX($U$1005:$AC$1005,1,MATCH(COLUMNS($U$1006:AA1006),$U$1006:$AC$1006,0))&gt;=100000), " ",IF(INDEX($U$2:$AC$1001,MATCH(ROWS($N$2:N176),$N$2:$N$1001,0),MATCH(COLUMNS($U$1006:AA1006),$U$1006:$AC$1006,0)), HYPERLINK("#",""), HYPERLINK(CONCATENATE("#metadata!", ADDRESS(INDEX($P$2:$P$1001,MATCH(ROWS($N$2:N176),$N$2:$N$1001,0),0), INDEX($U$1004:$AC$1004,1,MATCH(COLUMNS($U$1006:AA1006),$U$1006:$AC$1006,0)))),"Fix")))</f>
        <v>0</v>
      </c>
      <c r="I176" s="3">
        <f>IF(OR(INDEX($O$2:$O$1001,MATCH(ROWS($N$2:N176),$N$2:$N$1001,0),1)&gt;=100000,INDEX($U$1005:$AC$1005,1,MATCH(COLUMNS($U$1006:AB1006),$U$1006:$AC$1006,0))&gt;=100000), " ",IF(INDEX($U$2:$AC$1001,MATCH(ROWS($N$2:N176),$N$2:$N$1001,0),MATCH(COLUMNS($U$1006:AB1006),$U$1006:$AC$1006,0)), HYPERLINK("#",""), HYPERLINK(CONCATENATE("#metadata!", ADDRESS(INDEX($P$2:$P$1001,MATCH(ROWS($N$2:N176),$N$2:$N$1001,0),0), INDEX($U$1004:$AC$1004,1,MATCH(COLUMNS($U$1006:AB1006),$U$1006:$AC$1006,0)))),"Fix")))</f>
        <v>0</v>
      </c>
      <c r="J176" s="3">
        <f>IF(OR(INDEX($O$2:$O$1001,MATCH(ROWS($N$2:N176),$N$2:$N$1001,0),1)&gt;=100000,INDEX($U$1005:$AC$1005,1,MATCH(COLUMNS($U$1006:AC1006),$U$1006:$AC$1006,0))&gt;=100000), " ",IF(INDEX($U$2:$AC$1001,MATCH(ROWS($N$2:N176),$N$2:$N$1001,0),MATCH(COLUMNS($U$1006:AC1006),$U$1006:$AC$1006,0)), HYPERLINK("#",""), HYPERLINK(CONCATENATE("#metadata!", ADDRESS(INDEX($P$2:$P$1001,MATCH(ROWS($N$2:N176),$N$2:$N$1001,0),0), INDEX($U$1004:$AC$1004,1,MATCH(COLUMNS($U$1006:AC1006),$U$1006:$AC$1006,0)))),"Fix")))</f>
        <v>0</v>
      </c>
      <c r="N176">
        <v>0</v>
      </c>
      <c r="O176">
        <v>0</v>
      </c>
      <c r="P176">
        <v>0</v>
      </c>
      <c r="Q176">
        <f>IF(R176,TRUE,AND(U176:AC176))</f>
        <v>0</v>
      </c>
      <c r="R176">
        <f>COUNTBLANK(metadata!B176:J176)=COLUMNS(metadata!B176:J176)</f>
        <v>0</v>
      </c>
      <c r="S176">
        <v>0</v>
      </c>
      <c r="U176">
        <f>AND(IF(metadata!B176="",FALSE,TRUE),COUNTIF(metadata!B:B, metadata!B176) = 1,NOT(ISERROR(SUMPRODUCT(SEARCH(MID(metadata!B176,ROW(INDIRECT("1:"&amp;LEN(metadata!B176))), 1),"0123456789abcdefghijklmnopqrstuvwxyzABCDEFGHIJKLMNOPQRSTUVWXYZ.")))))</f>
        <v>0</v>
      </c>
      <c r="V176">
        <f>AND(IF(metadata!C176="",FALSE,TRUE),exact(metadata!C176,"UBERON:genitourinary"))</f>
        <v>0</v>
      </c>
      <c r="W176">
        <f>AND(IF(metadata!D176="",FALSE,TRUE),exact(metadata!D176,"UBERON:urine"))</f>
        <v>0</v>
      </c>
      <c r="X176">
        <f>AND(IF(metadata!E176="",FALSE,TRUE),exact(metadata!E176,"UBERON:kidney"))</f>
        <v>0</v>
      </c>
      <c r="Y176">
        <f>AND(IF(metadata!F176="",FALSE,TRUE),exact(metadata!F176,"animal corpus"))</f>
        <v>0</v>
      </c>
      <c r="Z176">
        <f>AND(IF(metadata!G176="",FALSE,TRUE),exact(metadata!G176,"urine"))</f>
        <v>0</v>
      </c>
      <c r="AA176">
        <f>AND(IF(metadata!H176="",FALSE,TRUE),exact(metadata!H176,"urine"))</f>
        <v>0</v>
      </c>
      <c r="AB176">
        <f>AND(IF(metadata!I176="",FALSE,TRUE),exact(metadata!I176,"urine metagenome"))</f>
        <v>0</v>
      </c>
      <c r="AC176">
        <f>AND(IF(metadata!J176="",FALSE,TRUE),exact(metadata!J176,"1346744"))</f>
        <v>0</v>
      </c>
    </row>
    <row r="177" spans="1:29">
      <c r="A177" s="4">
        <f>IF(B177=" "," ",HYPERLINK(CONCATENATE("#metadata!",ADDRESS(INDEX($P$2:$P$1001,MATCH(ROWS($N$2:N177),$N$2:$N$1001,0),0),1)),INDEX($S$2:$S$1001,MATCH(ROWS($N$2:N177),$N$2:$N$1001,0),0)))</f>
        <v>0</v>
      </c>
      <c r="B177" s="3">
        <f>IF(OR(INDEX($O$2:$O$1001,MATCH(ROWS($N$2:N177),$N$2:$N$1001,0),1)&gt;=100000,INDEX($U$1005:$AC$1005,1,MATCH(COLUMNS($U$1006:U1006),$U$1006:$AC$1006,0))&gt;=100000), " ",IF(INDEX($U$2:$AC$1001,MATCH(ROWS($N$2:N177),$N$2:$N$1001,0),MATCH(COLUMNS($U$1006:U1006),$U$1006:$AC$1006,0)), HYPERLINK("#",""), HYPERLINK(CONCATENATE("#metadata!", ADDRESS(INDEX($P$2:$P$1001,MATCH(ROWS($N$2:N177),$N$2:$N$1001,0),0), INDEX($U$1004:$AC$1004,1,MATCH(COLUMNS($U$1006:U1006),$U$1006:$AC$1006,0)))),"Fix")))</f>
        <v>0</v>
      </c>
      <c r="C177" s="3">
        <f>IF(OR(INDEX($O$2:$O$1001,MATCH(ROWS($N$2:N177),$N$2:$N$1001,0),1)&gt;=100000,INDEX($U$1005:$AC$1005,1,MATCH(COLUMNS($U$1006:V1006),$U$1006:$AC$1006,0))&gt;=100000), " ",IF(INDEX($U$2:$AC$1001,MATCH(ROWS($N$2:N177),$N$2:$N$1001,0),MATCH(COLUMNS($U$1006:V1006),$U$1006:$AC$1006,0)), HYPERLINK("#",""), HYPERLINK(CONCATENATE("#metadata!", ADDRESS(INDEX($P$2:$P$1001,MATCH(ROWS($N$2:N177),$N$2:$N$1001,0),0), INDEX($U$1004:$AC$1004,1,MATCH(COLUMNS($U$1006:V1006),$U$1006:$AC$1006,0)))),"Fix")))</f>
        <v>0</v>
      </c>
      <c r="D177" s="3">
        <f>IF(OR(INDEX($O$2:$O$1001,MATCH(ROWS($N$2:N177),$N$2:$N$1001,0),1)&gt;=100000,INDEX($U$1005:$AC$1005,1,MATCH(COLUMNS($U$1006:W1006),$U$1006:$AC$1006,0))&gt;=100000), " ",IF(INDEX($U$2:$AC$1001,MATCH(ROWS($N$2:N177),$N$2:$N$1001,0),MATCH(COLUMNS($U$1006:W1006),$U$1006:$AC$1006,0)), HYPERLINK("#",""), HYPERLINK(CONCATENATE("#metadata!", ADDRESS(INDEX($P$2:$P$1001,MATCH(ROWS($N$2:N177),$N$2:$N$1001,0),0), INDEX($U$1004:$AC$1004,1,MATCH(COLUMNS($U$1006:W1006),$U$1006:$AC$1006,0)))),"Fix")))</f>
        <v>0</v>
      </c>
      <c r="E177" s="3">
        <f>IF(OR(INDEX($O$2:$O$1001,MATCH(ROWS($N$2:N177),$N$2:$N$1001,0),1)&gt;=100000,INDEX($U$1005:$AC$1005,1,MATCH(COLUMNS($U$1006:X1006),$U$1006:$AC$1006,0))&gt;=100000), " ",IF(INDEX($U$2:$AC$1001,MATCH(ROWS($N$2:N177),$N$2:$N$1001,0),MATCH(COLUMNS($U$1006:X1006),$U$1006:$AC$1006,0)), HYPERLINK("#",""), HYPERLINK(CONCATENATE("#metadata!", ADDRESS(INDEX($P$2:$P$1001,MATCH(ROWS($N$2:N177),$N$2:$N$1001,0),0), INDEX($U$1004:$AC$1004,1,MATCH(COLUMNS($U$1006:X1006),$U$1006:$AC$1006,0)))),"Fix")))</f>
        <v>0</v>
      </c>
      <c r="F177" s="3">
        <f>IF(OR(INDEX($O$2:$O$1001,MATCH(ROWS($N$2:N177),$N$2:$N$1001,0),1)&gt;=100000,INDEX($U$1005:$AC$1005,1,MATCH(COLUMNS($U$1006:Y1006),$U$1006:$AC$1006,0))&gt;=100000), " ",IF(INDEX($U$2:$AC$1001,MATCH(ROWS($N$2:N177),$N$2:$N$1001,0),MATCH(COLUMNS($U$1006:Y1006),$U$1006:$AC$1006,0)), HYPERLINK("#",""), HYPERLINK(CONCATENATE("#metadata!", ADDRESS(INDEX($P$2:$P$1001,MATCH(ROWS($N$2:N177),$N$2:$N$1001,0),0), INDEX($U$1004:$AC$1004,1,MATCH(COLUMNS($U$1006:Y1006),$U$1006:$AC$1006,0)))),"Fix")))</f>
        <v>0</v>
      </c>
      <c r="G177" s="3">
        <f>IF(OR(INDEX($O$2:$O$1001,MATCH(ROWS($N$2:N177),$N$2:$N$1001,0),1)&gt;=100000,INDEX($U$1005:$AC$1005,1,MATCH(COLUMNS($U$1006:Z1006),$U$1006:$AC$1006,0))&gt;=100000), " ",IF(INDEX($U$2:$AC$1001,MATCH(ROWS($N$2:N177),$N$2:$N$1001,0),MATCH(COLUMNS($U$1006:Z1006),$U$1006:$AC$1006,0)), HYPERLINK("#",""), HYPERLINK(CONCATENATE("#metadata!", ADDRESS(INDEX($P$2:$P$1001,MATCH(ROWS($N$2:N177),$N$2:$N$1001,0),0), INDEX($U$1004:$AC$1004,1,MATCH(COLUMNS($U$1006:Z1006),$U$1006:$AC$1006,0)))),"Fix")))</f>
        <v>0</v>
      </c>
      <c r="H177" s="3">
        <f>IF(OR(INDEX($O$2:$O$1001,MATCH(ROWS($N$2:N177),$N$2:$N$1001,0),1)&gt;=100000,INDEX($U$1005:$AC$1005,1,MATCH(COLUMNS($U$1006:AA1006),$U$1006:$AC$1006,0))&gt;=100000), " ",IF(INDEX($U$2:$AC$1001,MATCH(ROWS($N$2:N177),$N$2:$N$1001,0),MATCH(COLUMNS($U$1006:AA1006),$U$1006:$AC$1006,0)), HYPERLINK("#",""), HYPERLINK(CONCATENATE("#metadata!", ADDRESS(INDEX($P$2:$P$1001,MATCH(ROWS($N$2:N177),$N$2:$N$1001,0),0), INDEX($U$1004:$AC$1004,1,MATCH(COLUMNS($U$1006:AA1006),$U$1006:$AC$1006,0)))),"Fix")))</f>
        <v>0</v>
      </c>
      <c r="I177" s="3">
        <f>IF(OR(INDEX($O$2:$O$1001,MATCH(ROWS($N$2:N177),$N$2:$N$1001,0),1)&gt;=100000,INDEX($U$1005:$AC$1005,1,MATCH(COLUMNS($U$1006:AB1006),$U$1006:$AC$1006,0))&gt;=100000), " ",IF(INDEX($U$2:$AC$1001,MATCH(ROWS($N$2:N177),$N$2:$N$1001,0),MATCH(COLUMNS($U$1006:AB1006),$U$1006:$AC$1006,0)), HYPERLINK("#",""), HYPERLINK(CONCATENATE("#metadata!", ADDRESS(INDEX($P$2:$P$1001,MATCH(ROWS($N$2:N177),$N$2:$N$1001,0),0), INDEX($U$1004:$AC$1004,1,MATCH(COLUMNS($U$1006:AB1006),$U$1006:$AC$1006,0)))),"Fix")))</f>
        <v>0</v>
      </c>
      <c r="J177" s="3">
        <f>IF(OR(INDEX($O$2:$O$1001,MATCH(ROWS($N$2:N177),$N$2:$N$1001,0),1)&gt;=100000,INDEX($U$1005:$AC$1005,1,MATCH(COLUMNS($U$1006:AC1006),$U$1006:$AC$1006,0))&gt;=100000), " ",IF(INDEX($U$2:$AC$1001,MATCH(ROWS($N$2:N177),$N$2:$N$1001,0),MATCH(COLUMNS($U$1006:AC1006),$U$1006:$AC$1006,0)), HYPERLINK("#",""), HYPERLINK(CONCATENATE("#metadata!", ADDRESS(INDEX($P$2:$P$1001,MATCH(ROWS($N$2:N177),$N$2:$N$1001,0),0), INDEX($U$1004:$AC$1004,1,MATCH(COLUMNS($U$1006:AC1006),$U$1006:$AC$1006,0)))),"Fix")))</f>
        <v>0</v>
      </c>
      <c r="N177">
        <v>0</v>
      </c>
      <c r="O177">
        <v>0</v>
      </c>
      <c r="P177">
        <v>0</v>
      </c>
      <c r="Q177">
        <f>IF(R177,TRUE,AND(U177:AC177))</f>
        <v>0</v>
      </c>
      <c r="R177">
        <f>COUNTBLANK(metadata!B177:J177)=COLUMNS(metadata!B177:J177)</f>
        <v>0</v>
      </c>
      <c r="S177">
        <v>0</v>
      </c>
      <c r="U177">
        <f>AND(IF(metadata!B177="",FALSE,TRUE),COUNTIF(metadata!B:B, metadata!B177) = 1,NOT(ISERROR(SUMPRODUCT(SEARCH(MID(metadata!B177,ROW(INDIRECT("1:"&amp;LEN(metadata!B177))), 1),"0123456789abcdefghijklmnopqrstuvwxyzABCDEFGHIJKLMNOPQRSTUVWXYZ.")))))</f>
        <v>0</v>
      </c>
      <c r="V177">
        <f>AND(IF(metadata!C177="",FALSE,TRUE),exact(metadata!C177,"UBERON:genitourinary"))</f>
        <v>0</v>
      </c>
      <c r="W177">
        <f>AND(IF(metadata!D177="",FALSE,TRUE),exact(metadata!D177,"UBERON:urine"))</f>
        <v>0</v>
      </c>
      <c r="X177">
        <f>AND(IF(metadata!E177="",FALSE,TRUE),exact(metadata!E177,"UBERON:kidney"))</f>
        <v>0</v>
      </c>
      <c r="Y177">
        <f>AND(IF(metadata!F177="",FALSE,TRUE),exact(metadata!F177,"animal corpus"))</f>
        <v>0</v>
      </c>
      <c r="Z177">
        <f>AND(IF(metadata!G177="",FALSE,TRUE),exact(metadata!G177,"urine"))</f>
        <v>0</v>
      </c>
      <c r="AA177">
        <f>AND(IF(metadata!H177="",FALSE,TRUE),exact(metadata!H177,"urine"))</f>
        <v>0</v>
      </c>
      <c r="AB177">
        <f>AND(IF(metadata!I177="",FALSE,TRUE),exact(metadata!I177,"urine metagenome"))</f>
        <v>0</v>
      </c>
      <c r="AC177">
        <f>AND(IF(metadata!J177="",FALSE,TRUE),exact(metadata!J177,"1346744"))</f>
        <v>0</v>
      </c>
    </row>
    <row r="178" spans="1:29">
      <c r="A178" s="4">
        <f>IF(B178=" "," ",HYPERLINK(CONCATENATE("#metadata!",ADDRESS(INDEX($P$2:$P$1001,MATCH(ROWS($N$2:N178),$N$2:$N$1001,0),0),1)),INDEX($S$2:$S$1001,MATCH(ROWS($N$2:N178),$N$2:$N$1001,0),0)))</f>
        <v>0</v>
      </c>
      <c r="B178" s="3">
        <f>IF(OR(INDEX($O$2:$O$1001,MATCH(ROWS($N$2:N178),$N$2:$N$1001,0),1)&gt;=100000,INDEX($U$1005:$AC$1005,1,MATCH(COLUMNS($U$1006:U1006),$U$1006:$AC$1006,0))&gt;=100000), " ",IF(INDEX($U$2:$AC$1001,MATCH(ROWS($N$2:N178),$N$2:$N$1001,0),MATCH(COLUMNS($U$1006:U1006),$U$1006:$AC$1006,0)), HYPERLINK("#",""), HYPERLINK(CONCATENATE("#metadata!", ADDRESS(INDEX($P$2:$P$1001,MATCH(ROWS($N$2:N178),$N$2:$N$1001,0),0), INDEX($U$1004:$AC$1004,1,MATCH(COLUMNS($U$1006:U1006),$U$1006:$AC$1006,0)))),"Fix")))</f>
        <v>0</v>
      </c>
      <c r="C178" s="3">
        <f>IF(OR(INDEX($O$2:$O$1001,MATCH(ROWS($N$2:N178),$N$2:$N$1001,0),1)&gt;=100000,INDEX($U$1005:$AC$1005,1,MATCH(COLUMNS($U$1006:V1006),$U$1006:$AC$1006,0))&gt;=100000), " ",IF(INDEX($U$2:$AC$1001,MATCH(ROWS($N$2:N178),$N$2:$N$1001,0),MATCH(COLUMNS($U$1006:V1006),$U$1006:$AC$1006,0)), HYPERLINK("#",""), HYPERLINK(CONCATENATE("#metadata!", ADDRESS(INDEX($P$2:$P$1001,MATCH(ROWS($N$2:N178),$N$2:$N$1001,0),0), INDEX($U$1004:$AC$1004,1,MATCH(COLUMNS($U$1006:V1006),$U$1006:$AC$1006,0)))),"Fix")))</f>
        <v>0</v>
      </c>
      <c r="D178" s="3">
        <f>IF(OR(INDEX($O$2:$O$1001,MATCH(ROWS($N$2:N178),$N$2:$N$1001,0),1)&gt;=100000,INDEX($U$1005:$AC$1005,1,MATCH(COLUMNS($U$1006:W1006),$U$1006:$AC$1006,0))&gt;=100000), " ",IF(INDEX($U$2:$AC$1001,MATCH(ROWS($N$2:N178),$N$2:$N$1001,0),MATCH(COLUMNS($U$1006:W1006),$U$1006:$AC$1006,0)), HYPERLINK("#",""), HYPERLINK(CONCATENATE("#metadata!", ADDRESS(INDEX($P$2:$P$1001,MATCH(ROWS($N$2:N178),$N$2:$N$1001,0),0), INDEX($U$1004:$AC$1004,1,MATCH(COLUMNS($U$1006:W1006),$U$1006:$AC$1006,0)))),"Fix")))</f>
        <v>0</v>
      </c>
      <c r="E178" s="3">
        <f>IF(OR(INDEX($O$2:$O$1001,MATCH(ROWS($N$2:N178),$N$2:$N$1001,0),1)&gt;=100000,INDEX($U$1005:$AC$1005,1,MATCH(COLUMNS($U$1006:X1006),$U$1006:$AC$1006,0))&gt;=100000), " ",IF(INDEX($U$2:$AC$1001,MATCH(ROWS($N$2:N178),$N$2:$N$1001,0),MATCH(COLUMNS($U$1006:X1006),$U$1006:$AC$1006,0)), HYPERLINK("#",""), HYPERLINK(CONCATENATE("#metadata!", ADDRESS(INDEX($P$2:$P$1001,MATCH(ROWS($N$2:N178),$N$2:$N$1001,0),0), INDEX($U$1004:$AC$1004,1,MATCH(COLUMNS($U$1006:X1006),$U$1006:$AC$1006,0)))),"Fix")))</f>
        <v>0</v>
      </c>
      <c r="F178" s="3">
        <f>IF(OR(INDEX($O$2:$O$1001,MATCH(ROWS($N$2:N178),$N$2:$N$1001,0),1)&gt;=100000,INDEX($U$1005:$AC$1005,1,MATCH(COLUMNS($U$1006:Y1006),$U$1006:$AC$1006,0))&gt;=100000), " ",IF(INDEX($U$2:$AC$1001,MATCH(ROWS($N$2:N178),$N$2:$N$1001,0),MATCH(COLUMNS($U$1006:Y1006),$U$1006:$AC$1006,0)), HYPERLINK("#",""), HYPERLINK(CONCATENATE("#metadata!", ADDRESS(INDEX($P$2:$P$1001,MATCH(ROWS($N$2:N178),$N$2:$N$1001,0),0), INDEX($U$1004:$AC$1004,1,MATCH(COLUMNS($U$1006:Y1006),$U$1006:$AC$1006,0)))),"Fix")))</f>
        <v>0</v>
      </c>
      <c r="G178" s="3">
        <f>IF(OR(INDEX($O$2:$O$1001,MATCH(ROWS($N$2:N178),$N$2:$N$1001,0),1)&gt;=100000,INDEX($U$1005:$AC$1005,1,MATCH(COLUMNS($U$1006:Z1006),$U$1006:$AC$1006,0))&gt;=100000), " ",IF(INDEX($U$2:$AC$1001,MATCH(ROWS($N$2:N178),$N$2:$N$1001,0),MATCH(COLUMNS($U$1006:Z1006),$U$1006:$AC$1006,0)), HYPERLINK("#",""), HYPERLINK(CONCATENATE("#metadata!", ADDRESS(INDEX($P$2:$P$1001,MATCH(ROWS($N$2:N178),$N$2:$N$1001,0),0), INDEX($U$1004:$AC$1004,1,MATCH(COLUMNS($U$1006:Z1006),$U$1006:$AC$1006,0)))),"Fix")))</f>
        <v>0</v>
      </c>
      <c r="H178" s="3">
        <f>IF(OR(INDEX($O$2:$O$1001,MATCH(ROWS($N$2:N178),$N$2:$N$1001,0),1)&gt;=100000,INDEX($U$1005:$AC$1005,1,MATCH(COLUMNS($U$1006:AA1006),$U$1006:$AC$1006,0))&gt;=100000), " ",IF(INDEX($U$2:$AC$1001,MATCH(ROWS($N$2:N178),$N$2:$N$1001,0),MATCH(COLUMNS($U$1006:AA1006),$U$1006:$AC$1006,0)), HYPERLINK("#",""), HYPERLINK(CONCATENATE("#metadata!", ADDRESS(INDEX($P$2:$P$1001,MATCH(ROWS($N$2:N178),$N$2:$N$1001,0),0), INDEX($U$1004:$AC$1004,1,MATCH(COLUMNS($U$1006:AA1006),$U$1006:$AC$1006,0)))),"Fix")))</f>
        <v>0</v>
      </c>
      <c r="I178" s="3">
        <f>IF(OR(INDEX($O$2:$O$1001,MATCH(ROWS($N$2:N178),$N$2:$N$1001,0),1)&gt;=100000,INDEX($U$1005:$AC$1005,1,MATCH(COLUMNS($U$1006:AB1006),$U$1006:$AC$1006,0))&gt;=100000), " ",IF(INDEX($U$2:$AC$1001,MATCH(ROWS($N$2:N178),$N$2:$N$1001,0),MATCH(COLUMNS($U$1006:AB1006),$U$1006:$AC$1006,0)), HYPERLINK("#",""), HYPERLINK(CONCATENATE("#metadata!", ADDRESS(INDEX($P$2:$P$1001,MATCH(ROWS($N$2:N178),$N$2:$N$1001,0),0), INDEX($U$1004:$AC$1004,1,MATCH(COLUMNS($U$1006:AB1006),$U$1006:$AC$1006,0)))),"Fix")))</f>
        <v>0</v>
      </c>
      <c r="J178" s="3">
        <f>IF(OR(INDEX($O$2:$O$1001,MATCH(ROWS($N$2:N178),$N$2:$N$1001,0),1)&gt;=100000,INDEX($U$1005:$AC$1005,1,MATCH(COLUMNS($U$1006:AC1006),$U$1006:$AC$1006,0))&gt;=100000), " ",IF(INDEX($U$2:$AC$1001,MATCH(ROWS($N$2:N178),$N$2:$N$1001,0),MATCH(COLUMNS($U$1006:AC1006),$U$1006:$AC$1006,0)), HYPERLINK("#",""), HYPERLINK(CONCATENATE("#metadata!", ADDRESS(INDEX($P$2:$P$1001,MATCH(ROWS($N$2:N178),$N$2:$N$1001,0),0), INDEX($U$1004:$AC$1004,1,MATCH(COLUMNS($U$1006:AC1006),$U$1006:$AC$1006,0)))),"Fix")))</f>
        <v>0</v>
      </c>
      <c r="N178">
        <v>0</v>
      </c>
      <c r="O178">
        <v>0</v>
      </c>
      <c r="P178">
        <v>0</v>
      </c>
      <c r="Q178">
        <f>IF(R178,TRUE,AND(U178:AC178))</f>
        <v>0</v>
      </c>
      <c r="R178">
        <f>COUNTBLANK(metadata!B178:J178)=COLUMNS(metadata!B178:J178)</f>
        <v>0</v>
      </c>
      <c r="S178">
        <v>0</v>
      </c>
      <c r="U178">
        <f>AND(IF(metadata!B178="",FALSE,TRUE),COUNTIF(metadata!B:B, metadata!B178) = 1,NOT(ISERROR(SUMPRODUCT(SEARCH(MID(metadata!B178,ROW(INDIRECT("1:"&amp;LEN(metadata!B178))), 1),"0123456789abcdefghijklmnopqrstuvwxyzABCDEFGHIJKLMNOPQRSTUVWXYZ.")))))</f>
        <v>0</v>
      </c>
      <c r="V178">
        <f>AND(IF(metadata!C178="",FALSE,TRUE),exact(metadata!C178,"UBERON:genitourinary"))</f>
        <v>0</v>
      </c>
      <c r="W178">
        <f>AND(IF(metadata!D178="",FALSE,TRUE),exact(metadata!D178,"UBERON:urine"))</f>
        <v>0</v>
      </c>
      <c r="X178">
        <f>AND(IF(metadata!E178="",FALSE,TRUE),exact(metadata!E178,"UBERON:kidney"))</f>
        <v>0</v>
      </c>
      <c r="Y178">
        <f>AND(IF(metadata!F178="",FALSE,TRUE),exact(metadata!F178,"animal corpus"))</f>
        <v>0</v>
      </c>
      <c r="Z178">
        <f>AND(IF(metadata!G178="",FALSE,TRUE),exact(metadata!G178,"urine"))</f>
        <v>0</v>
      </c>
      <c r="AA178">
        <f>AND(IF(metadata!H178="",FALSE,TRUE),exact(metadata!H178,"urine"))</f>
        <v>0</v>
      </c>
      <c r="AB178">
        <f>AND(IF(metadata!I178="",FALSE,TRUE),exact(metadata!I178,"urine metagenome"))</f>
        <v>0</v>
      </c>
      <c r="AC178">
        <f>AND(IF(metadata!J178="",FALSE,TRUE),exact(metadata!J178,"1346744"))</f>
        <v>0</v>
      </c>
    </row>
    <row r="179" spans="1:29">
      <c r="A179" s="4">
        <f>IF(B179=" "," ",HYPERLINK(CONCATENATE("#metadata!",ADDRESS(INDEX($P$2:$P$1001,MATCH(ROWS($N$2:N179),$N$2:$N$1001,0),0),1)),INDEX($S$2:$S$1001,MATCH(ROWS($N$2:N179),$N$2:$N$1001,0),0)))</f>
        <v>0</v>
      </c>
      <c r="B179" s="3">
        <f>IF(OR(INDEX($O$2:$O$1001,MATCH(ROWS($N$2:N179),$N$2:$N$1001,0),1)&gt;=100000,INDEX($U$1005:$AC$1005,1,MATCH(COLUMNS($U$1006:U1006),$U$1006:$AC$1006,0))&gt;=100000), " ",IF(INDEX($U$2:$AC$1001,MATCH(ROWS($N$2:N179),$N$2:$N$1001,0),MATCH(COLUMNS($U$1006:U1006),$U$1006:$AC$1006,0)), HYPERLINK("#",""), HYPERLINK(CONCATENATE("#metadata!", ADDRESS(INDEX($P$2:$P$1001,MATCH(ROWS($N$2:N179),$N$2:$N$1001,0),0), INDEX($U$1004:$AC$1004,1,MATCH(COLUMNS($U$1006:U1006),$U$1006:$AC$1006,0)))),"Fix")))</f>
        <v>0</v>
      </c>
      <c r="C179" s="3">
        <f>IF(OR(INDEX($O$2:$O$1001,MATCH(ROWS($N$2:N179),$N$2:$N$1001,0),1)&gt;=100000,INDEX($U$1005:$AC$1005,1,MATCH(COLUMNS($U$1006:V1006),$U$1006:$AC$1006,0))&gt;=100000), " ",IF(INDEX($U$2:$AC$1001,MATCH(ROWS($N$2:N179),$N$2:$N$1001,0),MATCH(COLUMNS($U$1006:V1006),$U$1006:$AC$1006,0)), HYPERLINK("#",""), HYPERLINK(CONCATENATE("#metadata!", ADDRESS(INDEX($P$2:$P$1001,MATCH(ROWS($N$2:N179),$N$2:$N$1001,0),0), INDEX($U$1004:$AC$1004,1,MATCH(COLUMNS($U$1006:V1006),$U$1006:$AC$1006,0)))),"Fix")))</f>
        <v>0</v>
      </c>
      <c r="D179" s="3">
        <f>IF(OR(INDEX($O$2:$O$1001,MATCH(ROWS($N$2:N179),$N$2:$N$1001,0),1)&gt;=100000,INDEX($U$1005:$AC$1005,1,MATCH(COLUMNS($U$1006:W1006),$U$1006:$AC$1006,0))&gt;=100000), " ",IF(INDEX($U$2:$AC$1001,MATCH(ROWS($N$2:N179),$N$2:$N$1001,0),MATCH(COLUMNS($U$1006:W1006),$U$1006:$AC$1006,0)), HYPERLINK("#",""), HYPERLINK(CONCATENATE("#metadata!", ADDRESS(INDEX($P$2:$P$1001,MATCH(ROWS($N$2:N179),$N$2:$N$1001,0),0), INDEX($U$1004:$AC$1004,1,MATCH(COLUMNS($U$1006:W1006),$U$1006:$AC$1006,0)))),"Fix")))</f>
        <v>0</v>
      </c>
      <c r="E179" s="3">
        <f>IF(OR(INDEX($O$2:$O$1001,MATCH(ROWS($N$2:N179),$N$2:$N$1001,0),1)&gt;=100000,INDEX($U$1005:$AC$1005,1,MATCH(COLUMNS($U$1006:X1006),$U$1006:$AC$1006,0))&gt;=100000), " ",IF(INDEX($U$2:$AC$1001,MATCH(ROWS($N$2:N179),$N$2:$N$1001,0),MATCH(COLUMNS($U$1006:X1006),$U$1006:$AC$1006,0)), HYPERLINK("#",""), HYPERLINK(CONCATENATE("#metadata!", ADDRESS(INDEX($P$2:$P$1001,MATCH(ROWS($N$2:N179),$N$2:$N$1001,0),0), INDEX($U$1004:$AC$1004,1,MATCH(COLUMNS($U$1006:X1006),$U$1006:$AC$1006,0)))),"Fix")))</f>
        <v>0</v>
      </c>
      <c r="F179" s="3">
        <f>IF(OR(INDEX($O$2:$O$1001,MATCH(ROWS($N$2:N179),$N$2:$N$1001,0),1)&gt;=100000,INDEX($U$1005:$AC$1005,1,MATCH(COLUMNS($U$1006:Y1006),$U$1006:$AC$1006,0))&gt;=100000), " ",IF(INDEX($U$2:$AC$1001,MATCH(ROWS($N$2:N179),$N$2:$N$1001,0),MATCH(COLUMNS($U$1006:Y1006),$U$1006:$AC$1006,0)), HYPERLINK("#",""), HYPERLINK(CONCATENATE("#metadata!", ADDRESS(INDEX($P$2:$P$1001,MATCH(ROWS($N$2:N179),$N$2:$N$1001,0),0), INDEX($U$1004:$AC$1004,1,MATCH(COLUMNS($U$1006:Y1006),$U$1006:$AC$1006,0)))),"Fix")))</f>
        <v>0</v>
      </c>
      <c r="G179" s="3">
        <f>IF(OR(INDEX($O$2:$O$1001,MATCH(ROWS($N$2:N179),$N$2:$N$1001,0),1)&gt;=100000,INDEX($U$1005:$AC$1005,1,MATCH(COLUMNS($U$1006:Z1006),$U$1006:$AC$1006,0))&gt;=100000), " ",IF(INDEX($U$2:$AC$1001,MATCH(ROWS($N$2:N179),$N$2:$N$1001,0),MATCH(COLUMNS($U$1006:Z1006),$U$1006:$AC$1006,0)), HYPERLINK("#",""), HYPERLINK(CONCATENATE("#metadata!", ADDRESS(INDEX($P$2:$P$1001,MATCH(ROWS($N$2:N179),$N$2:$N$1001,0),0), INDEX($U$1004:$AC$1004,1,MATCH(COLUMNS($U$1006:Z1006),$U$1006:$AC$1006,0)))),"Fix")))</f>
        <v>0</v>
      </c>
      <c r="H179" s="3">
        <f>IF(OR(INDEX($O$2:$O$1001,MATCH(ROWS($N$2:N179),$N$2:$N$1001,0),1)&gt;=100000,INDEX($U$1005:$AC$1005,1,MATCH(COLUMNS($U$1006:AA1006),$U$1006:$AC$1006,0))&gt;=100000), " ",IF(INDEX($U$2:$AC$1001,MATCH(ROWS($N$2:N179),$N$2:$N$1001,0),MATCH(COLUMNS($U$1006:AA1006),$U$1006:$AC$1006,0)), HYPERLINK("#",""), HYPERLINK(CONCATENATE("#metadata!", ADDRESS(INDEX($P$2:$P$1001,MATCH(ROWS($N$2:N179),$N$2:$N$1001,0),0), INDEX($U$1004:$AC$1004,1,MATCH(COLUMNS($U$1006:AA1006),$U$1006:$AC$1006,0)))),"Fix")))</f>
        <v>0</v>
      </c>
      <c r="I179" s="3">
        <f>IF(OR(INDEX($O$2:$O$1001,MATCH(ROWS($N$2:N179),$N$2:$N$1001,0),1)&gt;=100000,INDEX($U$1005:$AC$1005,1,MATCH(COLUMNS($U$1006:AB1006),$U$1006:$AC$1006,0))&gt;=100000), " ",IF(INDEX($U$2:$AC$1001,MATCH(ROWS($N$2:N179),$N$2:$N$1001,0),MATCH(COLUMNS($U$1006:AB1006),$U$1006:$AC$1006,0)), HYPERLINK("#",""), HYPERLINK(CONCATENATE("#metadata!", ADDRESS(INDEX($P$2:$P$1001,MATCH(ROWS($N$2:N179),$N$2:$N$1001,0),0), INDEX($U$1004:$AC$1004,1,MATCH(COLUMNS($U$1006:AB1006),$U$1006:$AC$1006,0)))),"Fix")))</f>
        <v>0</v>
      </c>
      <c r="J179" s="3">
        <f>IF(OR(INDEX($O$2:$O$1001,MATCH(ROWS($N$2:N179),$N$2:$N$1001,0),1)&gt;=100000,INDEX($U$1005:$AC$1005,1,MATCH(COLUMNS($U$1006:AC1006),$U$1006:$AC$1006,0))&gt;=100000), " ",IF(INDEX($U$2:$AC$1001,MATCH(ROWS($N$2:N179),$N$2:$N$1001,0),MATCH(COLUMNS($U$1006:AC1006),$U$1006:$AC$1006,0)), HYPERLINK("#",""), HYPERLINK(CONCATENATE("#metadata!", ADDRESS(INDEX($P$2:$P$1001,MATCH(ROWS($N$2:N179),$N$2:$N$1001,0),0), INDEX($U$1004:$AC$1004,1,MATCH(COLUMNS($U$1006:AC1006),$U$1006:$AC$1006,0)))),"Fix")))</f>
        <v>0</v>
      </c>
      <c r="N179">
        <v>0</v>
      </c>
      <c r="O179">
        <v>0</v>
      </c>
      <c r="P179">
        <v>0</v>
      </c>
      <c r="Q179">
        <f>IF(R179,TRUE,AND(U179:AC179))</f>
        <v>0</v>
      </c>
      <c r="R179">
        <f>COUNTBLANK(metadata!B179:J179)=COLUMNS(metadata!B179:J179)</f>
        <v>0</v>
      </c>
      <c r="S179">
        <v>0</v>
      </c>
      <c r="U179">
        <f>AND(IF(metadata!B179="",FALSE,TRUE),COUNTIF(metadata!B:B, metadata!B179) = 1,NOT(ISERROR(SUMPRODUCT(SEARCH(MID(metadata!B179,ROW(INDIRECT("1:"&amp;LEN(metadata!B179))), 1),"0123456789abcdefghijklmnopqrstuvwxyzABCDEFGHIJKLMNOPQRSTUVWXYZ.")))))</f>
        <v>0</v>
      </c>
      <c r="V179">
        <f>AND(IF(metadata!C179="",FALSE,TRUE),exact(metadata!C179,"UBERON:genitourinary"))</f>
        <v>0</v>
      </c>
      <c r="W179">
        <f>AND(IF(metadata!D179="",FALSE,TRUE),exact(metadata!D179,"UBERON:urine"))</f>
        <v>0</v>
      </c>
      <c r="X179">
        <f>AND(IF(metadata!E179="",FALSE,TRUE),exact(metadata!E179,"UBERON:kidney"))</f>
        <v>0</v>
      </c>
      <c r="Y179">
        <f>AND(IF(metadata!F179="",FALSE,TRUE),exact(metadata!F179,"animal corpus"))</f>
        <v>0</v>
      </c>
      <c r="Z179">
        <f>AND(IF(metadata!G179="",FALSE,TRUE),exact(metadata!G179,"urine"))</f>
        <v>0</v>
      </c>
      <c r="AA179">
        <f>AND(IF(metadata!H179="",FALSE,TRUE),exact(metadata!H179,"urine"))</f>
        <v>0</v>
      </c>
      <c r="AB179">
        <f>AND(IF(metadata!I179="",FALSE,TRUE),exact(metadata!I179,"urine metagenome"))</f>
        <v>0</v>
      </c>
      <c r="AC179">
        <f>AND(IF(metadata!J179="",FALSE,TRUE),exact(metadata!J179,"1346744"))</f>
        <v>0</v>
      </c>
    </row>
    <row r="180" spans="1:29">
      <c r="A180" s="4">
        <f>IF(B180=" "," ",HYPERLINK(CONCATENATE("#metadata!",ADDRESS(INDEX($P$2:$P$1001,MATCH(ROWS($N$2:N180),$N$2:$N$1001,0),0),1)),INDEX($S$2:$S$1001,MATCH(ROWS($N$2:N180),$N$2:$N$1001,0),0)))</f>
        <v>0</v>
      </c>
      <c r="B180" s="3">
        <f>IF(OR(INDEX($O$2:$O$1001,MATCH(ROWS($N$2:N180),$N$2:$N$1001,0),1)&gt;=100000,INDEX($U$1005:$AC$1005,1,MATCH(COLUMNS($U$1006:U1006),$U$1006:$AC$1006,0))&gt;=100000), " ",IF(INDEX($U$2:$AC$1001,MATCH(ROWS($N$2:N180),$N$2:$N$1001,0),MATCH(COLUMNS($U$1006:U1006),$U$1006:$AC$1006,0)), HYPERLINK("#",""), HYPERLINK(CONCATENATE("#metadata!", ADDRESS(INDEX($P$2:$P$1001,MATCH(ROWS($N$2:N180),$N$2:$N$1001,0),0), INDEX($U$1004:$AC$1004,1,MATCH(COLUMNS($U$1006:U1006),$U$1006:$AC$1006,0)))),"Fix")))</f>
        <v>0</v>
      </c>
      <c r="C180" s="3">
        <f>IF(OR(INDEX($O$2:$O$1001,MATCH(ROWS($N$2:N180),$N$2:$N$1001,0),1)&gt;=100000,INDEX($U$1005:$AC$1005,1,MATCH(COLUMNS($U$1006:V1006),$U$1006:$AC$1006,0))&gt;=100000), " ",IF(INDEX($U$2:$AC$1001,MATCH(ROWS($N$2:N180),$N$2:$N$1001,0),MATCH(COLUMNS($U$1006:V1006),$U$1006:$AC$1006,0)), HYPERLINK("#",""), HYPERLINK(CONCATENATE("#metadata!", ADDRESS(INDEX($P$2:$P$1001,MATCH(ROWS($N$2:N180),$N$2:$N$1001,0),0), INDEX($U$1004:$AC$1004,1,MATCH(COLUMNS($U$1006:V1006),$U$1006:$AC$1006,0)))),"Fix")))</f>
        <v>0</v>
      </c>
      <c r="D180" s="3">
        <f>IF(OR(INDEX($O$2:$O$1001,MATCH(ROWS($N$2:N180),$N$2:$N$1001,0),1)&gt;=100000,INDEX($U$1005:$AC$1005,1,MATCH(COLUMNS($U$1006:W1006),$U$1006:$AC$1006,0))&gt;=100000), " ",IF(INDEX($U$2:$AC$1001,MATCH(ROWS($N$2:N180),$N$2:$N$1001,0),MATCH(COLUMNS($U$1006:W1006),$U$1006:$AC$1006,0)), HYPERLINK("#",""), HYPERLINK(CONCATENATE("#metadata!", ADDRESS(INDEX($P$2:$P$1001,MATCH(ROWS($N$2:N180),$N$2:$N$1001,0),0), INDEX($U$1004:$AC$1004,1,MATCH(COLUMNS($U$1006:W1006),$U$1006:$AC$1006,0)))),"Fix")))</f>
        <v>0</v>
      </c>
      <c r="E180" s="3">
        <f>IF(OR(INDEX($O$2:$O$1001,MATCH(ROWS($N$2:N180),$N$2:$N$1001,0),1)&gt;=100000,INDEX($U$1005:$AC$1005,1,MATCH(COLUMNS($U$1006:X1006),$U$1006:$AC$1006,0))&gt;=100000), " ",IF(INDEX($U$2:$AC$1001,MATCH(ROWS($N$2:N180),$N$2:$N$1001,0),MATCH(COLUMNS($U$1006:X1006),$U$1006:$AC$1006,0)), HYPERLINK("#",""), HYPERLINK(CONCATENATE("#metadata!", ADDRESS(INDEX($P$2:$P$1001,MATCH(ROWS($N$2:N180),$N$2:$N$1001,0),0), INDEX($U$1004:$AC$1004,1,MATCH(COLUMNS($U$1006:X1006),$U$1006:$AC$1006,0)))),"Fix")))</f>
        <v>0</v>
      </c>
      <c r="F180" s="3">
        <f>IF(OR(INDEX($O$2:$O$1001,MATCH(ROWS($N$2:N180),$N$2:$N$1001,0),1)&gt;=100000,INDEX($U$1005:$AC$1005,1,MATCH(COLUMNS($U$1006:Y1006),$U$1006:$AC$1006,0))&gt;=100000), " ",IF(INDEX($U$2:$AC$1001,MATCH(ROWS($N$2:N180),$N$2:$N$1001,0),MATCH(COLUMNS($U$1006:Y1006),$U$1006:$AC$1006,0)), HYPERLINK("#",""), HYPERLINK(CONCATENATE("#metadata!", ADDRESS(INDEX($P$2:$P$1001,MATCH(ROWS($N$2:N180),$N$2:$N$1001,0),0), INDEX($U$1004:$AC$1004,1,MATCH(COLUMNS($U$1006:Y1006),$U$1006:$AC$1006,0)))),"Fix")))</f>
        <v>0</v>
      </c>
      <c r="G180" s="3">
        <f>IF(OR(INDEX($O$2:$O$1001,MATCH(ROWS($N$2:N180),$N$2:$N$1001,0),1)&gt;=100000,INDEX($U$1005:$AC$1005,1,MATCH(COLUMNS($U$1006:Z1006),$U$1006:$AC$1006,0))&gt;=100000), " ",IF(INDEX($U$2:$AC$1001,MATCH(ROWS($N$2:N180),$N$2:$N$1001,0),MATCH(COLUMNS($U$1006:Z1006),$U$1006:$AC$1006,0)), HYPERLINK("#",""), HYPERLINK(CONCATENATE("#metadata!", ADDRESS(INDEX($P$2:$P$1001,MATCH(ROWS($N$2:N180),$N$2:$N$1001,0),0), INDEX($U$1004:$AC$1004,1,MATCH(COLUMNS($U$1006:Z1006),$U$1006:$AC$1006,0)))),"Fix")))</f>
        <v>0</v>
      </c>
      <c r="H180" s="3">
        <f>IF(OR(INDEX($O$2:$O$1001,MATCH(ROWS($N$2:N180),$N$2:$N$1001,0),1)&gt;=100000,INDEX($U$1005:$AC$1005,1,MATCH(COLUMNS($U$1006:AA1006),$U$1006:$AC$1006,0))&gt;=100000), " ",IF(INDEX($U$2:$AC$1001,MATCH(ROWS($N$2:N180),$N$2:$N$1001,0),MATCH(COLUMNS($U$1006:AA1006),$U$1006:$AC$1006,0)), HYPERLINK("#",""), HYPERLINK(CONCATENATE("#metadata!", ADDRESS(INDEX($P$2:$P$1001,MATCH(ROWS($N$2:N180),$N$2:$N$1001,0),0), INDEX($U$1004:$AC$1004,1,MATCH(COLUMNS($U$1006:AA1006),$U$1006:$AC$1006,0)))),"Fix")))</f>
        <v>0</v>
      </c>
      <c r="I180" s="3">
        <f>IF(OR(INDEX($O$2:$O$1001,MATCH(ROWS($N$2:N180),$N$2:$N$1001,0),1)&gt;=100000,INDEX($U$1005:$AC$1005,1,MATCH(COLUMNS($U$1006:AB1006),$U$1006:$AC$1006,0))&gt;=100000), " ",IF(INDEX($U$2:$AC$1001,MATCH(ROWS($N$2:N180),$N$2:$N$1001,0),MATCH(COLUMNS($U$1006:AB1006),$U$1006:$AC$1006,0)), HYPERLINK("#",""), HYPERLINK(CONCATENATE("#metadata!", ADDRESS(INDEX($P$2:$P$1001,MATCH(ROWS($N$2:N180),$N$2:$N$1001,0),0), INDEX($U$1004:$AC$1004,1,MATCH(COLUMNS($U$1006:AB1006),$U$1006:$AC$1006,0)))),"Fix")))</f>
        <v>0</v>
      </c>
      <c r="J180" s="3">
        <f>IF(OR(INDEX($O$2:$O$1001,MATCH(ROWS($N$2:N180),$N$2:$N$1001,0),1)&gt;=100000,INDEX($U$1005:$AC$1005,1,MATCH(COLUMNS($U$1006:AC1006),$U$1006:$AC$1006,0))&gt;=100000), " ",IF(INDEX($U$2:$AC$1001,MATCH(ROWS($N$2:N180),$N$2:$N$1001,0),MATCH(COLUMNS($U$1006:AC1006),$U$1006:$AC$1006,0)), HYPERLINK("#",""), HYPERLINK(CONCATENATE("#metadata!", ADDRESS(INDEX($P$2:$P$1001,MATCH(ROWS($N$2:N180),$N$2:$N$1001,0),0), INDEX($U$1004:$AC$1004,1,MATCH(COLUMNS($U$1006:AC1006),$U$1006:$AC$1006,0)))),"Fix")))</f>
        <v>0</v>
      </c>
      <c r="N180">
        <v>0</v>
      </c>
      <c r="O180">
        <v>0</v>
      </c>
      <c r="P180">
        <v>0</v>
      </c>
      <c r="Q180">
        <f>IF(R180,TRUE,AND(U180:AC180))</f>
        <v>0</v>
      </c>
      <c r="R180">
        <f>COUNTBLANK(metadata!B180:J180)=COLUMNS(metadata!B180:J180)</f>
        <v>0</v>
      </c>
      <c r="S180">
        <v>0</v>
      </c>
      <c r="U180">
        <f>AND(IF(metadata!B180="",FALSE,TRUE),COUNTIF(metadata!B:B, metadata!B180) = 1,NOT(ISERROR(SUMPRODUCT(SEARCH(MID(metadata!B180,ROW(INDIRECT("1:"&amp;LEN(metadata!B180))), 1),"0123456789abcdefghijklmnopqrstuvwxyzABCDEFGHIJKLMNOPQRSTUVWXYZ.")))))</f>
        <v>0</v>
      </c>
      <c r="V180">
        <f>AND(IF(metadata!C180="",FALSE,TRUE),exact(metadata!C180,"UBERON:genitourinary"))</f>
        <v>0</v>
      </c>
      <c r="W180">
        <f>AND(IF(metadata!D180="",FALSE,TRUE),exact(metadata!D180,"UBERON:urine"))</f>
        <v>0</v>
      </c>
      <c r="X180">
        <f>AND(IF(metadata!E180="",FALSE,TRUE),exact(metadata!E180,"UBERON:kidney"))</f>
        <v>0</v>
      </c>
      <c r="Y180">
        <f>AND(IF(metadata!F180="",FALSE,TRUE),exact(metadata!F180,"animal corpus"))</f>
        <v>0</v>
      </c>
      <c r="Z180">
        <f>AND(IF(metadata!G180="",FALSE,TRUE),exact(metadata!G180,"urine"))</f>
        <v>0</v>
      </c>
      <c r="AA180">
        <f>AND(IF(metadata!H180="",FALSE,TRUE),exact(metadata!H180,"urine"))</f>
        <v>0</v>
      </c>
      <c r="AB180">
        <f>AND(IF(metadata!I180="",FALSE,TRUE),exact(metadata!I180,"urine metagenome"))</f>
        <v>0</v>
      </c>
      <c r="AC180">
        <f>AND(IF(metadata!J180="",FALSE,TRUE),exact(metadata!J180,"1346744"))</f>
        <v>0</v>
      </c>
    </row>
    <row r="181" spans="1:29">
      <c r="A181" s="4">
        <f>IF(B181=" "," ",HYPERLINK(CONCATENATE("#metadata!",ADDRESS(INDEX($P$2:$P$1001,MATCH(ROWS($N$2:N181),$N$2:$N$1001,0),0),1)),INDEX($S$2:$S$1001,MATCH(ROWS($N$2:N181),$N$2:$N$1001,0),0)))</f>
        <v>0</v>
      </c>
      <c r="B181" s="3">
        <f>IF(OR(INDEX($O$2:$O$1001,MATCH(ROWS($N$2:N181),$N$2:$N$1001,0),1)&gt;=100000,INDEX($U$1005:$AC$1005,1,MATCH(COLUMNS($U$1006:U1006),$U$1006:$AC$1006,0))&gt;=100000), " ",IF(INDEX($U$2:$AC$1001,MATCH(ROWS($N$2:N181),$N$2:$N$1001,0),MATCH(COLUMNS($U$1006:U1006),$U$1006:$AC$1006,0)), HYPERLINK("#",""), HYPERLINK(CONCATENATE("#metadata!", ADDRESS(INDEX($P$2:$P$1001,MATCH(ROWS($N$2:N181),$N$2:$N$1001,0),0), INDEX($U$1004:$AC$1004,1,MATCH(COLUMNS($U$1006:U1006),$U$1006:$AC$1006,0)))),"Fix")))</f>
        <v>0</v>
      </c>
      <c r="C181" s="3">
        <f>IF(OR(INDEX($O$2:$O$1001,MATCH(ROWS($N$2:N181),$N$2:$N$1001,0),1)&gt;=100000,INDEX($U$1005:$AC$1005,1,MATCH(COLUMNS($U$1006:V1006),$U$1006:$AC$1006,0))&gt;=100000), " ",IF(INDEX($U$2:$AC$1001,MATCH(ROWS($N$2:N181),$N$2:$N$1001,0),MATCH(COLUMNS($U$1006:V1006),$U$1006:$AC$1006,0)), HYPERLINK("#",""), HYPERLINK(CONCATENATE("#metadata!", ADDRESS(INDEX($P$2:$P$1001,MATCH(ROWS($N$2:N181),$N$2:$N$1001,0),0), INDEX($U$1004:$AC$1004,1,MATCH(COLUMNS($U$1006:V1006),$U$1006:$AC$1006,0)))),"Fix")))</f>
        <v>0</v>
      </c>
      <c r="D181" s="3">
        <f>IF(OR(INDEX($O$2:$O$1001,MATCH(ROWS($N$2:N181),$N$2:$N$1001,0),1)&gt;=100000,INDEX($U$1005:$AC$1005,1,MATCH(COLUMNS($U$1006:W1006),$U$1006:$AC$1006,0))&gt;=100000), " ",IF(INDEX($U$2:$AC$1001,MATCH(ROWS($N$2:N181),$N$2:$N$1001,0),MATCH(COLUMNS($U$1006:W1006),$U$1006:$AC$1006,0)), HYPERLINK("#",""), HYPERLINK(CONCATENATE("#metadata!", ADDRESS(INDEX($P$2:$P$1001,MATCH(ROWS($N$2:N181),$N$2:$N$1001,0),0), INDEX($U$1004:$AC$1004,1,MATCH(COLUMNS($U$1006:W1006),$U$1006:$AC$1006,0)))),"Fix")))</f>
        <v>0</v>
      </c>
      <c r="E181" s="3">
        <f>IF(OR(INDEX($O$2:$O$1001,MATCH(ROWS($N$2:N181),$N$2:$N$1001,0),1)&gt;=100000,INDEX($U$1005:$AC$1005,1,MATCH(COLUMNS($U$1006:X1006),$U$1006:$AC$1006,0))&gt;=100000), " ",IF(INDEX($U$2:$AC$1001,MATCH(ROWS($N$2:N181),$N$2:$N$1001,0),MATCH(COLUMNS($U$1006:X1006),$U$1006:$AC$1006,0)), HYPERLINK("#",""), HYPERLINK(CONCATENATE("#metadata!", ADDRESS(INDEX($P$2:$P$1001,MATCH(ROWS($N$2:N181),$N$2:$N$1001,0),0), INDEX($U$1004:$AC$1004,1,MATCH(COLUMNS($U$1006:X1006),$U$1006:$AC$1006,0)))),"Fix")))</f>
        <v>0</v>
      </c>
      <c r="F181" s="3">
        <f>IF(OR(INDEX($O$2:$O$1001,MATCH(ROWS($N$2:N181),$N$2:$N$1001,0),1)&gt;=100000,INDEX($U$1005:$AC$1005,1,MATCH(COLUMNS($U$1006:Y1006),$U$1006:$AC$1006,0))&gt;=100000), " ",IF(INDEX($U$2:$AC$1001,MATCH(ROWS($N$2:N181),$N$2:$N$1001,0),MATCH(COLUMNS($U$1006:Y1006),$U$1006:$AC$1006,0)), HYPERLINK("#",""), HYPERLINK(CONCATENATE("#metadata!", ADDRESS(INDEX($P$2:$P$1001,MATCH(ROWS($N$2:N181),$N$2:$N$1001,0),0), INDEX($U$1004:$AC$1004,1,MATCH(COLUMNS($U$1006:Y1006),$U$1006:$AC$1006,0)))),"Fix")))</f>
        <v>0</v>
      </c>
      <c r="G181" s="3">
        <f>IF(OR(INDEX($O$2:$O$1001,MATCH(ROWS($N$2:N181),$N$2:$N$1001,0),1)&gt;=100000,INDEX($U$1005:$AC$1005,1,MATCH(COLUMNS($U$1006:Z1006),$U$1006:$AC$1006,0))&gt;=100000), " ",IF(INDEX($U$2:$AC$1001,MATCH(ROWS($N$2:N181),$N$2:$N$1001,0),MATCH(COLUMNS($U$1006:Z1006),$U$1006:$AC$1006,0)), HYPERLINK("#",""), HYPERLINK(CONCATENATE("#metadata!", ADDRESS(INDEX($P$2:$P$1001,MATCH(ROWS($N$2:N181),$N$2:$N$1001,0),0), INDEX($U$1004:$AC$1004,1,MATCH(COLUMNS($U$1006:Z1006),$U$1006:$AC$1006,0)))),"Fix")))</f>
        <v>0</v>
      </c>
      <c r="H181" s="3">
        <f>IF(OR(INDEX($O$2:$O$1001,MATCH(ROWS($N$2:N181),$N$2:$N$1001,0),1)&gt;=100000,INDEX($U$1005:$AC$1005,1,MATCH(COLUMNS($U$1006:AA1006),$U$1006:$AC$1006,0))&gt;=100000), " ",IF(INDEX($U$2:$AC$1001,MATCH(ROWS($N$2:N181),$N$2:$N$1001,0),MATCH(COLUMNS($U$1006:AA1006),$U$1006:$AC$1006,0)), HYPERLINK("#",""), HYPERLINK(CONCATENATE("#metadata!", ADDRESS(INDEX($P$2:$P$1001,MATCH(ROWS($N$2:N181),$N$2:$N$1001,0),0), INDEX($U$1004:$AC$1004,1,MATCH(COLUMNS($U$1006:AA1006),$U$1006:$AC$1006,0)))),"Fix")))</f>
        <v>0</v>
      </c>
      <c r="I181" s="3">
        <f>IF(OR(INDEX($O$2:$O$1001,MATCH(ROWS($N$2:N181),$N$2:$N$1001,0),1)&gt;=100000,INDEX($U$1005:$AC$1005,1,MATCH(COLUMNS($U$1006:AB1006),$U$1006:$AC$1006,0))&gt;=100000), " ",IF(INDEX($U$2:$AC$1001,MATCH(ROWS($N$2:N181),$N$2:$N$1001,0),MATCH(COLUMNS($U$1006:AB1006),$U$1006:$AC$1006,0)), HYPERLINK("#",""), HYPERLINK(CONCATENATE("#metadata!", ADDRESS(INDEX($P$2:$P$1001,MATCH(ROWS($N$2:N181),$N$2:$N$1001,0),0), INDEX($U$1004:$AC$1004,1,MATCH(COLUMNS($U$1006:AB1006),$U$1006:$AC$1006,0)))),"Fix")))</f>
        <v>0</v>
      </c>
      <c r="J181" s="3">
        <f>IF(OR(INDEX($O$2:$O$1001,MATCH(ROWS($N$2:N181),$N$2:$N$1001,0),1)&gt;=100000,INDEX($U$1005:$AC$1005,1,MATCH(COLUMNS($U$1006:AC1006),$U$1006:$AC$1006,0))&gt;=100000), " ",IF(INDEX($U$2:$AC$1001,MATCH(ROWS($N$2:N181),$N$2:$N$1001,0),MATCH(COLUMNS($U$1006:AC1006),$U$1006:$AC$1006,0)), HYPERLINK("#",""), HYPERLINK(CONCATENATE("#metadata!", ADDRESS(INDEX($P$2:$P$1001,MATCH(ROWS($N$2:N181),$N$2:$N$1001,0),0), INDEX($U$1004:$AC$1004,1,MATCH(COLUMNS($U$1006:AC1006),$U$1006:$AC$1006,0)))),"Fix")))</f>
        <v>0</v>
      </c>
      <c r="N181">
        <v>0</v>
      </c>
      <c r="O181">
        <v>0</v>
      </c>
      <c r="P181">
        <v>0</v>
      </c>
      <c r="Q181">
        <f>IF(R181,TRUE,AND(U181:AC181))</f>
        <v>0</v>
      </c>
      <c r="R181">
        <f>COUNTBLANK(metadata!B181:J181)=COLUMNS(metadata!B181:J181)</f>
        <v>0</v>
      </c>
      <c r="S181">
        <v>0</v>
      </c>
      <c r="U181">
        <f>AND(IF(metadata!B181="",FALSE,TRUE),COUNTIF(metadata!B:B, metadata!B181) = 1,NOT(ISERROR(SUMPRODUCT(SEARCH(MID(metadata!B181,ROW(INDIRECT("1:"&amp;LEN(metadata!B181))), 1),"0123456789abcdefghijklmnopqrstuvwxyzABCDEFGHIJKLMNOPQRSTUVWXYZ.")))))</f>
        <v>0</v>
      </c>
      <c r="V181">
        <f>AND(IF(metadata!C181="",FALSE,TRUE),exact(metadata!C181,"UBERON:genitourinary"))</f>
        <v>0</v>
      </c>
      <c r="W181">
        <f>AND(IF(metadata!D181="",FALSE,TRUE),exact(metadata!D181,"UBERON:urine"))</f>
        <v>0</v>
      </c>
      <c r="X181">
        <f>AND(IF(metadata!E181="",FALSE,TRUE),exact(metadata!E181,"UBERON:kidney"))</f>
        <v>0</v>
      </c>
      <c r="Y181">
        <f>AND(IF(metadata!F181="",FALSE,TRUE),exact(metadata!F181,"animal corpus"))</f>
        <v>0</v>
      </c>
      <c r="Z181">
        <f>AND(IF(metadata!G181="",FALSE,TRUE),exact(metadata!G181,"urine"))</f>
        <v>0</v>
      </c>
      <c r="AA181">
        <f>AND(IF(metadata!H181="",FALSE,TRUE),exact(metadata!H181,"urine"))</f>
        <v>0</v>
      </c>
      <c r="AB181">
        <f>AND(IF(metadata!I181="",FALSE,TRUE),exact(metadata!I181,"urine metagenome"))</f>
        <v>0</v>
      </c>
      <c r="AC181">
        <f>AND(IF(metadata!J181="",FALSE,TRUE),exact(metadata!J181,"1346744"))</f>
        <v>0</v>
      </c>
    </row>
    <row r="182" spans="1:29">
      <c r="A182" s="4">
        <f>IF(B182=" "," ",HYPERLINK(CONCATENATE("#metadata!",ADDRESS(INDEX($P$2:$P$1001,MATCH(ROWS($N$2:N182),$N$2:$N$1001,0),0),1)),INDEX($S$2:$S$1001,MATCH(ROWS($N$2:N182),$N$2:$N$1001,0),0)))</f>
        <v>0</v>
      </c>
      <c r="B182" s="3">
        <f>IF(OR(INDEX($O$2:$O$1001,MATCH(ROWS($N$2:N182),$N$2:$N$1001,0),1)&gt;=100000,INDEX($U$1005:$AC$1005,1,MATCH(COLUMNS($U$1006:U1006),$U$1006:$AC$1006,0))&gt;=100000), " ",IF(INDEX($U$2:$AC$1001,MATCH(ROWS($N$2:N182),$N$2:$N$1001,0),MATCH(COLUMNS($U$1006:U1006),$U$1006:$AC$1006,0)), HYPERLINK("#",""), HYPERLINK(CONCATENATE("#metadata!", ADDRESS(INDEX($P$2:$P$1001,MATCH(ROWS($N$2:N182),$N$2:$N$1001,0),0), INDEX($U$1004:$AC$1004,1,MATCH(COLUMNS($U$1006:U1006),$U$1006:$AC$1006,0)))),"Fix")))</f>
        <v>0</v>
      </c>
      <c r="C182" s="3">
        <f>IF(OR(INDEX($O$2:$O$1001,MATCH(ROWS($N$2:N182),$N$2:$N$1001,0),1)&gt;=100000,INDEX($U$1005:$AC$1005,1,MATCH(COLUMNS($U$1006:V1006),$U$1006:$AC$1006,0))&gt;=100000), " ",IF(INDEX($U$2:$AC$1001,MATCH(ROWS($N$2:N182),$N$2:$N$1001,0),MATCH(COLUMNS($U$1006:V1006),$U$1006:$AC$1006,0)), HYPERLINK("#",""), HYPERLINK(CONCATENATE("#metadata!", ADDRESS(INDEX($P$2:$P$1001,MATCH(ROWS($N$2:N182),$N$2:$N$1001,0),0), INDEX($U$1004:$AC$1004,1,MATCH(COLUMNS($U$1006:V1006),$U$1006:$AC$1006,0)))),"Fix")))</f>
        <v>0</v>
      </c>
      <c r="D182" s="3">
        <f>IF(OR(INDEX($O$2:$O$1001,MATCH(ROWS($N$2:N182),$N$2:$N$1001,0),1)&gt;=100000,INDEX($U$1005:$AC$1005,1,MATCH(COLUMNS($U$1006:W1006),$U$1006:$AC$1006,0))&gt;=100000), " ",IF(INDEX($U$2:$AC$1001,MATCH(ROWS($N$2:N182),$N$2:$N$1001,0),MATCH(COLUMNS($U$1006:W1006),$U$1006:$AC$1006,0)), HYPERLINK("#",""), HYPERLINK(CONCATENATE("#metadata!", ADDRESS(INDEX($P$2:$P$1001,MATCH(ROWS($N$2:N182),$N$2:$N$1001,0),0), INDEX($U$1004:$AC$1004,1,MATCH(COLUMNS($U$1006:W1006),$U$1006:$AC$1006,0)))),"Fix")))</f>
        <v>0</v>
      </c>
      <c r="E182" s="3">
        <f>IF(OR(INDEX($O$2:$O$1001,MATCH(ROWS($N$2:N182),$N$2:$N$1001,0),1)&gt;=100000,INDEX($U$1005:$AC$1005,1,MATCH(COLUMNS($U$1006:X1006),$U$1006:$AC$1006,0))&gt;=100000), " ",IF(INDEX($U$2:$AC$1001,MATCH(ROWS($N$2:N182),$N$2:$N$1001,0),MATCH(COLUMNS($U$1006:X1006),$U$1006:$AC$1006,0)), HYPERLINK("#",""), HYPERLINK(CONCATENATE("#metadata!", ADDRESS(INDEX($P$2:$P$1001,MATCH(ROWS($N$2:N182),$N$2:$N$1001,0),0), INDEX($U$1004:$AC$1004,1,MATCH(COLUMNS($U$1006:X1006),$U$1006:$AC$1006,0)))),"Fix")))</f>
        <v>0</v>
      </c>
      <c r="F182" s="3">
        <f>IF(OR(INDEX($O$2:$O$1001,MATCH(ROWS($N$2:N182),$N$2:$N$1001,0),1)&gt;=100000,INDEX($U$1005:$AC$1005,1,MATCH(COLUMNS($U$1006:Y1006),$U$1006:$AC$1006,0))&gt;=100000), " ",IF(INDEX($U$2:$AC$1001,MATCH(ROWS($N$2:N182),$N$2:$N$1001,0),MATCH(COLUMNS($U$1006:Y1006),$U$1006:$AC$1006,0)), HYPERLINK("#",""), HYPERLINK(CONCATENATE("#metadata!", ADDRESS(INDEX($P$2:$P$1001,MATCH(ROWS($N$2:N182),$N$2:$N$1001,0),0), INDEX($U$1004:$AC$1004,1,MATCH(COLUMNS($U$1006:Y1006),$U$1006:$AC$1006,0)))),"Fix")))</f>
        <v>0</v>
      </c>
      <c r="G182" s="3">
        <f>IF(OR(INDEX($O$2:$O$1001,MATCH(ROWS($N$2:N182),$N$2:$N$1001,0),1)&gt;=100000,INDEX($U$1005:$AC$1005,1,MATCH(COLUMNS($U$1006:Z1006),$U$1006:$AC$1006,0))&gt;=100000), " ",IF(INDEX($U$2:$AC$1001,MATCH(ROWS($N$2:N182),$N$2:$N$1001,0),MATCH(COLUMNS($U$1006:Z1006),$U$1006:$AC$1006,0)), HYPERLINK("#",""), HYPERLINK(CONCATENATE("#metadata!", ADDRESS(INDEX($P$2:$P$1001,MATCH(ROWS($N$2:N182),$N$2:$N$1001,0),0), INDEX($U$1004:$AC$1004,1,MATCH(COLUMNS($U$1006:Z1006),$U$1006:$AC$1006,0)))),"Fix")))</f>
        <v>0</v>
      </c>
      <c r="H182" s="3">
        <f>IF(OR(INDEX($O$2:$O$1001,MATCH(ROWS($N$2:N182),$N$2:$N$1001,0),1)&gt;=100000,INDEX($U$1005:$AC$1005,1,MATCH(COLUMNS($U$1006:AA1006),$U$1006:$AC$1006,0))&gt;=100000), " ",IF(INDEX($U$2:$AC$1001,MATCH(ROWS($N$2:N182),$N$2:$N$1001,0),MATCH(COLUMNS($U$1006:AA1006),$U$1006:$AC$1006,0)), HYPERLINK("#",""), HYPERLINK(CONCATENATE("#metadata!", ADDRESS(INDEX($P$2:$P$1001,MATCH(ROWS($N$2:N182),$N$2:$N$1001,0),0), INDEX($U$1004:$AC$1004,1,MATCH(COLUMNS($U$1006:AA1006),$U$1006:$AC$1006,0)))),"Fix")))</f>
        <v>0</v>
      </c>
      <c r="I182" s="3">
        <f>IF(OR(INDEX($O$2:$O$1001,MATCH(ROWS($N$2:N182),$N$2:$N$1001,0),1)&gt;=100000,INDEX($U$1005:$AC$1005,1,MATCH(COLUMNS($U$1006:AB1006),$U$1006:$AC$1006,0))&gt;=100000), " ",IF(INDEX($U$2:$AC$1001,MATCH(ROWS($N$2:N182),$N$2:$N$1001,0),MATCH(COLUMNS($U$1006:AB1006),$U$1006:$AC$1006,0)), HYPERLINK("#",""), HYPERLINK(CONCATENATE("#metadata!", ADDRESS(INDEX($P$2:$P$1001,MATCH(ROWS($N$2:N182),$N$2:$N$1001,0),0), INDEX($U$1004:$AC$1004,1,MATCH(COLUMNS($U$1006:AB1006),$U$1006:$AC$1006,0)))),"Fix")))</f>
        <v>0</v>
      </c>
      <c r="J182" s="3">
        <f>IF(OR(INDEX($O$2:$O$1001,MATCH(ROWS($N$2:N182),$N$2:$N$1001,0),1)&gt;=100000,INDEX($U$1005:$AC$1005,1,MATCH(COLUMNS($U$1006:AC1006),$U$1006:$AC$1006,0))&gt;=100000), " ",IF(INDEX($U$2:$AC$1001,MATCH(ROWS($N$2:N182),$N$2:$N$1001,0),MATCH(COLUMNS($U$1006:AC1006),$U$1006:$AC$1006,0)), HYPERLINK("#",""), HYPERLINK(CONCATENATE("#metadata!", ADDRESS(INDEX($P$2:$P$1001,MATCH(ROWS($N$2:N182),$N$2:$N$1001,0),0), INDEX($U$1004:$AC$1004,1,MATCH(COLUMNS($U$1006:AC1006),$U$1006:$AC$1006,0)))),"Fix")))</f>
        <v>0</v>
      </c>
      <c r="N182">
        <v>0</v>
      </c>
      <c r="O182">
        <v>0</v>
      </c>
      <c r="P182">
        <v>0</v>
      </c>
      <c r="Q182">
        <f>IF(R182,TRUE,AND(U182:AC182))</f>
        <v>0</v>
      </c>
      <c r="R182">
        <f>COUNTBLANK(metadata!B182:J182)=COLUMNS(metadata!B182:J182)</f>
        <v>0</v>
      </c>
      <c r="S182">
        <v>0</v>
      </c>
      <c r="U182">
        <f>AND(IF(metadata!B182="",FALSE,TRUE),COUNTIF(metadata!B:B, metadata!B182) = 1,NOT(ISERROR(SUMPRODUCT(SEARCH(MID(metadata!B182,ROW(INDIRECT("1:"&amp;LEN(metadata!B182))), 1),"0123456789abcdefghijklmnopqrstuvwxyzABCDEFGHIJKLMNOPQRSTUVWXYZ.")))))</f>
        <v>0</v>
      </c>
      <c r="V182">
        <f>AND(IF(metadata!C182="",FALSE,TRUE),exact(metadata!C182,"UBERON:genitourinary"))</f>
        <v>0</v>
      </c>
      <c r="W182">
        <f>AND(IF(metadata!D182="",FALSE,TRUE),exact(metadata!D182,"UBERON:urine"))</f>
        <v>0</v>
      </c>
      <c r="X182">
        <f>AND(IF(metadata!E182="",FALSE,TRUE),exact(metadata!E182,"UBERON:kidney"))</f>
        <v>0</v>
      </c>
      <c r="Y182">
        <f>AND(IF(metadata!F182="",FALSE,TRUE),exact(metadata!F182,"animal corpus"))</f>
        <v>0</v>
      </c>
      <c r="Z182">
        <f>AND(IF(metadata!G182="",FALSE,TRUE),exact(metadata!G182,"urine"))</f>
        <v>0</v>
      </c>
      <c r="AA182">
        <f>AND(IF(metadata!H182="",FALSE,TRUE),exact(metadata!H182,"urine"))</f>
        <v>0</v>
      </c>
      <c r="AB182">
        <f>AND(IF(metadata!I182="",FALSE,TRUE),exact(metadata!I182,"urine metagenome"))</f>
        <v>0</v>
      </c>
      <c r="AC182">
        <f>AND(IF(metadata!J182="",FALSE,TRUE),exact(metadata!J182,"1346744"))</f>
        <v>0</v>
      </c>
    </row>
    <row r="183" spans="1:29">
      <c r="A183" s="4">
        <f>IF(B183=" "," ",HYPERLINK(CONCATENATE("#metadata!",ADDRESS(INDEX($P$2:$P$1001,MATCH(ROWS($N$2:N183),$N$2:$N$1001,0),0),1)),INDEX($S$2:$S$1001,MATCH(ROWS($N$2:N183),$N$2:$N$1001,0),0)))</f>
        <v>0</v>
      </c>
      <c r="B183" s="3">
        <f>IF(OR(INDEX($O$2:$O$1001,MATCH(ROWS($N$2:N183),$N$2:$N$1001,0),1)&gt;=100000,INDEX($U$1005:$AC$1005,1,MATCH(COLUMNS($U$1006:U1006),$U$1006:$AC$1006,0))&gt;=100000), " ",IF(INDEX($U$2:$AC$1001,MATCH(ROWS($N$2:N183),$N$2:$N$1001,0),MATCH(COLUMNS($U$1006:U1006),$U$1006:$AC$1006,0)), HYPERLINK("#",""), HYPERLINK(CONCATENATE("#metadata!", ADDRESS(INDEX($P$2:$P$1001,MATCH(ROWS($N$2:N183),$N$2:$N$1001,0),0), INDEX($U$1004:$AC$1004,1,MATCH(COLUMNS($U$1006:U1006),$U$1006:$AC$1006,0)))),"Fix")))</f>
        <v>0</v>
      </c>
      <c r="C183" s="3">
        <f>IF(OR(INDEX($O$2:$O$1001,MATCH(ROWS($N$2:N183),$N$2:$N$1001,0),1)&gt;=100000,INDEX($U$1005:$AC$1005,1,MATCH(COLUMNS($U$1006:V1006),$U$1006:$AC$1006,0))&gt;=100000), " ",IF(INDEX($U$2:$AC$1001,MATCH(ROWS($N$2:N183),$N$2:$N$1001,0),MATCH(COLUMNS($U$1006:V1006),$U$1006:$AC$1006,0)), HYPERLINK("#",""), HYPERLINK(CONCATENATE("#metadata!", ADDRESS(INDEX($P$2:$P$1001,MATCH(ROWS($N$2:N183),$N$2:$N$1001,0),0), INDEX($U$1004:$AC$1004,1,MATCH(COLUMNS($U$1006:V1006),$U$1006:$AC$1006,0)))),"Fix")))</f>
        <v>0</v>
      </c>
      <c r="D183" s="3">
        <f>IF(OR(INDEX($O$2:$O$1001,MATCH(ROWS($N$2:N183),$N$2:$N$1001,0),1)&gt;=100000,INDEX($U$1005:$AC$1005,1,MATCH(COLUMNS($U$1006:W1006),$U$1006:$AC$1006,0))&gt;=100000), " ",IF(INDEX($U$2:$AC$1001,MATCH(ROWS($N$2:N183),$N$2:$N$1001,0),MATCH(COLUMNS($U$1006:W1006),$U$1006:$AC$1006,0)), HYPERLINK("#",""), HYPERLINK(CONCATENATE("#metadata!", ADDRESS(INDEX($P$2:$P$1001,MATCH(ROWS($N$2:N183),$N$2:$N$1001,0),0), INDEX($U$1004:$AC$1004,1,MATCH(COLUMNS($U$1006:W1006),$U$1006:$AC$1006,0)))),"Fix")))</f>
        <v>0</v>
      </c>
      <c r="E183" s="3">
        <f>IF(OR(INDEX($O$2:$O$1001,MATCH(ROWS($N$2:N183),$N$2:$N$1001,0),1)&gt;=100000,INDEX($U$1005:$AC$1005,1,MATCH(COLUMNS($U$1006:X1006),$U$1006:$AC$1006,0))&gt;=100000), " ",IF(INDEX($U$2:$AC$1001,MATCH(ROWS($N$2:N183),$N$2:$N$1001,0),MATCH(COLUMNS($U$1006:X1006),$U$1006:$AC$1006,0)), HYPERLINK("#",""), HYPERLINK(CONCATENATE("#metadata!", ADDRESS(INDEX($P$2:$P$1001,MATCH(ROWS($N$2:N183),$N$2:$N$1001,0),0), INDEX($U$1004:$AC$1004,1,MATCH(COLUMNS($U$1006:X1006),$U$1006:$AC$1006,0)))),"Fix")))</f>
        <v>0</v>
      </c>
      <c r="F183" s="3">
        <f>IF(OR(INDEX($O$2:$O$1001,MATCH(ROWS($N$2:N183),$N$2:$N$1001,0),1)&gt;=100000,INDEX($U$1005:$AC$1005,1,MATCH(COLUMNS($U$1006:Y1006),$U$1006:$AC$1006,0))&gt;=100000), " ",IF(INDEX($U$2:$AC$1001,MATCH(ROWS($N$2:N183),$N$2:$N$1001,0),MATCH(COLUMNS($U$1006:Y1006),$U$1006:$AC$1006,0)), HYPERLINK("#",""), HYPERLINK(CONCATENATE("#metadata!", ADDRESS(INDEX($P$2:$P$1001,MATCH(ROWS($N$2:N183),$N$2:$N$1001,0),0), INDEX($U$1004:$AC$1004,1,MATCH(COLUMNS($U$1006:Y1006),$U$1006:$AC$1006,0)))),"Fix")))</f>
        <v>0</v>
      </c>
      <c r="G183" s="3">
        <f>IF(OR(INDEX($O$2:$O$1001,MATCH(ROWS($N$2:N183),$N$2:$N$1001,0),1)&gt;=100000,INDEX($U$1005:$AC$1005,1,MATCH(COLUMNS($U$1006:Z1006),$U$1006:$AC$1006,0))&gt;=100000), " ",IF(INDEX($U$2:$AC$1001,MATCH(ROWS($N$2:N183),$N$2:$N$1001,0),MATCH(COLUMNS($U$1006:Z1006),$U$1006:$AC$1006,0)), HYPERLINK("#",""), HYPERLINK(CONCATENATE("#metadata!", ADDRESS(INDEX($P$2:$P$1001,MATCH(ROWS($N$2:N183),$N$2:$N$1001,0),0), INDEX($U$1004:$AC$1004,1,MATCH(COLUMNS($U$1006:Z1006),$U$1006:$AC$1006,0)))),"Fix")))</f>
        <v>0</v>
      </c>
      <c r="H183" s="3">
        <f>IF(OR(INDEX($O$2:$O$1001,MATCH(ROWS($N$2:N183),$N$2:$N$1001,0),1)&gt;=100000,INDEX($U$1005:$AC$1005,1,MATCH(COLUMNS($U$1006:AA1006),$U$1006:$AC$1006,0))&gt;=100000), " ",IF(INDEX($U$2:$AC$1001,MATCH(ROWS($N$2:N183),$N$2:$N$1001,0),MATCH(COLUMNS($U$1006:AA1006),$U$1006:$AC$1006,0)), HYPERLINK("#",""), HYPERLINK(CONCATENATE("#metadata!", ADDRESS(INDEX($P$2:$P$1001,MATCH(ROWS($N$2:N183),$N$2:$N$1001,0),0), INDEX($U$1004:$AC$1004,1,MATCH(COLUMNS($U$1006:AA1006),$U$1006:$AC$1006,0)))),"Fix")))</f>
        <v>0</v>
      </c>
      <c r="I183" s="3">
        <f>IF(OR(INDEX($O$2:$O$1001,MATCH(ROWS($N$2:N183),$N$2:$N$1001,0),1)&gt;=100000,INDEX($U$1005:$AC$1005,1,MATCH(COLUMNS($U$1006:AB1006),$U$1006:$AC$1006,0))&gt;=100000), " ",IF(INDEX($U$2:$AC$1001,MATCH(ROWS($N$2:N183),$N$2:$N$1001,0),MATCH(COLUMNS($U$1006:AB1006),$U$1006:$AC$1006,0)), HYPERLINK("#",""), HYPERLINK(CONCATENATE("#metadata!", ADDRESS(INDEX($P$2:$P$1001,MATCH(ROWS($N$2:N183),$N$2:$N$1001,0),0), INDEX($U$1004:$AC$1004,1,MATCH(COLUMNS($U$1006:AB1006),$U$1006:$AC$1006,0)))),"Fix")))</f>
        <v>0</v>
      </c>
      <c r="J183" s="3">
        <f>IF(OR(INDEX($O$2:$O$1001,MATCH(ROWS($N$2:N183),$N$2:$N$1001,0),1)&gt;=100000,INDEX($U$1005:$AC$1005,1,MATCH(COLUMNS($U$1006:AC1006),$U$1006:$AC$1006,0))&gt;=100000), " ",IF(INDEX($U$2:$AC$1001,MATCH(ROWS($N$2:N183),$N$2:$N$1001,0),MATCH(COLUMNS($U$1006:AC1006),$U$1006:$AC$1006,0)), HYPERLINK("#",""), HYPERLINK(CONCATENATE("#metadata!", ADDRESS(INDEX($P$2:$P$1001,MATCH(ROWS($N$2:N183),$N$2:$N$1001,0),0), INDEX($U$1004:$AC$1004,1,MATCH(COLUMNS($U$1006:AC1006),$U$1006:$AC$1006,0)))),"Fix")))</f>
        <v>0</v>
      </c>
      <c r="N183">
        <v>0</v>
      </c>
      <c r="O183">
        <v>0</v>
      </c>
      <c r="P183">
        <v>0</v>
      </c>
      <c r="Q183">
        <f>IF(R183,TRUE,AND(U183:AC183))</f>
        <v>0</v>
      </c>
      <c r="R183">
        <f>COUNTBLANK(metadata!B183:J183)=COLUMNS(metadata!B183:J183)</f>
        <v>0</v>
      </c>
      <c r="S183">
        <v>0</v>
      </c>
      <c r="U183">
        <f>AND(IF(metadata!B183="",FALSE,TRUE),COUNTIF(metadata!B:B, metadata!B183) = 1,NOT(ISERROR(SUMPRODUCT(SEARCH(MID(metadata!B183,ROW(INDIRECT("1:"&amp;LEN(metadata!B183))), 1),"0123456789abcdefghijklmnopqrstuvwxyzABCDEFGHIJKLMNOPQRSTUVWXYZ.")))))</f>
        <v>0</v>
      </c>
      <c r="V183">
        <f>AND(IF(metadata!C183="",FALSE,TRUE),exact(metadata!C183,"UBERON:genitourinary"))</f>
        <v>0</v>
      </c>
      <c r="W183">
        <f>AND(IF(metadata!D183="",FALSE,TRUE),exact(metadata!D183,"UBERON:urine"))</f>
        <v>0</v>
      </c>
      <c r="X183">
        <f>AND(IF(metadata!E183="",FALSE,TRUE),exact(metadata!E183,"UBERON:kidney"))</f>
        <v>0</v>
      </c>
      <c r="Y183">
        <f>AND(IF(metadata!F183="",FALSE,TRUE),exact(metadata!F183,"animal corpus"))</f>
        <v>0</v>
      </c>
      <c r="Z183">
        <f>AND(IF(metadata!G183="",FALSE,TRUE),exact(metadata!G183,"urine"))</f>
        <v>0</v>
      </c>
      <c r="AA183">
        <f>AND(IF(metadata!H183="",FALSE,TRUE),exact(metadata!H183,"urine"))</f>
        <v>0</v>
      </c>
      <c r="AB183">
        <f>AND(IF(metadata!I183="",FALSE,TRUE),exact(metadata!I183,"urine metagenome"))</f>
        <v>0</v>
      </c>
      <c r="AC183">
        <f>AND(IF(metadata!J183="",FALSE,TRUE),exact(metadata!J183,"1346744"))</f>
        <v>0</v>
      </c>
    </row>
    <row r="184" spans="1:29">
      <c r="A184" s="4">
        <f>IF(B184=" "," ",HYPERLINK(CONCATENATE("#metadata!",ADDRESS(INDEX($P$2:$P$1001,MATCH(ROWS($N$2:N184),$N$2:$N$1001,0),0),1)),INDEX($S$2:$S$1001,MATCH(ROWS($N$2:N184),$N$2:$N$1001,0),0)))</f>
        <v>0</v>
      </c>
      <c r="B184" s="3">
        <f>IF(OR(INDEX($O$2:$O$1001,MATCH(ROWS($N$2:N184),$N$2:$N$1001,0),1)&gt;=100000,INDEX($U$1005:$AC$1005,1,MATCH(COLUMNS($U$1006:U1006),$U$1006:$AC$1006,0))&gt;=100000), " ",IF(INDEX($U$2:$AC$1001,MATCH(ROWS($N$2:N184),$N$2:$N$1001,0),MATCH(COLUMNS($U$1006:U1006),$U$1006:$AC$1006,0)), HYPERLINK("#",""), HYPERLINK(CONCATENATE("#metadata!", ADDRESS(INDEX($P$2:$P$1001,MATCH(ROWS($N$2:N184),$N$2:$N$1001,0),0), INDEX($U$1004:$AC$1004,1,MATCH(COLUMNS($U$1006:U1006),$U$1006:$AC$1006,0)))),"Fix")))</f>
        <v>0</v>
      </c>
      <c r="C184" s="3">
        <f>IF(OR(INDEX($O$2:$O$1001,MATCH(ROWS($N$2:N184),$N$2:$N$1001,0),1)&gt;=100000,INDEX($U$1005:$AC$1005,1,MATCH(COLUMNS($U$1006:V1006),$U$1006:$AC$1006,0))&gt;=100000), " ",IF(INDEX($U$2:$AC$1001,MATCH(ROWS($N$2:N184),$N$2:$N$1001,0),MATCH(COLUMNS($U$1006:V1006),$U$1006:$AC$1006,0)), HYPERLINK("#",""), HYPERLINK(CONCATENATE("#metadata!", ADDRESS(INDEX($P$2:$P$1001,MATCH(ROWS($N$2:N184),$N$2:$N$1001,0),0), INDEX($U$1004:$AC$1004,1,MATCH(COLUMNS($U$1006:V1006),$U$1006:$AC$1006,0)))),"Fix")))</f>
        <v>0</v>
      </c>
      <c r="D184" s="3">
        <f>IF(OR(INDEX($O$2:$O$1001,MATCH(ROWS($N$2:N184),$N$2:$N$1001,0),1)&gt;=100000,INDEX($U$1005:$AC$1005,1,MATCH(COLUMNS($U$1006:W1006),$U$1006:$AC$1006,0))&gt;=100000), " ",IF(INDEX($U$2:$AC$1001,MATCH(ROWS($N$2:N184),$N$2:$N$1001,0),MATCH(COLUMNS($U$1006:W1006),$U$1006:$AC$1006,0)), HYPERLINK("#",""), HYPERLINK(CONCATENATE("#metadata!", ADDRESS(INDEX($P$2:$P$1001,MATCH(ROWS($N$2:N184),$N$2:$N$1001,0),0), INDEX($U$1004:$AC$1004,1,MATCH(COLUMNS($U$1006:W1006),$U$1006:$AC$1006,0)))),"Fix")))</f>
        <v>0</v>
      </c>
      <c r="E184" s="3">
        <f>IF(OR(INDEX($O$2:$O$1001,MATCH(ROWS($N$2:N184),$N$2:$N$1001,0),1)&gt;=100000,INDEX($U$1005:$AC$1005,1,MATCH(COLUMNS($U$1006:X1006),$U$1006:$AC$1006,0))&gt;=100000), " ",IF(INDEX($U$2:$AC$1001,MATCH(ROWS($N$2:N184),$N$2:$N$1001,0),MATCH(COLUMNS($U$1006:X1006),$U$1006:$AC$1006,0)), HYPERLINK("#",""), HYPERLINK(CONCATENATE("#metadata!", ADDRESS(INDEX($P$2:$P$1001,MATCH(ROWS($N$2:N184),$N$2:$N$1001,0),0), INDEX($U$1004:$AC$1004,1,MATCH(COLUMNS($U$1006:X1006),$U$1006:$AC$1006,0)))),"Fix")))</f>
        <v>0</v>
      </c>
      <c r="F184" s="3">
        <f>IF(OR(INDEX($O$2:$O$1001,MATCH(ROWS($N$2:N184),$N$2:$N$1001,0),1)&gt;=100000,INDEX($U$1005:$AC$1005,1,MATCH(COLUMNS($U$1006:Y1006),$U$1006:$AC$1006,0))&gt;=100000), " ",IF(INDEX($U$2:$AC$1001,MATCH(ROWS($N$2:N184),$N$2:$N$1001,0),MATCH(COLUMNS($U$1006:Y1006),$U$1006:$AC$1006,0)), HYPERLINK("#",""), HYPERLINK(CONCATENATE("#metadata!", ADDRESS(INDEX($P$2:$P$1001,MATCH(ROWS($N$2:N184),$N$2:$N$1001,0),0), INDEX($U$1004:$AC$1004,1,MATCH(COLUMNS($U$1006:Y1006),$U$1006:$AC$1006,0)))),"Fix")))</f>
        <v>0</v>
      </c>
      <c r="G184" s="3">
        <f>IF(OR(INDEX($O$2:$O$1001,MATCH(ROWS($N$2:N184),$N$2:$N$1001,0),1)&gt;=100000,INDEX($U$1005:$AC$1005,1,MATCH(COLUMNS($U$1006:Z1006),$U$1006:$AC$1006,0))&gt;=100000), " ",IF(INDEX($U$2:$AC$1001,MATCH(ROWS($N$2:N184),$N$2:$N$1001,0),MATCH(COLUMNS($U$1006:Z1006),$U$1006:$AC$1006,0)), HYPERLINK("#",""), HYPERLINK(CONCATENATE("#metadata!", ADDRESS(INDEX($P$2:$P$1001,MATCH(ROWS($N$2:N184),$N$2:$N$1001,0),0), INDEX($U$1004:$AC$1004,1,MATCH(COLUMNS($U$1006:Z1006),$U$1006:$AC$1006,0)))),"Fix")))</f>
        <v>0</v>
      </c>
      <c r="H184" s="3">
        <f>IF(OR(INDEX($O$2:$O$1001,MATCH(ROWS($N$2:N184),$N$2:$N$1001,0),1)&gt;=100000,INDEX($U$1005:$AC$1005,1,MATCH(COLUMNS($U$1006:AA1006),$U$1006:$AC$1006,0))&gt;=100000), " ",IF(INDEX($U$2:$AC$1001,MATCH(ROWS($N$2:N184),$N$2:$N$1001,0),MATCH(COLUMNS($U$1006:AA1006),$U$1006:$AC$1006,0)), HYPERLINK("#",""), HYPERLINK(CONCATENATE("#metadata!", ADDRESS(INDEX($P$2:$P$1001,MATCH(ROWS($N$2:N184),$N$2:$N$1001,0),0), INDEX($U$1004:$AC$1004,1,MATCH(COLUMNS($U$1006:AA1006),$U$1006:$AC$1006,0)))),"Fix")))</f>
        <v>0</v>
      </c>
      <c r="I184" s="3">
        <f>IF(OR(INDEX($O$2:$O$1001,MATCH(ROWS($N$2:N184),$N$2:$N$1001,0),1)&gt;=100000,INDEX($U$1005:$AC$1005,1,MATCH(COLUMNS($U$1006:AB1006),$U$1006:$AC$1006,0))&gt;=100000), " ",IF(INDEX($U$2:$AC$1001,MATCH(ROWS($N$2:N184),$N$2:$N$1001,0),MATCH(COLUMNS($U$1006:AB1006),$U$1006:$AC$1006,0)), HYPERLINK("#",""), HYPERLINK(CONCATENATE("#metadata!", ADDRESS(INDEX($P$2:$P$1001,MATCH(ROWS($N$2:N184),$N$2:$N$1001,0),0), INDEX($U$1004:$AC$1004,1,MATCH(COLUMNS($U$1006:AB1006),$U$1006:$AC$1006,0)))),"Fix")))</f>
        <v>0</v>
      </c>
      <c r="J184" s="3">
        <f>IF(OR(INDEX($O$2:$O$1001,MATCH(ROWS($N$2:N184),$N$2:$N$1001,0),1)&gt;=100000,INDEX($U$1005:$AC$1005,1,MATCH(COLUMNS($U$1006:AC1006),$U$1006:$AC$1006,0))&gt;=100000), " ",IF(INDEX($U$2:$AC$1001,MATCH(ROWS($N$2:N184),$N$2:$N$1001,0),MATCH(COLUMNS($U$1006:AC1006),$U$1006:$AC$1006,0)), HYPERLINK("#",""), HYPERLINK(CONCATENATE("#metadata!", ADDRESS(INDEX($P$2:$P$1001,MATCH(ROWS($N$2:N184),$N$2:$N$1001,0),0), INDEX($U$1004:$AC$1004,1,MATCH(COLUMNS($U$1006:AC1006),$U$1006:$AC$1006,0)))),"Fix")))</f>
        <v>0</v>
      </c>
      <c r="N184">
        <v>0</v>
      </c>
      <c r="O184">
        <v>0</v>
      </c>
      <c r="P184">
        <v>0</v>
      </c>
      <c r="Q184">
        <f>IF(R184,TRUE,AND(U184:AC184))</f>
        <v>0</v>
      </c>
      <c r="R184">
        <f>COUNTBLANK(metadata!B184:J184)=COLUMNS(metadata!B184:J184)</f>
        <v>0</v>
      </c>
      <c r="S184">
        <v>0</v>
      </c>
      <c r="U184">
        <f>AND(IF(metadata!B184="",FALSE,TRUE),COUNTIF(metadata!B:B, metadata!B184) = 1,NOT(ISERROR(SUMPRODUCT(SEARCH(MID(metadata!B184,ROW(INDIRECT("1:"&amp;LEN(metadata!B184))), 1),"0123456789abcdefghijklmnopqrstuvwxyzABCDEFGHIJKLMNOPQRSTUVWXYZ.")))))</f>
        <v>0</v>
      </c>
      <c r="V184">
        <f>AND(IF(metadata!C184="",FALSE,TRUE),exact(metadata!C184,"UBERON:genitourinary"))</f>
        <v>0</v>
      </c>
      <c r="W184">
        <f>AND(IF(metadata!D184="",FALSE,TRUE),exact(metadata!D184,"UBERON:urine"))</f>
        <v>0</v>
      </c>
      <c r="X184">
        <f>AND(IF(metadata!E184="",FALSE,TRUE),exact(metadata!E184,"UBERON:kidney"))</f>
        <v>0</v>
      </c>
      <c r="Y184">
        <f>AND(IF(metadata!F184="",FALSE,TRUE),exact(metadata!F184,"animal corpus"))</f>
        <v>0</v>
      </c>
      <c r="Z184">
        <f>AND(IF(metadata!G184="",FALSE,TRUE),exact(metadata!G184,"urine"))</f>
        <v>0</v>
      </c>
      <c r="AA184">
        <f>AND(IF(metadata!H184="",FALSE,TRUE),exact(metadata!H184,"urine"))</f>
        <v>0</v>
      </c>
      <c r="AB184">
        <f>AND(IF(metadata!I184="",FALSE,TRUE),exact(metadata!I184,"urine metagenome"))</f>
        <v>0</v>
      </c>
      <c r="AC184">
        <f>AND(IF(metadata!J184="",FALSE,TRUE),exact(metadata!J184,"1346744"))</f>
        <v>0</v>
      </c>
    </row>
    <row r="185" spans="1:29">
      <c r="A185" s="4">
        <f>IF(B185=" "," ",HYPERLINK(CONCATENATE("#metadata!",ADDRESS(INDEX($P$2:$P$1001,MATCH(ROWS($N$2:N185),$N$2:$N$1001,0),0),1)),INDEX($S$2:$S$1001,MATCH(ROWS($N$2:N185),$N$2:$N$1001,0),0)))</f>
        <v>0</v>
      </c>
      <c r="B185" s="3">
        <f>IF(OR(INDEX($O$2:$O$1001,MATCH(ROWS($N$2:N185),$N$2:$N$1001,0),1)&gt;=100000,INDEX($U$1005:$AC$1005,1,MATCH(COLUMNS($U$1006:U1006),$U$1006:$AC$1006,0))&gt;=100000), " ",IF(INDEX($U$2:$AC$1001,MATCH(ROWS($N$2:N185),$N$2:$N$1001,0),MATCH(COLUMNS($U$1006:U1006),$U$1006:$AC$1006,0)), HYPERLINK("#",""), HYPERLINK(CONCATENATE("#metadata!", ADDRESS(INDEX($P$2:$P$1001,MATCH(ROWS($N$2:N185),$N$2:$N$1001,0),0), INDEX($U$1004:$AC$1004,1,MATCH(COLUMNS($U$1006:U1006),$U$1006:$AC$1006,0)))),"Fix")))</f>
        <v>0</v>
      </c>
      <c r="C185" s="3">
        <f>IF(OR(INDEX($O$2:$O$1001,MATCH(ROWS($N$2:N185),$N$2:$N$1001,0),1)&gt;=100000,INDEX($U$1005:$AC$1005,1,MATCH(COLUMNS($U$1006:V1006),$U$1006:$AC$1006,0))&gt;=100000), " ",IF(INDEX($U$2:$AC$1001,MATCH(ROWS($N$2:N185),$N$2:$N$1001,0),MATCH(COLUMNS($U$1006:V1006),$U$1006:$AC$1006,0)), HYPERLINK("#",""), HYPERLINK(CONCATENATE("#metadata!", ADDRESS(INDEX($P$2:$P$1001,MATCH(ROWS($N$2:N185),$N$2:$N$1001,0),0), INDEX($U$1004:$AC$1004,1,MATCH(COLUMNS($U$1006:V1006),$U$1006:$AC$1006,0)))),"Fix")))</f>
        <v>0</v>
      </c>
      <c r="D185" s="3">
        <f>IF(OR(INDEX($O$2:$O$1001,MATCH(ROWS($N$2:N185),$N$2:$N$1001,0),1)&gt;=100000,INDEX($U$1005:$AC$1005,1,MATCH(COLUMNS($U$1006:W1006),$U$1006:$AC$1006,0))&gt;=100000), " ",IF(INDEX($U$2:$AC$1001,MATCH(ROWS($N$2:N185),$N$2:$N$1001,0),MATCH(COLUMNS($U$1006:W1006),$U$1006:$AC$1006,0)), HYPERLINK("#",""), HYPERLINK(CONCATENATE("#metadata!", ADDRESS(INDEX($P$2:$P$1001,MATCH(ROWS($N$2:N185),$N$2:$N$1001,0),0), INDEX($U$1004:$AC$1004,1,MATCH(COLUMNS($U$1006:W1006),$U$1006:$AC$1006,0)))),"Fix")))</f>
        <v>0</v>
      </c>
      <c r="E185" s="3">
        <f>IF(OR(INDEX($O$2:$O$1001,MATCH(ROWS($N$2:N185),$N$2:$N$1001,0),1)&gt;=100000,INDEX($U$1005:$AC$1005,1,MATCH(COLUMNS($U$1006:X1006),$U$1006:$AC$1006,0))&gt;=100000), " ",IF(INDEX($U$2:$AC$1001,MATCH(ROWS($N$2:N185),$N$2:$N$1001,0),MATCH(COLUMNS($U$1006:X1006),$U$1006:$AC$1006,0)), HYPERLINK("#",""), HYPERLINK(CONCATENATE("#metadata!", ADDRESS(INDEX($P$2:$P$1001,MATCH(ROWS($N$2:N185),$N$2:$N$1001,0),0), INDEX($U$1004:$AC$1004,1,MATCH(COLUMNS($U$1006:X1006),$U$1006:$AC$1006,0)))),"Fix")))</f>
        <v>0</v>
      </c>
      <c r="F185" s="3">
        <f>IF(OR(INDEX($O$2:$O$1001,MATCH(ROWS($N$2:N185),$N$2:$N$1001,0),1)&gt;=100000,INDEX($U$1005:$AC$1005,1,MATCH(COLUMNS($U$1006:Y1006),$U$1006:$AC$1006,0))&gt;=100000), " ",IF(INDEX($U$2:$AC$1001,MATCH(ROWS($N$2:N185),$N$2:$N$1001,0),MATCH(COLUMNS($U$1006:Y1006),$U$1006:$AC$1006,0)), HYPERLINK("#",""), HYPERLINK(CONCATENATE("#metadata!", ADDRESS(INDEX($P$2:$P$1001,MATCH(ROWS($N$2:N185),$N$2:$N$1001,0),0), INDEX($U$1004:$AC$1004,1,MATCH(COLUMNS($U$1006:Y1006),$U$1006:$AC$1006,0)))),"Fix")))</f>
        <v>0</v>
      </c>
      <c r="G185" s="3">
        <f>IF(OR(INDEX($O$2:$O$1001,MATCH(ROWS($N$2:N185),$N$2:$N$1001,0),1)&gt;=100000,INDEX($U$1005:$AC$1005,1,MATCH(COLUMNS($U$1006:Z1006),$U$1006:$AC$1006,0))&gt;=100000), " ",IF(INDEX($U$2:$AC$1001,MATCH(ROWS($N$2:N185),$N$2:$N$1001,0),MATCH(COLUMNS($U$1006:Z1006),$U$1006:$AC$1006,0)), HYPERLINK("#",""), HYPERLINK(CONCATENATE("#metadata!", ADDRESS(INDEX($P$2:$P$1001,MATCH(ROWS($N$2:N185),$N$2:$N$1001,0),0), INDEX($U$1004:$AC$1004,1,MATCH(COLUMNS($U$1006:Z1006),$U$1006:$AC$1006,0)))),"Fix")))</f>
        <v>0</v>
      </c>
      <c r="H185" s="3">
        <f>IF(OR(INDEX($O$2:$O$1001,MATCH(ROWS($N$2:N185),$N$2:$N$1001,0),1)&gt;=100000,INDEX($U$1005:$AC$1005,1,MATCH(COLUMNS($U$1006:AA1006),$U$1006:$AC$1006,0))&gt;=100000), " ",IF(INDEX($U$2:$AC$1001,MATCH(ROWS($N$2:N185),$N$2:$N$1001,0),MATCH(COLUMNS($U$1006:AA1006),$U$1006:$AC$1006,0)), HYPERLINK("#",""), HYPERLINK(CONCATENATE("#metadata!", ADDRESS(INDEX($P$2:$P$1001,MATCH(ROWS($N$2:N185),$N$2:$N$1001,0),0), INDEX($U$1004:$AC$1004,1,MATCH(COLUMNS($U$1006:AA1006),$U$1006:$AC$1006,0)))),"Fix")))</f>
        <v>0</v>
      </c>
      <c r="I185" s="3">
        <f>IF(OR(INDEX($O$2:$O$1001,MATCH(ROWS($N$2:N185),$N$2:$N$1001,0),1)&gt;=100000,INDEX($U$1005:$AC$1005,1,MATCH(COLUMNS($U$1006:AB1006),$U$1006:$AC$1006,0))&gt;=100000), " ",IF(INDEX($U$2:$AC$1001,MATCH(ROWS($N$2:N185),$N$2:$N$1001,0),MATCH(COLUMNS($U$1006:AB1006),$U$1006:$AC$1006,0)), HYPERLINK("#",""), HYPERLINK(CONCATENATE("#metadata!", ADDRESS(INDEX($P$2:$P$1001,MATCH(ROWS($N$2:N185),$N$2:$N$1001,0),0), INDEX($U$1004:$AC$1004,1,MATCH(COLUMNS($U$1006:AB1006),$U$1006:$AC$1006,0)))),"Fix")))</f>
        <v>0</v>
      </c>
      <c r="J185" s="3">
        <f>IF(OR(INDEX($O$2:$O$1001,MATCH(ROWS($N$2:N185),$N$2:$N$1001,0),1)&gt;=100000,INDEX($U$1005:$AC$1005,1,MATCH(COLUMNS($U$1006:AC1006),$U$1006:$AC$1006,0))&gt;=100000), " ",IF(INDEX($U$2:$AC$1001,MATCH(ROWS($N$2:N185),$N$2:$N$1001,0),MATCH(COLUMNS($U$1006:AC1006),$U$1006:$AC$1006,0)), HYPERLINK("#",""), HYPERLINK(CONCATENATE("#metadata!", ADDRESS(INDEX($P$2:$P$1001,MATCH(ROWS($N$2:N185),$N$2:$N$1001,0),0), INDEX($U$1004:$AC$1004,1,MATCH(COLUMNS($U$1006:AC1006),$U$1006:$AC$1006,0)))),"Fix")))</f>
        <v>0</v>
      </c>
      <c r="N185">
        <v>0</v>
      </c>
      <c r="O185">
        <v>0</v>
      </c>
      <c r="P185">
        <v>0</v>
      </c>
      <c r="Q185">
        <f>IF(R185,TRUE,AND(U185:AC185))</f>
        <v>0</v>
      </c>
      <c r="R185">
        <f>COUNTBLANK(metadata!B185:J185)=COLUMNS(metadata!B185:J185)</f>
        <v>0</v>
      </c>
      <c r="S185">
        <v>0</v>
      </c>
      <c r="U185">
        <f>AND(IF(metadata!B185="",FALSE,TRUE),COUNTIF(metadata!B:B, metadata!B185) = 1,NOT(ISERROR(SUMPRODUCT(SEARCH(MID(metadata!B185,ROW(INDIRECT("1:"&amp;LEN(metadata!B185))), 1),"0123456789abcdefghijklmnopqrstuvwxyzABCDEFGHIJKLMNOPQRSTUVWXYZ.")))))</f>
        <v>0</v>
      </c>
      <c r="V185">
        <f>AND(IF(metadata!C185="",FALSE,TRUE),exact(metadata!C185,"UBERON:genitourinary"))</f>
        <v>0</v>
      </c>
      <c r="W185">
        <f>AND(IF(metadata!D185="",FALSE,TRUE),exact(metadata!D185,"UBERON:urine"))</f>
        <v>0</v>
      </c>
      <c r="X185">
        <f>AND(IF(metadata!E185="",FALSE,TRUE),exact(metadata!E185,"UBERON:kidney"))</f>
        <v>0</v>
      </c>
      <c r="Y185">
        <f>AND(IF(metadata!F185="",FALSE,TRUE),exact(metadata!F185,"animal corpus"))</f>
        <v>0</v>
      </c>
      <c r="Z185">
        <f>AND(IF(metadata!G185="",FALSE,TRUE),exact(metadata!G185,"urine"))</f>
        <v>0</v>
      </c>
      <c r="AA185">
        <f>AND(IF(metadata!H185="",FALSE,TRUE),exact(metadata!H185,"urine"))</f>
        <v>0</v>
      </c>
      <c r="AB185">
        <f>AND(IF(metadata!I185="",FALSE,TRUE),exact(metadata!I185,"urine metagenome"))</f>
        <v>0</v>
      </c>
      <c r="AC185">
        <f>AND(IF(metadata!J185="",FALSE,TRUE),exact(metadata!J185,"1346744"))</f>
        <v>0</v>
      </c>
    </row>
    <row r="186" spans="1:29">
      <c r="A186" s="4">
        <f>IF(B186=" "," ",HYPERLINK(CONCATENATE("#metadata!",ADDRESS(INDEX($P$2:$P$1001,MATCH(ROWS($N$2:N186),$N$2:$N$1001,0),0),1)),INDEX($S$2:$S$1001,MATCH(ROWS($N$2:N186),$N$2:$N$1001,0),0)))</f>
        <v>0</v>
      </c>
      <c r="B186" s="3">
        <f>IF(OR(INDEX($O$2:$O$1001,MATCH(ROWS($N$2:N186),$N$2:$N$1001,0),1)&gt;=100000,INDEX($U$1005:$AC$1005,1,MATCH(COLUMNS($U$1006:U1006),$U$1006:$AC$1006,0))&gt;=100000), " ",IF(INDEX($U$2:$AC$1001,MATCH(ROWS($N$2:N186),$N$2:$N$1001,0),MATCH(COLUMNS($U$1006:U1006),$U$1006:$AC$1006,0)), HYPERLINK("#",""), HYPERLINK(CONCATENATE("#metadata!", ADDRESS(INDEX($P$2:$P$1001,MATCH(ROWS($N$2:N186),$N$2:$N$1001,0),0), INDEX($U$1004:$AC$1004,1,MATCH(COLUMNS($U$1006:U1006),$U$1006:$AC$1006,0)))),"Fix")))</f>
        <v>0</v>
      </c>
      <c r="C186" s="3">
        <f>IF(OR(INDEX($O$2:$O$1001,MATCH(ROWS($N$2:N186),$N$2:$N$1001,0),1)&gt;=100000,INDEX($U$1005:$AC$1005,1,MATCH(COLUMNS($U$1006:V1006),$U$1006:$AC$1006,0))&gt;=100000), " ",IF(INDEX($U$2:$AC$1001,MATCH(ROWS($N$2:N186),$N$2:$N$1001,0),MATCH(COLUMNS($U$1006:V1006),$U$1006:$AC$1006,0)), HYPERLINK("#",""), HYPERLINK(CONCATENATE("#metadata!", ADDRESS(INDEX($P$2:$P$1001,MATCH(ROWS($N$2:N186),$N$2:$N$1001,0),0), INDEX($U$1004:$AC$1004,1,MATCH(COLUMNS($U$1006:V1006),$U$1006:$AC$1006,0)))),"Fix")))</f>
        <v>0</v>
      </c>
      <c r="D186" s="3">
        <f>IF(OR(INDEX($O$2:$O$1001,MATCH(ROWS($N$2:N186),$N$2:$N$1001,0),1)&gt;=100000,INDEX($U$1005:$AC$1005,1,MATCH(COLUMNS($U$1006:W1006),$U$1006:$AC$1006,0))&gt;=100000), " ",IF(INDEX($U$2:$AC$1001,MATCH(ROWS($N$2:N186),$N$2:$N$1001,0),MATCH(COLUMNS($U$1006:W1006),$U$1006:$AC$1006,0)), HYPERLINK("#",""), HYPERLINK(CONCATENATE("#metadata!", ADDRESS(INDEX($P$2:$P$1001,MATCH(ROWS($N$2:N186),$N$2:$N$1001,0),0), INDEX($U$1004:$AC$1004,1,MATCH(COLUMNS($U$1006:W1006),$U$1006:$AC$1006,0)))),"Fix")))</f>
        <v>0</v>
      </c>
      <c r="E186" s="3">
        <f>IF(OR(INDEX($O$2:$O$1001,MATCH(ROWS($N$2:N186),$N$2:$N$1001,0),1)&gt;=100000,INDEX($U$1005:$AC$1005,1,MATCH(COLUMNS($U$1006:X1006),$U$1006:$AC$1006,0))&gt;=100000), " ",IF(INDEX($U$2:$AC$1001,MATCH(ROWS($N$2:N186),$N$2:$N$1001,0),MATCH(COLUMNS($U$1006:X1006),$U$1006:$AC$1006,0)), HYPERLINK("#",""), HYPERLINK(CONCATENATE("#metadata!", ADDRESS(INDEX($P$2:$P$1001,MATCH(ROWS($N$2:N186),$N$2:$N$1001,0),0), INDEX($U$1004:$AC$1004,1,MATCH(COLUMNS($U$1006:X1006),$U$1006:$AC$1006,0)))),"Fix")))</f>
        <v>0</v>
      </c>
      <c r="F186" s="3">
        <f>IF(OR(INDEX($O$2:$O$1001,MATCH(ROWS($N$2:N186),$N$2:$N$1001,0),1)&gt;=100000,INDEX($U$1005:$AC$1005,1,MATCH(COLUMNS($U$1006:Y1006),$U$1006:$AC$1006,0))&gt;=100000), " ",IF(INDEX($U$2:$AC$1001,MATCH(ROWS($N$2:N186),$N$2:$N$1001,0),MATCH(COLUMNS($U$1006:Y1006),$U$1006:$AC$1006,0)), HYPERLINK("#",""), HYPERLINK(CONCATENATE("#metadata!", ADDRESS(INDEX($P$2:$P$1001,MATCH(ROWS($N$2:N186),$N$2:$N$1001,0),0), INDEX($U$1004:$AC$1004,1,MATCH(COLUMNS($U$1006:Y1006),$U$1006:$AC$1006,0)))),"Fix")))</f>
        <v>0</v>
      </c>
      <c r="G186" s="3">
        <f>IF(OR(INDEX($O$2:$O$1001,MATCH(ROWS($N$2:N186),$N$2:$N$1001,0),1)&gt;=100000,INDEX($U$1005:$AC$1005,1,MATCH(COLUMNS($U$1006:Z1006),$U$1006:$AC$1006,0))&gt;=100000), " ",IF(INDEX($U$2:$AC$1001,MATCH(ROWS($N$2:N186),$N$2:$N$1001,0),MATCH(COLUMNS($U$1006:Z1006),$U$1006:$AC$1006,0)), HYPERLINK("#",""), HYPERLINK(CONCATENATE("#metadata!", ADDRESS(INDEX($P$2:$P$1001,MATCH(ROWS($N$2:N186),$N$2:$N$1001,0),0), INDEX($U$1004:$AC$1004,1,MATCH(COLUMNS($U$1006:Z1006),$U$1006:$AC$1006,0)))),"Fix")))</f>
        <v>0</v>
      </c>
      <c r="H186" s="3">
        <f>IF(OR(INDEX($O$2:$O$1001,MATCH(ROWS($N$2:N186),$N$2:$N$1001,0),1)&gt;=100000,INDEX($U$1005:$AC$1005,1,MATCH(COLUMNS($U$1006:AA1006),$U$1006:$AC$1006,0))&gt;=100000), " ",IF(INDEX($U$2:$AC$1001,MATCH(ROWS($N$2:N186),$N$2:$N$1001,0),MATCH(COLUMNS($U$1006:AA1006),$U$1006:$AC$1006,0)), HYPERLINK("#",""), HYPERLINK(CONCATENATE("#metadata!", ADDRESS(INDEX($P$2:$P$1001,MATCH(ROWS($N$2:N186),$N$2:$N$1001,0),0), INDEX($U$1004:$AC$1004,1,MATCH(COLUMNS($U$1006:AA1006),$U$1006:$AC$1006,0)))),"Fix")))</f>
        <v>0</v>
      </c>
      <c r="I186" s="3">
        <f>IF(OR(INDEX($O$2:$O$1001,MATCH(ROWS($N$2:N186),$N$2:$N$1001,0),1)&gt;=100000,INDEX($U$1005:$AC$1005,1,MATCH(COLUMNS($U$1006:AB1006),$U$1006:$AC$1006,0))&gt;=100000), " ",IF(INDEX($U$2:$AC$1001,MATCH(ROWS($N$2:N186),$N$2:$N$1001,0),MATCH(COLUMNS($U$1006:AB1006),$U$1006:$AC$1006,0)), HYPERLINK("#",""), HYPERLINK(CONCATENATE("#metadata!", ADDRESS(INDEX($P$2:$P$1001,MATCH(ROWS($N$2:N186),$N$2:$N$1001,0),0), INDEX($U$1004:$AC$1004,1,MATCH(COLUMNS($U$1006:AB1006),$U$1006:$AC$1006,0)))),"Fix")))</f>
        <v>0</v>
      </c>
      <c r="J186" s="3">
        <f>IF(OR(INDEX($O$2:$O$1001,MATCH(ROWS($N$2:N186),$N$2:$N$1001,0),1)&gt;=100000,INDEX($U$1005:$AC$1005,1,MATCH(COLUMNS($U$1006:AC1006),$U$1006:$AC$1006,0))&gt;=100000), " ",IF(INDEX($U$2:$AC$1001,MATCH(ROWS($N$2:N186),$N$2:$N$1001,0),MATCH(COLUMNS($U$1006:AC1006),$U$1006:$AC$1006,0)), HYPERLINK("#",""), HYPERLINK(CONCATENATE("#metadata!", ADDRESS(INDEX($P$2:$P$1001,MATCH(ROWS($N$2:N186),$N$2:$N$1001,0),0), INDEX($U$1004:$AC$1004,1,MATCH(COLUMNS($U$1006:AC1006),$U$1006:$AC$1006,0)))),"Fix")))</f>
        <v>0</v>
      </c>
      <c r="N186">
        <v>0</v>
      </c>
      <c r="O186">
        <v>0</v>
      </c>
      <c r="P186">
        <v>0</v>
      </c>
      <c r="Q186">
        <f>IF(R186,TRUE,AND(U186:AC186))</f>
        <v>0</v>
      </c>
      <c r="R186">
        <f>COUNTBLANK(metadata!B186:J186)=COLUMNS(metadata!B186:J186)</f>
        <v>0</v>
      </c>
      <c r="S186">
        <v>0</v>
      </c>
      <c r="U186">
        <f>AND(IF(metadata!B186="",FALSE,TRUE),COUNTIF(metadata!B:B, metadata!B186) = 1,NOT(ISERROR(SUMPRODUCT(SEARCH(MID(metadata!B186,ROW(INDIRECT("1:"&amp;LEN(metadata!B186))), 1),"0123456789abcdefghijklmnopqrstuvwxyzABCDEFGHIJKLMNOPQRSTUVWXYZ.")))))</f>
        <v>0</v>
      </c>
      <c r="V186">
        <f>AND(IF(metadata!C186="",FALSE,TRUE),exact(metadata!C186,"UBERON:genitourinary"))</f>
        <v>0</v>
      </c>
      <c r="W186">
        <f>AND(IF(metadata!D186="",FALSE,TRUE),exact(metadata!D186,"UBERON:urine"))</f>
        <v>0</v>
      </c>
      <c r="X186">
        <f>AND(IF(metadata!E186="",FALSE,TRUE),exact(metadata!E186,"UBERON:kidney"))</f>
        <v>0</v>
      </c>
      <c r="Y186">
        <f>AND(IF(metadata!F186="",FALSE,TRUE),exact(metadata!F186,"animal corpus"))</f>
        <v>0</v>
      </c>
      <c r="Z186">
        <f>AND(IF(metadata!G186="",FALSE,TRUE),exact(metadata!G186,"urine"))</f>
        <v>0</v>
      </c>
      <c r="AA186">
        <f>AND(IF(metadata!H186="",FALSE,TRUE),exact(metadata!H186,"urine"))</f>
        <v>0</v>
      </c>
      <c r="AB186">
        <f>AND(IF(metadata!I186="",FALSE,TRUE),exact(metadata!I186,"urine metagenome"))</f>
        <v>0</v>
      </c>
      <c r="AC186">
        <f>AND(IF(metadata!J186="",FALSE,TRUE),exact(metadata!J186,"1346744"))</f>
        <v>0</v>
      </c>
    </row>
    <row r="187" spans="1:29">
      <c r="A187" s="4">
        <f>IF(B187=" "," ",HYPERLINK(CONCATENATE("#metadata!",ADDRESS(INDEX($P$2:$P$1001,MATCH(ROWS($N$2:N187),$N$2:$N$1001,0),0),1)),INDEX($S$2:$S$1001,MATCH(ROWS($N$2:N187),$N$2:$N$1001,0),0)))</f>
        <v>0</v>
      </c>
      <c r="B187" s="3">
        <f>IF(OR(INDEX($O$2:$O$1001,MATCH(ROWS($N$2:N187),$N$2:$N$1001,0),1)&gt;=100000,INDEX($U$1005:$AC$1005,1,MATCH(COLUMNS($U$1006:U1006),$U$1006:$AC$1006,0))&gt;=100000), " ",IF(INDEX($U$2:$AC$1001,MATCH(ROWS($N$2:N187),$N$2:$N$1001,0),MATCH(COLUMNS($U$1006:U1006),$U$1006:$AC$1006,0)), HYPERLINK("#",""), HYPERLINK(CONCATENATE("#metadata!", ADDRESS(INDEX($P$2:$P$1001,MATCH(ROWS($N$2:N187),$N$2:$N$1001,0),0), INDEX($U$1004:$AC$1004,1,MATCH(COLUMNS($U$1006:U1006),$U$1006:$AC$1006,0)))),"Fix")))</f>
        <v>0</v>
      </c>
      <c r="C187" s="3">
        <f>IF(OR(INDEX($O$2:$O$1001,MATCH(ROWS($N$2:N187),$N$2:$N$1001,0),1)&gt;=100000,INDEX($U$1005:$AC$1005,1,MATCH(COLUMNS($U$1006:V1006),$U$1006:$AC$1006,0))&gt;=100000), " ",IF(INDEX($U$2:$AC$1001,MATCH(ROWS($N$2:N187),$N$2:$N$1001,0),MATCH(COLUMNS($U$1006:V1006),$U$1006:$AC$1006,0)), HYPERLINK("#",""), HYPERLINK(CONCATENATE("#metadata!", ADDRESS(INDEX($P$2:$P$1001,MATCH(ROWS($N$2:N187),$N$2:$N$1001,0),0), INDEX($U$1004:$AC$1004,1,MATCH(COLUMNS($U$1006:V1006),$U$1006:$AC$1006,0)))),"Fix")))</f>
        <v>0</v>
      </c>
      <c r="D187" s="3">
        <f>IF(OR(INDEX($O$2:$O$1001,MATCH(ROWS($N$2:N187),$N$2:$N$1001,0),1)&gt;=100000,INDEX($U$1005:$AC$1005,1,MATCH(COLUMNS($U$1006:W1006),$U$1006:$AC$1006,0))&gt;=100000), " ",IF(INDEX($U$2:$AC$1001,MATCH(ROWS($N$2:N187),$N$2:$N$1001,0),MATCH(COLUMNS($U$1006:W1006),$U$1006:$AC$1006,0)), HYPERLINK("#",""), HYPERLINK(CONCATENATE("#metadata!", ADDRESS(INDEX($P$2:$P$1001,MATCH(ROWS($N$2:N187),$N$2:$N$1001,0),0), INDEX($U$1004:$AC$1004,1,MATCH(COLUMNS($U$1006:W1006),$U$1006:$AC$1006,0)))),"Fix")))</f>
        <v>0</v>
      </c>
      <c r="E187" s="3">
        <f>IF(OR(INDEX($O$2:$O$1001,MATCH(ROWS($N$2:N187),$N$2:$N$1001,0),1)&gt;=100000,INDEX($U$1005:$AC$1005,1,MATCH(COLUMNS($U$1006:X1006),$U$1006:$AC$1006,0))&gt;=100000), " ",IF(INDEX($U$2:$AC$1001,MATCH(ROWS($N$2:N187),$N$2:$N$1001,0),MATCH(COLUMNS($U$1006:X1006),$U$1006:$AC$1006,0)), HYPERLINK("#",""), HYPERLINK(CONCATENATE("#metadata!", ADDRESS(INDEX($P$2:$P$1001,MATCH(ROWS($N$2:N187),$N$2:$N$1001,0),0), INDEX($U$1004:$AC$1004,1,MATCH(COLUMNS($U$1006:X1006),$U$1006:$AC$1006,0)))),"Fix")))</f>
        <v>0</v>
      </c>
      <c r="F187" s="3">
        <f>IF(OR(INDEX($O$2:$O$1001,MATCH(ROWS($N$2:N187),$N$2:$N$1001,0),1)&gt;=100000,INDEX($U$1005:$AC$1005,1,MATCH(COLUMNS($U$1006:Y1006),$U$1006:$AC$1006,0))&gt;=100000), " ",IF(INDEX($U$2:$AC$1001,MATCH(ROWS($N$2:N187),$N$2:$N$1001,0),MATCH(COLUMNS($U$1006:Y1006),$U$1006:$AC$1006,0)), HYPERLINK("#",""), HYPERLINK(CONCATENATE("#metadata!", ADDRESS(INDEX($P$2:$P$1001,MATCH(ROWS($N$2:N187),$N$2:$N$1001,0),0), INDEX($U$1004:$AC$1004,1,MATCH(COLUMNS($U$1006:Y1006),$U$1006:$AC$1006,0)))),"Fix")))</f>
        <v>0</v>
      </c>
      <c r="G187" s="3">
        <f>IF(OR(INDEX($O$2:$O$1001,MATCH(ROWS($N$2:N187),$N$2:$N$1001,0),1)&gt;=100000,INDEX($U$1005:$AC$1005,1,MATCH(COLUMNS($U$1006:Z1006),$U$1006:$AC$1006,0))&gt;=100000), " ",IF(INDEX($U$2:$AC$1001,MATCH(ROWS($N$2:N187),$N$2:$N$1001,0),MATCH(COLUMNS($U$1006:Z1006),$U$1006:$AC$1006,0)), HYPERLINK("#",""), HYPERLINK(CONCATENATE("#metadata!", ADDRESS(INDEX($P$2:$P$1001,MATCH(ROWS($N$2:N187),$N$2:$N$1001,0),0), INDEX($U$1004:$AC$1004,1,MATCH(COLUMNS($U$1006:Z1006),$U$1006:$AC$1006,0)))),"Fix")))</f>
        <v>0</v>
      </c>
      <c r="H187" s="3">
        <f>IF(OR(INDEX($O$2:$O$1001,MATCH(ROWS($N$2:N187),$N$2:$N$1001,0),1)&gt;=100000,INDEX($U$1005:$AC$1005,1,MATCH(COLUMNS($U$1006:AA1006),$U$1006:$AC$1006,0))&gt;=100000), " ",IF(INDEX($U$2:$AC$1001,MATCH(ROWS($N$2:N187),$N$2:$N$1001,0),MATCH(COLUMNS($U$1006:AA1006),$U$1006:$AC$1006,0)), HYPERLINK("#",""), HYPERLINK(CONCATENATE("#metadata!", ADDRESS(INDEX($P$2:$P$1001,MATCH(ROWS($N$2:N187),$N$2:$N$1001,0),0), INDEX($U$1004:$AC$1004,1,MATCH(COLUMNS($U$1006:AA1006),$U$1006:$AC$1006,0)))),"Fix")))</f>
        <v>0</v>
      </c>
      <c r="I187" s="3">
        <f>IF(OR(INDEX($O$2:$O$1001,MATCH(ROWS($N$2:N187),$N$2:$N$1001,0),1)&gt;=100000,INDEX($U$1005:$AC$1005,1,MATCH(COLUMNS($U$1006:AB1006),$U$1006:$AC$1006,0))&gt;=100000), " ",IF(INDEX($U$2:$AC$1001,MATCH(ROWS($N$2:N187),$N$2:$N$1001,0),MATCH(COLUMNS($U$1006:AB1006),$U$1006:$AC$1006,0)), HYPERLINK("#",""), HYPERLINK(CONCATENATE("#metadata!", ADDRESS(INDEX($P$2:$P$1001,MATCH(ROWS($N$2:N187),$N$2:$N$1001,0),0), INDEX($U$1004:$AC$1004,1,MATCH(COLUMNS($U$1006:AB1006),$U$1006:$AC$1006,0)))),"Fix")))</f>
        <v>0</v>
      </c>
      <c r="J187" s="3">
        <f>IF(OR(INDEX($O$2:$O$1001,MATCH(ROWS($N$2:N187),$N$2:$N$1001,0),1)&gt;=100000,INDEX($U$1005:$AC$1005,1,MATCH(COLUMNS($U$1006:AC1006),$U$1006:$AC$1006,0))&gt;=100000), " ",IF(INDEX($U$2:$AC$1001,MATCH(ROWS($N$2:N187),$N$2:$N$1001,0),MATCH(COLUMNS($U$1006:AC1006),$U$1006:$AC$1006,0)), HYPERLINK("#",""), HYPERLINK(CONCATENATE("#metadata!", ADDRESS(INDEX($P$2:$P$1001,MATCH(ROWS($N$2:N187),$N$2:$N$1001,0),0), INDEX($U$1004:$AC$1004,1,MATCH(COLUMNS($U$1006:AC1006),$U$1006:$AC$1006,0)))),"Fix")))</f>
        <v>0</v>
      </c>
      <c r="N187">
        <v>0</v>
      </c>
      <c r="O187">
        <v>0</v>
      </c>
      <c r="P187">
        <v>0</v>
      </c>
      <c r="Q187">
        <f>IF(R187,TRUE,AND(U187:AC187))</f>
        <v>0</v>
      </c>
      <c r="R187">
        <f>COUNTBLANK(metadata!B187:J187)=COLUMNS(metadata!B187:J187)</f>
        <v>0</v>
      </c>
      <c r="S187">
        <v>0</v>
      </c>
      <c r="U187">
        <f>AND(IF(metadata!B187="",FALSE,TRUE),COUNTIF(metadata!B:B, metadata!B187) = 1,NOT(ISERROR(SUMPRODUCT(SEARCH(MID(metadata!B187,ROW(INDIRECT("1:"&amp;LEN(metadata!B187))), 1),"0123456789abcdefghijklmnopqrstuvwxyzABCDEFGHIJKLMNOPQRSTUVWXYZ.")))))</f>
        <v>0</v>
      </c>
      <c r="V187">
        <f>AND(IF(metadata!C187="",FALSE,TRUE),exact(metadata!C187,"UBERON:genitourinary"))</f>
        <v>0</v>
      </c>
      <c r="W187">
        <f>AND(IF(metadata!D187="",FALSE,TRUE),exact(metadata!D187,"UBERON:urine"))</f>
        <v>0</v>
      </c>
      <c r="X187">
        <f>AND(IF(metadata!E187="",FALSE,TRUE),exact(metadata!E187,"UBERON:kidney"))</f>
        <v>0</v>
      </c>
      <c r="Y187">
        <f>AND(IF(metadata!F187="",FALSE,TRUE),exact(metadata!F187,"animal corpus"))</f>
        <v>0</v>
      </c>
      <c r="Z187">
        <f>AND(IF(metadata!G187="",FALSE,TRUE),exact(metadata!G187,"urine"))</f>
        <v>0</v>
      </c>
      <c r="AA187">
        <f>AND(IF(metadata!H187="",FALSE,TRUE),exact(metadata!H187,"urine"))</f>
        <v>0</v>
      </c>
      <c r="AB187">
        <f>AND(IF(metadata!I187="",FALSE,TRUE),exact(metadata!I187,"urine metagenome"))</f>
        <v>0</v>
      </c>
      <c r="AC187">
        <f>AND(IF(metadata!J187="",FALSE,TRUE),exact(metadata!J187,"1346744"))</f>
        <v>0</v>
      </c>
    </row>
    <row r="188" spans="1:29">
      <c r="A188" s="4">
        <f>IF(B188=" "," ",HYPERLINK(CONCATENATE("#metadata!",ADDRESS(INDEX($P$2:$P$1001,MATCH(ROWS($N$2:N188),$N$2:$N$1001,0),0),1)),INDEX($S$2:$S$1001,MATCH(ROWS($N$2:N188),$N$2:$N$1001,0),0)))</f>
        <v>0</v>
      </c>
      <c r="B188" s="3">
        <f>IF(OR(INDEX($O$2:$O$1001,MATCH(ROWS($N$2:N188),$N$2:$N$1001,0),1)&gt;=100000,INDEX($U$1005:$AC$1005,1,MATCH(COLUMNS($U$1006:U1006),$U$1006:$AC$1006,0))&gt;=100000), " ",IF(INDEX($U$2:$AC$1001,MATCH(ROWS($N$2:N188),$N$2:$N$1001,0),MATCH(COLUMNS($U$1006:U1006),$U$1006:$AC$1006,0)), HYPERLINK("#",""), HYPERLINK(CONCATENATE("#metadata!", ADDRESS(INDEX($P$2:$P$1001,MATCH(ROWS($N$2:N188),$N$2:$N$1001,0),0), INDEX($U$1004:$AC$1004,1,MATCH(COLUMNS($U$1006:U1006),$U$1006:$AC$1006,0)))),"Fix")))</f>
        <v>0</v>
      </c>
      <c r="C188" s="3">
        <f>IF(OR(INDEX($O$2:$O$1001,MATCH(ROWS($N$2:N188),$N$2:$N$1001,0),1)&gt;=100000,INDEX($U$1005:$AC$1005,1,MATCH(COLUMNS($U$1006:V1006),$U$1006:$AC$1006,0))&gt;=100000), " ",IF(INDEX($U$2:$AC$1001,MATCH(ROWS($N$2:N188),$N$2:$N$1001,0),MATCH(COLUMNS($U$1006:V1006),$U$1006:$AC$1006,0)), HYPERLINK("#",""), HYPERLINK(CONCATENATE("#metadata!", ADDRESS(INDEX($P$2:$P$1001,MATCH(ROWS($N$2:N188),$N$2:$N$1001,0),0), INDEX($U$1004:$AC$1004,1,MATCH(COLUMNS($U$1006:V1006),$U$1006:$AC$1006,0)))),"Fix")))</f>
        <v>0</v>
      </c>
      <c r="D188" s="3">
        <f>IF(OR(INDEX($O$2:$O$1001,MATCH(ROWS($N$2:N188),$N$2:$N$1001,0),1)&gt;=100000,INDEX($U$1005:$AC$1005,1,MATCH(COLUMNS($U$1006:W1006),$U$1006:$AC$1006,0))&gt;=100000), " ",IF(INDEX($U$2:$AC$1001,MATCH(ROWS($N$2:N188),$N$2:$N$1001,0),MATCH(COLUMNS($U$1006:W1006),$U$1006:$AC$1006,0)), HYPERLINK("#",""), HYPERLINK(CONCATENATE("#metadata!", ADDRESS(INDEX($P$2:$P$1001,MATCH(ROWS($N$2:N188),$N$2:$N$1001,0),0), INDEX($U$1004:$AC$1004,1,MATCH(COLUMNS($U$1006:W1006),$U$1006:$AC$1006,0)))),"Fix")))</f>
        <v>0</v>
      </c>
      <c r="E188" s="3">
        <f>IF(OR(INDEX($O$2:$O$1001,MATCH(ROWS($N$2:N188),$N$2:$N$1001,0),1)&gt;=100000,INDEX($U$1005:$AC$1005,1,MATCH(COLUMNS($U$1006:X1006),$U$1006:$AC$1006,0))&gt;=100000), " ",IF(INDEX($U$2:$AC$1001,MATCH(ROWS($N$2:N188),$N$2:$N$1001,0),MATCH(COLUMNS($U$1006:X1006),$U$1006:$AC$1006,0)), HYPERLINK("#",""), HYPERLINK(CONCATENATE("#metadata!", ADDRESS(INDEX($P$2:$P$1001,MATCH(ROWS($N$2:N188),$N$2:$N$1001,0),0), INDEX($U$1004:$AC$1004,1,MATCH(COLUMNS($U$1006:X1006),$U$1006:$AC$1006,0)))),"Fix")))</f>
        <v>0</v>
      </c>
      <c r="F188" s="3">
        <f>IF(OR(INDEX($O$2:$O$1001,MATCH(ROWS($N$2:N188),$N$2:$N$1001,0),1)&gt;=100000,INDEX($U$1005:$AC$1005,1,MATCH(COLUMNS($U$1006:Y1006),$U$1006:$AC$1006,0))&gt;=100000), " ",IF(INDEX($U$2:$AC$1001,MATCH(ROWS($N$2:N188),$N$2:$N$1001,0),MATCH(COLUMNS($U$1006:Y1006),$U$1006:$AC$1006,0)), HYPERLINK("#",""), HYPERLINK(CONCATENATE("#metadata!", ADDRESS(INDEX($P$2:$P$1001,MATCH(ROWS($N$2:N188),$N$2:$N$1001,0),0), INDEX($U$1004:$AC$1004,1,MATCH(COLUMNS($U$1006:Y1006),$U$1006:$AC$1006,0)))),"Fix")))</f>
        <v>0</v>
      </c>
      <c r="G188" s="3">
        <f>IF(OR(INDEX($O$2:$O$1001,MATCH(ROWS($N$2:N188),$N$2:$N$1001,0),1)&gt;=100000,INDEX($U$1005:$AC$1005,1,MATCH(COLUMNS($U$1006:Z1006),$U$1006:$AC$1006,0))&gt;=100000), " ",IF(INDEX($U$2:$AC$1001,MATCH(ROWS($N$2:N188),$N$2:$N$1001,0),MATCH(COLUMNS($U$1006:Z1006),$U$1006:$AC$1006,0)), HYPERLINK("#",""), HYPERLINK(CONCATENATE("#metadata!", ADDRESS(INDEX($P$2:$P$1001,MATCH(ROWS($N$2:N188),$N$2:$N$1001,0),0), INDEX($U$1004:$AC$1004,1,MATCH(COLUMNS($U$1006:Z1006),$U$1006:$AC$1006,0)))),"Fix")))</f>
        <v>0</v>
      </c>
      <c r="H188" s="3">
        <f>IF(OR(INDEX($O$2:$O$1001,MATCH(ROWS($N$2:N188),$N$2:$N$1001,0),1)&gt;=100000,INDEX($U$1005:$AC$1005,1,MATCH(COLUMNS($U$1006:AA1006),$U$1006:$AC$1006,0))&gt;=100000), " ",IF(INDEX($U$2:$AC$1001,MATCH(ROWS($N$2:N188),$N$2:$N$1001,0),MATCH(COLUMNS($U$1006:AA1006),$U$1006:$AC$1006,0)), HYPERLINK("#",""), HYPERLINK(CONCATENATE("#metadata!", ADDRESS(INDEX($P$2:$P$1001,MATCH(ROWS($N$2:N188),$N$2:$N$1001,0),0), INDEX($U$1004:$AC$1004,1,MATCH(COLUMNS($U$1006:AA1006),$U$1006:$AC$1006,0)))),"Fix")))</f>
        <v>0</v>
      </c>
      <c r="I188" s="3">
        <f>IF(OR(INDEX($O$2:$O$1001,MATCH(ROWS($N$2:N188),$N$2:$N$1001,0),1)&gt;=100000,INDEX($U$1005:$AC$1005,1,MATCH(COLUMNS($U$1006:AB1006),$U$1006:$AC$1006,0))&gt;=100000), " ",IF(INDEX($U$2:$AC$1001,MATCH(ROWS($N$2:N188),$N$2:$N$1001,0),MATCH(COLUMNS($U$1006:AB1006),$U$1006:$AC$1006,0)), HYPERLINK("#",""), HYPERLINK(CONCATENATE("#metadata!", ADDRESS(INDEX($P$2:$P$1001,MATCH(ROWS($N$2:N188),$N$2:$N$1001,0),0), INDEX($U$1004:$AC$1004,1,MATCH(COLUMNS($U$1006:AB1006),$U$1006:$AC$1006,0)))),"Fix")))</f>
        <v>0</v>
      </c>
      <c r="J188" s="3">
        <f>IF(OR(INDEX($O$2:$O$1001,MATCH(ROWS($N$2:N188),$N$2:$N$1001,0),1)&gt;=100000,INDEX($U$1005:$AC$1005,1,MATCH(COLUMNS($U$1006:AC1006),$U$1006:$AC$1006,0))&gt;=100000), " ",IF(INDEX($U$2:$AC$1001,MATCH(ROWS($N$2:N188),$N$2:$N$1001,0),MATCH(COLUMNS($U$1006:AC1006),$U$1006:$AC$1006,0)), HYPERLINK("#",""), HYPERLINK(CONCATENATE("#metadata!", ADDRESS(INDEX($P$2:$P$1001,MATCH(ROWS($N$2:N188),$N$2:$N$1001,0),0), INDEX($U$1004:$AC$1004,1,MATCH(COLUMNS($U$1006:AC1006),$U$1006:$AC$1006,0)))),"Fix")))</f>
        <v>0</v>
      </c>
      <c r="N188">
        <v>0</v>
      </c>
      <c r="O188">
        <v>0</v>
      </c>
      <c r="P188">
        <v>0</v>
      </c>
      <c r="Q188">
        <f>IF(R188,TRUE,AND(U188:AC188))</f>
        <v>0</v>
      </c>
      <c r="R188">
        <f>COUNTBLANK(metadata!B188:J188)=COLUMNS(metadata!B188:J188)</f>
        <v>0</v>
      </c>
      <c r="S188">
        <v>0</v>
      </c>
      <c r="U188">
        <f>AND(IF(metadata!B188="",FALSE,TRUE),COUNTIF(metadata!B:B, metadata!B188) = 1,NOT(ISERROR(SUMPRODUCT(SEARCH(MID(metadata!B188,ROW(INDIRECT("1:"&amp;LEN(metadata!B188))), 1),"0123456789abcdefghijklmnopqrstuvwxyzABCDEFGHIJKLMNOPQRSTUVWXYZ.")))))</f>
        <v>0</v>
      </c>
      <c r="V188">
        <f>AND(IF(metadata!C188="",FALSE,TRUE),exact(metadata!C188,"UBERON:genitourinary"))</f>
        <v>0</v>
      </c>
      <c r="W188">
        <f>AND(IF(metadata!D188="",FALSE,TRUE),exact(metadata!D188,"UBERON:urine"))</f>
        <v>0</v>
      </c>
      <c r="X188">
        <f>AND(IF(metadata!E188="",FALSE,TRUE),exact(metadata!E188,"UBERON:kidney"))</f>
        <v>0</v>
      </c>
      <c r="Y188">
        <f>AND(IF(metadata!F188="",FALSE,TRUE),exact(metadata!F188,"animal corpus"))</f>
        <v>0</v>
      </c>
      <c r="Z188">
        <f>AND(IF(metadata!G188="",FALSE,TRUE),exact(metadata!G188,"urine"))</f>
        <v>0</v>
      </c>
      <c r="AA188">
        <f>AND(IF(metadata!H188="",FALSE,TRUE),exact(metadata!H188,"urine"))</f>
        <v>0</v>
      </c>
      <c r="AB188">
        <f>AND(IF(metadata!I188="",FALSE,TRUE),exact(metadata!I188,"urine metagenome"))</f>
        <v>0</v>
      </c>
      <c r="AC188">
        <f>AND(IF(metadata!J188="",FALSE,TRUE),exact(metadata!J188,"1346744"))</f>
        <v>0</v>
      </c>
    </row>
    <row r="189" spans="1:29">
      <c r="A189" s="4">
        <f>IF(B189=" "," ",HYPERLINK(CONCATENATE("#metadata!",ADDRESS(INDEX($P$2:$P$1001,MATCH(ROWS($N$2:N189),$N$2:$N$1001,0),0),1)),INDEX($S$2:$S$1001,MATCH(ROWS($N$2:N189),$N$2:$N$1001,0),0)))</f>
        <v>0</v>
      </c>
      <c r="B189" s="3">
        <f>IF(OR(INDEX($O$2:$O$1001,MATCH(ROWS($N$2:N189),$N$2:$N$1001,0),1)&gt;=100000,INDEX($U$1005:$AC$1005,1,MATCH(COLUMNS($U$1006:U1006),$U$1006:$AC$1006,0))&gt;=100000), " ",IF(INDEX($U$2:$AC$1001,MATCH(ROWS($N$2:N189),$N$2:$N$1001,0),MATCH(COLUMNS($U$1006:U1006),$U$1006:$AC$1006,0)), HYPERLINK("#",""), HYPERLINK(CONCATENATE("#metadata!", ADDRESS(INDEX($P$2:$P$1001,MATCH(ROWS($N$2:N189),$N$2:$N$1001,0),0), INDEX($U$1004:$AC$1004,1,MATCH(COLUMNS($U$1006:U1006),$U$1006:$AC$1006,0)))),"Fix")))</f>
        <v>0</v>
      </c>
      <c r="C189" s="3">
        <f>IF(OR(INDEX($O$2:$O$1001,MATCH(ROWS($N$2:N189),$N$2:$N$1001,0),1)&gt;=100000,INDEX($U$1005:$AC$1005,1,MATCH(COLUMNS($U$1006:V1006),$U$1006:$AC$1006,0))&gt;=100000), " ",IF(INDEX($U$2:$AC$1001,MATCH(ROWS($N$2:N189),$N$2:$N$1001,0),MATCH(COLUMNS($U$1006:V1006),$U$1006:$AC$1006,0)), HYPERLINK("#",""), HYPERLINK(CONCATENATE("#metadata!", ADDRESS(INDEX($P$2:$P$1001,MATCH(ROWS($N$2:N189),$N$2:$N$1001,0),0), INDEX($U$1004:$AC$1004,1,MATCH(COLUMNS($U$1006:V1006),$U$1006:$AC$1006,0)))),"Fix")))</f>
        <v>0</v>
      </c>
      <c r="D189" s="3">
        <f>IF(OR(INDEX($O$2:$O$1001,MATCH(ROWS($N$2:N189),$N$2:$N$1001,0),1)&gt;=100000,INDEX($U$1005:$AC$1005,1,MATCH(COLUMNS($U$1006:W1006),$U$1006:$AC$1006,0))&gt;=100000), " ",IF(INDEX($U$2:$AC$1001,MATCH(ROWS($N$2:N189),$N$2:$N$1001,0),MATCH(COLUMNS($U$1006:W1006),$U$1006:$AC$1006,0)), HYPERLINK("#",""), HYPERLINK(CONCATENATE("#metadata!", ADDRESS(INDEX($P$2:$P$1001,MATCH(ROWS($N$2:N189),$N$2:$N$1001,0),0), INDEX($U$1004:$AC$1004,1,MATCH(COLUMNS($U$1006:W1006),$U$1006:$AC$1006,0)))),"Fix")))</f>
        <v>0</v>
      </c>
      <c r="E189" s="3">
        <f>IF(OR(INDEX($O$2:$O$1001,MATCH(ROWS($N$2:N189),$N$2:$N$1001,0),1)&gt;=100000,INDEX($U$1005:$AC$1005,1,MATCH(COLUMNS($U$1006:X1006),$U$1006:$AC$1006,0))&gt;=100000), " ",IF(INDEX($U$2:$AC$1001,MATCH(ROWS($N$2:N189),$N$2:$N$1001,0),MATCH(COLUMNS($U$1006:X1006),$U$1006:$AC$1006,0)), HYPERLINK("#",""), HYPERLINK(CONCATENATE("#metadata!", ADDRESS(INDEX($P$2:$P$1001,MATCH(ROWS($N$2:N189),$N$2:$N$1001,0),0), INDEX($U$1004:$AC$1004,1,MATCH(COLUMNS($U$1006:X1006),$U$1006:$AC$1006,0)))),"Fix")))</f>
        <v>0</v>
      </c>
      <c r="F189" s="3">
        <f>IF(OR(INDEX($O$2:$O$1001,MATCH(ROWS($N$2:N189),$N$2:$N$1001,0),1)&gt;=100000,INDEX($U$1005:$AC$1005,1,MATCH(COLUMNS($U$1006:Y1006),$U$1006:$AC$1006,0))&gt;=100000), " ",IF(INDEX($U$2:$AC$1001,MATCH(ROWS($N$2:N189),$N$2:$N$1001,0),MATCH(COLUMNS($U$1006:Y1006),$U$1006:$AC$1006,0)), HYPERLINK("#",""), HYPERLINK(CONCATENATE("#metadata!", ADDRESS(INDEX($P$2:$P$1001,MATCH(ROWS($N$2:N189),$N$2:$N$1001,0),0), INDEX($U$1004:$AC$1004,1,MATCH(COLUMNS($U$1006:Y1006),$U$1006:$AC$1006,0)))),"Fix")))</f>
        <v>0</v>
      </c>
      <c r="G189" s="3">
        <f>IF(OR(INDEX($O$2:$O$1001,MATCH(ROWS($N$2:N189),$N$2:$N$1001,0),1)&gt;=100000,INDEX($U$1005:$AC$1005,1,MATCH(COLUMNS($U$1006:Z1006),$U$1006:$AC$1006,0))&gt;=100000), " ",IF(INDEX($U$2:$AC$1001,MATCH(ROWS($N$2:N189),$N$2:$N$1001,0),MATCH(COLUMNS($U$1006:Z1006),$U$1006:$AC$1006,0)), HYPERLINK("#",""), HYPERLINK(CONCATENATE("#metadata!", ADDRESS(INDEX($P$2:$P$1001,MATCH(ROWS($N$2:N189),$N$2:$N$1001,0),0), INDEX($U$1004:$AC$1004,1,MATCH(COLUMNS($U$1006:Z1006),$U$1006:$AC$1006,0)))),"Fix")))</f>
        <v>0</v>
      </c>
      <c r="H189" s="3">
        <f>IF(OR(INDEX($O$2:$O$1001,MATCH(ROWS($N$2:N189),$N$2:$N$1001,0),1)&gt;=100000,INDEX($U$1005:$AC$1005,1,MATCH(COLUMNS($U$1006:AA1006),$U$1006:$AC$1006,0))&gt;=100000), " ",IF(INDEX($U$2:$AC$1001,MATCH(ROWS($N$2:N189),$N$2:$N$1001,0),MATCH(COLUMNS($U$1006:AA1006),$U$1006:$AC$1006,0)), HYPERLINK("#",""), HYPERLINK(CONCATENATE("#metadata!", ADDRESS(INDEX($P$2:$P$1001,MATCH(ROWS($N$2:N189),$N$2:$N$1001,0),0), INDEX($U$1004:$AC$1004,1,MATCH(COLUMNS($U$1006:AA1006),$U$1006:$AC$1006,0)))),"Fix")))</f>
        <v>0</v>
      </c>
      <c r="I189" s="3">
        <f>IF(OR(INDEX($O$2:$O$1001,MATCH(ROWS($N$2:N189),$N$2:$N$1001,0),1)&gt;=100000,INDEX($U$1005:$AC$1005,1,MATCH(COLUMNS($U$1006:AB1006),$U$1006:$AC$1006,0))&gt;=100000), " ",IF(INDEX($U$2:$AC$1001,MATCH(ROWS($N$2:N189),$N$2:$N$1001,0),MATCH(COLUMNS($U$1006:AB1006),$U$1006:$AC$1006,0)), HYPERLINK("#",""), HYPERLINK(CONCATENATE("#metadata!", ADDRESS(INDEX($P$2:$P$1001,MATCH(ROWS($N$2:N189),$N$2:$N$1001,0),0), INDEX($U$1004:$AC$1004,1,MATCH(COLUMNS($U$1006:AB1006),$U$1006:$AC$1006,0)))),"Fix")))</f>
        <v>0</v>
      </c>
      <c r="J189" s="3">
        <f>IF(OR(INDEX($O$2:$O$1001,MATCH(ROWS($N$2:N189),$N$2:$N$1001,0),1)&gt;=100000,INDEX($U$1005:$AC$1005,1,MATCH(COLUMNS($U$1006:AC1006),$U$1006:$AC$1006,0))&gt;=100000), " ",IF(INDEX($U$2:$AC$1001,MATCH(ROWS($N$2:N189),$N$2:$N$1001,0),MATCH(COLUMNS($U$1006:AC1006),$U$1006:$AC$1006,0)), HYPERLINK("#",""), HYPERLINK(CONCATENATE("#metadata!", ADDRESS(INDEX($P$2:$P$1001,MATCH(ROWS($N$2:N189),$N$2:$N$1001,0),0), INDEX($U$1004:$AC$1004,1,MATCH(COLUMNS($U$1006:AC1006),$U$1006:$AC$1006,0)))),"Fix")))</f>
        <v>0</v>
      </c>
      <c r="N189">
        <v>0</v>
      </c>
      <c r="O189">
        <v>0</v>
      </c>
      <c r="P189">
        <v>0</v>
      </c>
      <c r="Q189">
        <f>IF(R189,TRUE,AND(U189:AC189))</f>
        <v>0</v>
      </c>
      <c r="R189">
        <f>COUNTBLANK(metadata!B189:J189)=COLUMNS(metadata!B189:J189)</f>
        <v>0</v>
      </c>
      <c r="S189">
        <v>0</v>
      </c>
      <c r="U189">
        <f>AND(IF(metadata!B189="",FALSE,TRUE),COUNTIF(metadata!B:B, metadata!B189) = 1,NOT(ISERROR(SUMPRODUCT(SEARCH(MID(metadata!B189,ROW(INDIRECT("1:"&amp;LEN(metadata!B189))), 1),"0123456789abcdefghijklmnopqrstuvwxyzABCDEFGHIJKLMNOPQRSTUVWXYZ.")))))</f>
        <v>0</v>
      </c>
      <c r="V189">
        <f>AND(IF(metadata!C189="",FALSE,TRUE),exact(metadata!C189,"UBERON:genitourinary"))</f>
        <v>0</v>
      </c>
      <c r="W189">
        <f>AND(IF(metadata!D189="",FALSE,TRUE),exact(metadata!D189,"UBERON:urine"))</f>
        <v>0</v>
      </c>
      <c r="X189">
        <f>AND(IF(metadata!E189="",FALSE,TRUE),exact(metadata!E189,"UBERON:kidney"))</f>
        <v>0</v>
      </c>
      <c r="Y189">
        <f>AND(IF(metadata!F189="",FALSE,TRUE),exact(metadata!F189,"animal corpus"))</f>
        <v>0</v>
      </c>
      <c r="Z189">
        <f>AND(IF(metadata!G189="",FALSE,TRUE),exact(metadata!G189,"urine"))</f>
        <v>0</v>
      </c>
      <c r="AA189">
        <f>AND(IF(metadata!H189="",FALSE,TRUE),exact(metadata!H189,"urine"))</f>
        <v>0</v>
      </c>
      <c r="AB189">
        <f>AND(IF(metadata!I189="",FALSE,TRUE),exact(metadata!I189,"urine metagenome"))</f>
        <v>0</v>
      </c>
      <c r="AC189">
        <f>AND(IF(metadata!J189="",FALSE,TRUE),exact(metadata!J189,"1346744"))</f>
        <v>0</v>
      </c>
    </row>
    <row r="190" spans="1:29">
      <c r="A190" s="4">
        <f>IF(B190=" "," ",HYPERLINK(CONCATENATE("#metadata!",ADDRESS(INDEX($P$2:$P$1001,MATCH(ROWS($N$2:N190),$N$2:$N$1001,0),0),1)),INDEX($S$2:$S$1001,MATCH(ROWS($N$2:N190),$N$2:$N$1001,0),0)))</f>
        <v>0</v>
      </c>
      <c r="B190" s="3">
        <f>IF(OR(INDEX($O$2:$O$1001,MATCH(ROWS($N$2:N190),$N$2:$N$1001,0),1)&gt;=100000,INDEX($U$1005:$AC$1005,1,MATCH(COLUMNS($U$1006:U1006),$U$1006:$AC$1006,0))&gt;=100000), " ",IF(INDEX($U$2:$AC$1001,MATCH(ROWS($N$2:N190),$N$2:$N$1001,0),MATCH(COLUMNS($U$1006:U1006),$U$1006:$AC$1006,0)), HYPERLINK("#",""), HYPERLINK(CONCATENATE("#metadata!", ADDRESS(INDEX($P$2:$P$1001,MATCH(ROWS($N$2:N190),$N$2:$N$1001,0),0), INDEX($U$1004:$AC$1004,1,MATCH(COLUMNS($U$1006:U1006),$U$1006:$AC$1006,0)))),"Fix")))</f>
        <v>0</v>
      </c>
      <c r="C190" s="3">
        <f>IF(OR(INDEX($O$2:$O$1001,MATCH(ROWS($N$2:N190),$N$2:$N$1001,0),1)&gt;=100000,INDEX($U$1005:$AC$1005,1,MATCH(COLUMNS($U$1006:V1006),$U$1006:$AC$1006,0))&gt;=100000), " ",IF(INDEX($U$2:$AC$1001,MATCH(ROWS($N$2:N190),$N$2:$N$1001,0),MATCH(COLUMNS($U$1006:V1006),$U$1006:$AC$1006,0)), HYPERLINK("#",""), HYPERLINK(CONCATENATE("#metadata!", ADDRESS(INDEX($P$2:$P$1001,MATCH(ROWS($N$2:N190),$N$2:$N$1001,0),0), INDEX($U$1004:$AC$1004,1,MATCH(COLUMNS($U$1006:V1006),$U$1006:$AC$1006,0)))),"Fix")))</f>
        <v>0</v>
      </c>
      <c r="D190" s="3">
        <f>IF(OR(INDEX($O$2:$O$1001,MATCH(ROWS($N$2:N190),$N$2:$N$1001,0),1)&gt;=100000,INDEX($U$1005:$AC$1005,1,MATCH(COLUMNS($U$1006:W1006),$U$1006:$AC$1006,0))&gt;=100000), " ",IF(INDEX($U$2:$AC$1001,MATCH(ROWS($N$2:N190),$N$2:$N$1001,0),MATCH(COLUMNS($U$1006:W1006),$U$1006:$AC$1006,0)), HYPERLINK("#",""), HYPERLINK(CONCATENATE("#metadata!", ADDRESS(INDEX($P$2:$P$1001,MATCH(ROWS($N$2:N190),$N$2:$N$1001,0),0), INDEX($U$1004:$AC$1004,1,MATCH(COLUMNS($U$1006:W1006),$U$1006:$AC$1006,0)))),"Fix")))</f>
        <v>0</v>
      </c>
      <c r="E190" s="3">
        <f>IF(OR(INDEX($O$2:$O$1001,MATCH(ROWS($N$2:N190),$N$2:$N$1001,0),1)&gt;=100000,INDEX($U$1005:$AC$1005,1,MATCH(COLUMNS($U$1006:X1006),$U$1006:$AC$1006,0))&gt;=100000), " ",IF(INDEX($U$2:$AC$1001,MATCH(ROWS($N$2:N190),$N$2:$N$1001,0),MATCH(COLUMNS($U$1006:X1006),$U$1006:$AC$1006,0)), HYPERLINK("#",""), HYPERLINK(CONCATENATE("#metadata!", ADDRESS(INDEX($P$2:$P$1001,MATCH(ROWS($N$2:N190),$N$2:$N$1001,0),0), INDEX($U$1004:$AC$1004,1,MATCH(COLUMNS($U$1006:X1006),$U$1006:$AC$1006,0)))),"Fix")))</f>
        <v>0</v>
      </c>
      <c r="F190" s="3">
        <f>IF(OR(INDEX($O$2:$O$1001,MATCH(ROWS($N$2:N190),$N$2:$N$1001,0),1)&gt;=100000,INDEX($U$1005:$AC$1005,1,MATCH(COLUMNS($U$1006:Y1006),$U$1006:$AC$1006,0))&gt;=100000), " ",IF(INDEX($U$2:$AC$1001,MATCH(ROWS($N$2:N190),$N$2:$N$1001,0),MATCH(COLUMNS($U$1006:Y1006),$U$1006:$AC$1006,0)), HYPERLINK("#",""), HYPERLINK(CONCATENATE("#metadata!", ADDRESS(INDEX($P$2:$P$1001,MATCH(ROWS($N$2:N190),$N$2:$N$1001,0),0), INDEX($U$1004:$AC$1004,1,MATCH(COLUMNS($U$1006:Y1006),$U$1006:$AC$1006,0)))),"Fix")))</f>
        <v>0</v>
      </c>
      <c r="G190" s="3">
        <f>IF(OR(INDEX($O$2:$O$1001,MATCH(ROWS($N$2:N190),$N$2:$N$1001,0),1)&gt;=100000,INDEX($U$1005:$AC$1005,1,MATCH(COLUMNS($U$1006:Z1006),$U$1006:$AC$1006,0))&gt;=100000), " ",IF(INDEX($U$2:$AC$1001,MATCH(ROWS($N$2:N190),$N$2:$N$1001,0),MATCH(COLUMNS($U$1006:Z1006),$U$1006:$AC$1006,0)), HYPERLINK("#",""), HYPERLINK(CONCATENATE("#metadata!", ADDRESS(INDEX($P$2:$P$1001,MATCH(ROWS($N$2:N190),$N$2:$N$1001,0),0), INDEX($U$1004:$AC$1004,1,MATCH(COLUMNS($U$1006:Z1006),$U$1006:$AC$1006,0)))),"Fix")))</f>
        <v>0</v>
      </c>
      <c r="H190" s="3">
        <f>IF(OR(INDEX($O$2:$O$1001,MATCH(ROWS($N$2:N190),$N$2:$N$1001,0),1)&gt;=100000,INDEX($U$1005:$AC$1005,1,MATCH(COLUMNS($U$1006:AA1006),$U$1006:$AC$1006,0))&gt;=100000), " ",IF(INDEX($U$2:$AC$1001,MATCH(ROWS($N$2:N190),$N$2:$N$1001,0),MATCH(COLUMNS($U$1006:AA1006),$U$1006:$AC$1006,0)), HYPERLINK("#",""), HYPERLINK(CONCATENATE("#metadata!", ADDRESS(INDEX($P$2:$P$1001,MATCH(ROWS($N$2:N190),$N$2:$N$1001,0),0), INDEX($U$1004:$AC$1004,1,MATCH(COLUMNS($U$1006:AA1006),$U$1006:$AC$1006,0)))),"Fix")))</f>
        <v>0</v>
      </c>
      <c r="I190" s="3">
        <f>IF(OR(INDEX($O$2:$O$1001,MATCH(ROWS($N$2:N190),$N$2:$N$1001,0),1)&gt;=100000,INDEX($U$1005:$AC$1005,1,MATCH(COLUMNS($U$1006:AB1006),$U$1006:$AC$1006,0))&gt;=100000), " ",IF(INDEX($U$2:$AC$1001,MATCH(ROWS($N$2:N190),$N$2:$N$1001,0),MATCH(COLUMNS($U$1006:AB1006),$U$1006:$AC$1006,0)), HYPERLINK("#",""), HYPERLINK(CONCATENATE("#metadata!", ADDRESS(INDEX($P$2:$P$1001,MATCH(ROWS($N$2:N190),$N$2:$N$1001,0),0), INDEX($U$1004:$AC$1004,1,MATCH(COLUMNS($U$1006:AB1006),$U$1006:$AC$1006,0)))),"Fix")))</f>
        <v>0</v>
      </c>
      <c r="J190" s="3">
        <f>IF(OR(INDEX($O$2:$O$1001,MATCH(ROWS($N$2:N190),$N$2:$N$1001,0),1)&gt;=100000,INDEX($U$1005:$AC$1005,1,MATCH(COLUMNS($U$1006:AC1006),$U$1006:$AC$1006,0))&gt;=100000), " ",IF(INDEX($U$2:$AC$1001,MATCH(ROWS($N$2:N190),$N$2:$N$1001,0),MATCH(COLUMNS($U$1006:AC1006),$U$1006:$AC$1006,0)), HYPERLINK("#",""), HYPERLINK(CONCATENATE("#metadata!", ADDRESS(INDEX($P$2:$P$1001,MATCH(ROWS($N$2:N190),$N$2:$N$1001,0),0), INDEX($U$1004:$AC$1004,1,MATCH(COLUMNS($U$1006:AC1006),$U$1006:$AC$1006,0)))),"Fix")))</f>
        <v>0</v>
      </c>
      <c r="N190">
        <v>0</v>
      </c>
      <c r="O190">
        <v>0</v>
      </c>
      <c r="P190">
        <v>0</v>
      </c>
      <c r="Q190">
        <f>IF(R190,TRUE,AND(U190:AC190))</f>
        <v>0</v>
      </c>
      <c r="R190">
        <f>COUNTBLANK(metadata!B190:J190)=COLUMNS(metadata!B190:J190)</f>
        <v>0</v>
      </c>
      <c r="S190">
        <v>0</v>
      </c>
      <c r="U190">
        <f>AND(IF(metadata!B190="",FALSE,TRUE),COUNTIF(metadata!B:B, metadata!B190) = 1,NOT(ISERROR(SUMPRODUCT(SEARCH(MID(metadata!B190,ROW(INDIRECT("1:"&amp;LEN(metadata!B190))), 1),"0123456789abcdefghijklmnopqrstuvwxyzABCDEFGHIJKLMNOPQRSTUVWXYZ.")))))</f>
        <v>0</v>
      </c>
      <c r="V190">
        <f>AND(IF(metadata!C190="",FALSE,TRUE),exact(metadata!C190,"UBERON:genitourinary"))</f>
        <v>0</v>
      </c>
      <c r="W190">
        <f>AND(IF(metadata!D190="",FALSE,TRUE),exact(metadata!D190,"UBERON:urine"))</f>
        <v>0</v>
      </c>
      <c r="X190">
        <f>AND(IF(metadata!E190="",FALSE,TRUE),exact(metadata!E190,"UBERON:kidney"))</f>
        <v>0</v>
      </c>
      <c r="Y190">
        <f>AND(IF(metadata!F190="",FALSE,TRUE),exact(metadata!F190,"animal corpus"))</f>
        <v>0</v>
      </c>
      <c r="Z190">
        <f>AND(IF(metadata!G190="",FALSE,TRUE),exact(metadata!G190,"urine"))</f>
        <v>0</v>
      </c>
      <c r="AA190">
        <f>AND(IF(metadata!H190="",FALSE,TRUE),exact(metadata!H190,"urine"))</f>
        <v>0</v>
      </c>
      <c r="AB190">
        <f>AND(IF(metadata!I190="",FALSE,TRUE),exact(metadata!I190,"urine metagenome"))</f>
        <v>0</v>
      </c>
      <c r="AC190">
        <f>AND(IF(metadata!J190="",FALSE,TRUE),exact(metadata!J190,"1346744"))</f>
        <v>0</v>
      </c>
    </row>
    <row r="191" spans="1:29">
      <c r="A191" s="4">
        <f>IF(B191=" "," ",HYPERLINK(CONCATENATE("#metadata!",ADDRESS(INDEX($P$2:$P$1001,MATCH(ROWS($N$2:N191),$N$2:$N$1001,0),0),1)),INDEX($S$2:$S$1001,MATCH(ROWS($N$2:N191),$N$2:$N$1001,0),0)))</f>
        <v>0</v>
      </c>
      <c r="B191" s="3">
        <f>IF(OR(INDEX($O$2:$O$1001,MATCH(ROWS($N$2:N191),$N$2:$N$1001,0),1)&gt;=100000,INDEX($U$1005:$AC$1005,1,MATCH(COLUMNS($U$1006:U1006),$U$1006:$AC$1006,0))&gt;=100000), " ",IF(INDEX($U$2:$AC$1001,MATCH(ROWS($N$2:N191),$N$2:$N$1001,0),MATCH(COLUMNS($U$1006:U1006),$U$1006:$AC$1006,0)), HYPERLINK("#",""), HYPERLINK(CONCATENATE("#metadata!", ADDRESS(INDEX($P$2:$P$1001,MATCH(ROWS($N$2:N191),$N$2:$N$1001,0),0), INDEX($U$1004:$AC$1004,1,MATCH(COLUMNS($U$1006:U1006),$U$1006:$AC$1006,0)))),"Fix")))</f>
        <v>0</v>
      </c>
      <c r="C191" s="3">
        <f>IF(OR(INDEX($O$2:$O$1001,MATCH(ROWS($N$2:N191),$N$2:$N$1001,0),1)&gt;=100000,INDEX($U$1005:$AC$1005,1,MATCH(COLUMNS($U$1006:V1006),$U$1006:$AC$1006,0))&gt;=100000), " ",IF(INDEX($U$2:$AC$1001,MATCH(ROWS($N$2:N191),$N$2:$N$1001,0),MATCH(COLUMNS($U$1006:V1006),$U$1006:$AC$1006,0)), HYPERLINK("#",""), HYPERLINK(CONCATENATE("#metadata!", ADDRESS(INDEX($P$2:$P$1001,MATCH(ROWS($N$2:N191),$N$2:$N$1001,0),0), INDEX($U$1004:$AC$1004,1,MATCH(COLUMNS($U$1006:V1006),$U$1006:$AC$1006,0)))),"Fix")))</f>
        <v>0</v>
      </c>
      <c r="D191" s="3">
        <f>IF(OR(INDEX($O$2:$O$1001,MATCH(ROWS($N$2:N191),$N$2:$N$1001,0),1)&gt;=100000,INDEX($U$1005:$AC$1005,1,MATCH(COLUMNS($U$1006:W1006),$U$1006:$AC$1006,0))&gt;=100000), " ",IF(INDEX($U$2:$AC$1001,MATCH(ROWS($N$2:N191),$N$2:$N$1001,0),MATCH(COLUMNS($U$1006:W1006),$U$1006:$AC$1006,0)), HYPERLINK("#",""), HYPERLINK(CONCATENATE("#metadata!", ADDRESS(INDEX($P$2:$P$1001,MATCH(ROWS($N$2:N191),$N$2:$N$1001,0),0), INDEX($U$1004:$AC$1004,1,MATCH(COLUMNS($U$1006:W1006),$U$1006:$AC$1006,0)))),"Fix")))</f>
        <v>0</v>
      </c>
      <c r="E191" s="3">
        <f>IF(OR(INDEX($O$2:$O$1001,MATCH(ROWS($N$2:N191),$N$2:$N$1001,0),1)&gt;=100000,INDEX($U$1005:$AC$1005,1,MATCH(COLUMNS($U$1006:X1006),$U$1006:$AC$1006,0))&gt;=100000), " ",IF(INDEX($U$2:$AC$1001,MATCH(ROWS($N$2:N191),$N$2:$N$1001,0),MATCH(COLUMNS($U$1006:X1006),$U$1006:$AC$1006,0)), HYPERLINK("#",""), HYPERLINK(CONCATENATE("#metadata!", ADDRESS(INDEX($P$2:$P$1001,MATCH(ROWS($N$2:N191),$N$2:$N$1001,0),0), INDEX($U$1004:$AC$1004,1,MATCH(COLUMNS($U$1006:X1006),$U$1006:$AC$1006,0)))),"Fix")))</f>
        <v>0</v>
      </c>
      <c r="F191" s="3">
        <f>IF(OR(INDEX($O$2:$O$1001,MATCH(ROWS($N$2:N191),$N$2:$N$1001,0),1)&gt;=100000,INDEX($U$1005:$AC$1005,1,MATCH(COLUMNS($U$1006:Y1006),$U$1006:$AC$1006,0))&gt;=100000), " ",IF(INDEX($U$2:$AC$1001,MATCH(ROWS($N$2:N191),$N$2:$N$1001,0),MATCH(COLUMNS($U$1006:Y1006),$U$1006:$AC$1006,0)), HYPERLINK("#",""), HYPERLINK(CONCATENATE("#metadata!", ADDRESS(INDEX($P$2:$P$1001,MATCH(ROWS($N$2:N191),$N$2:$N$1001,0),0), INDEX($U$1004:$AC$1004,1,MATCH(COLUMNS($U$1006:Y1006),$U$1006:$AC$1006,0)))),"Fix")))</f>
        <v>0</v>
      </c>
      <c r="G191" s="3">
        <f>IF(OR(INDEX($O$2:$O$1001,MATCH(ROWS($N$2:N191),$N$2:$N$1001,0),1)&gt;=100000,INDEX($U$1005:$AC$1005,1,MATCH(COLUMNS($U$1006:Z1006),$U$1006:$AC$1006,0))&gt;=100000), " ",IF(INDEX($U$2:$AC$1001,MATCH(ROWS($N$2:N191),$N$2:$N$1001,0),MATCH(COLUMNS($U$1006:Z1006),$U$1006:$AC$1006,0)), HYPERLINK("#",""), HYPERLINK(CONCATENATE("#metadata!", ADDRESS(INDEX($P$2:$P$1001,MATCH(ROWS($N$2:N191),$N$2:$N$1001,0),0), INDEX($U$1004:$AC$1004,1,MATCH(COLUMNS($U$1006:Z1006),$U$1006:$AC$1006,0)))),"Fix")))</f>
        <v>0</v>
      </c>
      <c r="H191" s="3">
        <f>IF(OR(INDEX($O$2:$O$1001,MATCH(ROWS($N$2:N191),$N$2:$N$1001,0),1)&gt;=100000,INDEX($U$1005:$AC$1005,1,MATCH(COLUMNS($U$1006:AA1006),$U$1006:$AC$1006,0))&gt;=100000), " ",IF(INDEX($U$2:$AC$1001,MATCH(ROWS($N$2:N191),$N$2:$N$1001,0),MATCH(COLUMNS($U$1006:AA1006),$U$1006:$AC$1006,0)), HYPERLINK("#",""), HYPERLINK(CONCATENATE("#metadata!", ADDRESS(INDEX($P$2:$P$1001,MATCH(ROWS($N$2:N191),$N$2:$N$1001,0),0), INDEX($U$1004:$AC$1004,1,MATCH(COLUMNS($U$1006:AA1006),$U$1006:$AC$1006,0)))),"Fix")))</f>
        <v>0</v>
      </c>
      <c r="I191" s="3">
        <f>IF(OR(INDEX($O$2:$O$1001,MATCH(ROWS($N$2:N191),$N$2:$N$1001,0),1)&gt;=100000,INDEX($U$1005:$AC$1005,1,MATCH(COLUMNS($U$1006:AB1006),$U$1006:$AC$1006,0))&gt;=100000), " ",IF(INDEX($U$2:$AC$1001,MATCH(ROWS($N$2:N191),$N$2:$N$1001,0),MATCH(COLUMNS($U$1006:AB1006),$U$1006:$AC$1006,0)), HYPERLINK("#",""), HYPERLINK(CONCATENATE("#metadata!", ADDRESS(INDEX($P$2:$P$1001,MATCH(ROWS($N$2:N191),$N$2:$N$1001,0),0), INDEX($U$1004:$AC$1004,1,MATCH(COLUMNS($U$1006:AB1006),$U$1006:$AC$1006,0)))),"Fix")))</f>
        <v>0</v>
      </c>
      <c r="J191" s="3">
        <f>IF(OR(INDEX($O$2:$O$1001,MATCH(ROWS($N$2:N191),$N$2:$N$1001,0),1)&gt;=100000,INDEX($U$1005:$AC$1005,1,MATCH(COLUMNS($U$1006:AC1006),$U$1006:$AC$1006,0))&gt;=100000), " ",IF(INDEX($U$2:$AC$1001,MATCH(ROWS($N$2:N191),$N$2:$N$1001,0),MATCH(COLUMNS($U$1006:AC1006),$U$1006:$AC$1006,0)), HYPERLINK("#",""), HYPERLINK(CONCATENATE("#metadata!", ADDRESS(INDEX($P$2:$P$1001,MATCH(ROWS($N$2:N191),$N$2:$N$1001,0),0), INDEX($U$1004:$AC$1004,1,MATCH(COLUMNS($U$1006:AC1006),$U$1006:$AC$1006,0)))),"Fix")))</f>
        <v>0</v>
      </c>
      <c r="N191">
        <v>0</v>
      </c>
      <c r="O191">
        <v>0</v>
      </c>
      <c r="P191">
        <v>0</v>
      </c>
      <c r="Q191">
        <f>IF(R191,TRUE,AND(U191:AC191))</f>
        <v>0</v>
      </c>
      <c r="R191">
        <f>COUNTBLANK(metadata!B191:J191)=COLUMNS(metadata!B191:J191)</f>
        <v>0</v>
      </c>
      <c r="S191">
        <v>0</v>
      </c>
      <c r="U191">
        <f>AND(IF(metadata!B191="",FALSE,TRUE),COUNTIF(metadata!B:B, metadata!B191) = 1,NOT(ISERROR(SUMPRODUCT(SEARCH(MID(metadata!B191,ROW(INDIRECT("1:"&amp;LEN(metadata!B191))), 1),"0123456789abcdefghijklmnopqrstuvwxyzABCDEFGHIJKLMNOPQRSTUVWXYZ.")))))</f>
        <v>0</v>
      </c>
      <c r="V191">
        <f>AND(IF(metadata!C191="",FALSE,TRUE),exact(metadata!C191,"UBERON:genitourinary"))</f>
        <v>0</v>
      </c>
      <c r="W191">
        <f>AND(IF(metadata!D191="",FALSE,TRUE),exact(metadata!D191,"UBERON:urine"))</f>
        <v>0</v>
      </c>
      <c r="X191">
        <f>AND(IF(metadata!E191="",FALSE,TRUE),exact(metadata!E191,"UBERON:kidney"))</f>
        <v>0</v>
      </c>
      <c r="Y191">
        <f>AND(IF(metadata!F191="",FALSE,TRUE),exact(metadata!F191,"animal corpus"))</f>
        <v>0</v>
      </c>
      <c r="Z191">
        <f>AND(IF(metadata!G191="",FALSE,TRUE),exact(metadata!G191,"urine"))</f>
        <v>0</v>
      </c>
      <c r="AA191">
        <f>AND(IF(metadata!H191="",FALSE,TRUE),exact(metadata!H191,"urine"))</f>
        <v>0</v>
      </c>
      <c r="AB191">
        <f>AND(IF(metadata!I191="",FALSE,TRUE),exact(metadata!I191,"urine metagenome"))</f>
        <v>0</v>
      </c>
      <c r="AC191">
        <f>AND(IF(metadata!J191="",FALSE,TRUE),exact(metadata!J191,"1346744"))</f>
        <v>0</v>
      </c>
    </row>
    <row r="192" spans="1:29">
      <c r="A192" s="4">
        <f>IF(B192=" "," ",HYPERLINK(CONCATENATE("#metadata!",ADDRESS(INDEX($P$2:$P$1001,MATCH(ROWS($N$2:N192),$N$2:$N$1001,0),0),1)),INDEX($S$2:$S$1001,MATCH(ROWS($N$2:N192),$N$2:$N$1001,0),0)))</f>
        <v>0</v>
      </c>
      <c r="B192" s="3">
        <f>IF(OR(INDEX($O$2:$O$1001,MATCH(ROWS($N$2:N192),$N$2:$N$1001,0),1)&gt;=100000,INDEX($U$1005:$AC$1005,1,MATCH(COLUMNS($U$1006:U1006),$U$1006:$AC$1006,0))&gt;=100000), " ",IF(INDEX($U$2:$AC$1001,MATCH(ROWS($N$2:N192),$N$2:$N$1001,0),MATCH(COLUMNS($U$1006:U1006),$U$1006:$AC$1006,0)), HYPERLINK("#",""), HYPERLINK(CONCATENATE("#metadata!", ADDRESS(INDEX($P$2:$P$1001,MATCH(ROWS($N$2:N192),$N$2:$N$1001,0),0), INDEX($U$1004:$AC$1004,1,MATCH(COLUMNS($U$1006:U1006),$U$1006:$AC$1006,0)))),"Fix")))</f>
        <v>0</v>
      </c>
      <c r="C192" s="3">
        <f>IF(OR(INDEX($O$2:$O$1001,MATCH(ROWS($N$2:N192),$N$2:$N$1001,0),1)&gt;=100000,INDEX($U$1005:$AC$1005,1,MATCH(COLUMNS($U$1006:V1006),$U$1006:$AC$1006,0))&gt;=100000), " ",IF(INDEX($U$2:$AC$1001,MATCH(ROWS($N$2:N192),$N$2:$N$1001,0),MATCH(COLUMNS($U$1006:V1006),$U$1006:$AC$1006,0)), HYPERLINK("#",""), HYPERLINK(CONCATENATE("#metadata!", ADDRESS(INDEX($P$2:$P$1001,MATCH(ROWS($N$2:N192),$N$2:$N$1001,0),0), INDEX($U$1004:$AC$1004,1,MATCH(COLUMNS($U$1006:V1006),$U$1006:$AC$1006,0)))),"Fix")))</f>
        <v>0</v>
      </c>
      <c r="D192" s="3">
        <f>IF(OR(INDEX($O$2:$O$1001,MATCH(ROWS($N$2:N192),$N$2:$N$1001,0),1)&gt;=100000,INDEX($U$1005:$AC$1005,1,MATCH(COLUMNS($U$1006:W1006),$U$1006:$AC$1006,0))&gt;=100000), " ",IF(INDEX($U$2:$AC$1001,MATCH(ROWS($N$2:N192),$N$2:$N$1001,0),MATCH(COLUMNS($U$1006:W1006),$U$1006:$AC$1006,0)), HYPERLINK("#",""), HYPERLINK(CONCATENATE("#metadata!", ADDRESS(INDEX($P$2:$P$1001,MATCH(ROWS($N$2:N192),$N$2:$N$1001,0),0), INDEX($U$1004:$AC$1004,1,MATCH(COLUMNS($U$1006:W1006),$U$1006:$AC$1006,0)))),"Fix")))</f>
        <v>0</v>
      </c>
      <c r="E192" s="3">
        <f>IF(OR(INDEX($O$2:$O$1001,MATCH(ROWS($N$2:N192),$N$2:$N$1001,0),1)&gt;=100000,INDEX($U$1005:$AC$1005,1,MATCH(COLUMNS($U$1006:X1006),$U$1006:$AC$1006,0))&gt;=100000), " ",IF(INDEX($U$2:$AC$1001,MATCH(ROWS($N$2:N192),$N$2:$N$1001,0),MATCH(COLUMNS($U$1006:X1006),$U$1006:$AC$1006,0)), HYPERLINK("#",""), HYPERLINK(CONCATENATE("#metadata!", ADDRESS(INDEX($P$2:$P$1001,MATCH(ROWS($N$2:N192),$N$2:$N$1001,0),0), INDEX($U$1004:$AC$1004,1,MATCH(COLUMNS($U$1006:X1006),$U$1006:$AC$1006,0)))),"Fix")))</f>
        <v>0</v>
      </c>
      <c r="F192" s="3">
        <f>IF(OR(INDEX($O$2:$O$1001,MATCH(ROWS($N$2:N192),$N$2:$N$1001,0),1)&gt;=100000,INDEX($U$1005:$AC$1005,1,MATCH(COLUMNS($U$1006:Y1006),$U$1006:$AC$1006,0))&gt;=100000), " ",IF(INDEX($U$2:$AC$1001,MATCH(ROWS($N$2:N192),$N$2:$N$1001,0),MATCH(COLUMNS($U$1006:Y1006),$U$1006:$AC$1006,0)), HYPERLINK("#",""), HYPERLINK(CONCATENATE("#metadata!", ADDRESS(INDEX($P$2:$P$1001,MATCH(ROWS($N$2:N192),$N$2:$N$1001,0),0), INDEX($U$1004:$AC$1004,1,MATCH(COLUMNS($U$1006:Y1006),$U$1006:$AC$1006,0)))),"Fix")))</f>
        <v>0</v>
      </c>
      <c r="G192" s="3">
        <f>IF(OR(INDEX($O$2:$O$1001,MATCH(ROWS($N$2:N192),$N$2:$N$1001,0),1)&gt;=100000,INDEX($U$1005:$AC$1005,1,MATCH(COLUMNS($U$1006:Z1006),$U$1006:$AC$1006,0))&gt;=100000), " ",IF(INDEX($U$2:$AC$1001,MATCH(ROWS($N$2:N192),$N$2:$N$1001,0),MATCH(COLUMNS($U$1006:Z1006),$U$1006:$AC$1006,0)), HYPERLINK("#",""), HYPERLINK(CONCATENATE("#metadata!", ADDRESS(INDEX($P$2:$P$1001,MATCH(ROWS($N$2:N192),$N$2:$N$1001,0),0), INDEX($U$1004:$AC$1004,1,MATCH(COLUMNS($U$1006:Z1006),$U$1006:$AC$1006,0)))),"Fix")))</f>
        <v>0</v>
      </c>
      <c r="H192" s="3">
        <f>IF(OR(INDEX($O$2:$O$1001,MATCH(ROWS($N$2:N192),$N$2:$N$1001,0),1)&gt;=100000,INDEX($U$1005:$AC$1005,1,MATCH(COLUMNS($U$1006:AA1006),$U$1006:$AC$1006,0))&gt;=100000), " ",IF(INDEX($U$2:$AC$1001,MATCH(ROWS($N$2:N192),$N$2:$N$1001,0),MATCH(COLUMNS($U$1006:AA1006),$U$1006:$AC$1006,0)), HYPERLINK("#",""), HYPERLINK(CONCATENATE("#metadata!", ADDRESS(INDEX($P$2:$P$1001,MATCH(ROWS($N$2:N192),$N$2:$N$1001,0),0), INDEX($U$1004:$AC$1004,1,MATCH(COLUMNS($U$1006:AA1006),$U$1006:$AC$1006,0)))),"Fix")))</f>
        <v>0</v>
      </c>
      <c r="I192" s="3">
        <f>IF(OR(INDEX($O$2:$O$1001,MATCH(ROWS($N$2:N192),$N$2:$N$1001,0),1)&gt;=100000,INDEX($U$1005:$AC$1005,1,MATCH(COLUMNS($U$1006:AB1006),$U$1006:$AC$1006,0))&gt;=100000), " ",IF(INDEX($U$2:$AC$1001,MATCH(ROWS($N$2:N192),$N$2:$N$1001,0),MATCH(COLUMNS($U$1006:AB1006),$U$1006:$AC$1006,0)), HYPERLINK("#",""), HYPERLINK(CONCATENATE("#metadata!", ADDRESS(INDEX($P$2:$P$1001,MATCH(ROWS($N$2:N192),$N$2:$N$1001,0),0), INDEX($U$1004:$AC$1004,1,MATCH(COLUMNS($U$1006:AB1006),$U$1006:$AC$1006,0)))),"Fix")))</f>
        <v>0</v>
      </c>
      <c r="J192" s="3">
        <f>IF(OR(INDEX($O$2:$O$1001,MATCH(ROWS($N$2:N192),$N$2:$N$1001,0),1)&gt;=100000,INDEX($U$1005:$AC$1005,1,MATCH(COLUMNS($U$1006:AC1006),$U$1006:$AC$1006,0))&gt;=100000), " ",IF(INDEX($U$2:$AC$1001,MATCH(ROWS($N$2:N192),$N$2:$N$1001,0),MATCH(COLUMNS($U$1006:AC1006),$U$1006:$AC$1006,0)), HYPERLINK("#",""), HYPERLINK(CONCATENATE("#metadata!", ADDRESS(INDEX($P$2:$P$1001,MATCH(ROWS($N$2:N192),$N$2:$N$1001,0),0), INDEX($U$1004:$AC$1004,1,MATCH(COLUMNS($U$1006:AC1006),$U$1006:$AC$1006,0)))),"Fix")))</f>
        <v>0</v>
      </c>
      <c r="N192">
        <v>0</v>
      </c>
      <c r="O192">
        <v>0</v>
      </c>
      <c r="P192">
        <v>0</v>
      </c>
      <c r="Q192">
        <f>IF(R192,TRUE,AND(U192:AC192))</f>
        <v>0</v>
      </c>
      <c r="R192">
        <f>COUNTBLANK(metadata!B192:J192)=COLUMNS(metadata!B192:J192)</f>
        <v>0</v>
      </c>
      <c r="S192">
        <v>0</v>
      </c>
      <c r="U192">
        <f>AND(IF(metadata!B192="",FALSE,TRUE),COUNTIF(metadata!B:B, metadata!B192) = 1,NOT(ISERROR(SUMPRODUCT(SEARCH(MID(metadata!B192,ROW(INDIRECT("1:"&amp;LEN(metadata!B192))), 1),"0123456789abcdefghijklmnopqrstuvwxyzABCDEFGHIJKLMNOPQRSTUVWXYZ.")))))</f>
        <v>0</v>
      </c>
      <c r="V192">
        <f>AND(IF(metadata!C192="",FALSE,TRUE),exact(metadata!C192,"UBERON:genitourinary"))</f>
        <v>0</v>
      </c>
      <c r="W192">
        <f>AND(IF(metadata!D192="",FALSE,TRUE),exact(metadata!D192,"UBERON:urine"))</f>
        <v>0</v>
      </c>
      <c r="X192">
        <f>AND(IF(metadata!E192="",FALSE,TRUE),exact(metadata!E192,"UBERON:kidney"))</f>
        <v>0</v>
      </c>
      <c r="Y192">
        <f>AND(IF(metadata!F192="",FALSE,TRUE),exact(metadata!F192,"animal corpus"))</f>
        <v>0</v>
      </c>
      <c r="Z192">
        <f>AND(IF(metadata!G192="",FALSE,TRUE),exact(metadata!G192,"urine"))</f>
        <v>0</v>
      </c>
      <c r="AA192">
        <f>AND(IF(metadata!H192="",FALSE,TRUE),exact(metadata!H192,"urine"))</f>
        <v>0</v>
      </c>
      <c r="AB192">
        <f>AND(IF(metadata!I192="",FALSE,TRUE),exact(metadata!I192,"urine metagenome"))</f>
        <v>0</v>
      </c>
      <c r="AC192">
        <f>AND(IF(metadata!J192="",FALSE,TRUE),exact(metadata!J192,"1346744"))</f>
        <v>0</v>
      </c>
    </row>
    <row r="193" spans="1:29">
      <c r="A193" s="4">
        <f>IF(B193=" "," ",HYPERLINK(CONCATENATE("#metadata!",ADDRESS(INDEX($P$2:$P$1001,MATCH(ROWS($N$2:N193),$N$2:$N$1001,0),0),1)),INDEX($S$2:$S$1001,MATCH(ROWS($N$2:N193),$N$2:$N$1001,0),0)))</f>
        <v>0</v>
      </c>
      <c r="B193" s="3">
        <f>IF(OR(INDEX($O$2:$O$1001,MATCH(ROWS($N$2:N193),$N$2:$N$1001,0),1)&gt;=100000,INDEX($U$1005:$AC$1005,1,MATCH(COLUMNS($U$1006:U1006),$U$1006:$AC$1006,0))&gt;=100000), " ",IF(INDEX($U$2:$AC$1001,MATCH(ROWS($N$2:N193),$N$2:$N$1001,0),MATCH(COLUMNS($U$1006:U1006),$U$1006:$AC$1006,0)), HYPERLINK("#",""), HYPERLINK(CONCATENATE("#metadata!", ADDRESS(INDEX($P$2:$P$1001,MATCH(ROWS($N$2:N193),$N$2:$N$1001,0),0), INDEX($U$1004:$AC$1004,1,MATCH(COLUMNS($U$1006:U1006),$U$1006:$AC$1006,0)))),"Fix")))</f>
        <v>0</v>
      </c>
      <c r="C193" s="3">
        <f>IF(OR(INDEX($O$2:$O$1001,MATCH(ROWS($N$2:N193),$N$2:$N$1001,0),1)&gt;=100000,INDEX($U$1005:$AC$1005,1,MATCH(COLUMNS($U$1006:V1006),$U$1006:$AC$1006,0))&gt;=100000), " ",IF(INDEX($U$2:$AC$1001,MATCH(ROWS($N$2:N193),$N$2:$N$1001,0),MATCH(COLUMNS($U$1006:V1006),$U$1006:$AC$1006,0)), HYPERLINK("#",""), HYPERLINK(CONCATENATE("#metadata!", ADDRESS(INDEX($P$2:$P$1001,MATCH(ROWS($N$2:N193),$N$2:$N$1001,0),0), INDEX($U$1004:$AC$1004,1,MATCH(COLUMNS($U$1006:V1006),$U$1006:$AC$1006,0)))),"Fix")))</f>
        <v>0</v>
      </c>
      <c r="D193" s="3">
        <f>IF(OR(INDEX($O$2:$O$1001,MATCH(ROWS($N$2:N193),$N$2:$N$1001,0),1)&gt;=100000,INDEX($U$1005:$AC$1005,1,MATCH(COLUMNS($U$1006:W1006),$U$1006:$AC$1006,0))&gt;=100000), " ",IF(INDEX($U$2:$AC$1001,MATCH(ROWS($N$2:N193),$N$2:$N$1001,0),MATCH(COLUMNS($U$1006:W1006),$U$1006:$AC$1006,0)), HYPERLINK("#",""), HYPERLINK(CONCATENATE("#metadata!", ADDRESS(INDEX($P$2:$P$1001,MATCH(ROWS($N$2:N193),$N$2:$N$1001,0),0), INDEX($U$1004:$AC$1004,1,MATCH(COLUMNS($U$1006:W1006),$U$1006:$AC$1006,0)))),"Fix")))</f>
        <v>0</v>
      </c>
      <c r="E193" s="3">
        <f>IF(OR(INDEX($O$2:$O$1001,MATCH(ROWS($N$2:N193),$N$2:$N$1001,0),1)&gt;=100000,INDEX($U$1005:$AC$1005,1,MATCH(COLUMNS($U$1006:X1006),$U$1006:$AC$1006,0))&gt;=100000), " ",IF(INDEX($U$2:$AC$1001,MATCH(ROWS($N$2:N193),$N$2:$N$1001,0),MATCH(COLUMNS($U$1006:X1006),$U$1006:$AC$1006,0)), HYPERLINK("#",""), HYPERLINK(CONCATENATE("#metadata!", ADDRESS(INDEX($P$2:$P$1001,MATCH(ROWS($N$2:N193),$N$2:$N$1001,0),0), INDEX($U$1004:$AC$1004,1,MATCH(COLUMNS($U$1006:X1006),$U$1006:$AC$1006,0)))),"Fix")))</f>
        <v>0</v>
      </c>
      <c r="F193" s="3">
        <f>IF(OR(INDEX($O$2:$O$1001,MATCH(ROWS($N$2:N193),$N$2:$N$1001,0),1)&gt;=100000,INDEX($U$1005:$AC$1005,1,MATCH(COLUMNS($U$1006:Y1006),$U$1006:$AC$1006,0))&gt;=100000), " ",IF(INDEX($U$2:$AC$1001,MATCH(ROWS($N$2:N193),$N$2:$N$1001,0),MATCH(COLUMNS($U$1006:Y1006),$U$1006:$AC$1006,0)), HYPERLINK("#",""), HYPERLINK(CONCATENATE("#metadata!", ADDRESS(INDEX($P$2:$P$1001,MATCH(ROWS($N$2:N193),$N$2:$N$1001,0),0), INDEX($U$1004:$AC$1004,1,MATCH(COLUMNS($U$1006:Y1006),$U$1006:$AC$1006,0)))),"Fix")))</f>
        <v>0</v>
      </c>
      <c r="G193" s="3">
        <f>IF(OR(INDEX($O$2:$O$1001,MATCH(ROWS($N$2:N193),$N$2:$N$1001,0),1)&gt;=100000,INDEX($U$1005:$AC$1005,1,MATCH(COLUMNS($U$1006:Z1006),$U$1006:$AC$1006,0))&gt;=100000), " ",IF(INDEX($U$2:$AC$1001,MATCH(ROWS($N$2:N193),$N$2:$N$1001,0),MATCH(COLUMNS($U$1006:Z1006),$U$1006:$AC$1006,0)), HYPERLINK("#",""), HYPERLINK(CONCATENATE("#metadata!", ADDRESS(INDEX($P$2:$P$1001,MATCH(ROWS($N$2:N193),$N$2:$N$1001,0),0), INDEX($U$1004:$AC$1004,1,MATCH(COLUMNS($U$1006:Z1006),$U$1006:$AC$1006,0)))),"Fix")))</f>
        <v>0</v>
      </c>
      <c r="H193" s="3">
        <f>IF(OR(INDEX($O$2:$O$1001,MATCH(ROWS($N$2:N193),$N$2:$N$1001,0),1)&gt;=100000,INDEX($U$1005:$AC$1005,1,MATCH(COLUMNS($U$1006:AA1006),$U$1006:$AC$1006,0))&gt;=100000), " ",IF(INDEX($U$2:$AC$1001,MATCH(ROWS($N$2:N193),$N$2:$N$1001,0),MATCH(COLUMNS($U$1006:AA1006),$U$1006:$AC$1006,0)), HYPERLINK("#",""), HYPERLINK(CONCATENATE("#metadata!", ADDRESS(INDEX($P$2:$P$1001,MATCH(ROWS($N$2:N193),$N$2:$N$1001,0),0), INDEX($U$1004:$AC$1004,1,MATCH(COLUMNS($U$1006:AA1006),$U$1006:$AC$1006,0)))),"Fix")))</f>
        <v>0</v>
      </c>
      <c r="I193" s="3">
        <f>IF(OR(INDEX($O$2:$O$1001,MATCH(ROWS($N$2:N193),$N$2:$N$1001,0),1)&gt;=100000,INDEX($U$1005:$AC$1005,1,MATCH(COLUMNS($U$1006:AB1006),$U$1006:$AC$1006,0))&gt;=100000), " ",IF(INDEX($U$2:$AC$1001,MATCH(ROWS($N$2:N193),$N$2:$N$1001,0),MATCH(COLUMNS($U$1006:AB1006),$U$1006:$AC$1006,0)), HYPERLINK("#",""), HYPERLINK(CONCATENATE("#metadata!", ADDRESS(INDEX($P$2:$P$1001,MATCH(ROWS($N$2:N193),$N$2:$N$1001,0),0), INDEX($U$1004:$AC$1004,1,MATCH(COLUMNS($U$1006:AB1006),$U$1006:$AC$1006,0)))),"Fix")))</f>
        <v>0</v>
      </c>
      <c r="J193" s="3">
        <f>IF(OR(INDEX($O$2:$O$1001,MATCH(ROWS($N$2:N193),$N$2:$N$1001,0),1)&gt;=100000,INDEX($U$1005:$AC$1005,1,MATCH(COLUMNS($U$1006:AC1006),$U$1006:$AC$1006,0))&gt;=100000), " ",IF(INDEX($U$2:$AC$1001,MATCH(ROWS($N$2:N193),$N$2:$N$1001,0),MATCH(COLUMNS($U$1006:AC1006),$U$1006:$AC$1006,0)), HYPERLINK("#",""), HYPERLINK(CONCATENATE("#metadata!", ADDRESS(INDEX($P$2:$P$1001,MATCH(ROWS($N$2:N193),$N$2:$N$1001,0),0), INDEX($U$1004:$AC$1004,1,MATCH(COLUMNS($U$1006:AC1006),$U$1006:$AC$1006,0)))),"Fix")))</f>
        <v>0</v>
      </c>
      <c r="N193">
        <v>0</v>
      </c>
      <c r="O193">
        <v>0</v>
      </c>
      <c r="P193">
        <v>0</v>
      </c>
      <c r="Q193">
        <f>IF(R193,TRUE,AND(U193:AC193))</f>
        <v>0</v>
      </c>
      <c r="R193">
        <f>COUNTBLANK(metadata!B193:J193)=COLUMNS(metadata!B193:J193)</f>
        <v>0</v>
      </c>
      <c r="S193">
        <v>0</v>
      </c>
      <c r="U193">
        <f>AND(IF(metadata!B193="",FALSE,TRUE),COUNTIF(metadata!B:B, metadata!B193) = 1,NOT(ISERROR(SUMPRODUCT(SEARCH(MID(metadata!B193,ROW(INDIRECT("1:"&amp;LEN(metadata!B193))), 1),"0123456789abcdefghijklmnopqrstuvwxyzABCDEFGHIJKLMNOPQRSTUVWXYZ.")))))</f>
        <v>0</v>
      </c>
      <c r="V193">
        <f>AND(IF(metadata!C193="",FALSE,TRUE),exact(metadata!C193,"UBERON:genitourinary"))</f>
        <v>0</v>
      </c>
      <c r="W193">
        <f>AND(IF(metadata!D193="",FALSE,TRUE),exact(metadata!D193,"UBERON:urine"))</f>
        <v>0</v>
      </c>
      <c r="X193">
        <f>AND(IF(metadata!E193="",FALSE,TRUE),exact(metadata!E193,"UBERON:kidney"))</f>
        <v>0</v>
      </c>
      <c r="Y193">
        <f>AND(IF(metadata!F193="",FALSE,TRUE),exact(metadata!F193,"animal corpus"))</f>
        <v>0</v>
      </c>
      <c r="Z193">
        <f>AND(IF(metadata!G193="",FALSE,TRUE),exact(metadata!G193,"urine"))</f>
        <v>0</v>
      </c>
      <c r="AA193">
        <f>AND(IF(metadata!H193="",FALSE,TRUE),exact(metadata!H193,"urine"))</f>
        <v>0</v>
      </c>
      <c r="AB193">
        <f>AND(IF(metadata!I193="",FALSE,TRUE),exact(metadata!I193,"urine metagenome"))</f>
        <v>0</v>
      </c>
      <c r="AC193">
        <f>AND(IF(metadata!J193="",FALSE,TRUE),exact(metadata!J193,"1346744"))</f>
        <v>0</v>
      </c>
    </row>
    <row r="194" spans="1:29">
      <c r="A194" s="4">
        <f>IF(B194=" "," ",HYPERLINK(CONCATENATE("#metadata!",ADDRESS(INDEX($P$2:$P$1001,MATCH(ROWS($N$2:N194),$N$2:$N$1001,0),0),1)),INDEX($S$2:$S$1001,MATCH(ROWS($N$2:N194),$N$2:$N$1001,0),0)))</f>
        <v>0</v>
      </c>
      <c r="B194" s="3">
        <f>IF(OR(INDEX($O$2:$O$1001,MATCH(ROWS($N$2:N194),$N$2:$N$1001,0),1)&gt;=100000,INDEX($U$1005:$AC$1005,1,MATCH(COLUMNS($U$1006:U1006),$U$1006:$AC$1006,0))&gt;=100000), " ",IF(INDEX($U$2:$AC$1001,MATCH(ROWS($N$2:N194),$N$2:$N$1001,0),MATCH(COLUMNS($U$1006:U1006),$U$1006:$AC$1006,0)), HYPERLINK("#",""), HYPERLINK(CONCATENATE("#metadata!", ADDRESS(INDEX($P$2:$P$1001,MATCH(ROWS($N$2:N194),$N$2:$N$1001,0),0), INDEX($U$1004:$AC$1004,1,MATCH(COLUMNS($U$1006:U1006),$U$1006:$AC$1006,0)))),"Fix")))</f>
        <v>0</v>
      </c>
      <c r="C194" s="3">
        <f>IF(OR(INDEX($O$2:$O$1001,MATCH(ROWS($N$2:N194),$N$2:$N$1001,0),1)&gt;=100000,INDEX($U$1005:$AC$1005,1,MATCH(COLUMNS($U$1006:V1006),$U$1006:$AC$1006,0))&gt;=100000), " ",IF(INDEX($U$2:$AC$1001,MATCH(ROWS($N$2:N194),$N$2:$N$1001,0),MATCH(COLUMNS($U$1006:V1006),$U$1006:$AC$1006,0)), HYPERLINK("#",""), HYPERLINK(CONCATENATE("#metadata!", ADDRESS(INDEX($P$2:$P$1001,MATCH(ROWS($N$2:N194),$N$2:$N$1001,0),0), INDEX($U$1004:$AC$1004,1,MATCH(COLUMNS($U$1006:V1006),$U$1006:$AC$1006,0)))),"Fix")))</f>
        <v>0</v>
      </c>
      <c r="D194" s="3">
        <f>IF(OR(INDEX($O$2:$O$1001,MATCH(ROWS($N$2:N194),$N$2:$N$1001,0),1)&gt;=100000,INDEX($U$1005:$AC$1005,1,MATCH(COLUMNS($U$1006:W1006),$U$1006:$AC$1006,0))&gt;=100000), " ",IF(INDEX($U$2:$AC$1001,MATCH(ROWS($N$2:N194),$N$2:$N$1001,0),MATCH(COLUMNS($U$1006:W1006),$U$1006:$AC$1006,0)), HYPERLINK("#",""), HYPERLINK(CONCATENATE("#metadata!", ADDRESS(INDEX($P$2:$P$1001,MATCH(ROWS($N$2:N194),$N$2:$N$1001,0),0), INDEX($U$1004:$AC$1004,1,MATCH(COLUMNS($U$1006:W1006),$U$1006:$AC$1006,0)))),"Fix")))</f>
        <v>0</v>
      </c>
      <c r="E194" s="3">
        <f>IF(OR(INDEX($O$2:$O$1001,MATCH(ROWS($N$2:N194),$N$2:$N$1001,0),1)&gt;=100000,INDEX($U$1005:$AC$1005,1,MATCH(COLUMNS($U$1006:X1006),$U$1006:$AC$1006,0))&gt;=100000), " ",IF(INDEX($U$2:$AC$1001,MATCH(ROWS($N$2:N194),$N$2:$N$1001,0),MATCH(COLUMNS($U$1006:X1006),$U$1006:$AC$1006,0)), HYPERLINK("#",""), HYPERLINK(CONCATENATE("#metadata!", ADDRESS(INDEX($P$2:$P$1001,MATCH(ROWS($N$2:N194),$N$2:$N$1001,0),0), INDEX($U$1004:$AC$1004,1,MATCH(COLUMNS($U$1006:X1006),$U$1006:$AC$1006,0)))),"Fix")))</f>
        <v>0</v>
      </c>
      <c r="F194" s="3">
        <f>IF(OR(INDEX($O$2:$O$1001,MATCH(ROWS($N$2:N194),$N$2:$N$1001,0),1)&gt;=100000,INDEX($U$1005:$AC$1005,1,MATCH(COLUMNS($U$1006:Y1006),$U$1006:$AC$1006,0))&gt;=100000), " ",IF(INDEX($U$2:$AC$1001,MATCH(ROWS($N$2:N194),$N$2:$N$1001,0),MATCH(COLUMNS($U$1006:Y1006),$U$1006:$AC$1006,0)), HYPERLINK("#",""), HYPERLINK(CONCATENATE("#metadata!", ADDRESS(INDEX($P$2:$P$1001,MATCH(ROWS($N$2:N194),$N$2:$N$1001,0),0), INDEX($U$1004:$AC$1004,1,MATCH(COLUMNS($U$1006:Y1006),$U$1006:$AC$1006,0)))),"Fix")))</f>
        <v>0</v>
      </c>
      <c r="G194" s="3">
        <f>IF(OR(INDEX($O$2:$O$1001,MATCH(ROWS($N$2:N194),$N$2:$N$1001,0),1)&gt;=100000,INDEX($U$1005:$AC$1005,1,MATCH(COLUMNS($U$1006:Z1006),$U$1006:$AC$1006,0))&gt;=100000), " ",IF(INDEX($U$2:$AC$1001,MATCH(ROWS($N$2:N194),$N$2:$N$1001,0),MATCH(COLUMNS($U$1006:Z1006),$U$1006:$AC$1006,0)), HYPERLINK("#",""), HYPERLINK(CONCATENATE("#metadata!", ADDRESS(INDEX($P$2:$P$1001,MATCH(ROWS($N$2:N194),$N$2:$N$1001,0),0), INDEX($U$1004:$AC$1004,1,MATCH(COLUMNS($U$1006:Z1006),$U$1006:$AC$1006,0)))),"Fix")))</f>
        <v>0</v>
      </c>
      <c r="H194" s="3">
        <f>IF(OR(INDEX($O$2:$O$1001,MATCH(ROWS($N$2:N194),$N$2:$N$1001,0),1)&gt;=100000,INDEX($U$1005:$AC$1005,1,MATCH(COLUMNS($U$1006:AA1006),$U$1006:$AC$1006,0))&gt;=100000), " ",IF(INDEX($U$2:$AC$1001,MATCH(ROWS($N$2:N194),$N$2:$N$1001,0),MATCH(COLUMNS($U$1006:AA1006),$U$1006:$AC$1006,0)), HYPERLINK("#",""), HYPERLINK(CONCATENATE("#metadata!", ADDRESS(INDEX($P$2:$P$1001,MATCH(ROWS($N$2:N194),$N$2:$N$1001,0),0), INDEX($U$1004:$AC$1004,1,MATCH(COLUMNS($U$1006:AA1006),$U$1006:$AC$1006,0)))),"Fix")))</f>
        <v>0</v>
      </c>
      <c r="I194" s="3">
        <f>IF(OR(INDEX($O$2:$O$1001,MATCH(ROWS($N$2:N194),$N$2:$N$1001,0),1)&gt;=100000,INDEX($U$1005:$AC$1005,1,MATCH(COLUMNS($U$1006:AB1006),$U$1006:$AC$1006,0))&gt;=100000), " ",IF(INDEX($U$2:$AC$1001,MATCH(ROWS($N$2:N194),$N$2:$N$1001,0),MATCH(COLUMNS($U$1006:AB1006),$U$1006:$AC$1006,0)), HYPERLINK("#",""), HYPERLINK(CONCATENATE("#metadata!", ADDRESS(INDEX($P$2:$P$1001,MATCH(ROWS($N$2:N194),$N$2:$N$1001,0),0), INDEX($U$1004:$AC$1004,1,MATCH(COLUMNS($U$1006:AB1006),$U$1006:$AC$1006,0)))),"Fix")))</f>
        <v>0</v>
      </c>
      <c r="J194" s="3">
        <f>IF(OR(INDEX($O$2:$O$1001,MATCH(ROWS($N$2:N194),$N$2:$N$1001,0),1)&gt;=100000,INDEX($U$1005:$AC$1005,1,MATCH(COLUMNS($U$1006:AC1006),$U$1006:$AC$1006,0))&gt;=100000), " ",IF(INDEX($U$2:$AC$1001,MATCH(ROWS($N$2:N194),$N$2:$N$1001,0),MATCH(COLUMNS($U$1006:AC1006),$U$1006:$AC$1006,0)), HYPERLINK("#",""), HYPERLINK(CONCATENATE("#metadata!", ADDRESS(INDEX($P$2:$P$1001,MATCH(ROWS($N$2:N194),$N$2:$N$1001,0),0), INDEX($U$1004:$AC$1004,1,MATCH(COLUMNS($U$1006:AC1006),$U$1006:$AC$1006,0)))),"Fix")))</f>
        <v>0</v>
      </c>
      <c r="N194">
        <v>0</v>
      </c>
      <c r="O194">
        <v>0</v>
      </c>
      <c r="P194">
        <v>0</v>
      </c>
      <c r="Q194">
        <f>IF(R194,TRUE,AND(U194:AC194))</f>
        <v>0</v>
      </c>
      <c r="R194">
        <f>COUNTBLANK(metadata!B194:J194)=COLUMNS(metadata!B194:J194)</f>
        <v>0</v>
      </c>
      <c r="S194">
        <v>0</v>
      </c>
      <c r="U194">
        <f>AND(IF(metadata!B194="",FALSE,TRUE),COUNTIF(metadata!B:B, metadata!B194) = 1,NOT(ISERROR(SUMPRODUCT(SEARCH(MID(metadata!B194,ROW(INDIRECT("1:"&amp;LEN(metadata!B194))), 1),"0123456789abcdefghijklmnopqrstuvwxyzABCDEFGHIJKLMNOPQRSTUVWXYZ.")))))</f>
        <v>0</v>
      </c>
      <c r="V194">
        <f>AND(IF(metadata!C194="",FALSE,TRUE),exact(metadata!C194,"UBERON:genitourinary"))</f>
        <v>0</v>
      </c>
      <c r="W194">
        <f>AND(IF(metadata!D194="",FALSE,TRUE),exact(metadata!D194,"UBERON:urine"))</f>
        <v>0</v>
      </c>
      <c r="X194">
        <f>AND(IF(metadata!E194="",FALSE,TRUE),exact(metadata!E194,"UBERON:kidney"))</f>
        <v>0</v>
      </c>
      <c r="Y194">
        <f>AND(IF(metadata!F194="",FALSE,TRUE),exact(metadata!F194,"animal corpus"))</f>
        <v>0</v>
      </c>
      <c r="Z194">
        <f>AND(IF(metadata!G194="",FALSE,TRUE),exact(metadata!G194,"urine"))</f>
        <v>0</v>
      </c>
      <c r="AA194">
        <f>AND(IF(metadata!H194="",FALSE,TRUE),exact(metadata!H194,"urine"))</f>
        <v>0</v>
      </c>
      <c r="AB194">
        <f>AND(IF(metadata!I194="",FALSE,TRUE),exact(metadata!I194,"urine metagenome"))</f>
        <v>0</v>
      </c>
      <c r="AC194">
        <f>AND(IF(metadata!J194="",FALSE,TRUE),exact(metadata!J194,"1346744"))</f>
        <v>0</v>
      </c>
    </row>
    <row r="195" spans="1:29">
      <c r="A195" s="4">
        <f>IF(B195=" "," ",HYPERLINK(CONCATENATE("#metadata!",ADDRESS(INDEX($P$2:$P$1001,MATCH(ROWS($N$2:N195),$N$2:$N$1001,0),0),1)),INDEX($S$2:$S$1001,MATCH(ROWS($N$2:N195),$N$2:$N$1001,0),0)))</f>
        <v>0</v>
      </c>
      <c r="B195" s="3">
        <f>IF(OR(INDEX($O$2:$O$1001,MATCH(ROWS($N$2:N195),$N$2:$N$1001,0),1)&gt;=100000,INDEX($U$1005:$AC$1005,1,MATCH(COLUMNS($U$1006:U1006),$U$1006:$AC$1006,0))&gt;=100000), " ",IF(INDEX($U$2:$AC$1001,MATCH(ROWS($N$2:N195),$N$2:$N$1001,0),MATCH(COLUMNS($U$1006:U1006),$U$1006:$AC$1006,0)), HYPERLINK("#",""), HYPERLINK(CONCATENATE("#metadata!", ADDRESS(INDEX($P$2:$P$1001,MATCH(ROWS($N$2:N195),$N$2:$N$1001,0),0), INDEX($U$1004:$AC$1004,1,MATCH(COLUMNS($U$1006:U1006),$U$1006:$AC$1006,0)))),"Fix")))</f>
        <v>0</v>
      </c>
      <c r="C195" s="3">
        <f>IF(OR(INDEX($O$2:$O$1001,MATCH(ROWS($N$2:N195),$N$2:$N$1001,0),1)&gt;=100000,INDEX($U$1005:$AC$1005,1,MATCH(COLUMNS($U$1006:V1006),$U$1006:$AC$1006,0))&gt;=100000), " ",IF(INDEX($U$2:$AC$1001,MATCH(ROWS($N$2:N195),$N$2:$N$1001,0),MATCH(COLUMNS($U$1006:V1006),$U$1006:$AC$1006,0)), HYPERLINK("#",""), HYPERLINK(CONCATENATE("#metadata!", ADDRESS(INDEX($P$2:$P$1001,MATCH(ROWS($N$2:N195),$N$2:$N$1001,0),0), INDEX($U$1004:$AC$1004,1,MATCH(COLUMNS($U$1006:V1006),$U$1006:$AC$1006,0)))),"Fix")))</f>
        <v>0</v>
      </c>
      <c r="D195" s="3">
        <f>IF(OR(INDEX($O$2:$O$1001,MATCH(ROWS($N$2:N195),$N$2:$N$1001,0),1)&gt;=100000,INDEX($U$1005:$AC$1005,1,MATCH(COLUMNS($U$1006:W1006),$U$1006:$AC$1006,0))&gt;=100000), " ",IF(INDEX($U$2:$AC$1001,MATCH(ROWS($N$2:N195),$N$2:$N$1001,0),MATCH(COLUMNS($U$1006:W1006),$U$1006:$AC$1006,0)), HYPERLINK("#",""), HYPERLINK(CONCATENATE("#metadata!", ADDRESS(INDEX($P$2:$P$1001,MATCH(ROWS($N$2:N195),$N$2:$N$1001,0),0), INDEX($U$1004:$AC$1004,1,MATCH(COLUMNS($U$1006:W1006),$U$1006:$AC$1006,0)))),"Fix")))</f>
        <v>0</v>
      </c>
      <c r="E195" s="3">
        <f>IF(OR(INDEX($O$2:$O$1001,MATCH(ROWS($N$2:N195),$N$2:$N$1001,0),1)&gt;=100000,INDEX($U$1005:$AC$1005,1,MATCH(COLUMNS($U$1006:X1006),$U$1006:$AC$1006,0))&gt;=100000), " ",IF(INDEX($U$2:$AC$1001,MATCH(ROWS($N$2:N195),$N$2:$N$1001,0),MATCH(COLUMNS($U$1006:X1006),$U$1006:$AC$1006,0)), HYPERLINK("#",""), HYPERLINK(CONCATENATE("#metadata!", ADDRESS(INDEX($P$2:$P$1001,MATCH(ROWS($N$2:N195),$N$2:$N$1001,0),0), INDEX($U$1004:$AC$1004,1,MATCH(COLUMNS($U$1006:X1006),$U$1006:$AC$1006,0)))),"Fix")))</f>
        <v>0</v>
      </c>
      <c r="F195" s="3">
        <f>IF(OR(INDEX($O$2:$O$1001,MATCH(ROWS($N$2:N195),$N$2:$N$1001,0),1)&gt;=100000,INDEX($U$1005:$AC$1005,1,MATCH(COLUMNS($U$1006:Y1006),$U$1006:$AC$1006,0))&gt;=100000), " ",IF(INDEX($U$2:$AC$1001,MATCH(ROWS($N$2:N195),$N$2:$N$1001,0),MATCH(COLUMNS($U$1006:Y1006),$U$1006:$AC$1006,0)), HYPERLINK("#",""), HYPERLINK(CONCATENATE("#metadata!", ADDRESS(INDEX($P$2:$P$1001,MATCH(ROWS($N$2:N195),$N$2:$N$1001,0),0), INDEX($U$1004:$AC$1004,1,MATCH(COLUMNS($U$1006:Y1006),$U$1006:$AC$1006,0)))),"Fix")))</f>
        <v>0</v>
      </c>
      <c r="G195" s="3">
        <f>IF(OR(INDEX($O$2:$O$1001,MATCH(ROWS($N$2:N195),$N$2:$N$1001,0),1)&gt;=100000,INDEX($U$1005:$AC$1005,1,MATCH(COLUMNS($U$1006:Z1006),$U$1006:$AC$1006,0))&gt;=100000), " ",IF(INDEX($U$2:$AC$1001,MATCH(ROWS($N$2:N195),$N$2:$N$1001,0),MATCH(COLUMNS($U$1006:Z1006),$U$1006:$AC$1006,0)), HYPERLINK("#",""), HYPERLINK(CONCATENATE("#metadata!", ADDRESS(INDEX($P$2:$P$1001,MATCH(ROWS($N$2:N195),$N$2:$N$1001,0),0), INDEX($U$1004:$AC$1004,1,MATCH(COLUMNS($U$1006:Z1006),$U$1006:$AC$1006,0)))),"Fix")))</f>
        <v>0</v>
      </c>
      <c r="H195" s="3">
        <f>IF(OR(INDEX($O$2:$O$1001,MATCH(ROWS($N$2:N195),$N$2:$N$1001,0),1)&gt;=100000,INDEX($U$1005:$AC$1005,1,MATCH(COLUMNS($U$1006:AA1006),$U$1006:$AC$1006,0))&gt;=100000), " ",IF(INDEX($U$2:$AC$1001,MATCH(ROWS($N$2:N195),$N$2:$N$1001,0),MATCH(COLUMNS($U$1006:AA1006),$U$1006:$AC$1006,0)), HYPERLINK("#",""), HYPERLINK(CONCATENATE("#metadata!", ADDRESS(INDEX($P$2:$P$1001,MATCH(ROWS($N$2:N195),$N$2:$N$1001,0),0), INDEX($U$1004:$AC$1004,1,MATCH(COLUMNS($U$1006:AA1006),$U$1006:$AC$1006,0)))),"Fix")))</f>
        <v>0</v>
      </c>
      <c r="I195" s="3">
        <f>IF(OR(INDEX($O$2:$O$1001,MATCH(ROWS($N$2:N195),$N$2:$N$1001,0),1)&gt;=100000,INDEX($U$1005:$AC$1005,1,MATCH(COLUMNS($U$1006:AB1006),$U$1006:$AC$1006,0))&gt;=100000), " ",IF(INDEX($U$2:$AC$1001,MATCH(ROWS($N$2:N195),$N$2:$N$1001,0),MATCH(COLUMNS($U$1006:AB1006),$U$1006:$AC$1006,0)), HYPERLINK("#",""), HYPERLINK(CONCATENATE("#metadata!", ADDRESS(INDEX($P$2:$P$1001,MATCH(ROWS($N$2:N195),$N$2:$N$1001,0),0), INDEX($U$1004:$AC$1004,1,MATCH(COLUMNS($U$1006:AB1006),$U$1006:$AC$1006,0)))),"Fix")))</f>
        <v>0</v>
      </c>
      <c r="J195" s="3">
        <f>IF(OR(INDEX($O$2:$O$1001,MATCH(ROWS($N$2:N195),$N$2:$N$1001,0),1)&gt;=100000,INDEX($U$1005:$AC$1005,1,MATCH(COLUMNS($U$1006:AC1006),$U$1006:$AC$1006,0))&gt;=100000), " ",IF(INDEX($U$2:$AC$1001,MATCH(ROWS($N$2:N195),$N$2:$N$1001,0),MATCH(COLUMNS($U$1006:AC1006),$U$1006:$AC$1006,0)), HYPERLINK("#",""), HYPERLINK(CONCATENATE("#metadata!", ADDRESS(INDEX($P$2:$P$1001,MATCH(ROWS($N$2:N195),$N$2:$N$1001,0),0), INDEX($U$1004:$AC$1004,1,MATCH(COLUMNS($U$1006:AC1006),$U$1006:$AC$1006,0)))),"Fix")))</f>
        <v>0</v>
      </c>
      <c r="N195">
        <v>0</v>
      </c>
      <c r="O195">
        <v>0</v>
      </c>
      <c r="P195">
        <v>0</v>
      </c>
      <c r="Q195">
        <f>IF(R195,TRUE,AND(U195:AC195))</f>
        <v>0</v>
      </c>
      <c r="R195">
        <f>COUNTBLANK(metadata!B195:J195)=COLUMNS(metadata!B195:J195)</f>
        <v>0</v>
      </c>
      <c r="S195">
        <v>0</v>
      </c>
      <c r="U195">
        <f>AND(IF(metadata!B195="",FALSE,TRUE),COUNTIF(metadata!B:B, metadata!B195) = 1,NOT(ISERROR(SUMPRODUCT(SEARCH(MID(metadata!B195,ROW(INDIRECT("1:"&amp;LEN(metadata!B195))), 1),"0123456789abcdefghijklmnopqrstuvwxyzABCDEFGHIJKLMNOPQRSTUVWXYZ.")))))</f>
        <v>0</v>
      </c>
      <c r="V195">
        <f>AND(IF(metadata!C195="",FALSE,TRUE),exact(metadata!C195,"UBERON:genitourinary"))</f>
        <v>0</v>
      </c>
      <c r="W195">
        <f>AND(IF(metadata!D195="",FALSE,TRUE),exact(metadata!D195,"UBERON:urine"))</f>
        <v>0</v>
      </c>
      <c r="X195">
        <f>AND(IF(metadata!E195="",FALSE,TRUE),exact(metadata!E195,"UBERON:kidney"))</f>
        <v>0</v>
      </c>
      <c r="Y195">
        <f>AND(IF(metadata!F195="",FALSE,TRUE),exact(metadata!F195,"animal corpus"))</f>
        <v>0</v>
      </c>
      <c r="Z195">
        <f>AND(IF(metadata!G195="",FALSE,TRUE),exact(metadata!G195,"urine"))</f>
        <v>0</v>
      </c>
      <c r="AA195">
        <f>AND(IF(metadata!H195="",FALSE,TRUE),exact(metadata!H195,"urine"))</f>
        <v>0</v>
      </c>
      <c r="AB195">
        <f>AND(IF(metadata!I195="",FALSE,TRUE),exact(metadata!I195,"urine metagenome"))</f>
        <v>0</v>
      </c>
      <c r="AC195">
        <f>AND(IF(metadata!J195="",FALSE,TRUE),exact(metadata!J195,"1346744"))</f>
        <v>0</v>
      </c>
    </row>
    <row r="196" spans="1:29">
      <c r="A196" s="4">
        <f>IF(B196=" "," ",HYPERLINK(CONCATENATE("#metadata!",ADDRESS(INDEX($P$2:$P$1001,MATCH(ROWS($N$2:N196),$N$2:$N$1001,0),0),1)),INDEX($S$2:$S$1001,MATCH(ROWS($N$2:N196),$N$2:$N$1001,0),0)))</f>
        <v>0</v>
      </c>
      <c r="B196" s="3">
        <f>IF(OR(INDEX($O$2:$O$1001,MATCH(ROWS($N$2:N196),$N$2:$N$1001,0),1)&gt;=100000,INDEX($U$1005:$AC$1005,1,MATCH(COLUMNS($U$1006:U1006),$U$1006:$AC$1006,0))&gt;=100000), " ",IF(INDEX($U$2:$AC$1001,MATCH(ROWS($N$2:N196),$N$2:$N$1001,0),MATCH(COLUMNS($U$1006:U1006),$U$1006:$AC$1006,0)), HYPERLINK("#",""), HYPERLINK(CONCATENATE("#metadata!", ADDRESS(INDEX($P$2:$P$1001,MATCH(ROWS($N$2:N196),$N$2:$N$1001,0),0), INDEX($U$1004:$AC$1004,1,MATCH(COLUMNS($U$1006:U1006),$U$1006:$AC$1006,0)))),"Fix")))</f>
        <v>0</v>
      </c>
      <c r="C196" s="3">
        <f>IF(OR(INDEX($O$2:$O$1001,MATCH(ROWS($N$2:N196),$N$2:$N$1001,0),1)&gt;=100000,INDEX($U$1005:$AC$1005,1,MATCH(COLUMNS($U$1006:V1006),$U$1006:$AC$1006,0))&gt;=100000), " ",IF(INDEX($U$2:$AC$1001,MATCH(ROWS($N$2:N196),$N$2:$N$1001,0),MATCH(COLUMNS($U$1006:V1006),$U$1006:$AC$1006,0)), HYPERLINK("#",""), HYPERLINK(CONCATENATE("#metadata!", ADDRESS(INDEX($P$2:$P$1001,MATCH(ROWS($N$2:N196),$N$2:$N$1001,0),0), INDEX($U$1004:$AC$1004,1,MATCH(COLUMNS($U$1006:V1006),$U$1006:$AC$1006,0)))),"Fix")))</f>
        <v>0</v>
      </c>
      <c r="D196" s="3">
        <f>IF(OR(INDEX($O$2:$O$1001,MATCH(ROWS($N$2:N196),$N$2:$N$1001,0),1)&gt;=100000,INDEX($U$1005:$AC$1005,1,MATCH(COLUMNS($U$1006:W1006),$U$1006:$AC$1006,0))&gt;=100000), " ",IF(INDEX($U$2:$AC$1001,MATCH(ROWS($N$2:N196),$N$2:$N$1001,0),MATCH(COLUMNS($U$1006:W1006),$U$1006:$AC$1006,0)), HYPERLINK("#",""), HYPERLINK(CONCATENATE("#metadata!", ADDRESS(INDEX($P$2:$P$1001,MATCH(ROWS($N$2:N196),$N$2:$N$1001,0),0), INDEX($U$1004:$AC$1004,1,MATCH(COLUMNS($U$1006:W1006),$U$1006:$AC$1006,0)))),"Fix")))</f>
        <v>0</v>
      </c>
      <c r="E196" s="3">
        <f>IF(OR(INDEX($O$2:$O$1001,MATCH(ROWS($N$2:N196),$N$2:$N$1001,0),1)&gt;=100000,INDEX($U$1005:$AC$1005,1,MATCH(COLUMNS($U$1006:X1006),$U$1006:$AC$1006,0))&gt;=100000), " ",IF(INDEX($U$2:$AC$1001,MATCH(ROWS($N$2:N196),$N$2:$N$1001,0),MATCH(COLUMNS($U$1006:X1006),$U$1006:$AC$1006,0)), HYPERLINK("#",""), HYPERLINK(CONCATENATE("#metadata!", ADDRESS(INDEX($P$2:$P$1001,MATCH(ROWS($N$2:N196),$N$2:$N$1001,0),0), INDEX($U$1004:$AC$1004,1,MATCH(COLUMNS($U$1006:X1006),$U$1006:$AC$1006,0)))),"Fix")))</f>
        <v>0</v>
      </c>
      <c r="F196" s="3">
        <f>IF(OR(INDEX($O$2:$O$1001,MATCH(ROWS($N$2:N196),$N$2:$N$1001,0),1)&gt;=100000,INDEX($U$1005:$AC$1005,1,MATCH(COLUMNS($U$1006:Y1006),$U$1006:$AC$1006,0))&gt;=100000), " ",IF(INDEX($U$2:$AC$1001,MATCH(ROWS($N$2:N196),$N$2:$N$1001,0),MATCH(COLUMNS($U$1006:Y1006),$U$1006:$AC$1006,0)), HYPERLINK("#",""), HYPERLINK(CONCATENATE("#metadata!", ADDRESS(INDEX($P$2:$P$1001,MATCH(ROWS($N$2:N196),$N$2:$N$1001,0),0), INDEX($U$1004:$AC$1004,1,MATCH(COLUMNS($U$1006:Y1006),$U$1006:$AC$1006,0)))),"Fix")))</f>
        <v>0</v>
      </c>
      <c r="G196" s="3">
        <f>IF(OR(INDEX($O$2:$O$1001,MATCH(ROWS($N$2:N196),$N$2:$N$1001,0),1)&gt;=100000,INDEX($U$1005:$AC$1005,1,MATCH(COLUMNS($U$1006:Z1006),$U$1006:$AC$1006,0))&gt;=100000), " ",IF(INDEX($U$2:$AC$1001,MATCH(ROWS($N$2:N196),$N$2:$N$1001,0),MATCH(COLUMNS($U$1006:Z1006),$U$1006:$AC$1006,0)), HYPERLINK("#",""), HYPERLINK(CONCATENATE("#metadata!", ADDRESS(INDEX($P$2:$P$1001,MATCH(ROWS($N$2:N196),$N$2:$N$1001,0),0), INDEX($U$1004:$AC$1004,1,MATCH(COLUMNS($U$1006:Z1006),$U$1006:$AC$1006,0)))),"Fix")))</f>
        <v>0</v>
      </c>
      <c r="H196" s="3">
        <f>IF(OR(INDEX($O$2:$O$1001,MATCH(ROWS($N$2:N196),$N$2:$N$1001,0),1)&gt;=100000,INDEX($U$1005:$AC$1005,1,MATCH(COLUMNS($U$1006:AA1006),$U$1006:$AC$1006,0))&gt;=100000), " ",IF(INDEX($U$2:$AC$1001,MATCH(ROWS($N$2:N196),$N$2:$N$1001,0),MATCH(COLUMNS($U$1006:AA1006),$U$1006:$AC$1006,0)), HYPERLINK("#",""), HYPERLINK(CONCATENATE("#metadata!", ADDRESS(INDEX($P$2:$P$1001,MATCH(ROWS($N$2:N196),$N$2:$N$1001,0),0), INDEX($U$1004:$AC$1004,1,MATCH(COLUMNS($U$1006:AA1006),$U$1006:$AC$1006,0)))),"Fix")))</f>
        <v>0</v>
      </c>
      <c r="I196" s="3">
        <f>IF(OR(INDEX($O$2:$O$1001,MATCH(ROWS($N$2:N196),$N$2:$N$1001,0),1)&gt;=100000,INDEX($U$1005:$AC$1005,1,MATCH(COLUMNS($U$1006:AB1006),$U$1006:$AC$1006,0))&gt;=100000), " ",IF(INDEX($U$2:$AC$1001,MATCH(ROWS($N$2:N196),$N$2:$N$1001,0),MATCH(COLUMNS($U$1006:AB1006),$U$1006:$AC$1006,0)), HYPERLINK("#",""), HYPERLINK(CONCATENATE("#metadata!", ADDRESS(INDEX($P$2:$P$1001,MATCH(ROWS($N$2:N196),$N$2:$N$1001,0),0), INDEX($U$1004:$AC$1004,1,MATCH(COLUMNS($U$1006:AB1006),$U$1006:$AC$1006,0)))),"Fix")))</f>
        <v>0</v>
      </c>
      <c r="J196" s="3">
        <f>IF(OR(INDEX($O$2:$O$1001,MATCH(ROWS($N$2:N196),$N$2:$N$1001,0),1)&gt;=100000,INDEX($U$1005:$AC$1005,1,MATCH(COLUMNS($U$1006:AC1006),$U$1006:$AC$1006,0))&gt;=100000), " ",IF(INDEX($U$2:$AC$1001,MATCH(ROWS($N$2:N196),$N$2:$N$1001,0),MATCH(COLUMNS($U$1006:AC1006),$U$1006:$AC$1006,0)), HYPERLINK("#",""), HYPERLINK(CONCATENATE("#metadata!", ADDRESS(INDEX($P$2:$P$1001,MATCH(ROWS($N$2:N196),$N$2:$N$1001,0),0), INDEX($U$1004:$AC$1004,1,MATCH(COLUMNS($U$1006:AC1006),$U$1006:$AC$1006,0)))),"Fix")))</f>
        <v>0</v>
      </c>
      <c r="N196">
        <v>0</v>
      </c>
      <c r="O196">
        <v>0</v>
      </c>
      <c r="P196">
        <v>0</v>
      </c>
      <c r="Q196">
        <f>IF(R196,TRUE,AND(U196:AC196))</f>
        <v>0</v>
      </c>
      <c r="R196">
        <f>COUNTBLANK(metadata!B196:J196)=COLUMNS(metadata!B196:J196)</f>
        <v>0</v>
      </c>
      <c r="S196">
        <v>0</v>
      </c>
      <c r="U196">
        <f>AND(IF(metadata!B196="",FALSE,TRUE),COUNTIF(metadata!B:B, metadata!B196) = 1,NOT(ISERROR(SUMPRODUCT(SEARCH(MID(metadata!B196,ROW(INDIRECT("1:"&amp;LEN(metadata!B196))), 1),"0123456789abcdefghijklmnopqrstuvwxyzABCDEFGHIJKLMNOPQRSTUVWXYZ.")))))</f>
        <v>0</v>
      </c>
      <c r="V196">
        <f>AND(IF(metadata!C196="",FALSE,TRUE),exact(metadata!C196,"UBERON:genitourinary"))</f>
        <v>0</v>
      </c>
      <c r="W196">
        <f>AND(IF(metadata!D196="",FALSE,TRUE),exact(metadata!D196,"UBERON:urine"))</f>
        <v>0</v>
      </c>
      <c r="X196">
        <f>AND(IF(metadata!E196="",FALSE,TRUE),exact(metadata!E196,"UBERON:kidney"))</f>
        <v>0</v>
      </c>
      <c r="Y196">
        <f>AND(IF(metadata!F196="",FALSE,TRUE),exact(metadata!F196,"animal corpus"))</f>
        <v>0</v>
      </c>
      <c r="Z196">
        <f>AND(IF(metadata!G196="",FALSE,TRUE),exact(metadata!G196,"urine"))</f>
        <v>0</v>
      </c>
      <c r="AA196">
        <f>AND(IF(metadata!H196="",FALSE,TRUE),exact(metadata!H196,"urine"))</f>
        <v>0</v>
      </c>
      <c r="AB196">
        <f>AND(IF(metadata!I196="",FALSE,TRUE),exact(metadata!I196,"urine metagenome"))</f>
        <v>0</v>
      </c>
      <c r="AC196">
        <f>AND(IF(metadata!J196="",FALSE,TRUE),exact(metadata!J196,"1346744"))</f>
        <v>0</v>
      </c>
    </row>
    <row r="197" spans="1:29">
      <c r="A197" s="4">
        <f>IF(B197=" "," ",HYPERLINK(CONCATENATE("#metadata!",ADDRESS(INDEX($P$2:$P$1001,MATCH(ROWS($N$2:N197),$N$2:$N$1001,0),0),1)),INDEX($S$2:$S$1001,MATCH(ROWS($N$2:N197),$N$2:$N$1001,0),0)))</f>
        <v>0</v>
      </c>
      <c r="B197" s="3">
        <f>IF(OR(INDEX($O$2:$O$1001,MATCH(ROWS($N$2:N197),$N$2:$N$1001,0),1)&gt;=100000,INDEX($U$1005:$AC$1005,1,MATCH(COLUMNS($U$1006:U1006),$U$1006:$AC$1006,0))&gt;=100000), " ",IF(INDEX($U$2:$AC$1001,MATCH(ROWS($N$2:N197),$N$2:$N$1001,0),MATCH(COLUMNS($U$1006:U1006),$U$1006:$AC$1006,0)), HYPERLINK("#",""), HYPERLINK(CONCATENATE("#metadata!", ADDRESS(INDEX($P$2:$P$1001,MATCH(ROWS($N$2:N197),$N$2:$N$1001,0),0), INDEX($U$1004:$AC$1004,1,MATCH(COLUMNS($U$1006:U1006),$U$1006:$AC$1006,0)))),"Fix")))</f>
        <v>0</v>
      </c>
      <c r="C197" s="3">
        <f>IF(OR(INDEX($O$2:$O$1001,MATCH(ROWS($N$2:N197),$N$2:$N$1001,0),1)&gt;=100000,INDEX($U$1005:$AC$1005,1,MATCH(COLUMNS($U$1006:V1006),$U$1006:$AC$1006,0))&gt;=100000), " ",IF(INDEX($U$2:$AC$1001,MATCH(ROWS($N$2:N197),$N$2:$N$1001,0),MATCH(COLUMNS($U$1006:V1006),$U$1006:$AC$1006,0)), HYPERLINK("#",""), HYPERLINK(CONCATENATE("#metadata!", ADDRESS(INDEX($P$2:$P$1001,MATCH(ROWS($N$2:N197),$N$2:$N$1001,0),0), INDEX($U$1004:$AC$1004,1,MATCH(COLUMNS($U$1006:V1006),$U$1006:$AC$1006,0)))),"Fix")))</f>
        <v>0</v>
      </c>
      <c r="D197" s="3">
        <f>IF(OR(INDEX($O$2:$O$1001,MATCH(ROWS($N$2:N197),$N$2:$N$1001,0),1)&gt;=100000,INDEX($U$1005:$AC$1005,1,MATCH(COLUMNS($U$1006:W1006),$U$1006:$AC$1006,0))&gt;=100000), " ",IF(INDEX($U$2:$AC$1001,MATCH(ROWS($N$2:N197),$N$2:$N$1001,0),MATCH(COLUMNS($U$1006:W1006),$U$1006:$AC$1006,0)), HYPERLINK("#",""), HYPERLINK(CONCATENATE("#metadata!", ADDRESS(INDEX($P$2:$P$1001,MATCH(ROWS($N$2:N197),$N$2:$N$1001,0),0), INDEX($U$1004:$AC$1004,1,MATCH(COLUMNS($U$1006:W1006),$U$1006:$AC$1006,0)))),"Fix")))</f>
        <v>0</v>
      </c>
      <c r="E197" s="3">
        <f>IF(OR(INDEX($O$2:$O$1001,MATCH(ROWS($N$2:N197),$N$2:$N$1001,0),1)&gt;=100000,INDEX($U$1005:$AC$1005,1,MATCH(COLUMNS($U$1006:X1006),$U$1006:$AC$1006,0))&gt;=100000), " ",IF(INDEX($U$2:$AC$1001,MATCH(ROWS($N$2:N197),$N$2:$N$1001,0),MATCH(COLUMNS($U$1006:X1006),$U$1006:$AC$1006,0)), HYPERLINK("#",""), HYPERLINK(CONCATENATE("#metadata!", ADDRESS(INDEX($P$2:$P$1001,MATCH(ROWS($N$2:N197),$N$2:$N$1001,0),0), INDEX($U$1004:$AC$1004,1,MATCH(COLUMNS($U$1006:X1006),$U$1006:$AC$1006,0)))),"Fix")))</f>
        <v>0</v>
      </c>
      <c r="F197" s="3">
        <f>IF(OR(INDEX($O$2:$O$1001,MATCH(ROWS($N$2:N197),$N$2:$N$1001,0),1)&gt;=100000,INDEX($U$1005:$AC$1005,1,MATCH(COLUMNS($U$1006:Y1006),$U$1006:$AC$1006,0))&gt;=100000), " ",IF(INDEX($U$2:$AC$1001,MATCH(ROWS($N$2:N197),$N$2:$N$1001,0),MATCH(COLUMNS($U$1006:Y1006),$U$1006:$AC$1006,0)), HYPERLINK("#",""), HYPERLINK(CONCATENATE("#metadata!", ADDRESS(INDEX($P$2:$P$1001,MATCH(ROWS($N$2:N197),$N$2:$N$1001,0),0), INDEX($U$1004:$AC$1004,1,MATCH(COLUMNS($U$1006:Y1006),$U$1006:$AC$1006,0)))),"Fix")))</f>
        <v>0</v>
      </c>
      <c r="G197" s="3">
        <f>IF(OR(INDEX($O$2:$O$1001,MATCH(ROWS($N$2:N197),$N$2:$N$1001,0),1)&gt;=100000,INDEX($U$1005:$AC$1005,1,MATCH(COLUMNS($U$1006:Z1006),$U$1006:$AC$1006,0))&gt;=100000), " ",IF(INDEX($U$2:$AC$1001,MATCH(ROWS($N$2:N197),$N$2:$N$1001,0),MATCH(COLUMNS($U$1006:Z1006),$U$1006:$AC$1006,0)), HYPERLINK("#",""), HYPERLINK(CONCATENATE("#metadata!", ADDRESS(INDEX($P$2:$P$1001,MATCH(ROWS($N$2:N197),$N$2:$N$1001,0),0), INDEX($U$1004:$AC$1004,1,MATCH(COLUMNS($U$1006:Z1006),$U$1006:$AC$1006,0)))),"Fix")))</f>
        <v>0</v>
      </c>
      <c r="H197" s="3">
        <f>IF(OR(INDEX($O$2:$O$1001,MATCH(ROWS($N$2:N197),$N$2:$N$1001,0),1)&gt;=100000,INDEX($U$1005:$AC$1005,1,MATCH(COLUMNS($U$1006:AA1006),$U$1006:$AC$1006,0))&gt;=100000), " ",IF(INDEX($U$2:$AC$1001,MATCH(ROWS($N$2:N197),$N$2:$N$1001,0),MATCH(COLUMNS($U$1006:AA1006),$U$1006:$AC$1006,0)), HYPERLINK("#",""), HYPERLINK(CONCATENATE("#metadata!", ADDRESS(INDEX($P$2:$P$1001,MATCH(ROWS($N$2:N197),$N$2:$N$1001,0),0), INDEX($U$1004:$AC$1004,1,MATCH(COLUMNS($U$1006:AA1006),$U$1006:$AC$1006,0)))),"Fix")))</f>
        <v>0</v>
      </c>
      <c r="I197" s="3">
        <f>IF(OR(INDEX($O$2:$O$1001,MATCH(ROWS($N$2:N197),$N$2:$N$1001,0),1)&gt;=100000,INDEX($U$1005:$AC$1005,1,MATCH(COLUMNS($U$1006:AB1006),$U$1006:$AC$1006,0))&gt;=100000), " ",IF(INDEX($U$2:$AC$1001,MATCH(ROWS($N$2:N197),$N$2:$N$1001,0),MATCH(COLUMNS($U$1006:AB1006),$U$1006:$AC$1006,0)), HYPERLINK("#",""), HYPERLINK(CONCATENATE("#metadata!", ADDRESS(INDEX($P$2:$P$1001,MATCH(ROWS($N$2:N197),$N$2:$N$1001,0),0), INDEX($U$1004:$AC$1004,1,MATCH(COLUMNS($U$1006:AB1006),$U$1006:$AC$1006,0)))),"Fix")))</f>
        <v>0</v>
      </c>
      <c r="J197" s="3">
        <f>IF(OR(INDEX($O$2:$O$1001,MATCH(ROWS($N$2:N197),$N$2:$N$1001,0),1)&gt;=100000,INDEX($U$1005:$AC$1005,1,MATCH(COLUMNS($U$1006:AC1006),$U$1006:$AC$1006,0))&gt;=100000), " ",IF(INDEX($U$2:$AC$1001,MATCH(ROWS($N$2:N197),$N$2:$N$1001,0),MATCH(COLUMNS($U$1006:AC1006),$U$1006:$AC$1006,0)), HYPERLINK("#",""), HYPERLINK(CONCATENATE("#metadata!", ADDRESS(INDEX($P$2:$P$1001,MATCH(ROWS($N$2:N197),$N$2:$N$1001,0),0), INDEX($U$1004:$AC$1004,1,MATCH(COLUMNS($U$1006:AC1006),$U$1006:$AC$1006,0)))),"Fix")))</f>
        <v>0</v>
      </c>
      <c r="N197">
        <v>0</v>
      </c>
      <c r="O197">
        <v>0</v>
      </c>
      <c r="P197">
        <v>0</v>
      </c>
      <c r="Q197">
        <f>IF(R197,TRUE,AND(U197:AC197))</f>
        <v>0</v>
      </c>
      <c r="R197">
        <f>COUNTBLANK(metadata!B197:J197)=COLUMNS(metadata!B197:J197)</f>
        <v>0</v>
      </c>
      <c r="S197">
        <v>0</v>
      </c>
      <c r="U197">
        <f>AND(IF(metadata!B197="",FALSE,TRUE),COUNTIF(metadata!B:B, metadata!B197) = 1,NOT(ISERROR(SUMPRODUCT(SEARCH(MID(metadata!B197,ROW(INDIRECT("1:"&amp;LEN(metadata!B197))), 1),"0123456789abcdefghijklmnopqrstuvwxyzABCDEFGHIJKLMNOPQRSTUVWXYZ.")))))</f>
        <v>0</v>
      </c>
      <c r="V197">
        <f>AND(IF(metadata!C197="",FALSE,TRUE),exact(metadata!C197,"UBERON:genitourinary"))</f>
        <v>0</v>
      </c>
      <c r="W197">
        <f>AND(IF(metadata!D197="",FALSE,TRUE),exact(metadata!D197,"UBERON:urine"))</f>
        <v>0</v>
      </c>
      <c r="X197">
        <f>AND(IF(metadata!E197="",FALSE,TRUE),exact(metadata!E197,"UBERON:kidney"))</f>
        <v>0</v>
      </c>
      <c r="Y197">
        <f>AND(IF(metadata!F197="",FALSE,TRUE),exact(metadata!F197,"animal corpus"))</f>
        <v>0</v>
      </c>
      <c r="Z197">
        <f>AND(IF(metadata!G197="",FALSE,TRUE),exact(metadata!G197,"urine"))</f>
        <v>0</v>
      </c>
      <c r="AA197">
        <f>AND(IF(metadata!H197="",FALSE,TRUE),exact(metadata!H197,"urine"))</f>
        <v>0</v>
      </c>
      <c r="AB197">
        <f>AND(IF(metadata!I197="",FALSE,TRUE),exact(metadata!I197,"urine metagenome"))</f>
        <v>0</v>
      </c>
      <c r="AC197">
        <f>AND(IF(metadata!J197="",FALSE,TRUE),exact(metadata!J197,"1346744"))</f>
        <v>0</v>
      </c>
    </row>
    <row r="198" spans="1:29">
      <c r="A198" s="4">
        <f>IF(B198=" "," ",HYPERLINK(CONCATENATE("#metadata!",ADDRESS(INDEX($P$2:$P$1001,MATCH(ROWS($N$2:N198),$N$2:$N$1001,0),0),1)),INDEX($S$2:$S$1001,MATCH(ROWS($N$2:N198),$N$2:$N$1001,0),0)))</f>
        <v>0</v>
      </c>
      <c r="B198" s="3">
        <f>IF(OR(INDEX($O$2:$O$1001,MATCH(ROWS($N$2:N198),$N$2:$N$1001,0),1)&gt;=100000,INDEX($U$1005:$AC$1005,1,MATCH(COLUMNS($U$1006:U1006),$U$1006:$AC$1006,0))&gt;=100000), " ",IF(INDEX($U$2:$AC$1001,MATCH(ROWS($N$2:N198),$N$2:$N$1001,0),MATCH(COLUMNS($U$1006:U1006),$U$1006:$AC$1006,0)), HYPERLINK("#",""), HYPERLINK(CONCATENATE("#metadata!", ADDRESS(INDEX($P$2:$P$1001,MATCH(ROWS($N$2:N198),$N$2:$N$1001,0),0), INDEX($U$1004:$AC$1004,1,MATCH(COLUMNS($U$1006:U1006),$U$1006:$AC$1006,0)))),"Fix")))</f>
        <v>0</v>
      </c>
      <c r="C198" s="3">
        <f>IF(OR(INDEX($O$2:$O$1001,MATCH(ROWS($N$2:N198),$N$2:$N$1001,0),1)&gt;=100000,INDEX($U$1005:$AC$1005,1,MATCH(COLUMNS($U$1006:V1006),$U$1006:$AC$1006,0))&gt;=100000), " ",IF(INDEX($U$2:$AC$1001,MATCH(ROWS($N$2:N198),$N$2:$N$1001,0),MATCH(COLUMNS($U$1006:V1006),$U$1006:$AC$1006,0)), HYPERLINK("#",""), HYPERLINK(CONCATENATE("#metadata!", ADDRESS(INDEX($P$2:$P$1001,MATCH(ROWS($N$2:N198),$N$2:$N$1001,0),0), INDEX($U$1004:$AC$1004,1,MATCH(COLUMNS($U$1006:V1006),$U$1006:$AC$1006,0)))),"Fix")))</f>
        <v>0</v>
      </c>
      <c r="D198" s="3">
        <f>IF(OR(INDEX($O$2:$O$1001,MATCH(ROWS($N$2:N198),$N$2:$N$1001,0),1)&gt;=100000,INDEX($U$1005:$AC$1005,1,MATCH(COLUMNS($U$1006:W1006),$U$1006:$AC$1006,0))&gt;=100000), " ",IF(INDEX($U$2:$AC$1001,MATCH(ROWS($N$2:N198),$N$2:$N$1001,0),MATCH(COLUMNS($U$1006:W1006),$U$1006:$AC$1006,0)), HYPERLINK("#",""), HYPERLINK(CONCATENATE("#metadata!", ADDRESS(INDEX($P$2:$P$1001,MATCH(ROWS($N$2:N198),$N$2:$N$1001,0),0), INDEX($U$1004:$AC$1004,1,MATCH(COLUMNS($U$1006:W1006),$U$1006:$AC$1006,0)))),"Fix")))</f>
        <v>0</v>
      </c>
      <c r="E198" s="3">
        <f>IF(OR(INDEX($O$2:$O$1001,MATCH(ROWS($N$2:N198),$N$2:$N$1001,0),1)&gt;=100000,INDEX($U$1005:$AC$1005,1,MATCH(COLUMNS($U$1006:X1006),$U$1006:$AC$1006,0))&gt;=100000), " ",IF(INDEX($U$2:$AC$1001,MATCH(ROWS($N$2:N198),$N$2:$N$1001,0),MATCH(COLUMNS($U$1006:X1006),$U$1006:$AC$1006,0)), HYPERLINK("#",""), HYPERLINK(CONCATENATE("#metadata!", ADDRESS(INDEX($P$2:$P$1001,MATCH(ROWS($N$2:N198),$N$2:$N$1001,0),0), INDEX($U$1004:$AC$1004,1,MATCH(COLUMNS($U$1006:X1006),$U$1006:$AC$1006,0)))),"Fix")))</f>
        <v>0</v>
      </c>
      <c r="F198" s="3">
        <f>IF(OR(INDEX($O$2:$O$1001,MATCH(ROWS($N$2:N198),$N$2:$N$1001,0),1)&gt;=100000,INDEX($U$1005:$AC$1005,1,MATCH(COLUMNS($U$1006:Y1006),$U$1006:$AC$1006,0))&gt;=100000), " ",IF(INDEX($U$2:$AC$1001,MATCH(ROWS($N$2:N198),$N$2:$N$1001,0),MATCH(COLUMNS($U$1006:Y1006),$U$1006:$AC$1006,0)), HYPERLINK("#",""), HYPERLINK(CONCATENATE("#metadata!", ADDRESS(INDEX($P$2:$P$1001,MATCH(ROWS($N$2:N198),$N$2:$N$1001,0),0), INDEX($U$1004:$AC$1004,1,MATCH(COLUMNS($U$1006:Y1006),$U$1006:$AC$1006,0)))),"Fix")))</f>
        <v>0</v>
      </c>
      <c r="G198" s="3">
        <f>IF(OR(INDEX($O$2:$O$1001,MATCH(ROWS($N$2:N198),$N$2:$N$1001,0),1)&gt;=100000,INDEX($U$1005:$AC$1005,1,MATCH(COLUMNS($U$1006:Z1006),$U$1006:$AC$1006,0))&gt;=100000), " ",IF(INDEX($U$2:$AC$1001,MATCH(ROWS($N$2:N198),$N$2:$N$1001,0),MATCH(COLUMNS($U$1006:Z1006),$U$1006:$AC$1006,0)), HYPERLINK("#",""), HYPERLINK(CONCATENATE("#metadata!", ADDRESS(INDEX($P$2:$P$1001,MATCH(ROWS($N$2:N198),$N$2:$N$1001,0),0), INDEX($U$1004:$AC$1004,1,MATCH(COLUMNS($U$1006:Z1006),$U$1006:$AC$1006,0)))),"Fix")))</f>
        <v>0</v>
      </c>
      <c r="H198" s="3">
        <f>IF(OR(INDEX($O$2:$O$1001,MATCH(ROWS($N$2:N198),$N$2:$N$1001,0),1)&gt;=100000,INDEX($U$1005:$AC$1005,1,MATCH(COLUMNS($U$1006:AA1006),$U$1006:$AC$1006,0))&gt;=100000), " ",IF(INDEX($U$2:$AC$1001,MATCH(ROWS($N$2:N198),$N$2:$N$1001,0),MATCH(COLUMNS($U$1006:AA1006),$U$1006:$AC$1006,0)), HYPERLINK("#",""), HYPERLINK(CONCATENATE("#metadata!", ADDRESS(INDEX($P$2:$P$1001,MATCH(ROWS($N$2:N198),$N$2:$N$1001,0),0), INDEX($U$1004:$AC$1004,1,MATCH(COLUMNS($U$1006:AA1006),$U$1006:$AC$1006,0)))),"Fix")))</f>
        <v>0</v>
      </c>
      <c r="I198" s="3">
        <f>IF(OR(INDEX($O$2:$O$1001,MATCH(ROWS($N$2:N198),$N$2:$N$1001,0),1)&gt;=100000,INDEX($U$1005:$AC$1005,1,MATCH(COLUMNS($U$1006:AB1006),$U$1006:$AC$1006,0))&gt;=100000), " ",IF(INDEX($U$2:$AC$1001,MATCH(ROWS($N$2:N198),$N$2:$N$1001,0),MATCH(COLUMNS($U$1006:AB1006),$U$1006:$AC$1006,0)), HYPERLINK("#",""), HYPERLINK(CONCATENATE("#metadata!", ADDRESS(INDEX($P$2:$P$1001,MATCH(ROWS($N$2:N198),$N$2:$N$1001,0),0), INDEX($U$1004:$AC$1004,1,MATCH(COLUMNS($U$1006:AB1006),$U$1006:$AC$1006,0)))),"Fix")))</f>
        <v>0</v>
      </c>
      <c r="J198" s="3">
        <f>IF(OR(INDEX($O$2:$O$1001,MATCH(ROWS($N$2:N198),$N$2:$N$1001,0),1)&gt;=100000,INDEX($U$1005:$AC$1005,1,MATCH(COLUMNS($U$1006:AC1006),$U$1006:$AC$1006,0))&gt;=100000), " ",IF(INDEX($U$2:$AC$1001,MATCH(ROWS($N$2:N198),$N$2:$N$1001,0),MATCH(COLUMNS($U$1006:AC1006),$U$1006:$AC$1006,0)), HYPERLINK("#",""), HYPERLINK(CONCATENATE("#metadata!", ADDRESS(INDEX($P$2:$P$1001,MATCH(ROWS($N$2:N198),$N$2:$N$1001,0),0), INDEX($U$1004:$AC$1004,1,MATCH(COLUMNS($U$1006:AC1006),$U$1006:$AC$1006,0)))),"Fix")))</f>
        <v>0</v>
      </c>
      <c r="N198">
        <v>0</v>
      </c>
      <c r="O198">
        <v>0</v>
      </c>
      <c r="P198">
        <v>0</v>
      </c>
      <c r="Q198">
        <f>IF(R198,TRUE,AND(U198:AC198))</f>
        <v>0</v>
      </c>
      <c r="R198">
        <f>COUNTBLANK(metadata!B198:J198)=COLUMNS(metadata!B198:J198)</f>
        <v>0</v>
      </c>
      <c r="S198">
        <v>0</v>
      </c>
      <c r="U198">
        <f>AND(IF(metadata!B198="",FALSE,TRUE),COUNTIF(metadata!B:B, metadata!B198) = 1,NOT(ISERROR(SUMPRODUCT(SEARCH(MID(metadata!B198,ROW(INDIRECT("1:"&amp;LEN(metadata!B198))), 1),"0123456789abcdefghijklmnopqrstuvwxyzABCDEFGHIJKLMNOPQRSTUVWXYZ.")))))</f>
        <v>0</v>
      </c>
      <c r="V198">
        <f>AND(IF(metadata!C198="",FALSE,TRUE),exact(metadata!C198,"UBERON:genitourinary"))</f>
        <v>0</v>
      </c>
      <c r="W198">
        <f>AND(IF(metadata!D198="",FALSE,TRUE),exact(metadata!D198,"UBERON:urine"))</f>
        <v>0</v>
      </c>
      <c r="X198">
        <f>AND(IF(metadata!E198="",FALSE,TRUE),exact(metadata!E198,"UBERON:kidney"))</f>
        <v>0</v>
      </c>
      <c r="Y198">
        <f>AND(IF(metadata!F198="",FALSE,TRUE),exact(metadata!F198,"animal corpus"))</f>
        <v>0</v>
      </c>
      <c r="Z198">
        <f>AND(IF(metadata!G198="",FALSE,TRUE),exact(metadata!G198,"urine"))</f>
        <v>0</v>
      </c>
      <c r="AA198">
        <f>AND(IF(metadata!H198="",FALSE,TRUE),exact(metadata!H198,"urine"))</f>
        <v>0</v>
      </c>
      <c r="AB198">
        <f>AND(IF(metadata!I198="",FALSE,TRUE),exact(metadata!I198,"urine metagenome"))</f>
        <v>0</v>
      </c>
      <c r="AC198">
        <f>AND(IF(metadata!J198="",FALSE,TRUE),exact(metadata!J198,"1346744"))</f>
        <v>0</v>
      </c>
    </row>
    <row r="199" spans="1:29">
      <c r="A199" s="4">
        <f>IF(B199=" "," ",HYPERLINK(CONCATENATE("#metadata!",ADDRESS(INDEX($P$2:$P$1001,MATCH(ROWS($N$2:N199),$N$2:$N$1001,0),0),1)),INDEX($S$2:$S$1001,MATCH(ROWS($N$2:N199),$N$2:$N$1001,0),0)))</f>
        <v>0</v>
      </c>
      <c r="B199" s="3">
        <f>IF(OR(INDEX($O$2:$O$1001,MATCH(ROWS($N$2:N199),$N$2:$N$1001,0),1)&gt;=100000,INDEX($U$1005:$AC$1005,1,MATCH(COLUMNS($U$1006:U1006),$U$1006:$AC$1006,0))&gt;=100000), " ",IF(INDEX($U$2:$AC$1001,MATCH(ROWS($N$2:N199),$N$2:$N$1001,0),MATCH(COLUMNS($U$1006:U1006),$U$1006:$AC$1006,0)), HYPERLINK("#",""), HYPERLINK(CONCATENATE("#metadata!", ADDRESS(INDEX($P$2:$P$1001,MATCH(ROWS($N$2:N199),$N$2:$N$1001,0),0), INDEX($U$1004:$AC$1004,1,MATCH(COLUMNS($U$1006:U1006),$U$1006:$AC$1006,0)))),"Fix")))</f>
        <v>0</v>
      </c>
      <c r="C199" s="3">
        <f>IF(OR(INDEX($O$2:$O$1001,MATCH(ROWS($N$2:N199),$N$2:$N$1001,0),1)&gt;=100000,INDEX($U$1005:$AC$1005,1,MATCH(COLUMNS($U$1006:V1006),$U$1006:$AC$1006,0))&gt;=100000), " ",IF(INDEX($U$2:$AC$1001,MATCH(ROWS($N$2:N199),$N$2:$N$1001,0),MATCH(COLUMNS($U$1006:V1006),$U$1006:$AC$1006,0)), HYPERLINK("#",""), HYPERLINK(CONCATENATE("#metadata!", ADDRESS(INDEX($P$2:$P$1001,MATCH(ROWS($N$2:N199),$N$2:$N$1001,0),0), INDEX($U$1004:$AC$1004,1,MATCH(COLUMNS($U$1006:V1006),$U$1006:$AC$1006,0)))),"Fix")))</f>
        <v>0</v>
      </c>
      <c r="D199" s="3">
        <f>IF(OR(INDEX($O$2:$O$1001,MATCH(ROWS($N$2:N199),$N$2:$N$1001,0),1)&gt;=100000,INDEX($U$1005:$AC$1005,1,MATCH(COLUMNS($U$1006:W1006),$U$1006:$AC$1006,0))&gt;=100000), " ",IF(INDEX($U$2:$AC$1001,MATCH(ROWS($N$2:N199),$N$2:$N$1001,0),MATCH(COLUMNS($U$1006:W1006),$U$1006:$AC$1006,0)), HYPERLINK("#",""), HYPERLINK(CONCATENATE("#metadata!", ADDRESS(INDEX($P$2:$P$1001,MATCH(ROWS($N$2:N199),$N$2:$N$1001,0),0), INDEX($U$1004:$AC$1004,1,MATCH(COLUMNS($U$1006:W1006),$U$1006:$AC$1006,0)))),"Fix")))</f>
        <v>0</v>
      </c>
      <c r="E199" s="3">
        <f>IF(OR(INDEX($O$2:$O$1001,MATCH(ROWS($N$2:N199),$N$2:$N$1001,0),1)&gt;=100000,INDEX($U$1005:$AC$1005,1,MATCH(COLUMNS($U$1006:X1006),$U$1006:$AC$1006,0))&gt;=100000), " ",IF(INDEX($U$2:$AC$1001,MATCH(ROWS($N$2:N199),$N$2:$N$1001,0),MATCH(COLUMNS($U$1006:X1006),$U$1006:$AC$1006,0)), HYPERLINK("#",""), HYPERLINK(CONCATENATE("#metadata!", ADDRESS(INDEX($P$2:$P$1001,MATCH(ROWS($N$2:N199),$N$2:$N$1001,0),0), INDEX($U$1004:$AC$1004,1,MATCH(COLUMNS($U$1006:X1006),$U$1006:$AC$1006,0)))),"Fix")))</f>
        <v>0</v>
      </c>
      <c r="F199" s="3">
        <f>IF(OR(INDEX($O$2:$O$1001,MATCH(ROWS($N$2:N199),$N$2:$N$1001,0),1)&gt;=100000,INDEX($U$1005:$AC$1005,1,MATCH(COLUMNS($U$1006:Y1006),$U$1006:$AC$1006,0))&gt;=100000), " ",IF(INDEX($U$2:$AC$1001,MATCH(ROWS($N$2:N199),$N$2:$N$1001,0),MATCH(COLUMNS($U$1006:Y1006),$U$1006:$AC$1006,0)), HYPERLINK("#",""), HYPERLINK(CONCATENATE("#metadata!", ADDRESS(INDEX($P$2:$P$1001,MATCH(ROWS($N$2:N199),$N$2:$N$1001,0),0), INDEX($U$1004:$AC$1004,1,MATCH(COLUMNS($U$1006:Y1006),$U$1006:$AC$1006,0)))),"Fix")))</f>
        <v>0</v>
      </c>
      <c r="G199" s="3">
        <f>IF(OR(INDEX($O$2:$O$1001,MATCH(ROWS($N$2:N199),$N$2:$N$1001,0),1)&gt;=100000,INDEX($U$1005:$AC$1005,1,MATCH(COLUMNS($U$1006:Z1006),$U$1006:$AC$1006,0))&gt;=100000), " ",IF(INDEX($U$2:$AC$1001,MATCH(ROWS($N$2:N199),$N$2:$N$1001,0),MATCH(COLUMNS($U$1006:Z1006),$U$1006:$AC$1006,0)), HYPERLINK("#",""), HYPERLINK(CONCATENATE("#metadata!", ADDRESS(INDEX($P$2:$P$1001,MATCH(ROWS($N$2:N199),$N$2:$N$1001,0),0), INDEX($U$1004:$AC$1004,1,MATCH(COLUMNS($U$1006:Z1006),$U$1006:$AC$1006,0)))),"Fix")))</f>
        <v>0</v>
      </c>
      <c r="H199" s="3">
        <f>IF(OR(INDEX($O$2:$O$1001,MATCH(ROWS($N$2:N199),$N$2:$N$1001,0),1)&gt;=100000,INDEX($U$1005:$AC$1005,1,MATCH(COLUMNS($U$1006:AA1006),$U$1006:$AC$1006,0))&gt;=100000), " ",IF(INDEX($U$2:$AC$1001,MATCH(ROWS($N$2:N199),$N$2:$N$1001,0),MATCH(COLUMNS($U$1006:AA1006),$U$1006:$AC$1006,0)), HYPERLINK("#",""), HYPERLINK(CONCATENATE("#metadata!", ADDRESS(INDEX($P$2:$P$1001,MATCH(ROWS($N$2:N199),$N$2:$N$1001,0),0), INDEX($U$1004:$AC$1004,1,MATCH(COLUMNS($U$1006:AA1006),$U$1006:$AC$1006,0)))),"Fix")))</f>
        <v>0</v>
      </c>
      <c r="I199" s="3">
        <f>IF(OR(INDEX($O$2:$O$1001,MATCH(ROWS($N$2:N199),$N$2:$N$1001,0),1)&gt;=100000,INDEX($U$1005:$AC$1005,1,MATCH(COLUMNS($U$1006:AB1006),$U$1006:$AC$1006,0))&gt;=100000), " ",IF(INDEX($U$2:$AC$1001,MATCH(ROWS($N$2:N199),$N$2:$N$1001,0),MATCH(COLUMNS($U$1006:AB1006),$U$1006:$AC$1006,0)), HYPERLINK("#",""), HYPERLINK(CONCATENATE("#metadata!", ADDRESS(INDEX($P$2:$P$1001,MATCH(ROWS($N$2:N199),$N$2:$N$1001,0),0), INDEX($U$1004:$AC$1004,1,MATCH(COLUMNS($U$1006:AB1006),$U$1006:$AC$1006,0)))),"Fix")))</f>
        <v>0</v>
      </c>
      <c r="J199" s="3">
        <f>IF(OR(INDEX($O$2:$O$1001,MATCH(ROWS($N$2:N199),$N$2:$N$1001,0),1)&gt;=100000,INDEX($U$1005:$AC$1005,1,MATCH(COLUMNS($U$1006:AC1006),$U$1006:$AC$1006,0))&gt;=100000), " ",IF(INDEX($U$2:$AC$1001,MATCH(ROWS($N$2:N199),$N$2:$N$1001,0),MATCH(COLUMNS($U$1006:AC1006),$U$1006:$AC$1006,0)), HYPERLINK("#",""), HYPERLINK(CONCATENATE("#metadata!", ADDRESS(INDEX($P$2:$P$1001,MATCH(ROWS($N$2:N199),$N$2:$N$1001,0),0), INDEX($U$1004:$AC$1004,1,MATCH(COLUMNS($U$1006:AC1006),$U$1006:$AC$1006,0)))),"Fix")))</f>
        <v>0</v>
      </c>
      <c r="N199">
        <v>0</v>
      </c>
      <c r="O199">
        <v>0</v>
      </c>
      <c r="P199">
        <v>0</v>
      </c>
      <c r="Q199">
        <f>IF(R199,TRUE,AND(U199:AC199))</f>
        <v>0</v>
      </c>
      <c r="R199">
        <f>COUNTBLANK(metadata!B199:J199)=COLUMNS(metadata!B199:J199)</f>
        <v>0</v>
      </c>
      <c r="S199">
        <v>0</v>
      </c>
      <c r="U199">
        <f>AND(IF(metadata!B199="",FALSE,TRUE),COUNTIF(metadata!B:B, metadata!B199) = 1,NOT(ISERROR(SUMPRODUCT(SEARCH(MID(metadata!B199,ROW(INDIRECT("1:"&amp;LEN(metadata!B199))), 1),"0123456789abcdefghijklmnopqrstuvwxyzABCDEFGHIJKLMNOPQRSTUVWXYZ.")))))</f>
        <v>0</v>
      </c>
      <c r="V199">
        <f>AND(IF(metadata!C199="",FALSE,TRUE),exact(metadata!C199,"UBERON:genitourinary"))</f>
        <v>0</v>
      </c>
      <c r="W199">
        <f>AND(IF(metadata!D199="",FALSE,TRUE),exact(metadata!D199,"UBERON:urine"))</f>
        <v>0</v>
      </c>
      <c r="X199">
        <f>AND(IF(metadata!E199="",FALSE,TRUE),exact(metadata!E199,"UBERON:kidney"))</f>
        <v>0</v>
      </c>
      <c r="Y199">
        <f>AND(IF(metadata!F199="",FALSE,TRUE),exact(metadata!F199,"animal corpus"))</f>
        <v>0</v>
      </c>
      <c r="Z199">
        <f>AND(IF(metadata!G199="",FALSE,TRUE),exact(metadata!G199,"urine"))</f>
        <v>0</v>
      </c>
      <c r="AA199">
        <f>AND(IF(metadata!H199="",FALSE,TRUE),exact(metadata!H199,"urine"))</f>
        <v>0</v>
      </c>
      <c r="AB199">
        <f>AND(IF(metadata!I199="",FALSE,TRUE),exact(metadata!I199,"urine metagenome"))</f>
        <v>0</v>
      </c>
      <c r="AC199">
        <f>AND(IF(metadata!J199="",FALSE,TRUE),exact(metadata!J199,"1346744"))</f>
        <v>0</v>
      </c>
    </row>
    <row r="200" spans="1:29">
      <c r="A200" s="4">
        <f>IF(B200=" "," ",HYPERLINK(CONCATENATE("#metadata!",ADDRESS(INDEX($P$2:$P$1001,MATCH(ROWS($N$2:N200),$N$2:$N$1001,0),0),1)),INDEX($S$2:$S$1001,MATCH(ROWS($N$2:N200),$N$2:$N$1001,0),0)))</f>
        <v>0</v>
      </c>
      <c r="B200" s="3">
        <f>IF(OR(INDEX($O$2:$O$1001,MATCH(ROWS($N$2:N200),$N$2:$N$1001,0),1)&gt;=100000,INDEX($U$1005:$AC$1005,1,MATCH(COLUMNS($U$1006:U1006),$U$1006:$AC$1006,0))&gt;=100000), " ",IF(INDEX($U$2:$AC$1001,MATCH(ROWS($N$2:N200),$N$2:$N$1001,0),MATCH(COLUMNS($U$1006:U1006),$U$1006:$AC$1006,0)), HYPERLINK("#",""), HYPERLINK(CONCATENATE("#metadata!", ADDRESS(INDEX($P$2:$P$1001,MATCH(ROWS($N$2:N200),$N$2:$N$1001,0),0), INDEX($U$1004:$AC$1004,1,MATCH(COLUMNS($U$1006:U1006),$U$1006:$AC$1006,0)))),"Fix")))</f>
        <v>0</v>
      </c>
      <c r="C200" s="3">
        <f>IF(OR(INDEX($O$2:$O$1001,MATCH(ROWS($N$2:N200),$N$2:$N$1001,0),1)&gt;=100000,INDEX($U$1005:$AC$1005,1,MATCH(COLUMNS($U$1006:V1006),$U$1006:$AC$1006,0))&gt;=100000), " ",IF(INDEX($U$2:$AC$1001,MATCH(ROWS($N$2:N200),$N$2:$N$1001,0),MATCH(COLUMNS($U$1006:V1006),$U$1006:$AC$1006,0)), HYPERLINK("#",""), HYPERLINK(CONCATENATE("#metadata!", ADDRESS(INDEX($P$2:$P$1001,MATCH(ROWS($N$2:N200),$N$2:$N$1001,0),0), INDEX($U$1004:$AC$1004,1,MATCH(COLUMNS($U$1006:V1006),$U$1006:$AC$1006,0)))),"Fix")))</f>
        <v>0</v>
      </c>
      <c r="D200" s="3">
        <f>IF(OR(INDEX($O$2:$O$1001,MATCH(ROWS($N$2:N200),$N$2:$N$1001,0),1)&gt;=100000,INDEX($U$1005:$AC$1005,1,MATCH(COLUMNS($U$1006:W1006),$U$1006:$AC$1006,0))&gt;=100000), " ",IF(INDEX($U$2:$AC$1001,MATCH(ROWS($N$2:N200),$N$2:$N$1001,0),MATCH(COLUMNS($U$1006:W1006),$U$1006:$AC$1006,0)), HYPERLINK("#",""), HYPERLINK(CONCATENATE("#metadata!", ADDRESS(INDEX($P$2:$P$1001,MATCH(ROWS($N$2:N200),$N$2:$N$1001,0),0), INDEX($U$1004:$AC$1004,1,MATCH(COLUMNS($U$1006:W1006),$U$1006:$AC$1006,0)))),"Fix")))</f>
        <v>0</v>
      </c>
      <c r="E200" s="3">
        <f>IF(OR(INDEX($O$2:$O$1001,MATCH(ROWS($N$2:N200),$N$2:$N$1001,0),1)&gt;=100000,INDEX($U$1005:$AC$1005,1,MATCH(COLUMNS($U$1006:X1006),$U$1006:$AC$1006,0))&gt;=100000), " ",IF(INDEX($U$2:$AC$1001,MATCH(ROWS($N$2:N200),$N$2:$N$1001,0),MATCH(COLUMNS($U$1006:X1006),$U$1006:$AC$1006,0)), HYPERLINK("#",""), HYPERLINK(CONCATENATE("#metadata!", ADDRESS(INDEX($P$2:$P$1001,MATCH(ROWS($N$2:N200),$N$2:$N$1001,0),0), INDEX($U$1004:$AC$1004,1,MATCH(COLUMNS($U$1006:X1006),$U$1006:$AC$1006,0)))),"Fix")))</f>
        <v>0</v>
      </c>
      <c r="F200" s="3">
        <f>IF(OR(INDEX($O$2:$O$1001,MATCH(ROWS($N$2:N200),$N$2:$N$1001,0),1)&gt;=100000,INDEX($U$1005:$AC$1005,1,MATCH(COLUMNS($U$1006:Y1006),$U$1006:$AC$1006,0))&gt;=100000), " ",IF(INDEX($U$2:$AC$1001,MATCH(ROWS($N$2:N200),$N$2:$N$1001,0),MATCH(COLUMNS($U$1006:Y1006),$U$1006:$AC$1006,0)), HYPERLINK("#",""), HYPERLINK(CONCATENATE("#metadata!", ADDRESS(INDEX($P$2:$P$1001,MATCH(ROWS($N$2:N200),$N$2:$N$1001,0),0), INDEX($U$1004:$AC$1004,1,MATCH(COLUMNS($U$1006:Y1006),$U$1006:$AC$1006,0)))),"Fix")))</f>
        <v>0</v>
      </c>
      <c r="G200" s="3">
        <f>IF(OR(INDEX($O$2:$O$1001,MATCH(ROWS($N$2:N200),$N$2:$N$1001,0),1)&gt;=100000,INDEX($U$1005:$AC$1005,1,MATCH(COLUMNS($U$1006:Z1006),$U$1006:$AC$1006,0))&gt;=100000), " ",IF(INDEX($U$2:$AC$1001,MATCH(ROWS($N$2:N200),$N$2:$N$1001,0),MATCH(COLUMNS($U$1006:Z1006),$U$1006:$AC$1006,0)), HYPERLINK("#",""), HYPERLINK(CONCATENATE("#metadata!", ADDRESS(INDEX($P$2:$P$1001,MATCH(ROWS($N$2:N200),$N$2:$N$1001,0),0), INDEX($U$1004:$AC$1004,1,MATCH(COLUMNS($U$1006:Z1006),$U$1006:$AC$1006,0)))),"Fix")))</f>
        <v>0</v>
      </c>
      <c r="H200" s="3">
        <f>IF(OR(INDEX($O$2:$O$1001,MATCH(ROWS($N$2:N200),$N$2:$N$1001,0),1)&gt;=100000,INDEX($U$1005:$AC$1005,1,MATCH(COLUMNS($U$1006:AA1006),$U$1006:$AC$1006,0))&gt;=100000), " ",IF(INDEX($U$2:$AC$1001,MATCH(ROWS($N$2:N200),$N$2:$N$1001,0),MATCH(COLUMNS($U$1006:AA1006),$U$1006:$AC$1006,0)), HYPERLINK("#",""), HYPERLINK(CONCATENATE("#metadata!", ADDRESS(INDEX($P$2:$P$1001,MATCH(ROWS($N$2:N200),$N$2:$N$1001,0),0), INDEX($U$1004:$AC$1004,1,MATCH(COLUMNS($U$1006:AA1006),$U$1006:$AC$1006,0)))),"Fix")))</f>
        <v>0</v>
      </c>
      <c r="I200" s="3">
        <f>IF(OR(INDEX($O$2:$O$1001,MATCH(ROWS($N$2:N200),$N$2:$N$1001,0),1)&gt;=100000,INDEX($U$1005:$AC$1005,1,MATCH(COLUMNS($U$1006:AB1006),$U$1006:$AC$1006,0))&gt;=100000), " ",IF(INDEX($U$2:$AC$1001,MATCH(ROWS($N$2:N200),$N$2:$N$1001,0),MATCH(COLUMNS($U$1006:AB1006),$U$1006:$AC$1006,0)), HYPERLINK("#",""), HYPERLINK(CONCATENATE("#metadata!", ADDRESS(INDEX($P$2:$P$1001,MATCH(ROWS($N$2:N200),$N$2:$N$1001,0),0), INDEX($U$1004:$AC$1004,1,MATCH(COLUMNS($U$1006:AB1006),$U$1006:$AC$1006,0)))),"Fix")))</f>
        <v>0</v>
      </c>
      <c r="J200" s="3">
        <f>IF(OR(INDEX($O$2:$O$1001,MATCH(ROWS($N$2:N200),$N$2:$N$1001,0),1)&gt;=100000,INDEX($U$1005:$AC$1005,1,MATCH(COLUMNS($U$1006:AC1006),$U$1006:$AC$1006,0))&gt;=100000), " ",IF(INDEX($U$2:$AC$1001,MATCH(ROWS($N$2:N200),$N$2:$N$1001,0),MATCH(COLUMNS($U$1006:AC1006),$U$1006:$AC$1006,0)), HYPERLINK("#",""), HYPERLINK(CONCATENATE("#metadata!", ADDRESS(INDEX($P$2:$P$1001,MATCH(ROWS($N$2:N200),$N$2:$N$1001,0),0), INDEX($U$1004:$AC$1004,1,MATCH(COLUMNS($U$1006:AC1006),$U$1006:$AC$1006,0)))),"Fix")))</f>
        <v>0</v>
      </c>
      <c r="N200">
        <v>0</v>
      </c>
      <c r="O200">
        <v>0</v>
      </c>
      <c r="P200">
        <v>0</v>
      </c>
      <c r="Q200">
        <f>IF(R200,TRUE,AND(U200:AC200))</f>
        <v>0</v>
      </c>
      <c r="R200">
        <f>COUNTBLANK(metadata!B200:J200)=COLUMNS(metadata!B200:J200)</f>
        <v>0</v>
      </c>
      <c r="S200">
        <v>0</v>
      </c>
      <c r="U200">
        <f>AND(IF(metadata!B200="",FALSE,TRUE),COUNTIF(metadata!B:B, metadata!B200) = 1,NOT(ISERROR(SUMPRODUCT(SEARCH(MID(metadata!B200,ROW(INDIRECT("1:"&amp;LEN(metadata!B200))), 1),"0123456789abcdefghijklmnopqrstuvwxyzABCDEFGHIJKLMNOPQRSTUVWXYZ.")))))</f>
        <v>0</v>
      </c>
      <c r="V200">
        <f>AND(IF(metadata!C200="",FALSE,TRUE),exact(metadata!C200,"UBERON:genitourinary"))</f>
        <v>0</v>
      </c>
      <c r="W200">
        <f>AND(IF(metadata!D200="",FALSE,TRUE),exact(metadata!D200,"UBERON:urine"))</f>
        <v>0</v>
      </c>
      <c r="X200">
        <f>AND(IF(metadata!E200="",FALSE,TRUE),exact(metadata!E200,"UBERON:kidney"))</f>
        <v>0</v>
      </c>
      <c r="Y200">
        <f>AND(IF(metadata!F200="",FALSE,TRUE),exact(metadata!F200,"animal corpus"))</f>
        <v>0</v>
      </c>
      <c r="Z200">
        <f>AND(IF(metadata!G200="",FALSE,TRUE),exact(metadata!G200,"urine"))</f>
        <v>0</v>
      </c>
      <c r="AA200">
        <f>AND(IF(metadata!H200="",FALSE,TRUE),exact(metadata!H200,"urine"))</f>
        <v>0</v>
      </c>
      <c r="AB200">
        <f>AND(IF(metadata!I200="",FALSE,TRUE),exact(metadata!I200,"urine metagenome"))</f>
        <v>0</v>
      </c>
      <c r="AC200">
        <f>AND(IF(metadata!J200="",FALSE,TRUE),exact(metadata!J200,"1346744"))</f>
        <v>0</v>
      </c>
    </row>
    <row r="201" spans="1:29">
      <c r="A201" s="4">
        <f>IF(B201=" "," ",HYPERLINK(CONCATENATE("#metadata!",ADDRESS(INDEX($P$2:$P$1001,MATCH(ROWS($N$2:N201),$N$2:$N$1001,0),0),1)),INDEX($S$2:$S$1001,MATCH(ROWS($N$2:N201),$N$2:$N$1001,0),0)))</f>
        <v>0</v>
      </c>
      <c r="B201" s="3">
        <f>IF(OR(INDEX($O$2:$O$1001,MATCH(ROWS($N$2:N201),$N$2:$N$1001,0),1)&gt;=100000,INDEX($U$1005:$AC$1005,1,MATCH(COLUMNS($U$1006:U1006),$U$1006:$AC$1006,0))&gt;=100000), " ",IF(INDEX($U$2:$AC$1001,MATCH(ROWS($N$2:N201),$N$2:$N$1001,0),MATCH(COLUMNS($U$1006:U1006),$U$1006:$AC$1006,0)), HYPERLINK("#",""), HYPERLINK(CONCATENATE("#metadata!", ADDRESS(INDEX($P$2:$P$1001,MATCH(ROWS($N$2:N201),$N$2:$N$1001,0),0), INDEX($U$1004:$AC$1004,1,MATCH(COLUMNS($U$1006:U1006),$U$1006:$AC$1006,0)))),"Fix")))</f>
        <v>0</v>
      </c>
      <c r="C201" s="3">
        <f>IF(OR(INDEX($O$2:$O$1001,MATCH(ROWS($N$2:N201),$N$2:$N$1001,0),1)&gt;=100000,INDEX($U$1005:$AC$1005,1,MATCH(COLUMNS($U$1006:V1006),$U$1006:$AC$1006,0))&gt;=100000), " ",IF(INDEX($U$2:$AC$1001,MATCH(ROWS($N$2:N201),$N$2:$N$1001,0),MATCH(COLUMNS($U$1006:V1006),$U$1006:$AC$1006,0)), HYPERLINK("#",""), HYPERLINK(CONCATENATE("#metadata!", ADDRESS(INDEX($P$2:$P$1001,MATCH(ROWS($N$2:N201),$N$2:$N$1001,0),0), INDEX($U$1004:$AC$1004,1,MATCH(COLUMNS($U$1006:V1006),$U$1006:$AC$1006,0)))),"Fix")))</f>
        <v>0</v>
      </c>
      <c r="D201" s="3">
        <f>IF(OR(INDEX($O$2:$O$1001,MATCH(ROWS($N$2:N201),$N$2:$N$1001,0),1)&gt;=100000,INDEX($U$1005:$AC$1005,1,MATCH(COLUMNS($U$1006:W1006),$U$1006:$AC$1006,0))&gt;=100000), " ",IF(INDEX($U$2:$AC$1001,MATCH(ROWS($N$2:N201),$N$2:$N$1001,0),MATCH(COLUMNS($U$1006:W1006),$U$1006:$AC$1006,0)), HYPERLINK("#",""), HYPERLINK(CONCATENATE("#metadata!", ADDRESS(INDEX($P$2:$P$1001,MATCH(ROWS($N$2:N201),$N$2:$N$1001,0),0), INDEX($U$1004:$AC$1004,1,MATCH(COLUMNS($U$1006:W1006),$U$1006:$AC$1006,0)))),"Fix")))</f>
        <v>0</v>
      </c>
      <c r="E201" s="3">
        <f>IF(OR(INDEX($O$2:$O$1001,MATCH(ROWS($N$2:N201),$N$2:$N$1001,0),1)&gt;=100000,INDEX($U$1005:$AC$1005,1,MATCH(COLUMNS($U$1006:X1006),$U$1006:$AC$1006,0))&gt;=100000), " ",IF(INDEX($U$2:$AC$1001,MATCH(ROWS($N$2:N201),$N$2:$N$1001,0),MATCH(COLUMNS($U$1006:X1006),$U$1006:$AC$1006,0)), HYPERLINK("#",""), HYPERLINK(CONCATENATE("#metadata!", ADDRESS(INDEX($P$2:$P$1001,MATCH(ROWS($N$2:N201),$N$2:$N$1001,0),0), INDEX($U$1004:$AC$1004,1,MATCH(COLUMNS($U$1006:X1006),$U$1006:$AC$1006,0)))),"Fix")))</f>
        <v>0</v>
      </c>
      <c r="F201" s="3">
        <f>IF(OR(INDEX($O$2:$O$1001,MATCH(ROWS($N$2:N201),$N$2:$N$1001,0),1)&gt;=100000,INDEX($U$1005:$AC$1005,1,MATCH(COLUMNS($U$1006:Y1006),$U$1006:$AC$1006,0))&gt;=100000), " ",IF(INDEX($U$2:$AC$1001,MATCH(ROWS($N$2:N201),$N$2:$N$1001,0),MATCH(COLUMNS($U$1006:Y1006),$U$1006:$AC$1006,0)), HYPERLINK("#",""), HYPERLINK(CONCATENATE("#metadata!", ADDRESS(INDEX($P$2:$P$1001,MATCH(ROWS($N$2:N201),$N$2:$N$1001,0),0), INDEX($U$1004:$AC$1004,1,MATCH(COLUMNS($U$1006:Y1006),$U$1006:$AC$1006,0)))),"Fix")))</f>
        <v>0</v>
      </c>
      <c r="G201" s="3">
        <f>IF(OR(INDEX($O$2:$O$1001,MATCH(ROWS($N$2:N201),$N$2:$N$1001,0),1)&gt;=100000,INDEX($U$1005:$AC$1005,1,MATCH(COLUMNS($U$1006:Z1006),$U$1006:$AC$1006,0))&gt;=100000), " ",IF(INDEX($U$2:$AC$1001,MATCH(ROWS($N$2:N201),$N$2:$N$1001,0),MATCH(COLUMNS($U$1006:Z1006),$U$1006:$AC$1006,0)), HYPERLINK("#",""), HYPERLINK(CONCATENATE("#metadata!", ADDRESS(INDEX($P$2:$P$1001,MATCH(ROWS($N$2:N201),$N$2:$N$1001,0),0), INDEX($U$1004:$AC$1004,1,MATCH(COLUMNS($U$1006:Z1006),$U$1006:$AC$1006,0)))),"Fix")))</f>
        <v>0</v>
      </c>
      <c r="H201" s="3">
        <f>IF(OR(INDEX($O$2:$O$1001,MATCH(ROWS($N$2:N201),$N$2:$N$1001,0),1)&gt;=100000,INDEX($U$1005:$AC$1005,1,MATCH(COLUMNS($U$1006:AA1006),$U$1006:$AC$1006,0))&gt;=100000), " ",IF(INDEX($U$2:$AC$1001,MATCH(ROWS($N$2:N201),$N$2:$N$1001,0),MATCH(COLUMNS($U$1006:AA1006),$U$1006:$AC$1006,0)), HYPERLINK("#",""), HYPERLINK(CONCATENATE("#metadata!", ADDRESS(INDEX($P$2:$P$1001,MATCH(ROWS($N$2:N201),$N$2:$N$1001,0),0), INDEX($U$1004:$AC$1004,1,MATCH(COLUMNS($U$1006:AA1006),$U$1006:$AC$1006,0)))),"Fix")))</f>
        <v>0</v>
      </c>
      <c r="I201" s="3">
        <f>IF(OR(INDEX($O$2:$O$1001,MATCH(ROWS($N$2:N201),$N$2:$N$1001,0),1)&gt;=100000,INDEX($U$1005:$AC$1005,1,MATCH(COLUMNS($U$1006:AB1006),$U$1006:$AC$1006,0))&gt;=100000), " ",IF(INDEX($U$2:$AC$1001,MATCH(ROWS($N$2:N201),$N$2:$N$1001,0),MATCH(COLUMNS($U$1006:AB1006),$U$1006:$AC$1006,0)), HYPERLINK("#",""), HYPERLINK(CONCATENATE("#metadata!", ADDRESS(INDEX($P$2:$P$1001,MATCH(ROWS($N$2:N201),$N$2:$N$1001,0),0), INDEX($U$1004:$AC$1004,1,MATCH(COLUMNS($U$1006:AB1006),$U$1006:$AC$1006,0)))),"Fix")))</f>
        <v>0</v>
      </c>
      <c r="J201" s="3">
        <f>IF(OR(INDEX($O$2:$O$1001,MATCH(ROWS($N$2:N201),$N$2:$N$1001,0),1)&gt;=100000,INDEX($U$1005:$AC$1005,1,MATCH(COLUMNS($U$1006:AC1006),$U$1006:$AC$1006,0))&gt;=100000), " ",IF(INDEX($U$2:$AC$1001,MATCH(ROWS($N$2:N201),$N$2:$N$1001,0),MATCH(COLUMNS($U$1006:AC1006),$U$1006:$AC$1006,0)), HYPERLINK("#",""), HYPERLINK(CONCATENATE("#metadata!", ADDRESS(INDEX($P$2:$P$1001,MATCH(ROWS($N$2:N201),$N$2:$N$1001,0),0), INDEX($U$1004:$AC$1004,1,MATCH(COLUMNS($U$1006:AC1006),$U$1006:$AC$1006,0)))),"Fix")))</f>
        <v>0</v>
      </c>
      <c r="N201">
        <v>0</v>
      </c>
      <c r="O201">
        <v>0</v>
      </c>
      <c r="P201">
        <v>0</v>
      </c>
      <c r="Q201">
        <f>IF(R201,TRUE,AND(U201:AC201))</f>
        <v>0</v>
      </c>
      <c r="R201">
        <f>COUNTBLANK(metadata!B201:J201)=COLUMNS(metadata!B201:J201)</f>
        <v>0</v>
      </c>
      <c r="S201">
        <v>0</v>
      </c>
      <c r="U201">
        <f>AND(IF(metadata!B201="",FALSE,TRUE),COUNTIF(metadata!B:B, metadata!B201) = 1,NOT(ISERROR(SUMPRODUCT(SEARCH(MID(metadata!B201,ROW(INDIRECT("1:"&amp;LEN(metadata!B201))), 1),"0123456789abcdefghijklmnopqrstuvwxyzABCDEFGHIJKLMNOPQRSTUVWXYZ.")))))</f>
        <v>0</v>
      </c>
      <c r="V201">
        <f>AND(IF(metadata!C201="",FALSE,TRUE),exact(metadata!C201,"UBERON:genitourinary"))</f>
        <v>0</v>
      </c>
      <c r="W201">
        <f>AND(IF(metadata!D201="",FALSE,TRUE),exact(metadata!D201,"UBERON:urine"))</f>
        <v>0</v>
      </c>
      <c r="X201">
        <f>AND(IF(metadata!E201="",FALSE,TRUE),exact(metadata!E201,"UBERON:kidney"))</f>
        <v>0</v>
      </c>
      <c r="Y201">
        <f>AND(IF(metadata!F201="",FALSE,TRUE),exact(metadata!F201,"animal corpus"))</f>
        <v>0</v>
      </c>
      <c r="Z201">
        <f>AND(IF(metadata!G201="",FALSE,TRUE),exact(metadata!G201,"urine"))</f>
        <v>0</v>
      </c>
      <c r="AA201">
        <f>AND(IF(metadata!H201="",FALSE,TRUE),exact(metadata!H201,"urine"))</f>
        <v>0</v>
      </c>
      <c r="AB201">
        <f>AND(IF(metadata!I201="",FALSE,TRUE),exact(metadata!I201,"urine metagenome"))</f>
        <v>0</v>
      </c>
      <c r="AC201">
        <f>AND(IF(metadata!J201="",FALSE,TRUE),exact(metadata!J201,"1346744"))</f>
        <v>0</v>
      </c>
    </row>
    <row r="202" spans="1:29">
      <c r="A202" s="4">
        <f>IF(B202=" "," ",HYPERLINK(CONCATENATE("#metadata!",ADDRESS(INDEX($P$2:$P$1001,MATCH(ROWS($N$2:N202),$N$2:$N$1001,0),0),1)),INDEX($S$2:$S$1001,MATCH(ROWS($N$2:N202),$N$2:$N$1001,0),0)))</f>
        <v>0</v>
      </c>
      <c r="B202" s="3">
        <f>IF(OR(INDEX($O$2:$O$1001,MATCH(ROWS($N$2:N202),$N$2:$N$1001,0),1)&gt;=100000,INDEX($U$1005:$AC$1005,1,MATCH(COLUMNS($U$1006:U1006),$U$1006:$AC$1006,0))&gt;=100000), " ",IF(INDEX($U$2:$AC$1001,MATCH(ROWS($N$2:N202),$N$2:$N$1001,0),MATCH(COLUMNS($U$1006:U1006),$U$1006:$AC$1006,0)), HYPERLINK("#",""), HYPERLINK(CONCATENATE("#metadata!", ADDRESS(INDEX($P$2:$P$1001,MATCH(ROWS($N$2:N202),$N$2:$N$1001,0),0), INDEX($U$1004:$AC$1004,1,MATCH(COLUMNS($U$1006:U1006),$U$1006:$AC$1006,0)))),"Fix")))</f>
        <v>0</v>
      </c>
      <c r="C202" s="3">
        <f>IF(OR(INDEX($O$2:$O$1001,MATCH(ROWS($N$2:N202),$N$2:$N$1001,0),1)&gt;=100000,INDEX($U$1005:$AC$1005,1,MATCH(COLUMNS($U$1006:V1006),$U$1006:$AC$1006,0))&gt;=100000), " ",IF(INDEX($U$2:$AC$1001,MATCH(ROWS($N$2:N202),$N$2:$N$1001,0),MATCH(COLUMNS($U$1006:V1006),$U$1006:$AC$1006,0)), HYPERLINK("#",""), HYPERLINK(CONCATENATE("#metadata!", ADDRESS(INDEX($P$2:$P$1001,MATCH(ROWS($N$2:N202),$N$2:$N$1001,0),0), INDEX($U$1004:$AC$1004,1,MATCH(COLUMNS($U$1006:V1006),$U$1006:$AC$1006,0)))),"Fix")))</f>
        <v>0</v>
      </c>
      <c r="D202" s="3">
        <f>IF(OR(INDEX($O$2:$O$1001,MATCH(ROWS($N$2:N202),$N$2:$N$1001,0),1)&gt;=100000,INDEX($U$1005:$AC$1005,1,MATCH(COLUMNS($U$1006:W1006),$U$1006:$AC$1006,0))&gt;=100000), " ",IF(INDEX($U$2:$AC$1001,MATCH(ROWS($N$2:N202),$N$2:$N$1001,0),MATCH(COLUMNS($U$1006:W1006),$U$1006:$AC$1006,0)), HYPERLINK("#",""), HYPERLINK(CONCATENATE("#metadata!", ADDRESS(INDEX($P$2:$P$1001,MATCH(ROWS($N$2:N202),$N$2:$N$1001,0),0), INDEX($U$1004:$AC$1004,1,MATCH(COLUMNS($U$1006:W1006),$U$1006:$AC$1006,0)))),"Fix")))</f>
        <v>0</v>
      </c>
      <c r="E202" s="3">
        <f>IF(OR(INDEX($O$2:$O$1001,MATCH(ROWS($N$2:N202),$N$2:$N$1001,0),1)&gt;=100000,INDEX($U$1005:$AC$1005,1,MATCH(COLUMNS($U$1006:X1006),$U$1006:$AC$1006,0))&gt;=100000), " ",IF(INDEX($U$2:$AC$1001,MATCH(ROWS($N$2:N202),$N$2:$N$1001,0),MATCH(COLUMNS($U$1006:X1006),$U$1006:$AC$1006,0)), HYPERLINK("#",""), HYPERLINK(CONCATENATE("#metadata!", ADDRESS(INDEX($P$2:$P$1001,MATCH(ROWS($N$2:N202),$N$2:$N$1001,0),0), INDEX($U$1004:$AC$1004,1,MATCH(COLUMNS($U$1006:X1006),$U$1006:$AC$1006,0)))),"Fix")))</f>
        <v>0</v>
      </c>
      <c r="F202" s="3">
        <f>IF(OR(INDEX($O$2:$O$1001,MATCH(ROWS($N$2:N202),$N$2:$N$1001,0),1)&gt;=100000,INDEX($U$1005:$AC$1005,1,MATCH(COLUMNS($U$1006:Y1006),$U$1006:$AC$1006,0))&gt;=100000), " ",IF(INDEX($U$2:$AC$1001,MATCH(ROWS($N$2:N202),$N$2:$N$1001,0),MATCH(COLUMNS($U$1006:Y1006),$U$1006:$AC$1006,0)), HYPERLINK("#",""), HYPERLINK(CONCATENATE("#metadata!", ADDRESS(INDEX($P$2:$P$1001,MATCH(ROWS($N$2:N202),$N$2:$N$1001,0),0), INDEX($U$1004:$AC$1004,1,MATCH(COLUMNS($U$1006:Y1006),$U$1006:$AC$1006,0)))),"Fix")))</f>
        <v>0</v>
      </c>
      <c r="G202" s="3">
        <f>IF(OR(INDEX($O$2:$O$1001,MATCH(ROWS($N$2:N202),$N$2:$N$1001,0),1)&gt;=100000,INDEX($U$1005:$AC$1005,1,MATCH(COLUMNS($U$1006:Z1006),$U$1006:$AC$1006,0))&gt;=100000), " ",IF(INDEX($U$2:$AC$1001,MATCH(ROWS($N$2:N202),$N$2:$N$1001,0),MATCH(COLUMNS($U$1006:Z1006),$U$1006:$AC$1006,0)), HYPERLINK("#",""), HYPERLINK(CONCATENATE("#metadata!", ADDRESS(INDEX($P$2:$P$1001,MATCH(ROWS($N$2:N202),$N$2:$N$1001,0),0), INDEX($U$1004:$AC$1004,1,MATCH(COLUMNS($U$1006:Z1006),$U$1006:$AC$1006,0)))),"Fix")))</f>
        <v>0</v>
      </c>
      <c r="H202" s="3">
        <f>IF(OR(INDEX($O$2:$O$1001,MATCH(ROWS($N$2:N202),$N$2:$N$1001,0),1)&gt;=100000,INDEX($U$1005:$AC$1005,1,MATCH(COLUMNS($U$1006:AA1006),$U$1006:$AC$1006,0))&gt;=100000), " ",IF(INDEX($U$2:$AC$1001,MATCH(ROWS($N$2:N202),$N$2:$N$1001,0),MATCH(COLUMNS($U$1006:AA1006),$U$1006:$AC$1006,0)), HYPERLINK("#",""), HYPERLINK(CONCATENATE("#metadata!", ADDRESS(INDEX($P$2:$P$1001,MATCH(ROWS($N$2:N202),$N$2:$N$1001,0),0), INDEX($U$1004:$AC$1004,1,MATCH(COLUMNS($U$1006:AA1006),$U$1006:$AC$1006,0)))),"Fix")))</f>
        <v>0</v>
      </c>
      <c r="I202" s="3">
        <f>IF(OR(INDEX($O$2:$O$1001,MATCH(ROWS($N$2:N202),$N$2:$N$1001,0),1)&gt;=100000,INDEX($U$1005:$AC$1005,1,MATCH(COLUMNS($U$1006:AB1006),$U$1006:$AC$1006,0))&gt;=100000), " ",IF(INDEX($U$2:$AC$1001,MATCH(ROWS($N$2:N202),$N$2:$N$1001,0),MATCH(COLUMNS($U$1006:AB1006),$U$1006:$AC$1006,0)), HYPERLINK("#",""), HYPERLINK(CONCATENATE("#metadata!", ADDRESS(INDEX($P$2:$P$1001,MATCH(ROWS($N$2:N202),$N$2:$N$1001,0),0), INDEX($U$1004:$AC$1004,1,MATCH(COLUMNS($U$1006:AB1006),$U$1006:$AC$1006,0)))),"Fix")))</f>
        <v>0</v>
      </c>
      <c r="J202" s="3">
        <f>IF(OR(INDEX($O$2:$O$1001,MATCH(ROWS($N$2:N202),$N$2:$N$1001,0),1)&gt;=100000,INDEX($U$1005:$AC$1005,1,MATCH(COLUMNS($U$1006:AC1006),$U$1006:$AC$1006,0))&gt;=100000), " ",IF(INDEX($U$2:$AC$1001,MATCH(ROWS($N$2:N202),$N$2:$N$1001,0),MATCH(COLUMNS($U$1006:AC1006),$U$1006:$AC$1006,0)), HYPERLINK("#",""), HYPERLINK(CONCATENATE("#metadata!", ADDRESS(INDEX($P$2:$P$1001,MATCH(ROWS($N$2:N202),$N$2:$N$1001,0),0), INDEX($U$1004:$AC$1004,1,MATCH(COLUMNS($U$1006:AC1006),$U$1006:$AC$1006,0)))),"Fix")))</f>
        <v>0</v>
      </c>
      <c r="N202">
        <v>0</v>
      </c>
      <c r="O202">
        <v>0</v>
      </c>
      <c r="P202">
        <v>0</v>
      </c>
      <c r="Q202">
        <f>IF(R202,TRUE,AND(U202:AC202))</f>
        <v>0</v>
      </c>
      <c r="R202">
        <f>COUNTBLANK(metadata!B202:J202)=COLUMNS(metadata!B202:J202)</f>
        <v>0</v>
      </c>
      <c r="S202">
        <v>0</v>
      </c>
      <c r="U202">
        <f>AND(IF(metadata!B202="",FALSE,TRUE),COUNTIF(metadata!B:B, metadata!B202) = 1,NOT(ISERROR(SUMPRODUCT(SEARCH(MID(metadata!B202,ROW(INDIRECT("1:"&amp;LEN(metadata!B202))), 1),"0123456789abcdefghijklmnopqrstuvwxyzABCDEFGHIJKLMNOPQRSTUVWXYZ.")))))</f>
        <v>0</v>
      </c>
      <c r="V202">
        <f>AND(IF(metadata!C202="",FALSE,TRUE),exact(metadata!C202,"UBERON:genitourinary"))</f>
        <v>0</v>
      </c>
      <c r="W202">
        <f>AND(IF(metadata!D202="",FALSE,TRUE),exact(metadata!D202,"UBERON:urine"))</f>
        <v>0</v>
      </c>
      <c r="X202">
        <f>AND(IF(metadata!E202="",FALSE,TRUE),exact(metadata!E202,"UBERON:kidney"))</f>
        <v>0</v>
      </c>
      <c r="Y202">
        <f>AND(IF(metadata!F202="",FALSE,TRUE),exact(metadata!F202,"animal corpus"))</f>
        <v>0</v>
      </c>
      <c r="Z202">
        <f>AND(IF(metadata!G202="",FALSE,TRUE),exact(metadata!G202,"urine"))</f>
        <v>0</v>
      </c>
      <c r="AA202">
        <f>AND(IF(metadata!H202="",FALSE,TRUE),exact(metadata!H202,"urine"))</f>
        <v>0</v>
      </c>
      <c r="AB202">
        <f>AND(IF(metadata!I202="",FALSE,TRUE),exact(metadata!I202,"urine metagenome"))</f>
        <v>0</v>
      </c>
      <c r="AC202">
        <f>AND(IF(metadata!J202="",FALSE,TRUE),exact(metadata!J202,"1346744"))</f>
        <v>0</v>
      </c>
    </row>
    <row r="203" spans="1:29">
      <c r="A203" s="4">
        <f>IF(B203=" "," ",HYPERLINK(CONCATENATE("#metadata!",ADDRESS(INDEX($P$2:$P$1001,MATCH(ROWS($N$2:N203),$N$2:$N$1001,0),0),1)),INDEX($S$2:$S$1001,MATCH(ROWS($N$2:N203),$N$2:$N$1001,0),0)))</f>
        <v>0</v>
      </c>
      <c r="B203" s="3">
        <f>IF(OR(INDEX($O$2:$O$1001,MATCH(ROWS($N$2:N203),$N$2:$N$1001,0),1)&gt;=100000,INDEX($U$1005:$AC$1005,1,MATCH(COLUMNS($U$1006:U1006),$U$1006:$AC$1006,0))&gt;=100000), " ",IF(INDEX($U$2:$AC$1001,MATCH(ROWS($N$2:N203),$N$2:$N$1001,0),MATCH(COLUMNS($U$1006:U1006),$U$1006:$AC$1006,0)), HYPERLINK("#",""), HYPERLINK(CONCATENATE("#metadata!", ADDRESS(INDEX($P$2:$P$1001,MATCH(ROWS($N$2:N203),$N$2:$N$1001,0),0), INDEX($U$1004:$AC$1004,1,MATCH(COLUMNS($U$1006:U1006),$U$1006:$AC$1006,0)))),"Fix")))</f>
        <v>0</v>
      </c>
      <c r="C203" s="3">
        <f>IF(OR(INDEX($O$2:$O$1001,MATCH(ROWS($N$2:N203),$N$2:$N$1001,0),1)&gt;=100000,INDEX($U$1005:$AC$1005,1,MATCH(COLUMNS($U$1006:V1006),$U$1006:$AC$1006,0))&gt;=100000), " ",IF(INDEX($U$2:$AC$1001,MATCH(ROWS($N$2:N203),$N$2:$N$1001,0),MATCH(COLUMNS($U$1006:V1006),$U$1006:$AC$1006,0)), HYPERLINK("#",""), HYPERLINK(CONCATENATE("#metadata!", ADDRESS(INDEX($P$2:$P$1001,MATCH(ROWS($N$2:N203),$N$2:$N$1001,0),0), INDEX($U$1004:$AC$1004,1,MATCH(COLUMNS($U$1006:V1006),$U$1006:$AC$1006,0)))),"Fix")))</f>
        <v>0</v>
      </c>
      <c r="D203" s="3">
        <f>IF(OR(INDEX($O$2:$O$1001,MATCH(ROWS($N$2:N203),$N$2:$N$1001,0),1)&gt;=100000,INDEX($U$1005:$AC$1005,1,MATCH(COLUMNS($U$1006:W1006),$U$1006:$AC$1006,0))&gt;=100000), " ",IF(INDEX($U$2:$AC$1001,MATCH(ROWS($N$2:N203),$N$2:$N$1001,0),MATCH(COLUMNS($U$1006:W1006),$U$1006:$AC$1006,0)), HYPERLINK("#",""), HYPERLINK(CONCATENATE("#metadata!", ADDRESS(INDEX($P$2:$P$1001,MATCH(ROWS($N$2:N203),$N$2:$N$1001,0),0), INDEX($U$1004:$AC$1004,1,MATCH(COLUMNS($U$1006:W1006),$U$1006:$AC$1006,0)))),"Fix")))</f>
        <v>0</v>
      </c>
      <c r="E203" s="3">
        <f>IF(OR(INDEX($O$2:$O$1001,MATCH(ROWS($N$2:N203),$N$2:$N$1001,0),1)&gt;=100000,INDEX($U$1005:$AC$1005,1,MATCH(COLUMNS($U$1006:X1006),$U$1006:$AC$1006,0))&gt;=100000), " ",IF(INDEX($U$2:$AC$1001,MATCH(ROWS($N$2:N203),$N$2:$N$1001,0),MATCH(COLUMNS($U$1006:X1006),$U$1006:$AC$1006,0)), HYPERLINK("#",""), HYPERLINK(CONCATENATE("#metadata!", ADDRESS(INDEX($P$2:$P$1001,MATCH(ROWS($N$2:N203),$N$2:$N$1001,0),0), INDEX($U$1004:$AC$1004,1,MATCH(COLUMNS($U$1006:X1006),$U$1006:$AC$1006,0)))),"Fix")))</f>
        <v>0</v>
      </c>
      <c r="F203" s="3">
        <f>IF(OR(INDEX($O$2:$O$1001,MATCH(ROWS($N$2:N203),$N$2:$N$1001,0),1)&gt;=100000,INDEX($U$1005:$AC$1005,1,MATCH(COLUMNS($U$1006:Y1006),$U$1006:$AC$1006,0))&gt;=100000), " ",IF(INDEX($U$2:$AC$1001,MATCH(ROWS($N$2:N203),$N$2:$N$1001,0),MATCH(COLUMNS($U$1006:Y1006),$U$1006:$AC$1006,0)), HYPERLINK("#",""), HYPERLINK(CONCATENATE("#metadata!", ADDRESS(INDEX($P$2:$P$1001,MATCH(ROWS($N$2:N203),$N$2:$N$1001,0),0), INDEX($U$1004:$AC$1004,1,MATCH(COLUMNS($U$1006:Y1006),$U$1006:$AC$1006,0)))),"Fix")))</f>
        <v>0</v>
      </c>
      <c r="G203" s="3">
        <f>IF(OR(INDEX($O$2:$O$1001,MATCH(ROWS($N$2:N203),$N$2:$N$1001,0),1)&gt;=100000,INDEX($U$1005:$AC$1005,1,MATCH(COLUMNS($U$1006:Z1006),$U$1006:$AC$1006,0))&gt;=100000), " ",IF(INDEX($U$2:$AC$1001,MATCH(ROWS($N$2:N203),$N$2:$N$1001,0),MATCH(COLUMNS($U$1006:Z1006),$U$1006:$AC$1006,0)), HYPERLINK("#",""), HYPERLINK(CONCATENATE("#metadata!", ADDRESS(INDEX($P$2:$P$1001,MATCH(ROWS($N$2:N203),$N$2:$N$1001,0),0), INDEX($U$1004:$AC$1004,1,MATCH(COLUMNS($U$1006:Z1006),$U$1006:$AC$1006,0)))),"Fix")))</f>
        <v>0</v>
      </c>
      <c r="H203" s="3">
        <f>IF(OR(INDEX($O$2:$O$1001,MATCH(ROWS($N$2:N203),$N$2:$N$1001,0),1)&gt;=100000,INDEX($U$1005:$AC$1005,1,MATCH(COLUMNS($U$1006:AA1006),$U$1006:$AC$1006,0))&gt;=100000), " ",IF(INDEX($U$2:$AC$1001,MATCH(ROWS($N$2:N203),$N$2:$N$1001,0),MATCH(COLUMNS($U$1006:AA1006),$U$1006:$AC$1006,0)), HYPERLINK("#",""), HYPERLINK(CONCATENATE("#metadata!", ADDRESS(INDEX($P$2:$P$1001,MATCH(ROWS($N$2:N203),$N$2:$N$1001,0),0), INDEX($U$1004:$AC$1004,1,MATCH(COLUMNS($U$1006:AA1006),$U$1006:$AC$1006,0)))),"Fix")))</f>
        <v>0</v>
      </c>
      <c r="I203" s="3">
        <f>IF(OR(INDEX($O$2:$O$1001,MATCH(ROWS($N$2:N203),$N$2:$N$1001,0),1)&gt;=100000,INDEX($U$1005:$AC$1005,1,MATCH(COLUMNS($U$1006:AB1006),$U$1006:$AC$1006,0))&gt;=100000), " ",IF(INDEX($U$2:$AC$1001,MATCH(ROWS($N$2:N203),$N$2:$N$1001,0),MATCH(COLUMNS($U$1006:AB1006),$U$1006:$AC$1006,0)), HYPERLINK("#",""), HYPERLINK(CONCATENATE("#metadata!", ADDRESS(INDEX($P$2:$P$1001,MATCH(ROWS($N$2:N203),$N$2:$N$1001,0),0), INDEX($U$1004:$AC$1004,1,MATCH(COLUMNS($U$1006:AB1006),$U$1006:$AC$1006,0)))),"Fix")))</f>
        <v>0</v>
      </c>
      <c r="J203" s="3">
        <f>IF(OR(INDEX($O$2:$O$1001,MATCH(ROWS($N$2:N203),$N$2:$N$1001,0),1)&gt;=100000,INDEX($U$1005:$AC$1005,1,MATCH(COLUMNS($U$1006:AC1006),$U$1006:$AC$1006,0))&gt;=100000), " ",IF(INDEX($U$2:$AC$1001,MATCH(ROWS($N$2:N203),$N$2:$N$1001,0),MATCH(COLUMNS($U$1006:AC1006),$U$1006:$AC$1006,0)), HYPERLINK("#",""), HYPERLINK(CONCATENATE("#metadata!", ADDRESS(INDEX($P$2:$P$1001,MATCH(ROWS($N$2:N203),$N$2:$N$1001,0),0), INDEX($U$1004:$AC$1004,1,MATCH(COLUMNS($U$1006:AC1006),$U$1006:$AC$1006,0)))),"Fix")))</f>
        <v>0</v>
      </c>
      <c r="N203">
        <v>0</v>
      </c>
      <c r="O203">
        <v>0</v>
      </c>
      <c r="P203">
        <v>0</v>
      </c>
      <c r="Q203">
        <f>IF(R203,TRUE,AND(U203:AC203))</f>
        <v>0</v>
      </c>
      <c r="R203">
        <f>COUNTBLANK(metadata!B203:J203)=COLUMNS(metadata!B203:J203)</f>
        <v>0</v>
      </c>
      <c r="S203">
        <v>0</v>
      </c>
      <c r="U203">
        <f>AND(IF(metadata!B203="",FALSE,TRUE),COUNTIF(metadata!B:B, metadata!B203) = 1,NOT(ISERROR(SUMPRODUCT(SEARCH(MID(metadata!B203,ROW(INDIRECT("1:"&amp;LEN(metadata!B203))), 1),"0123456789abcdefghijklmnopqrstuvwxyzABCDEFGHIJKLMNOPQRSTUVWXYZ.")))))</f>
        <v>0</v>
      </c>
      <c r="V203">
        <f>AND(IF(metadata!C203="",FALSE,TRUE),exact(metadata!C203,"UBERON:genitourinary"))</f>
        <v>0</v>
      </c>
      <c r="W203">
        <f>AND(IF(metadata!D203="",FALSE,TRUE),exact(metadata!D203,"UBERON:urine"))</f>
        <v>0</v>
      </c>
      <c r="X203">
        <f>AND(IF(metadata!E203="",FALSE,TRUE),exact(metadata!E203,"UBERON:kidney"))</f>
        <v>0</v>
      </c>
      <c r="Y203">
        <f>AND(IF(metadata!F203="",FALSE,TRUE),exact(metadata!F203,"animal corpus"))</f>
        <v>0</v>
      </c>
      <c r="Z203">
        <f>AND(IF(metadata!G203="",FALSE,TRUE),exact(metadata!G203,"urine"))</f>
        <v>0</v>
      </c>
      <c r="AA203">
        <f>AND(IF(metadata!H203="",FALSE,TRUE),exact(metadata!H203,"urine"))</f>
        <v>0</v>
      </c>
      <c r="AB203">
        <f>AND(IF(metadata!I203="",FALSE,TRUE),exact(metadata!I203,"urine metagenome"))</f>
        <v>0</v>
      </c>
      <c r="AC203">
        <f>AND(IF(metadata!J203="",FALSE,TRUE),exact(metadata!J203,"1346744"))</f>
        <v>0</v>
      </c>
    </row>
    <row r="204" spans="1:29">
      <c r="A204" s="4">
        <f>IF(B204=" "," ",HYPERLINK(CONCATENATE("#metadata!",ADDRESS(INDEX($P$2:$P$1001,MATCH(ROWS($N$2:N204),$N$2:$N$1001,0),0),1)),INDEX($S$2:$S$1001,MATCH(ROWS($N$2:N204),$N$2:$N$1001,0),0)))</f>
        <v>0</v>
      </c>
      <c r="B204" s="3">
        <f>IF(OR(INDEX($O$2:$O$1001,MATCH(ROWS($N$2:N204),$N$2:$N$1001,0),1)&gt;=100000,INDEX($U$1005:$AC$1005,1,MATCH(COLUMNS($U$1006:U1006),$U$1006:$AC$1006,0))&gt;=100000), " ",IF(INDEX($U$2:$AC$1001,MATCH(ROWS($N$2:N204),$N$2:$N$1001,0),MATCH(COLUMNS($U$1006:U1006),$U$1006:$AC$1006,0)), HYPERLINK("#",""), HYPERLINK(CONCATENATE("#metadata!", ADDRESS(INDEX($P$2:$P$1001,MATCH(ROWS($N$2:N204),$N$2:$N$1001,0),0), INDEX($U$1004:$AC$1004,1,MATCH(COLUMNS($U$1006:U1006),$U$1006:$AC$1006,0)))),"Fix")))</f>
        <v>0</v>
      </c>
      <c r="C204" s="3">
        <f>IF(OR(INDEX($O$2:$O$1001,MATCH(ROWS($N$2:N204),$N$2:$N$1001,0),1)&gt;=100000,INDEX($U$1005:$AC$1005,1,MATCH(COLUMNS($U$1006:V1006),$U$1006:$AC$1006,0))&gt;=100000), " ",IF(INDEX($U$2:$AC$1001,MATCH(ROWS($N$2:N204),$N$2:$N$1001,0),MATCH(COLUMNS($U$1006:V1006),$U$1006:$AC$1006,0)), HYPERLINK("#",""), HYPERLINK(CONCATENATE("#metadata!", ADDRESS(INDEX($P$2:$P$1001,MATCH(ROWS($N$2:N204),$N$2:$N$1001,0),0), INDEX($U$1004:$AC$1004,1,MATCH(COLUMNS($U$1006:V1006),$U$1006:$AC$1006,0)))),"Fix")))</f>
        <v>0</v>
      </c>
      <c r="D204" s="3">
        <f>IF(OR(INDEX($O$2:$O$1001,MATCH(ROWS($N$2:N204),$N$2:$N$1001,0),1)&gt;=100000,INDEX($U$1005:$AC$1005,1,MATCH(COLUMNS($U$1006:W1006),$U$1006:$AC$1006,0))&gt;=100000), " ",IF(INDEX($U$2:$AC$1001,MATCH(ROWS($N$2:N204),$N$2:$N$1001,0),MATCH(COLUMNS($U$1006:W1006),$U$1006:$AC$1006,0)), HYPERLINK("#",""), HYPERLINK(CONCATENATE("#metadata!", ADDRESS(INDEX($P$2:$P$1001,MATCH(ROWS($N$2:N204),$N$2:$N$1001,0),0), INDEX($U$1004:$AC$1004,1,MATCH(COLUMNS($U$1006:W1006),$U$1006:$AC$1006,0)))),"Fix")))</f>
        <v>0</v>
      </c>
      <c r="E204" s="3">
        <f>IF(OR(INDEX($O$2:$O$1001,MATCH(ROWS($N$2:N204),$N$2:$N$1001,0),1)&gt;=100000,INDEX($U$1005:$AC$1005,1,MATCH(COLUMNS($U$1006:X1006),$U$1006:$AC$1006,0))&gt;=100000), " ",IF(INDEX($U$2:$AC$1001,MATCH(ROWS($N$2:N204),$N$2:$N$1001,0),MATCH(COLUMNS($U$1006:X1006),$U$1006:$AC$1006,0)), HYPERLINK("#",""), HYPERLINK(CONCATENATE("#metadata!", ADDRESS(INDEX($P$2:$P$1001,MATCH(ROWS($N$2:N204),$N$2:$N$1001,0),0), INDEX($U$1004:$AC$1004,1,MATCH(COLUMNS($U$1006:X1006),$U$1006:$AC$1006,0)))),"Fix")))</f>
        <v>0</v>
      </c>
      <c r="F204" s="3">
        <f>IF(OR(INDEX($O$2:$O$1001,MATCH(ROWS($N$2:N204),$N$2:$N$1001,0),1)&gt;=100000,INDEX($U$1005:$AC$1005,1,MATCH(COLUMNS($U$1006:Y1006),$U$1006:$AC$1006,0))&gt;=100000), " ",IF(INDEX($U$2:$AC$1001,MATCH(ROWS($N$2:N204),$N$2:$N$1001,0),MATCH(COLUMNS($U$1006:Y1006),$U$1006:$AC$1006,0)), HYPERLINK("#",""), HYPERLINK(CONCATENATE("#metadata!", ADDRESS(INDEX($P$2:$P$1001,MATCH(ROWS($N$2:N204),$N$2:$N$1001,0),0), INDEX($U$1004:$AC$1004,1,MATCH(COLUMNS($U$1006:Y1006),$U$1006:$AC$1006,0)))),"Fix")))</f>
        <v>0</v>
      </c>
      <c r="G204" s="3">
        <f>IF(OR(INDEX($O$2:$O$1001,MATCH(ROWS($N$2:N204),$N$2:$N$1001,0),1)&gt;=100000,INDEX($U$1005:$AC$1005,1,MATCH(COLUMNS($U$1006:Z1006),$U$1006:$AC$1006,0))&gt;=100000), " ",IF(INDEX($U$2:$AC$1001,MATCH(ROWS($N$2:N204),$N$2:$N$1001,0),MATCH(COLUMNS($U$1006:Z1006),$U$1006:$AC$1006,0)), HYPERLINK("#",""), HYPERLINK(CONCATENATE("#metadata!", ADDRESS(INDEX($P$2:$P$1001,MATCH(ROWS($N$2:N204),$N$2:$N$1001,0),0), INDEX($U$1004:$AC$1004,1,MATCH(COLUMNS($U$1006:Z1006),$U$1006:$AC$1006,0)))),"Fix")))</f>
        <v>0</v>
      </c>
      <c r="H204" s="3">
        <f>IF(OR(INDEX($O$2:$O$1001,MATCH(ROWS($N$2:N204),$N$2:$N$1001,0),1)&gt;=100000,INDEX($U$1005:$AC$1005,1,MATCH(COLUMNS($U$1006:AA1006),$U$1006:$AC$1006,0))&gt;=100000), " ",IF(INDEX($U$2:$AC$1001,MATCH(ROWS($N$2:N204),$N$2:$N$1001,0),MATCH(COLUMNS($U$1006:AA1006),$U$1006:$AC$1006,0)), HYPERLINK("#",""), HYPERLINK(CONCATENATE("#metadata!", ADDRESS(INDEX($P$2:$P$1001,MATCH(ROWS($N$2:N204),$N$2:$N$1001,0),0), INDEX($U$1004:$AC$1004,1,MATCH(COLUMNS($U$1006:AA1006),$U$1006:$AC$1006,0)))),"Fix")))</f>
        <v>0</v>
      </c>
      <c r="I204" s="3">
        <f>IF(OR(INDEX($O$2:$O$1001,MATCH(ROWS($N$2:N204),$N$2:$N$1001,0),1)&gt;=100000,INDEX($U$1005:$AC$1005,1,MATCH(COLUMNS($U$1006:AB1006),$U$1006:$AC$1006,0))&gt;=100000), " ",IF(INDEX($U$2:$AC$1001,MATCH(ROWS($N$2:N204),$N$2:$N$1001,0),MATCH(COLUMNS($U$1006:AB1006),$U$1006:$AC$1006,0)), HYPERLINK("#",""), HYPERLINK(CONCATENATE("#metadata!", ADDRESS(INDEX($P$2:$P$1001,MATCH(ROWS($N$2:N204),$N$2:$N$1001,0),0), INDEX($U$1004:$AC$1004,1,MATCH(COLUMNS($U$1006:AB1006),$U$1006:$AC$1006,0)))),"Fix")))</f>
        <v>0</v>
      </c>
      <c r="J204" s="3">
        <f>IF(OR(INDEX($O$2:$O$1001,MATCH(ROWS($N$2:N204),$N$2:$N$1001,0),1)&gt;=100000,INDEX($U$1005:$AC$1005,1,MATCH(COLUMNS($U$1006:AC1006),$U$1006:$AC$1006,0))&gt;=100000), " ",IF(INDEX($U$2:$AC$1001,MATCH(ROWS($N$2:N204),$N$2:$N$1001,0),MATCH(COLUMNS($U$1006:AC1006),$U$1006:$AC$1006,0)), HYPERLINK("#",""), HYPERLINK(CONCATENATE("#metadata!", ADDRESS(INDEX($P$2:$P$1001,MATCH(ROWS($N$2:N204),$N$2:$N$1001,0),0), INDEX($U$1004:$AC$1004,1,MATCH(COLUMNS($U$1006:AC1006),$U$1006:$AC$1006,0)))),"Fix")))</f>
        <v>0</v>
      </c>
      <c r="N204">
        <v>0</v>
      </c>
      <c r="O204">
        <v>0</v>
      </c>
      <c r="P204">
        <v>0</v>
      </c>
      <c r="Q204">
        <f>IF(R204,TRUE,AND(U204:AC204))</f>
        <v>0</v>
      </c>
      <c r="R204">
        <f>COUNTBLANK(metadata!B204:J204)=COLUMNS(metadata!B204:J204)</f>
        <v>0</v>
      </c>
      <c r="S204">
        <v>0</v>
      </c>
      <c r="U204">
        <f>AND(IF(metadata!B204="",FALSE,TRUE),COUNTIF(metadata!B:B, metadata!B204) = 1,NOT(ISERROR(SUMPRODUCT(SEARCH(MID(metadata!B204,ROW(INDIRECT("1:"&amp;LEN(metadata!B204))), 1),"0123456789abcdefghijklmnopqrstuvwxyzABCDEFGHIJKLMNOPQRSTUVWXYZ.")))))</f>
        <v>0</v>
      </c>
      <c r="V204">
        <f>AND(IF(metadata!C204="",FALSE,TRUE),exact(metadata!C204,"UBERON:genitourinary"))</f>
        <v>0</v>
      </c>
      <c r="W204">
        <f>AND(IF(metadata!D204="",FALSE,TRUE),exact(metadata!D204,"UBERON:urine"))</f>
        <v>0</v>
      </c>
      <c r="X204">
        <f>AND(IF(metadata!E204="",FALSE,TRUE),exact(metadata!E204,"UBERON:kidney"))</f>
        <v>0</v>
      </c>
      <c r="Y204">
        <f>AND(IF(metadata!F204="",FALSE,TRUE),exact(metadata!F204,"animal corpus"))</f>
        <v>0</v>
      </c>
      <c r="Z204">
        <f>AND(IF(metadata!G204="",FALSE,TRUE),exact(metadata!G204,"urine"))</f>
        <v>0</v>
      </c>
      <c r="AA204">
        <f>AND(IF(metadata!H204="",FALSE,TRUE),exact(metadata!H204,"urine"))</f>
        <v>0</v>
      </c>
      <c r="AB204">
        <f>AND(IF(metadata!I204="",FALSE,TRUE),exact(metadata!I204,"urine metagenome"))</f>
        <v>0</v>
      </c>
      <c r="AC204">
        <f>AND(IF(metadata!J204="",FALSE,TRUE),exact(metadata!J204,"1346744"))</f>
        <v>0</v>
      </c>
    </row>
    <row r="205" spans="1:29">
      <c r="A205" s="4">
        <f>IF(B205=" "," ",HYPERLINK(CONCATENATE("#metadata!",ADDRESS(INDEX($P$2:$P$1001,MATCH(ROWS($N$2:N205),$N$2:$N$1001,0),0),1)),INDEX($S$2:$S$1001,MATCH(ROWS($N$2:N205),$N$2:$N$1001,0),0)))</f>
        <v>0</v>
      </c>
      <c r="B205" s="3">
        <f>IF(OR(INDEX($O$2:$O$1001,MATCH(ROWS($N$2:N205),$N$2:$N$1001,0),1)&gt;=100000,INDEX($U$1005:$AC$1005,1,MATCH(COLUMNS($U$1006:U1006),$U$1006:$AC$1006,0))&gt;=100000), " ",IF(INDEX($U$2:$AC$1001,MATCH(ROWS($N$2:N205),$N$2:$N$1001,0),MATCH(COLUMNS($U$1006:U1006),$U$1006:$AC$1006,0)), HYPERLINK("#",""), HYPERLINK(CONCATENATE("#metadata!", ADDRESS(INDEX($P$2:$P$1001,MATCH(ROWS($N$2:N205),$N$2:$N$1001,0),0), INDEX($U$1004:$AC$1004,1,MATCH(COLUMNS($U$1006:U1006),$U$1006:$AC$1006,0)))),"Fix")))</f>
        <v>0</v>
      </c>
      <c r="C205" s="3">
        <f>IF(OR(INDEX($O$2:$O$1001,MATCH(ROWS($N$2:N205),$N$2:$N$1001,0),1)&gt;=100000,INDEX($U$1005:$AC$1005,1,MATCH(COLUMNS($U$1006:V1006),$U$1006:$AC$1006,0))&gt;=100000), " ",IF(INDEX($U$2:$AC$1001,MATCH(ROWS($N$2:N205),$N$2:$N$1001,0),MATCH(COLUMNS($U$1006:V1006),$U$1006:$AC$1006,0)), HYPERLINK("#",""), HYPERLINK(CONCATENATE("#metadata!", ADDRESS(INDEX($P$2:$P$1001,MATCH(ROWS($N$2:N205),$N$2:$N$1001,0),0), INDEX($U$1004:$AC$1004,1,MATCH(COLUMNS($U$1006:V1006),$U$1006:$AC$1006,0)))),"Fix")))</f>
        <v>0</v>
      </c>
      <c r="D205" s="3">
        <f>IF(OR(INDEX($O$2:$O$1001,MATCH(ROWS($N$2:N205),$N$2:$N$1001,0),1)&gt;=100000,INDEX($U$1005:$AC$1005,1,MATCH(COLUMNS($U$1006:W1006),$U$1006:$AC$1006,0))&gt;=100000), " ",IF(INDEX($U$2:$AC$1001,MATCH(ROWS($N$2:N205),$N$2:$N$1001,0),MATCH(COLUMNS($U$1006:W1006),$U$1006:$AC$1006,0)), HYPERLINK("#",""), HYPERLINK(CONCATENATE("#metadata!", ADDRESS(INDEX($P$2:$P$1001,MATCH(ROWS($N$2:N205),$N$2:$N$1001,0),0), INDEX($U$1004:$AC$1004,1,MATCH(COLUMNS($U$1006:W1006),$U$1006:$AC$1006,0)))),"Fix")))</f>
        <v>0</v>
      </c>
      <c r="E205" s="3">
        <f>IF(OR(INDEX($O$2:$O$1001,MATCH(ROWS($N$2:N205),$N$2:$N$1001,0),1)&gt;=100000,INDEX($U$1005:$AC$1005,1,MATCH(COLUMNS($U$1006:X1006),$U$1006:$AC$1006,0))&gt;=100000), " ",IF(INDEX($U$2:$AC$1001,MATCH(ROWS($N$2:N205),$N$2:$N$1001,0),MATCH(COLUMNS($U$1006:X1006),$U$1006:$AC$1006,0)), HYPERLINK("#",""), HYPERLINK(CONCATENATE("#metadata!", ADDRESS(INDEX($P$2:$P$1001,MATCH(ROWS($N$2:N205),$N$2:$N$1001,0),0), INDEX($U$1004:$AC$1004,1,MATCH(COLUMNS($U$1006:X1006),$U$1006:$AC$1006,0)))),"Fix")))</f>
        <v>0</v>
      </c>
      <c r="F205" s="3">
        <f>IF(OR(INDEX($O$2:$O$1001,MATCH(ROWS($N$2:N205),$N$2:$N$1001,0),1)&gt;=100000,INDEX($U$1005:$AC$1005,1,MATCH(COLUMNS($U$1006:Y1006),$U$1006:$AC$1006,0))&gt;=100000), " ",IF(INDEX($U$2:$AC$1001,MATCH(ROWS($N$2:N205),$N$2:$N$1001,0),MATCH(COLUMNS($U$1006:Y1006),$U$1006:$AC$1006,0)), HYPERLINK("#",""), HYPERLINK(CONCATENATE("#metadata!", ADDRESS(INDEX($P$2:$P$1001,MATCH(ROWS($N$2:N205),$N$2:$N$1001,0),0), INDEX($U$1004:$AC$1004,1,MATCH(COLUMNS($U$1006:Y1006),$U$1006:$AC$1006,0)))),"Fix")))</f>
        <v>0</v>
      </c>
      <c r="G205" s="3">
        <f>IF(OR(INDEX($O$2:$O$1001,MATCH(ROWS($N$2:N205),$N$2:$N$1001,0),1)&gt;=100000,INDEX($U$1005:$AC$1005,1,MATCH(COLUMNS($U$1006:Z1006),$U$1006:$AC$1006,0))&gt;=100000), " ",IF(INDEX($U$2:$AC$1001,MATCH(ROWS($N$2:N205),$N$2:$N$1001,0),MATCH(COLUMNS($U$1006:Z1006),$U$1006:$AC$1006,0)), HYPERLINK("#",""), HYPERLINK(CONCATENATE("#metadata!", ADDRESS(INDEX($P$2:$P$1001,MATCH(ROWS($N$2:N205),$N$2:$N$1001,0),0), INDEX($U$1004:$AC$1004,1,MATCH(COLUMNS($U$1006:Z1006),$U$1006:$AC$1006,0)))),"Fix")))</f>
        <v>0</v>
      </c>
      <c r="H205" s="3">
        <f>IF(OR(INDEX($O$2:$O$1001,MATCH(ROWS($N$2:N205),$N$2:$N$1001,0),1)&gt;=100000,INDEX($U$1005:$AC$1005,1,MATCH(COLUMNS($U$1006:AA1006),$U$1006:$AC$1006,0))&gt;=100000), " ",IF(INDEX($U$2:$AC$1001,MATCH(ROWS($N$2:N205),$N$2:$N$1001,0),MATCH(COLUMNS($U$1006:AA1006),$U$1006:$AC$1006,0)), HYPERLINK("#",""), HYPERLINK(CONCATENATE("#metadata!", ADDRESS(INDEX($P$2:$P$1001,MATCH(ROWS($N$2:N205),$N$2:$N$1001,0),0), INDEX($U$1004:$AC$1004,1,MATCH(COLUMNS($U$1006:AA1006),$U$1006:$AC$1006,0)))),"Fix")))</f>
        <v>0</v>
      </c>
      <c r="I205" s="3">
        <f>IF(OR(INDEX($O$2:$O$1001,MATCH(ROWS($N$2:N205),$N$2:$N$1001,0),1)&gt;=100000,INDEX($U$1005:$AC$1005,1,MATCH(COLUMNS($U$1006:AB1006),$U$1006:$AC$1006,0))&gt;=100000), " ",IF(INDEX($U$2:$AC$1001,MATCH(ROWS($N$2:N205),$N$2:$N$1001,0),MATCH(COLUMNS($U$1006:AB1006),$U$1006:$AC$1006,0)), HYPERLINK("#",""), HYPERLINK(CONCATENATE("#metadata!", ADDRESS(INDEX($P$2:$P$1001,MATCH(ROWS($N$2:N205),$N$2:$N$1001,0),0), INDEX($U$1004:$AC$1004,1,MATCH(COLUMNS($U$1006:AB1006),$U$1006:$AC$1006,0)))),"Fix")))</f>
        <v>0</v>
      </c>
      <c r="J205" s="3">
        <f>IF(OR(INDEX($O$2:$O$1001,MATCH(ROWS($N$2:N205),$N$2:$N$1001,0),1)&gt;=100000,INDEX($U$1005:$AC$1005,1,MATCH(COLUMNS($U$1006:AC1006),$U$1006:$AC$1006,0))&gt;=100000), " ",IF(INDEX($U$2:$AC$1001,MATCH(ROWS($N$2:N205),$N$2:$N$1001,0),MATCH(COLUMNS($U$1006:AC1006),$U$1006:$AC$1006,0)), HYPERLINK("#",""), HYPERLINK(CONCATENATE("#metadata!", ADDRESS(INDEX($P$2:$P$1001,MATCH(ROWS($N$2:N205),$N$2:$N$1001,0),0), INDEX($U$1004:$AC$1004,1,MATCH(COLUMNS($U$1006:AC1006),$U$1006:$AC$1006,0)))),"Fix")))</f>
        <v>0</v>
      </c>
      <c r="N205">
        <v>0</v>
      </c>
      <c r="O205">
        <v>0</v>
      </c>
      <c r="P205">
        <v>0</v>
      </c>
      <c r="Q205">
        <f>IF(R205,TRUE,AND(U205:AC205))</f>
        <v>0</v>
      </c>
      <c r="R205">
        <f>COUNTBLANK(metadata!B205:J205)=COLUMNS(metadata!B205:J205)</f>
        <v>0</v>
      </c>
      <c r="S205">
        <v>0</v>
      </c>
      <c r="U205">
        <f>AND(IF(metadata!B205="",FALSE,TRUE),COUNTIF(metadata!B:B, metadata!B205) = 1,NOT(ISERROR(SUMPRODUCT(SEARCH(MID(metadata!B205,ROW(INDIRECT("1:"&amp;LEN(metadata!B205))), 1),"0123456789abcdefghijklmnopqrstuvwxyzABCDEFGHIJKLMNOPQRSTUVWXYZ.")))))</f>
        <v>0</v>
      </c>
      <c r="V205">
        <f>AND(IF(metadata!C205="",FALSE,TRUE),exact(metadata!C205,"UBERON:genitourinary"))</f>
        <v>0</v>
      </c>
      <c r="W205">
        <f>AND(IF(metadata!D205="",FALSE,TRUE),exact(metadata!D205,"UBERON:urine"))</f>
        <v>0</v>
      </c>
      <c r="X205">
        <f>AND(IF(metadata!E205="",FALSE,TRUE),exact(metadata!E205,"UBERON:kidney"))</f>
        <v>0</v>
      </c>
      <c r="Y205">
        <f>AND(IF(metadata!F205="",FALSE,TRUE),exact(metadata!F205,"animal corpus"))</f>
        <v>0</v>
      </c>
      <c r="Z205">
        <f>AND(IF(metadata!G205="",FALSE,TRUE),exact(metadata!G205,"urine"))</f>
        <v>0</v>
      </c>
      <c r="AA205">
        <f>AND(IF(metadata!H205="",FALSE,TRUE),exact(metadata!H205,"urine"))</f>
        <v>0</v>
      </c>
      <c r="AB205">
        <f>AND(IF(metadata!I205="",FALSE,TRUE),exact(metadata!I205,"urine metagenome"))</f>
        <v>0</v>
      </c>
      <c r="AC205">
        <f>AND(IF(metadata!J205="",FALSE,TRUE),exact(metadata!J205,"1346744"))</f>
        <v>0</v>
      </c>
    </row>
    <row r="206" spans="1:29">
      <c r="A206" s="4">
        <f>IF(B206=" "," ",HYPERLINK(CONCATENATE("#metadata!",ADDRESS(INDEX($P$2:$P$1001,MATCH(ROWS($N$2:N206),$N$2:$N$1001,0),0),1)),INDEX($S$2:$S$1001,MATCH(ROWS($N$2:N206),$N$2:$N$1001,0),0)))</f>
        <v>0</v>
      </c>
      <c r="B206" s="3">
        <f>IF(OR(INDEX($O$2:$O$1001,MATCH(ROWS($N$2:N206),$N$2:$N$1001,0),1)&gt;=100000,INDEX($U$1005:$AC$1005,1,MATCH(COLUMNS($U$1006:U1006),$U$1006:$AC$1006,0))&gt;=100000), " ",IF(INDEX($U$2:$AC$1001,MATCH(ROWS($N$2:N206),$N$2:$N$1001,0),MATCH(COLUMNS($U$1006:U1006),$U$1006:$AC$1006,0)), HYPERLINK("#",""), HYPERLINK(CONCATENATE("#metadata!", ADDRESS(INDEX($P$2:$P$1001,MATCH(ROWS($N$2:N206),$N$2:$N$1001,0),0), INDEX($U$1004:$AC$1004,1,MATCH(COLUMNS($U$1006:U1006),$U$1006:$AC$1006,0)))),"Fix")))</f>
        <v>0</v>
      </c>
      <c r="C206" s="3">
        <f>IF(OR(INDEX($O$2:$O$1001,MATCH(ROWS($N$2:N206),$N$2:$N$1001,0),1)&gt;=100000,INDEX($U$1005:$AC$1005,1,MATCH(COLUMNS($U$1006:V1006),$U$1006:$AC$1006,0))&gt;=100000), " ",IF(INDEX($U$2:$AC$1001,MATCH(ROWS($N$2:N206),$N$2:$N$1001,0),MATCH(COLUMNS($U$1006:V1006),$U$1006:$AC$1006,0)), HYPERLINK("#",""), HYPERLINK(CONCATENATE("#metadata!", ADDRESS(INDEX($P$2:$P$1001,MATCH(ROWS($N$2:N206),$N$2:$N$1001,0),0), INDEX($U$1004:$AC$1004,1,MATCH(COLUMNS($U$1006:V1006),$U$1006:$AC$1006,0)))),"Fix")))</f>
        <v>0</v>
      </c>
      <c r="D206" s="3">
        <f>IF(OR(INDEX($O$2:$O$1001,MATCH(ROWS($N$2:N206),$N$2:$N$1001,0),1)&gt;=100000,INDEX($U$1005:$AC$1005,1,MATCH(COLUMNS($U$1006:W1006),$U$1006:$AC$1006,0))&gt;=100000), " ",IF(INDEX($U$2:$AC$1001,MATCH(ROWS($N$2:N206),$N$2:$N$1001,0),MATCH(COLUMNS($U$1006:W1006),$U$1006:$AC$1006,0)), HYPERLINK("#",""), HYPERLINK(CONCATENATE("#metadata!", ADDRESS(INDEX($P$2:$P$1001,MATCH(ROWS($N$2:N206),$N$2:$N$1001,0),0), INDEX($U$1004:$AC$1004,1,MATCH(COLUMNS($U$1006:W1006),$U$1006:$AC$1006,0)))),"Fix")))</f>
        <v>0</v>
      </c>
      <c r="E206" s="3">
        <f>IF(OR(INDEX($O$2:$O$1001,MATCH(ROWS($N$2:N206),$N$2:$N$1001,0),1)&gt;=100000,INDEX($U$1005:$AC$1005,1,MATCH(COLUMNS($U$1006:X1006),$U$1006:$AC$1006,0))&gt;=100000), " ",IF(INDEX($U$2:$AC$1001,MATCH(ROWS($N$2:N206),$N$2:$N$1001,0),MATCH(COLUMNS($U$1006:X1006),$U$1006:$AC$1006,0)), HYPERLINK("#",""), HYPERLINK(CONCATENATE("#metadata!", ADDRESS(INDEX($P$2:$P$1001,MATCH(ROWS($N$2:N206),$N$2:$N$1001,0),0), INDEX($U$1004:$AC$1004,1,MATCH(COLUMNS($U$1006:X1006),$U$1006:$AC$1006,0)))),"Fix")))</f>
        <v>0</v>
      </c>
      <c r="F206" s="3">
        <f>IF(OR(INDEX($O$2:$O$1001,MATCH(ROWS($N$2:N206),$N$2:$N$1001,0),1)&gt;=100000,INDEX($U$1005:$AC$1005,1,MATCH(COLUMNS($U$1006:Y1006),$U$1006:$AC$1006,0))&gt;=100000), " ",IF(INDEX($U$2:$AC$1001,MATCH(ROWS($N$2:N206),$N$2:$N$1001,0),MATCH(COLUMNS($U$1006:Y1006),$U$1006:$AC$1006,0)), HYPERLINK("#",""), HYPERLINK(CONCATENATE("#metadata!", ADDRESS(INDEX($P$2:$P$1001,MATCH(ROWS($N$2:N206),$N$2:$N$1001,0),0), INDEX($U$1004:$AC$1004,1,MATCH(COLUMNS($U$1006:Y1006),$U$1006:$AC$1006,0)))),"Fix")))</f>
        <v>0</v>
      </c>
      <c r="G206" s="3">
        <f>IF(OR(INDEX($O$2:$O$1001,MATCH(ROWS($N$2:N206),$N$2:$N$1001,0),1)&gt;=100000,INDEX($U$1005:$AC$1005,1,MATCH(COLUMNS($U$1006:Z1006),$U$1006:$AC$1006,0))&gt;=100000), " ",IF(INDEX($U$2:$AC$1001,MATCH(ROWS($N$2:N206),$N$2:$N$1001,0),MATCH(COLUMNS($U$1006:Z1006),$U$1006:$AC$1006,0)), HYPERLINK("#",""), HYPERLINK(CONCATENATE("#metadata!", ADDRESS(INDEX($P$2:$P$1001,MATCH(ROWS($N$2:N206),$N$2:$N$1001,0),0), INDEX($U$1004:$AC$1004,1,MATCH(COLUMNS($U$1006:Z1006),$U$1006:$AC$1006,0)))),"Fix")))</f>
        <v>0</v>
      </c>
      <c r="H206" s="3">
        <f>IF(OR(INDEX($O$2:$O$1001,MATCH(ROWS($N$2:N206),$N$2:$N$1001,0),1)&gt;=100000,INDEX($U$1005:$AC$1005,1,MATCH(COLUMNS($U$1006:AA1006),$U$1006:$AC$1006,0))&gt;=100000), " ",IF(INDEX($U$2:$AC$1001,MATCH(ROWS($N$2:N206),$N$2:$N$1001,0),MATCH(COLUMNS($U$1006:AA1006),$U$1006:$AC$1006,0)), HYPERLINK("#",""), HYPERLINK(CONCATENATE("#metadata!", ADDRESS(INDEX($P$2:$P$1001,MATCH(ROWS($N$2:N206),$N$2:$N$1001,0),0), INDEX($U$1004:$AC$1004,1,MATCH(COLUMNS($U$1006:AA1006),$U$1006:$AC$1006,0)))),"Fix")))</f>
        <v>0</v>
      </c>
      <c r="I206" s="3">
        <f>IF(OR(INDEX($O$2:$O$1001,MATCH(ROWS($N$2:N206),$N$2:$N$1001,0),1)&gt;=100000,INDEX($U$1005:$AC$1005,1,MATCH(COLUMNS($U$1006:AB1006),$U$1006:$AC$1006,0))&gt;=100000), " ",IF(INDEX($U$2:$AC$1001,MATCH(ROWS($N$2:N206),$N$2:$N$1001,0),MATCH(COLUMNS($U$1006:AB1006),$U$1006:$AC$1006,0)), HYPERLINK("#",""), HYPERLINK(CONCATENATE("#metadata!", ADDRESS(INDEX($P$2:$P$1001,MATCH(ROWS($N$2:N206),$N$2:$N$1001,0),0), INDEX($U$1004:$AC$1004,1,MATCH(COLUMNS($U$1006:AB1006),$U$1006:$AC$1006,0)))),"Fix")))</f>
        <v>0</v>
      </c>
      <c r="J206" s="3">
        <f>IF(OR(INDEX($O$2:$O$1001,MATCH(ROWS($N$2:N206),$N$2:$N$1001,0),1)&gt;=100000,INDEX($U$1005:$AC$1005,1,MATCH(COLUMNS($U$1006:AC1006),$U$1006:$AC$1006,0))&gt;=100000), " ",IF(INDEX($U$2:$AC$1001,MATCH(ROWS($N$2:N206),$N$2:$N$1001,0),MATCH(COLUMNS($U$1006:AC1006),$U$1006:$AC$1006,0)), HYPERLINK("#",""), HYPERLINK(CONCATENATE("#metadata!", ADDRESS(INDEX($P$2:$P$1001,MATCH(ROWS($N$2:N206),$N$2:$N$1001,0),0), INDEX($U$1004:$AC$1004,1,MATCH(COLUMNS($U$1006:AC1006),$U$1006:$AC$1006,0)))),"Fix")))</f>
        <v>0</v>
      </c>
      <c r="N206">
        <v>0</v>
      </c>
      <c r="O206">
        <v>0</v>
      </c>
      <c r="P206">
        <v>0</v>
      </c>
      <c r="Q206">
        <f>IF(R206,TRUE,AND(U206:AC206))</f>
        <v>0</v>
      </c>
      <c r="R206">
        <f>COUNTBLANK(metadata!B206:J206)=COLUMNS(metadata!B206:J206)</f>
        <v>0</v>
      </c>
      <c r="S206">
        <v>0</v>
      </c>
      <c r="U206">
        <f>AND(IF(metadata!B206="",FALSE,TRUE),COUNTIF(metadata!B:B, metadata!B206) = 1,NOT(ISERROR(SUMPRODUCT(SEARCH(MID(metadata!B206,ROW(INDIRECT("1:"&amp;LEN(metadata!B206))), 1),"0123456789abcdefghijklmnopqrstuvwxyzABCDEFGHIJKLMNOPQRSTUVWXYZ.")))))</f>
        <v>0</v>
      </c>
      <c r="V206">
        <f>AND(IF(metadata!C206="",FALSE,TRUE),exact(metadata!C206,"UBERON:genitourinary"))</f>
        <v>0</v>
      </c>
      <c r="W206">
        <f>AND(IF(metadata!D206="",FALSE,TRUE),exact(metadata!D206,"UBERON:urine"))</f>
        <v>0</v>
      </c>
      <c r="X206">
        <f>AND(IF(metadata!E206="",FALSE,TRUE),exact(metadata!E206,"UBERON:kidney"))</f>
        <v>0</v>
      </c>
      <c r="Y206">
        <f>AND(IF(metadata!F206="",FALSE,TRUE),exact(metadata!F206,"animal corpus"))</f>
        <v>0</v>
      </c>
      <c r="Z206">
        <f>AND(IF(metadata!G206="",FALSE,TRUE),exact(metadata!G206,"urine"))</f>
        <v>0</v>
      </c>
      <c r="AA206">
        <f>AND(IF(metadata!H206="",FALSE,TRUE),exact(metadata!H206,"urine"))</f>
        <v>0</v>
      </c>
      <c r="AB206">
        <f>AND(IF(metadata!I206="",FALSE,TRUE),exact(metadata!I206,"urine metagenome"))</f>
        <v>0</v>
      </c>
      <c r="AC206">
        <f>AND(IF(metadata!J206="",FALSE,TRUE),exact(metadata!J206,"1346744"))</f>
        <v>0</v>
      </c>
    </row>
    <row r="207" spans="1:29">
      <c r="A207" s="4">
        <f>IF(B207=" "," ",HYPERLINK(CONCATENATE("#metadata!",ADDRESS(INDEX($P$2:$P$1001,MATCH(ROWS($N$2:N207),$N$2:$N$1001,0),0),1)),INDEX($S$2:$S$1001,MATCH(ROWS($N$2:N207),$N$2:$N$1001,0),0)))</f>
        <v>0</v>
      </c>
      <c r="B207" s="3">
        <f>IF(OR(INDEX($O$2:$O$1001,MATCH(ROWS($N$2:N207),$N$2:$N$1001,0),1)&gt;=100000,INDEX($U$1005:$AC$1005,1,MATCH(COLUMNS($U$1006:U1006),$U$1006:$AC$1006,0))&gt;=100000), " ",IF(INDEX($U$2:$AC$1001,MATCH(ROWS($N$2:N207),$N$2:$N$1001,0),MATCH(COLUMNS($U$1006:U1006),$U$1006:$AC$1006,0)), HYPERLINK("#",""), HYPERLINK(CONCATENATE("#metadata!", ADDRESS(INDEX($P$2:$P$1001,MATCH(ROWS($N$2:N207),$N$2:$N$1001,0),0), INDEX($U$1004:$AC$1004,1,MATCH(COLUMNS($U$1006:U1006),$U$1006:$AC$1006,0)))),"Fix")))</f>
        <v>0</v>
      </c>
      <c r="C207" s="3">
        <f>IF(OR(INDEX($O$2:$O$1001,MATCH(ROWS($N$2:N207),$N$2:$N$1001,0),1)&gt;=100000,INDEX($U$1005:$AC$1005,1,MATCH(COLUMNS($U$1006:V1006),$U$1006:$AC$1006,0))&gt;=100000), " ",IF(INDEX($U$2:$AC$1001,MATCH(ROWS($N$2:N207),$N$2:$N$1001,0),MATCH(COLUMNS($U$1006:V1006),$U$1006:$AC$1006,0)), HYPERLINK("#",""), HYPERLINK(CONCATENATE("#metadata!", ADDRESS(INDEX($P$2:$P$1001,MATCH(ROWS($N$2:N207),$N$2:$N$1001,0),0), INDEX($U$1004:$AC$1004,1,MATCH(COLUMNS($U$1006:V1006),$U$1006:$AC$1006,0)))),"Fix")))</f>
        <v>0</v>
      </c>
      <c r="D207" s="3">
        <f>IF(OR(INDEX($O$2:$O$1001,MATCH(ROWS($N$2:N207),$N$2:$N$1001,0),1)&gt;=100000,INDEX($U$1005:$AC$1005,1,MATCH(COLUMNS($U$1006:W1006),$U$1006:$AC$1006,0))&gt;=100000), " ",IF(INDEX($U$2:$AC$1001,MATCH(ROWS($N$2:N207),$N$2:$N$1001,0),MATCH(COLUMNS($U$1006:W1006),$U$1006:$AC$1006,0)), HYPERLINK("#",""), HYPERLINK(CONCATENATE("#metadata!", ADDRESS(INDEX($P$2:$P$1001,MATCH(ROWS($N$2:N207),$N$2:$N$1001,0),0), INDEX($U$1004:$AC$1004,1,MATCH(COLUMNS($U$1006:W1006),$U$1006:$AC$1006,0)))),"Fix")))</f>
        <v>0</v>
      </c>
      <c r="E207" s="3">
        <f>IF(OR(INDEX($O$2:$O$1001,MATCH(ROWS($N$2:N207),$N$2:$N$1001,0),1)&gt;=100000,INDEX($U$1005:$AC$1005,1,MATCH(COLUMNS($U$1006:X1006),$U$1006:$AC$1006,0))&gt;=100000), " ",IF(INDEX($U$2:$AC$1001,MATCH(ROWS($N$2:N207),$N$2:$N$1001,0),MATCH(COLUMNS($U$1006:X1006),$U$1006:$AC$1006,0)), HYPERLINK("#",""), HYPERLINK(CONCATENATE("#metadata!", ADDRESS(INDEX($P$2:$P$1001,MATCH(ROWS($N$2:N207),$N$2:$N$1001,0),0), INDEX($U$1004:$AC$1004,1,MATCH(COLUMNS($U$1006:X1006),$U$1006:$AC$1006,0)))),"Fix")))</f>
        <v>0</v>
      </c>
      <c r="F207" s="3">
        <f>IF(OR(INDEX($O$2:$O$1001,MATCH(ROWS($N$2:N207),$N$2:$N$1001,0),1)&gt;=100000,INDEX($U$1005:$AC$1005,1,MATCH(COLUMNS($U$1006:Y1006),$U$1006:$AC$1006,0))&gt;=100000), " ",IF(INDEX($U$2:$AC$1001,MATCH(ROWS($N$2:N207),$N$2:$N$1001,0),MATCH(COLUMNS($U$1006:Y1006),$U$1006:$AC$1006,0)), HYPERLINK("#",""), HYPERLINK(CONCATENATE("#metadata!", ADDRESS(INDEX($P$2:$P$1001,MATCH(ROWS($N$2:N207),$N$2:$N$1001,0),0), INDEX($U$1004:$AC$1004,1,MATCH(COLUMNS($U$1006:Y1006),$U$1006:$AC$1006,0)))),"Fix")))</f>
        <v>0</v>
      </c>
      <c r="G207" s="3">
        <f>IF(OR(INDEX($O$2:$O$1001,MATCH(ROWS($N$2:N207),$N$2:$N$1001,0),1)&gt;=100000,INDEX($U$1005:$AC$1005,1,MATCH(COLUMNS($U$1006:Z1006),$U$1006:$AC$1006,0))&gt;=100000), " ",IF(INDEX($U$2:$AC$1001,MATCH(ROWS($N$2:N207),$N$2:$N$1001,0),MATCH(COLUMNS($U$1006:Z1006),$U$1006:$AC$1006,0)), HYPERLINK("#",""), HYPERLINK(CONCATENATE("#metadata!", ADDRESS(INDEX($P$2:$P$1001,MATCH(ROWS($N$2:N207),$N$2:$N$1001,0),0), INDEX($U$1004:$AC$1004,1,MATCH(COLUMNS($U$1006:Z1006),$U$1006:$AC$1006,0)))),"Fix")))</f>
        <v>0</v>
      </c>
      <c r="H207" s="3">
        <f>IF(OR(INDEX($O$2:$O$1001,MATCH(ROWS($N$2:N207),$N$2:$N$1001,0),1)&gt;=100000,INDEX($U$1005:$AC$1005,1,MATCH(COLUMNS($U$1006:AA1006),$U$1006:$AC$1006,0))&gt;=100000), " ",IF(INDEX($U$2:$AC$1001,MATCH(ROWS($N$2:N207),$N$2:$N$1001,0),MATCH(COLUMNS($U$1006:AA1006),$U$1006:$AC$1006,0)), HYPERLINK("#",""), HYPERLINK(CONCATENATE("#metadata!", ADDRESS(INDEX($P$2:$P$1001,MATCH(ROWS($N$2:N207),$N$2:$N$1001,0),0), INDEX($U$1004:$AC$1004,1,MATCH(COLUMNS($U$1006:AA1006),$U$1006:$AC$1006,0)))),"Fix")))</f>
        <v>0</v>
      </c>
      <c r="I207" s="3">
        <f>IF(OR(INDEX($O$2:$O$1001,MATCH(ROWS($N$2:N207),$N$2:$N$1001,0),1)&gt;=100000,INDEX($U$1005:$AC$1005,1,MATCH(COLUMNS($U$1006:AB1006),$U$1006:$AC$1006,0))&gt;=100000), " ",IF(INDEX($U$2:$AC$1001,MATCH(ROWS($N$2:N207),$N$2:$N$1001,0),MATCH(COLUMNS($U$1006:AB1006),$U$1006:$AC$1006,0)), HYPERLINK("#",""), HYPERLINK(CONCATENATE("#metadata!", ADDRESS(INDEX($P$2:$P$1001,MATCH(ROWS($N$2:N207),$N$2:$N$1001,0),0), INDEX($U$1004:$AC$1004,1,MATCH(COLUMNS($U$1006:AB1006),$U$1006:$AC$1006,0)))),"Fix")))</f>
        <v>0</v>
      </c>
      <c r="J207" s="3">
        <f>IF(OR(INDEX($O$2:$O$1001,MATCH(ROWS($N$2:N207),$N$2:$N$1001,0),1)&gt;=100000,INDEX($U$1005:$AC$1005,1,MATCH(COLUMNS($U$1006:AC1006),$U$1006:$AC$1006,0))&gt;=100000), " ",IF(INDEX($U$2:$AC$1001,MATCH(ROWS($N$2:N207),$N$2:$N$1001,0),MATCH(COLUMNS($U$1006:AC1006),$U$1006:$AC$1006,0)), HYPERLINK("#",""), HYPERLINK(CONCATENATE("#metadata!", ADDRESS(INDEX($P$2:$P$1001,MATCH(ROWS($N$2:N207),$N$2:$N$1001,0),0), INDEX($U$1004:$AC$1004,1,MATCH(COLUMNS($U$1006:AC1006),$U$1006:$AC$1006,0)))),"Fix")))</f>
        <v>0</v>
      </c>
      <c r="N207">
        <v>0</v>
      </c>
      <c r="O207">
        <v>0</v>
      </c>
      <c r="P207">
        <v>0</v>
      </c>
      <c r="Q207">
        <f>IF(R207,TRUE,AND(U207:AC207))</f>
        <v>0</v>
      </c>
      <c r="R207">
        <f>COUNTBLANK(metadata!B207:J207)=COLUMNS(metadata!B207:J207)</f>
        <v>0</v>
      </c>
      <c r="S207">
        <v>0</v>
      </c>
      <c r="U207">
        <f>AND(IF(metadata!B207="",FALSE,TRUE),COUNTIF(metadata!B:B, metadata!B207) = 1,NOT(ISERROR(SUMPRODUCT(SEARCH(MID(metadata!B207,ROW(INDIRECT("1:"&amp;LEN(metadata!B207))), 1),"0123456789abcdefghijklmnopqrstuvwxyzABCDEFGHIJKLMNOPQRSTUVWXYZ.")))))</f>
        <v>0</v>
      </c>
      <c r="V207">
        <f>AND(IF(metadata!C207="",FALSE,TRUE),exact(metadata!C207,"UBERON:genitourinary"))</f>
        <v>0</v>
      </c>
      <c r="W207">
        <f>AND(IF(metadata!D207="",FALSE,TRUE),exact(metadata!D207,"UBERON:urine"))</f>
        <v>0</v>
      </c>
      <c r="X207">
        <f>AND(IF(metadata!E207="",FALSE,TRUE),exact(metadata!E207,"UBERON:kidney"))</f>
        <v>0</v>
      </c>
      <c r="Y207">
        <f>AND(IF(metadata!F207="",FALSE,TRUE),exact(metadata!F207,"animal corpus"))</f>
        <v>0</v>
      </c>
      <c r="Z207">
        <f>AND(IF(metadata!G207="",FALSE,TRUE),exact(metadata!G207,"urine"))</f>
        <v>0</v>
      </c>
      <c r="AA207">
        <f>AND(IF(metadata!H207="",FALSE,TRUE),exact(metadata!H207,"urine"))</f>
        <v>0</v>
      </c>
      <c r="AB207">
        <f>AND(IF(metadata!I207="",FALSE,TRUE),exact(metadata!I207,"urine metagenome"))</f>
        <v>0</v>
      </c>
      <c r="AC207">
        <f>AND(IF(metadata!J207="",FALSE,TRUE),exact(metadata!J207,"1346744"))</f>
        <v>0</v>
      </c>
    </row>
    <row r="208" spans="1:29">
      <c r="A208" s="4">
        <f>IF(B208=" "," ",HYPERLINK(CONCATENATE("#metadata!",ADDRESS(INDEX($P$2:$P$1001,MATCH(ROWS($N$2:N208),$N$2:$N$1001,0),0),1)),INDEX($S$2:$S$1001,MATCH(ROWS($N$2:N208),$N$2:$N$1001,0),0)))</f>
        <v>0</v>
      </c>
      <c r="B208" s="3">
        <f>IF(OR(INDEX($O$2:$O$1001,MATCH(ROWS($N$2:N208),$N$2:$N$1001,0),1)&gt;=100000,INDEX($U$1005:$AC$1005,1,MATCH(COLUMNS($U$1006:U1006),$U$1006:$AC$1006,0))&gt;=100000), " ",IF(INDEX($U$2:$AC$1001,MATCH(ROWS($N$2:N208),$N$2:$N$1001,0),MATCH(COLUMNS($U$1006:U1006),$U$1006:$AC$1006,0)), HYPERLINK("#",""), HYPERLINK(CONCATENATE("#metadata!", ADDRESS(INDEX($P$2:$P$1001,MATCH(ROWS($N$2:N208),$N$2:$N$1001,0),0), INDEX($U$1004:$AC$1004,1,MATCH(COLUMNS($U$1006:U1006),$U$1006:$AC$1006,0)))),"Fix")))</f>
        <v>0</v>
      </c>
      <c r="C208" s="3">
        <f>IF(OR(INDEX($O$2:$O$1001,MATCH(ROWS($N$2:N208),$N$2:$N$1001,0),1)&gt;=100000,INDEX($U$1005:$AC$1005,1,MATCH(COLUMNS($U$1006:V1006),$U$1006:$AC$1006,0))&gt;=100000), " ",IF(INDEX($U$2:$AC$1001,MATCH(ROWS($N$2:N208),$N$2:$N$1001,0),MATCH(COLUMNS($U$1006:V1006),$U$1006:$AC$1006,0)), HYPERLINK("#",""), HYPERLINK(CONCATENATE("#metadata!", ADDRESS(INDEX($P$2:$P$1001,MATCH(ROWS($N$2:N208),$N$2:$N$1001,0),0), INDEX($U$1004:$AC$1004,1,MATCH(COLUMNS($U$1006:V1006),$U$1006:$AC$1006,0)))),"Fix")))</f>
        <v>0</v>
      </c>
      <c r="D208" s="3">
        <f>IF(OR(INDEX($O$2:$O$1001,MATCH(ROWS($N$2:N208),$N$2:$N$1001,0),1)&gt;=100000,INDEX($U$1005:$AC$1005,1,MATCH(COLUMNS($U$1006:W1006),$U$1006:$AC$1006,0))&gt;=100000), " ",IF(INDEX($U$2:$AC$1001,MATCH(ROWS($N$2:N208),$N$2:$N$1001,0),MATCH(COLUMNS($U$1006:W1006),$U$1006:$AC$1006,0)), HYPERLINK("#",""), HYPERLINK(CONCATENATE("#metadata!", ADDRESS(INDEX($P$2:$P$1001,MATCH(ROWS($N$2:N208),$N$2:$N$1001,0),0), INDEX($U$1004:$AC$1004,1,MATCH(COLUMNS($U$1006:W1006),$U$1006:$AC$1006,0)))),"Fix")))</f>
        <v>0</v>
      </c>
      <c r="E208" s="3">
        <f>IF(OR(INDEX($O$2:$O$1001,MATCH(ROWS($N$2:N208),$N$2:$N$1001,0),1)&gt;=100000,INDEX($U$1005:$AC$1005,1,MATCH(COLUMNS($U$1006:X1006),$U$1006:$AC$1006,0))&gt;=100000), " ",IF(INDEX($U$2:$AC$1001,MATCH(ROWS($N$2:N208),$N$2:$N$1001,0),MATCH(COLUMNS($U$1006:X1006),$U$1006:$AC$1006,0)), HYPERLINK("#",""), HYPERLINK(CONCATENATE("#metadata!", ADDRESS(INDEX($P$2:$P$1001,MATCH(ROWS($N$2:N208),$N$2:$N$1001,0),0), INDEX($U$1004:$AC$1004,1,MATCH(COLUMNS($U$1006:X1006),$U$1006:$AC$1006,0)))),"Fix")))</f>
        <v>0</v>
      </c>
      <c r="F208" s="3">
        <f>IF(OR(INDEX($O$2:$O$1001,MATCH(ROWS($N$2:N208),$N$2:$N$1001,0),1)&gt;=100000,INDEX($U$1005:$AC$1005,1,MATCH(COLUMNS($U$1006:Y1006),$U$1006:$AC$1006,0))&gt;=100000), " ",IF(INDEX($U$2:$AC$1001,MATCH(ROWS($N$2:N208),$N$2:$N$1001,0),MATCH(COLUMNS($U$1006:Y1006),$U$1006:$AC$1006,0)), HYPERLINK("#",""), HYPERLINK(CONCATENATE("#metadata!", ADDRESS(INDEX($P$2:$P$1001,MATCH(ROWS($N$2:N208),$N$2:$N$1001,0),0), INDEX($U$1004:$AC$1004,1,MATCH(COLUMNS($U$1006:Y1006),$U$1006:$AC$1006,0)))),"Fix")))</f>
        <v>0</v>
      </c>
      <c r="G208" s="3">
        <f>IF(OR(INDEX($O$2:$O$1001,MATCH(ROWS($N$2:N208),$N$2:$N$1001,0),1)&gt;=100000,INDEX($U$1005:$AC$1005,1,MATCH(COLUMNS($U$1006:Z1006),$U$1006:$AC$1006,0))&gt;=100000), " ",IF(INDEX($U$2:$AC$1001,MATCH(ROWS($N$2:N208),$N$2:$N$1001,0),MATCH(COLUMNS($U$1006:Z1006),$U$1006:$AC$1006,0)), HYPERLINK("#",""), HYPERLINK(CONCATENATE("#metadata!", ADDRESS(INDEX($P$2:$P$1001,MATCH(ROWS($N$2:N208),$N$2:$N$1001,0),0), INDEX($U$1004:$AC$1004,1,MATCH(COLUMNS($U$1006:Z1006),$U$1006:$AC$1006,0)))),"Fix")))</f>
        <v>0</v>
      </c>
      <c r="H208" s="3">
        <f>IF(OR(INDEX($O$2:$O$1001,MATCH(ROWS($N$2:N208),$N$2:$N$1001,0),1)&gt;=100000,INDEX($U$1005:$AC$1005,1,MATCH(COLUMNS($U$1006:AA1006),$U$1006:$AC$1006,0))&gt;=100000), " ",IF(INDEX($U$2:$AC$1001,MATCH(ROWS($N$2:N208),$N$2:$N$1001,0),MATCH(COLUMNS($U$1006:AA1006),$U$1006:$AC$1006,0)), HYPERLINK("#",""), HYPERLINK(CONCATENATE("#metadata!", ADDRESS(INDEX($P$2:$P$1001,MATCH(ROWS($N$2:N208),$N$2:$N$1001,0),0), INDEX($U$1004:$AC$1004,1,MATCH(COLUMNS($U$1006:AA1006),$U$1006:$AC$1006,0)))),"Fix")))</f>
        <v>0</v>
      </c>
      <c r="I208" s="3">
        <f>IF(OR(INDEX($O$2:$O$1001,MATCH(ROWS($N$2:N208),$N$2:$N$1001,0),1)&gt;=100000,INDEX($U$1005:$AC$1005,1,MATCH(COLUMNS($U$1006:AB1006),$U$1006:$AC$1006,0))&gt;=100000), " ",IF(INDEX($U$2:$AC$1001,MATCH(ROWS($N$2:N208),$N$2:$N$1001,0),MATCH(COLUMNS($U$1006:AB1006),$U$1006:$AC$1006,0)), HYPERLINK("#",""), HYPERLINK(CONCATENATE("#metadata!", ADDRESS(INDEX($P$2:$P$1001,MATCH(ROWS($N$2:N208),$N$2:$N$1001,0),0), INDEX($U$1004:$AC$1004,1,MATCH(COLUMNS($U$1006:AB1006),$U$1006:$AC$1006,0)))),"Fix")))</f>
        <v>0</v>
      </c>
      <c r="J208" s="3">
        <f>IF(OR(INDEX($O$2:$O$1001,MATCH(ROWS($N$2:N208),$N$2:$N$1001,0),1)&gt;=100000,INDEX($U$1005:$AC$1005,1,MATCH(COLUMNS($U$1006:AC1006),$U$1006:$AC$1006,0))&gt;=100000), " ",IF(INDEX($U$2:$AC$1001,MATCH(ROWS($N$2:N208),$N$2:$N$1001,0),MATCH(COLUMNS($U$1006:AC1006),$U$1006:$AC$1006,0)), HYPERLINK("#",""), HYPERLINK(CONCATENATE("#metadata!", ADDRESS(INDEX($P$2:$P$1001,MATCH(ROWS($N$2:N208),$N$2:$N$1001,0),0), INDEX($U$1004:$AC$1004,1,MATCH(COLUMNS($U$1006:AC1006),$U$1006:$AC$1006,0)))),"Fix")))</f>
        <v>0</v>
      </c>
      <c r="N208">
        <v>0</v>
      </c>
      <c r="O208">
        <v>0</v>
      </c>
      <c r="P208">
        <v>0</v>
      </c>
      <c r="Q208">
        <f>IF(R208,TRUE,AND(U208:AC208))</f>
        <v>0</v>
      </c>
      <c r="R208">
        <f>COUNTBLANK(metadata!B208:J208)=COLUMNS(metadata!B208:J208)</f>
        <v>0</v>
      </c>
      <c r="S208">
        <v>0</v>
      </c>
      <c r="U208">
        <f>AND(IF(metadata!B208="",FALSE,TRUE),COUNTIF(metadata!B:B, metadata!B208) = 1,NOT(ISERROR(SUMPRODUCT(SEARCH(MID(metadata!B208,ROW(INDIRECT("1:"&amp;LEN(metadata!B208))), 1),"0123456789abcdefghijklmnopqrstuvwxyzABCDEFGHIJKLMNOPQRSTUVWXYZ.")))))</f>
        <v>0</v>
      </c>
      <c r="V208">
        <f>AND(IF(metadata!C208="",FALSE,TRUE),exact(metadata!C208,"UBERON:genitourinary"))</f>
        <v>0</v>
      </c>
      <c r="W208">
        <f>AND(IF(metadata!D208="",FALSE,TRUE),exact(metadata!D208,"UBERON:urine"))</f>
        <v>0</v>
      </c>
      <c r="X208">
        <f>AND(IF(metadata!E208="",FALSE,TRUE),exact(metadata!E208,"UBERON:kidney"))</f>
        <v>0</v>
      </c>
      <c r="Y208">
        <f>AND(IF(metadata!F208="",FALSE,TRUE),exact(metadata!F208,"animal corpus"))</f>
        <v>0</v>
      </c>
      <c r="Z208">
        <f>AND(IF(metadata!G208="",FALSE,TRUE),exact(metadata!G208,"urine"))</f>
        <v>0</v>
      </c>
      <c r="AA208">
        <f>AND(IF(metadata!H208="",FALSE,TRUE),exact(metadata!H208,"urine"))</f>
        <v>0</v>
      </c>
      <c r="AB208">
        <f>AND(IF(metadata!I208="",FALSE,TRUE),exact(metadata!I208,"urine metagenome"))</f>
        <v>0</v>
      </c>
      <c r="AC208">
        <f>AND(IF(metadata!J208="",FALSE,TRUE),exact(metadata!J208,"1346744"))</f>
        <v>0</v>
      </c>
    </row>
    <row r="209" spans="1:29">
      <c r="A209" s="4">
        <f>IF(B209=" "," ",HYPERLINK(CONCATENATE("#metadata!",ADDRESS(INDEX($P$2:$P$1001,MATCH(ROWS($N$2:N209),$N$2:$N$1001,0),0),1)),INDEX($S$2:$S$1001,MATCH(ROWS($N$2:N209),$N$2:$N$1001,0),0)))</f>
        <v>0</v>
      </c>
      <c r="B209" s="3">
        <f>IF(OR(INDEX($O$2:$O$1001,MATCH(ROWS($N$2:N209),$N$2:$N$1001,0),1)&gt;=100000,INDEX($U$1005:$AC$1005,1,MATCH(COLUMNS($U$1006:U1006),$U$1006:$AC$1006,0))&gt;=100000), " ",IF(INDEX($U$2:$AC$1001,MATCH(ROWS($N$2:N209),$N$2:$N$1001,0),MATCH(COLUMNS($U$1006:U1006),$U$1006:$AC$1006,0)), HYPERLINK("#",""), HYPERLINK(CONCATENATE("#metadata!", ADDRESS(INDEX($P$2:$P$1001,MATCH(ROWS($N$2:N209),$N$2:$N$1001,0),0), INDEX($U$1004:$AC$1004,1,MATCH(COLUMNS($U$1006:U1006),$U$1006:$AC$1006,0)))),"Fix")))</f>
        <v>0</v>
      </c>
      <c r="C209" s="3">
        <f>IF(OR(INDEX($O$2:$O$1001,MATCH(ROWS($N$2:N209),$N$2:$N$1001,0),1)&gt;=100000,INDEX($U$1005:$AC$1005,1,MATCH(COLUMNS($U$1006:V1006),$U$1006:$AC$1006,0))&gt;=100000), " ",IF(INDEX($U$2:$AC$1001,MATCH(ROWS($N$2:N209),$N$2:$N$1001,0),MATCH(COLUMNS($U$1006:V1006),$U$1006:$AC$1006,0)), HYPERLINK("#",""), HYPERLINK(CONCATENATE("#metadata!", ADDRESS(INDEX($P$2:$P$1001,MATCH(ROWS($N$2:N209),$N$2:$N$1001,0),0), INDEX($U$1004:$AC$1004,1,MATCH(COLUMNS($U$1006:V1006),$U$1006:$AC$1006,0)))),"Fix")))</f>
        <v>0</v>
      </c>
      <c r="D209" s="3">
        <f>IF(OR(INDEX($O$2:$O$1001,MATCH(ROWS($N$2:N209),$N$2:$N$1001,0),1)&gt;=100000,INDEX($U$1005:$AC$1005,1,MATCH(COLUMNS($U$1006:W1006),$U$1006:$AC$1006,0))&gt;=100000), " ",IF(INDEX($U$2:$AC$1001,MATCH(ROWS($N$2:N209),$N$2:$N$1001,0),MATCH(COLUMNS($U$1006:W1006),$U$1006:$AC$1006,0)), HYPERLINK("#",""), HYPERLINK(CONCATENATE("#metadata!", ADDRESS(INDEX($P$2:$P$1001,MATCH(ROWS($N$2:N209),$N$2:$N$1001,0),0), INDEX($U$1004:$AC$1004,1,MATCH(COLUMNS($U$1006:W1006),$U$1006:$AC$1006,0)))),"Fix")))</f>
        <v>0</v>
      </c>
      <c r="E209" s="3">
        <f>IF(OR(INDEX($O$2:$O$1001,MATCH(ROWS($N$2:N209),$N$2:$N$1001,0),1)&gt;=100000,INDEX($U$1005:$AC$1005,1,MATCH(COLUMNS($U$1006:X1006),$U$1006:$AC$1006,0))&gt;=100000), " ",IF(INDEX($U$2:$AC$1001,MATCH(ROWS($N$2:N209),$N$2:$N$1001,0),MATCH(COLUMNS($U$1006:X1006),$U$1006:$AC$1006,0)), HYPERLINK("#",""), HYPERLINK(CONCATENATE("#metadata!", ADDRESS(INDEX($P$2:$P$1001,MATCH(ROWS($N$2:N209),$N$2:$N$1001,0),0), INDEX($U$1004:$AC$1004,1,MATCH(COLUMNS($U$1006:X1006),$U$1006:$AC$1006,0)))),"Fix")))</f>
        <v>0</v>
      </c>
      <c r="F209" s="3">
        <f>IF(OR(INDEX($O$2:$O$1001,MATCH(ROWS($N$2:N209),$N$2:$N$1001,0),1)&gt;=100000,INDEX($U$1005:$AC$1005,1,MATCH(COLUMNS($U$1006:Y1006),$U$1006:$AC$1006,0))&gt;=100000), " ",IF(INDEX($U$2:$AC$1001,MATCH(ROWS($N$2:N209),$N$2:$N$1001,0),MATCH(COLUMNS($U$1006:Y1006),$U$1006:$AC$1006,0)), HYPERLINK("#",""), HYPERLINK(CONCATENATE("#metadata!", ADDRESS(INDEX($P$2:$P$1001,MATCH(ROWS($N$2:N209),$N$2:$N$1001,0),0), INDEX($U$1004:$AC$1004,1,MATCH(COLUMNS($U$1006:Y1006),$U$1006:$AC$1006,0)))),"Fix")))</f>
        <v>0</v>
      </c>
      <c r="G209" s="3">
        <f>IF(OR(INDEX($O$2:$O$1001,MATCH(ROWS($N$2:N209),$N$2:$N$1001,0),1)&gt;=100000,INDEX($U$1005:$AC$1005,1,MATCH(COLUMNS($U$1006:Z1006),$U$1006:$AC$1006,0))&gt;=100000), " ",IF(INDEX($U$2:$AC$1001,MATCH(ROWS($N$2:N209),$N$2:$N$1001,0),MATCH(COLUMNS($U$1006:Z1006),$U$1006:$AC$1006,0)), HYPERLINK("#",""), HYPERLINK(CONCATENATE("#metadata!", ADDRESS(INDEX($P$2:$P$1001,MATCH(ROWS($N$2:N209),$N$2:$N$1001,0),0), INDEX($U$1004:$AC$1004,1,MATCH(COLUMNS($U$1006:Z1006),$U$1006:$AC$1006,0)))),"Fix")))</f>
        <v>0</v>
      </c>
      <c r="H209" s="3">
        <f>IF(OR(INDEX($O$2:$O$1001,MATCH(ROWS($N$2:N209),$N$2:$N$1001,0),1)&gt;=100000,INDEX($U$1005:$AC$1005,1,MATCH(COLUMNS($U$1006:AA1006),$U$1006:$AC$1006,0))&gt;=100000), " ",IF(INDEX($U$2:$AC$1001,MATCH(ROWS($N$2:N209),$N$2:$N$1001,0),MATCH(COLUMNS($U$1006:AA1006),$U$1006:$AC$1006,0)), HYPERLINK("#",""), HYPERLINK(CONCATENATE("#metadata!", ADDRESS(INDEX($P$2:$P$1001,MATCH(ROWS($N$2:N209),$N$2:$N$1001,0),0), INDEX($U$1004:$AC$1004,1,MATCH(COLUMNS($U$1006:AA1006),$U$1006:$AC$1006,0)))),"Fix")))</f>
        <v>0</v>
      </c>
      <c r="I209" s="3">
        <f>IF(OR(INDEX($O$2:$O$1001,MATCH(ROWS($N$2:N209),$N$2:$N$1001,0),1)&gt;=100000,INDEX($U$1005:$AC$1005,1,MATCH(COLUMNS($U$1006:AB1006),$U$1006:$AC$1006,0))&gt;=100000), " ",IF(INDEX($U$2:$AC$1001,MATCH(ROWS($N$2:N209),$N$2:$N$1001,0),MATCH(COLUMNS($U$1006:AB1006),$U$1006:$AC$1006,0)), HYPERLINK("#",""), HYPERLINK(CONCATENATE("#metadata!", ADDRESS(INDEX($P$2:$P$1001,MATCH(ROWS($N$2:N209),$N$2:$N$1001,0),0), INDEX($U$1004:$AC$1004,1,MATCH(COLUMNS($U$1006:AB1006),$U$1006:$AC$1006,0)))),"Fix")))</f>
        <v>0</v>
      </c>
      <c r="J209" s="3">
        <f>IF(OR(INDEX($O$2:$O$1001,MATCH(ROWS($N$2:N209),$N$2:$N$1001,0),1)&gt;=100000,INDEX($U$1005:$AC$1005,1,MATCH(COLUMNS($U$1006:AC1006),$U$1006:$AC$1006,0))&gt;=100000), " ",IF(INDEX($U$2:$AC$1001,MATCH(ROWS($N$2:N209),$N$2:$N$1001,0),MATCH(COLUMNS($U$1006:AC1006),$U$1006:$AC$1006,0)), HYPERLINK("#",""), HYPERLINK(CONCATENATE("#metadata!", ADDRESS(INDEX($P$2:$P$1001,MATCH(ROWS($N$2:N209),$N$2:$N$1001,0),0), INDEX($U$1004:$AC$1004,1,MATCH(COLUMNS($U$1006:AC1006),$U$1006:$AC$1006,0)))),"Fix")))</f>
        <v>0</v>
      </c>
      <c r="N209">
        <v>0</v>
      </c>
      <c r="O209">
        <v>0</v>
      </c>
      <c r="P209">
        <v>0</v>
      </c>
      <c r="Q209">
        <f>IF(R209,TRUE,AND(U209:AC209))</f>
        <v>0</v>
      </c>
      <c r="R209">
        <f>COUNTBLANK(metadata!B209:J209)=COLUMNS(metadata!B209:J209)</f>
        <v>0</v>
      </c>
      <c r="S209">
        <v>0</v>
      </c>
      <c r="U209">
        <f>AND(IF(metadata!B209="",FALSE,TRUE),COUNTIF(metadata!B:B, metadata!B209) = 1,NOT(ISERROR(SUMPRODUCT(SEARCH(MID(metadata!B209,ROW(INDIRECT("1:"&amp;LEN(metadata!B209))), 1),"0123456789abcdefghijklmnopqrstuvwxyzABCDEFGHIJKLMNOPQRSTUVWXYZ.")))))</f>
        <v>0</v>
      </c>
      <c r="V209">
        <f>AND(IF(metadata!C209="",FALSE,TRUE),exact(metadata!C209,"UBERON:genitourinary"))</f>
        <v>0</v>
      </c>
      <c r="W209">
        <f>AND(IF(metadata!D209="",FALSE,TRUE),exact(metadata!D209,"UBERON:urine"))</f>
        <v>0</v>
      </c>
      <c r="X209">
        <f>AND(IF(metadata!E209="",FALSE,TRUE),exact(metadata!E209,"UBERON:kidney"))</f>
        <v>0</v>
      </c>
      <c r="Y209">
        <f>AND(IF(metadata!F209="",FALSE,TRUE),exact(metadata!F209,"animal corpus"))</f>
        <v>0</v>
      </c>
      <c r="Z209">
        <f>AND(IF(metadata!G209="",FALSE,TRUE),exact(metadata!G209,"urine"))</f>
        <v>0</v>
      </c>
      <c r="AA209">
        <f>AND(IF(metadata!H209="",FALSE,TRUE),exact(metadata!H209,"urine"))</f>
        <v>0</v>
      </c>
      <c r="AB209">
        <f>AND(IF(metadata!I209="",FALSE,TRUE),exact(metadata!I209,"urine metagenome"))</f>
        <v>0</v>
      </c>
      <c r="AC209">
        <f>AND(IF(metadata!J209="",FALSE,TRUE),exact(metadata!J209,"1346744"))</f>
        <v>0</v>
      </c>
    </row>
    <row r="210" spans="1:29">
      <c r="A210" s="4">
        <f>IF(B210=" "," ",HYPERLINK(CONCATENATE("#metadata!",ADDRESS(INDEX($P$2:$P$1001,MATCH(ROWS($N$2:N210),$N$2:$N$1001,0),0),1)),INDEX($S$2:$S$1001,MATCH(ROWS($N$2:N210),$N$2:$N$1001,0),0)))</f>
        <v>0</v>
      </c>
      <c r="B210" s="3">
        <f>IF(OR(INDEX($O$2:$O$1001,MATCH(ROWS($N$2:N210),$N$2:$N$1001,0),1)&gt;=100000,INDEX($U$1005:$AC$1005,1,MATCH(COLUMNS($U$1006:U1006),$U$1006:$AC$1006,0))&gt;=100000), " ",IF(INDEX($U$2:$AC$1001,MATCH(ROWS($N$2:N210),$N$2:$N$1001,0),MATCH(COLUMNS($U$1006:U1006),$U$1006:$AC$1006,0)), HYPERLINK("#",""), HYPERLINK(CONCATENATE("#metadata!", ADDRESS(INDEX($P$2:$P$1001,MATCH(ROWS($N$2:N210),$N$2:$N$1001,0),0), INDEX($U$1004:$AC$1004,1,MATCH(COLUMNS($U$1006:U1006),$U$1006:$AC$1006,0)))),"Fix")))</f>
        <v>0</v>
      </c>
      <c r="C210" s="3">
        <f>IF(OR(INDEX($O$2:$O$1001,MATCH(ROWS($N$2:N210),$N$2:$N$1001,0),1)&gt;=100000,INDEX($U$1005:$AC$1005,1,MATCH(COLUMNS($U$1006:V1006),$U$1006:$AC$1006,0))&gt;=100000), " ",IF(INDEX($U$2:$AC$1001,MATCH(ROWS($N$2:N210),$N$2:$N$1001,0),MATCH(COLUMNS($U$1006:V1006),$U$1006:$AC$1006,0)), HYPERLINK("#",""), HYPERLINK(CONCATENATE("#metadata!", ADDRESS(INDEX($P$2:$P$1001,MATCH(ROWS($N$2:N210),$N$2:$N$1001,0),0), INDEX($U$1004:$AC$1004,1,MATCH(COLUMNS($U$1006:V1006),$U$1006:$AC$1006,0)))),"Fix")))</f>
        <v>0</v>
      </c>
      <c r="D210" s="3">
        <f>IF(OR(INDEX($O$2:$O$1001,MATCH(ROWS($N$2:N210),$N$2:$N$1001,0),1)&gt;=100000,INDEX($U$1005:$AC$1005,1,MATCH(COLUMNS($U$1006:W1006),$U$1006:$AC$1006,0))&gt;=100000), " ",IF(INDEX($U$2:$AC$1001,MATCH(ROWS($N$2:N210),$N$2:$N$1001,0),MATCH(COLUMNS($U$1006:W1006),$U$1006:$AC$1006,0)), HYPERLINK("#",""), HYPERLINK(CONCATENATE("#metadata!", ADDRESS(INDEX($P$2:$P$1001,MATCH(ROWS($N$2:N210),$N$2:$N$1001,0),0), INDEX($U$1004:$AC$1004,1,MATCH(COLUMNS($U$1006:W1006),$U$1006:$AC$1006,0)))),"Fix")))</f>
        <v>0</v>
      </c>
      <c r="E210" s="3">
        <f>IF(OR(INDEX($O$2:$O$1001,MATCH(ROWS($N$2:N210),$N$2:$N$1001,0),1)&gt;=100000,INDEX($U$1005:$AC$1005,1,MATCH(COLUMNS($U$1006:X1006),$U$1006:$AC$1006,0))&gt;=100000), " ",IF(INDEX($U$2:$AC$1001,MATCH(ROWS($N$2:N210),$N$2:$N$1001,0),MATCH(COLUMNS($U$1006:X1006),$U$1006:$AC$1006,0)), HYPERLINK("#",""), HYPERLINK(CONCATENATE("#metadata!", ADDRESS(INDEX($P$2:$P$1001,MATCH(ROWS($N$2:N210),$N$2:$N$1001,0),0), INDEX($U$1004:$AC$1004,1,MATCH(COLUMNS($U$1006:X1006),$U$1006:$AC$1006,0)))),"Fix")))</f>
        <v>0</v>
      </c>
      <c r="F210" s="3">
        <f>IF(OR(INDEX($O$2:$O$1001,MATCH(ROWS($N$2:N210),$N$2:$N$1001,0),1)&gt;=100000,INDEX($U$1005:$AC$1005,1,MATCH(COLUMNS($U$1006:Y1006),$U$1006:$AC$1006,0))&gt;=100000), " ",IF(INDEX($U$2:$AC$1001,MATCH(ROWS($N$2:N210),$N$2:$N$1001,0),MATCH(COLUMNS($U$1006:Y1006),$U$1006:$AC$1006,0)), HYPERLINK("#",""), HYPERLINK(CONCATENATE("#metadata!", ADDRESS(INDEX($P$2:$P$1001,MATCH(ROWS($N$2:N210),$N$2:$N$1001,0),0), INDEX($U$1004:$AC$1004,1,MATCH(COLUMNS($U$1006:Y1006),$U$1006:$AC$1006,0)))),"Fix")))</f>
        <v>0</v>
      </c>
      <c r="G210" s="3">
        <f>IF(OR(INDEX($O$2:$O$1001,MATCH(ROWS($N$2:N210),$N$2:$N$1001,0),1)&gt;=100000,INDEX($U$1005:$AC$1005,1,MATCH(COLUMNS($U$1006:Z1006),$U$1006:$AC$1006,0))&gt;=100000), " ",IF(INDEX($U$2:$AC$1001,MATCH(ROWS($N$2:N210),$N$2:$N$1001,0),MATCH(COLUMNS($U$1006:Z1006),$U$1006:$AC$1006,0)), HYPERLINK("#",""), HYPERLINK(CONCATENATE("#metadata!", ADDRESS(INDEX($P$2:$P$1001,MATCH(ROWS($N$2:N210),$N$2:$N$1001,0),0), INDEX($U$1004:$AC$1004,1,MATCH(COLUMNS($U$1006:Z1006),$U$1006:$AC$1006,0)))),"Fix")))</f>
        <v>0</v>
      </c>
      <c r="H210" s="3">
        <f>IF(OR(INDEX($O$2:$O$1001,MATCH(ROWS($N$2:N210),$N$2:$N$1001,0),1)&gt;=100000,INDEX($U$1005:$AC$1005,1,MATCH(COLUMNS($U$1006:AA1006),$U$1006:$AC$1006,0))&gt;=100000), " ",IF(INDEX($U$2:$AC$1001,MATCH(ROWS($N$2:N210),$N$2:$N$1001,0),MATCH(COLUMNS($U$1006:AA1006),$U$1006:$AC$1006,0)), HYPERLINK("#",""), HYPERLINK(CONCATENATE("#metadata!", ADDRESS(INDEX($P$2:$P$1001,MATCH(ROWS($N$2:N210),$N$2:$N$1001,0),0), INDEX($U$1004:$AC$1004,1,MATCH(COLUMNS($U$1006:AA1006),$U$1006:$AC$1006,0)))),"Fix")))</f>
        <v>0</v>
      </c>
      <c r="I210" s="3">
        <f>IF(OR(INDEX($O$2:$O$1001,MATCH(ROWS($N$2:N210),$N$2:$N$1001,0),1)&gt;=100000,INDEX($U$1005:$AC$1005,1,MATCH(COLUMNS($U$1006:AB1006),$U$1006:$AC$1006,0))&gt;=100000), " ",IF(INDEX($U$2:$AC$1001,MATCH(ROWS($N$2:N210),$N$2:$N$1001,0),MATCH(COLUMNS($U$1006:AB1006),$U$1006:$AC$1006,0)), HYPERLINK("#",""), HYPERLINK(CONCATENATE("#metadata!", ADDRESS(INDEX($P$2:$P$1001,MATCH(ROWS($N$2:N210),$N$2:$N$1001,0),0), INDEX($U$1004:$AC$1004,1,MATCH(COLUMNS($U$1006:AB1006),$U$1006:$AC$1006,0)))),"Fix")))</f>
        <v>0</v>
      </c>
      <c r="J210" s="3">
        <f>IF(OR(INDEX($O$2:$O$1001,MATCH(ROWS($N$2:N210),$N$2:$N$1001,0),1)&gt;=100000,INDEX($U$1005:$AC$1005,1,MATCH(COLUMNS($U$1006:AC1006),$U$1006:$AC$1006,0))&gt;=100000), " ",IF(INDEX($U$2:$AC$1001,MATCH(ROWS($N$2:N210),$N$2:$N$1001,0),MATCH(COLUMNS($U$1006:AC1006),$U$1006:$AC$1006,0)), HYPERLINK("#",""), HYPERLINK(CONCATENATE("#metadata!", ADDRESS(INDEX($P$2:$P$1001,MATCH(ROWS($N$2:N210),$N$2:$N$1001,0),0), INDEX($U$1004:$AC$1004,1,MATCH(COLUMNS($U$1006:AC1006),$U$1006:$AC$1006,0)))),"Fix")))</f>
        <v>0</v>
      </c>
      <c r="N210">
        <v>0</v>
      </c>
      <c r="O210">
        <v>0</v>
      </c>
      <c r="P210">
        <v>0</v>
      </c>
      <c r="Q210">
        <f>IF(R210,TRUE,AND(U210:AC210))</f>
        <v>0</v>
      </c>
      <c r="R210">
        <f>COUNTBLANK(metadata!B210:J210)=COLUMNS(metadata!B210:J210)</f>
        <v>0</v>
      </c>
      <c r="S210">
        <v>0</v>
      </c>
      <c r="U210">
        <f>AND(IF(metadata!B210="",FALSE,TRUE),COUNTIF(metadata!B:B, metadata!B210) = 1,NOT(ISERROR(SUMPRODUCT(SEARCH(MID(metadata!B210,ROW(INDIRECT("1:"&amp;LEN(metadata!B210))), 1),"0123456789abcdefghijklmnopqrstuvwxyzABCDEFGHIJKLMNOPQRSTUVWXYZ.")))))</f>
        <v>0</v>
      </c>
      <c r="V210">
        <f>AND(IF(metadata!C210="",FALSE,TRUE),exact(metadata!C210,"UBERON:genitourinary"))</f>
        <v>0</v>
      </c>
      <c r="W210">
        <f>AND(IF(metadata!D210="",FALSE,TRUE),exact(metadata!D210,"UBERON:urine"))</f>
        <v>0</v>
      </c>
      <c r="X210">
        <f>AND(IF(metadata!E210="",FALSE,TRUE),exact(metadata!E210,"UBERON:kidney"))</f>
        <v>0</v>
      </c>
      <c r="Y210">
        <f>AND(IF(metadata!F210="",FALSE,TRUE),exact(metadata!F210,"animal corpus"))</f>
        <v>0</v>
      </c>
      <c r="Z210">
        <f>AND(IF(metadata!G210="",FALSE,TRUE),exact(metadata!G210,"urine"))</f>
        <v>0</v>
      </c>
      <c r="AA210">
        <f>AND(IF(metadata!H210="",FALSE,TRUE),exact(metadata!H210,"urine"))</f>
        <v>0</v>
      </c>
      <c r="AB210">
        <f>AND(IF(metadata!I210="",FALSE,TRUE),exact(metadata!I210,"urine metagenome"))</f>
        <v>0</v>
      </c>
      <c r="AC210">
        <f>AND(IF(metadata!J210="",FALSE,TRUE),exact(metadata!J210,"1346744"))</f>
        <v>0</v>
      </c>
    </row>
    <row r="211" spans="1:29">
      <c r="A211" s="4">
        <f>IF(B211=" "," ",HYPERLINK(CONCATENATE("#metadata!",ADDRESS(INDEX($P$2:$P$1001,MATCH(ROWS($N$2:N211),$N$2:$N$1001,0),0),1)),INDEX($S$2:$S$1001,MATCH(ROWS($N$2:N211),$N$2:$N$1001,0),0)))</f>
        <v>0</v>
      </c>
      <c r="B211" s="3">
        <f>IF(OR(INDEX($O$2:$O$1001,MATCH(ROWS($N$2:N211),$N$2:$N$1001,0),1)&gt;=100000,INDEX($U$1005:$AC$1005,1,MATCH(COLUMNS($U$1006:U1006),$U$1006:$AC$1006,0))&gt;=100000), " ",IF(INDEX($U$2:$AC$1001,MATCH(ROWS($N$2:N211),$N$2:$N$1001,0),MATCH(COLUMNS($U$1006:U1006),$U$1006:$AC$1006,0)), HYPERLINK("#",""), HYPERLINK(CONCATENATE("#metadata!", ADDRESS(INDEX($P$2:$P$1001,MATCH(ROWS($N$2:N211),$N$2:$N$1001,0),0), INDEX($U$1004:$AC$1004,1,MATCH(COLUMNS($U$1006:U1006),$U$1006:$AC$1006,0)))),"Fix")))</f>
        <v>0</v>
      </c>
      <c r="C211" s="3">
        <f>IF(OR(INDEX($O$2:$O$1001,MATCH(ROWS($N$2:N211),$N$2:$N$1001,0),1)&gt;=100000,INDEX($U$1005:$AC$1005,1,MATCH(COLUMNS($U$1006:V1006),$U$1006:$AC$1006,0))&gt;=100000), " ",IF(INDEX($U$2:$AC$1001,MATCH(ROWS($N$2:N211),$N$2:$N$1001,0),MATCH(COLUMNS($U$1006:V1006),$U$1006:$AC$1006,0)), HYPERLINK("#",""), HYPERLINK(CONCATENATE("#metadata!", ADDRESS(INDEX($P$2:$P$1001,MATCH(ROWS($N$2:N211),$N$2:$N$1001,0),0), INDEX($U$1004:$AC$1004,1,MATCH(COLUMNS($U$1006:V1006),$U$1006:$AC$1006,0)))),"Fix")))</f>
        <v>0</v>
      </c>
      <c r="D211" s="3">
        <f>IF(OR(INDEX($O$2:$O$1001,MATCH(ROWS($N$2:N211),$N$2:$N$1001,0),1)&gt;=100000,INDEX($U$1005:$AC$1005,1,MATCH(COLUMNS($U$1006:W1006),$U$1006:$AC$1006,0))&gt;=100000), " ",IF(INDEX($U$2:$AC$1001,MATCH(ROWS($N$2:N211),$N$2:$N$1001,0),MATCH(COLUMNS($U$1006:W1006),$U$1006:$AC$1006,0)), HYPERLINK("#",""), HYPERLINK(CONCATENATE("#metadata!", ADDRESS(INDEX($P$2:$P$1001,MATCH(ROWS($N$2:N211),$N$2:$N$1001,0),0), INDEX($U$1004:$AC$1004,1,MATCH(COLUMNS($U$1006:W1006),$U$1006:$AC$1006,0)))),"Fix")))</f>
        <v>0</v>
      </c>
      <c r="E211" s="3">
        <f>IF(OR(INDEX($O$2:$O$1001,MATCH(ROWS($N$2:N211),$N$2:$N$1001,0),1)&gt;=100000,INDEX($U$1005:$AC$1005,1,MATCH(COLUMNS($U$1006:X1006),$U$1006:$AC$1006,0))&gt;=100000), " ",IF(INDEX($U$2:$AC$1001,MATCH(ROWS($N$2:N211),$N$2:$N$1001,0),MATCH(COLUMNS($U$1006:X1006),$U$1006:$AC$1006,0)), HYPERLINK("#",""), HYPERLINK(CONCATENATE("#metadata!", ADDRESS(INDEX($P$2:$P$1001,MATCH(ROWS($N$2:N211),$N$2:$N$1001,0),0), INDEX($U$1004:$AC$1004,1,MATCH(COLUMNS($U$1006:X1006),$U$1006:$AC$1006,0)))),"Fix")))</f>
        <v>0</v>
      </c>
      <c r="F211" s="3">
        <f>IF(OR(INDEX($O$2:$O$1001,MATCH(ROWS($N$2:N211),$N$2:$N$1001,0),1)&gt;=100000,INDEX($U$1005:$AC$1005,1,MATCH(COLUMNS($U$1006:Y1006),$U$1006:$AC$1006,0))&gt;=100000), " ",IF(INDEX($U$2:$AC$1001,MATCH(ROWS($N$2:N211),$N$2:$N$1001,0),MATCH(COLUMNS($U$1006:Y1006),$U$1006:$AC$1006,0)), HYPERLINK("#",""), HYPERLINK(CONCATENATE("#metadata!", ADDRESS(INDEX($P$2:$P$1001,MATCH(ROWS($N$2:N211),$N$2:$N$1001,0),0), INDEX($U$1004:$AC$1004,1,MATCH(COLUMNS($U$1006:Y1006),$U$1006:$AC$1006,0)))),"Fix")))</f>
        <v>0</v>
      </c>
      <c r="G211" s="3">
        <f>IF(OR(INDEX($O$2:$O$1001,MATCH(ROWS($N$2:N211),$N$2:$N$1001,0),1)&gt;=100000,INDEX($U$1005:$AC$1005,1,MATCH(COLUMNS($U$1006:Z1006),$U$1006:$AC$1006,0))&gt;=100000), " ",IF(INDEX($U$2:$AC$1001,MATCH(ROWS($N$2:N211),$N$2:$N$1001,0),MATCH(COLUMNS($U$1006:Z1006),$U$1006:$AC$1006,0)), HYPERLINK("#",""), HYPERLINK(CONCATENATE("#metadata!", ADDRESS(INDEX($P$2:$P$1001,MATCH(ROWS($N$2:N211),$N$2:$N$1001,0),0), INDEX($U$1004:$AC$1004,1,MATCH(COLUMNS($U$1006:Z1006),$U$1006:$AC$1006,0)))),"Fix")))</f>
        <v>0</v>
      </c>
      <c r="H211" s="3">
        <f>IF(OR(INDEX($O$2:$O$1001,MATCH(ROWS($N$2:N211),$N$2:$N$1001,0),1)&gt;=100000,INDEX($U$1005:$AC$1005,1,MATCH(COLUMNS($U$1006:AA1006),$U$1006:$AC$1006,0))&gt;=100000), " ",IF(INDEX($U$2:$AC$1001,MATCH(ROWS($N$2:N211),$N$2:$N$1001,0),MATCH(COLUMNS($U$1006:AA1006),$U$1006:$AC$1006,0)), HYPERLINK("#",""), HYPERLINK(CONCATENATE("#metadata!", ADDRESS(INDEX($P$2:$P$1001,MATCH(ROWS($N$2:N211),$N$2:$N$1001,0),0), INDEX($U$1004:$AC$1004,1,MATCH(COLUMNS($U$1006:AA1006),$U$1006:$AC$1006,0)))),"Fix")))</f>
        <v>0</v>
      </c>
      <c r="I211" s="3">
        <f>IF(OR(INDEX($O$2:$O$1001,MATCH(ROWS($N$2:N211),$N$2:$N$1001,0),1)&gt;=100000,INDEX($U$1005:$AC$1005,1,MATCH(COLUMNS($U$1006:AB1006),$U$1006:$AC$1006,0))&gt;=100000), " ",IF(INDEX($U$2:$AC$1001,MATCH(ROWS($N$2:N211),$N$2:$N$1001,0),MATCH(COLUMNS($U$1006:AB1006),$U$1006:$AC$1006,0)), HYPERLINK("#",""), HYPERLINK(CONCATENATE("#metadata!", ADDRESS(INDEX($P$2:$P$1001,MATCH(ROWS($N$2:N211),$N$2:$N$1001,0),0), INDEX($U$1004:$AC$1004,1,MATCH(COLUMNS($U$1006:AB1006),$U$1006:$AC$1006,0)))),"Fix")))</f>
        <v>0</v>
      </c>
      <c r="J211" s="3">
        <f>IF(OR(INDEX($O$2:$O$1001,MATCH(ROWS($N$2:N211),$N$2:$N$1001,0),1)&gt;=100000,INDEX($U$1005:$AC$1005,1,MATCH(COLUMNS($U$1006:AC1006),$U$1006:$AC$1006,0))&gt;=100000), " ",IF(INDEX($U$2:$AC$1001,MATCH(ROWS($N$2:N211),$N$2:$N$1001,0),MATCH(COLUMNS($U$1006:AC1006),$U$1006:$AC$1006,0)), HYPERLINK("#",""), HYPERLINK(CONCATENATE("#metadata!", ADDRESS(INDEX($P$2:$P$1001,MATCH(ROWS($N$2:N211),$N$2:$N$1001,0),0), INDEX($U$1004:$AC$1004,1,MATCH(COLUMNS($U$1006:AC1006),$U$1006:$AC$1006,0)))),"Fix")))</f>
        <v>0</v>
      </c>
      <c r="N211">
        <v>0</v>
      </c>
      <c r="O211">
        <v>0</v>
      </c>
      <c r="P211">
        <v>0</v>
      </c>
      <c r="Q211">
        <f>IF(R211,TRUE,AND(U211:AC211))</f>
        <v>0</v>
      </c>
      <c r="R211">
        <f>COUNTBLANK(metadata!B211:J211)=COLUMNS(metadata!B211:J211)</f>
        <v>0</v>
      </c>
      <c r="S211">
        <v>0</v>
      </c>
      <c r="U211">
        <f>AND(IF(metadata!B211="",FALSE,TRUE),COUNTIF(metadata!B:B, metadata!B211) = 1,NOT(ISERROR(SUMPRODUCT(SEARCH(MID(metadata!B211,ROW(INDIRECT("1:"&amp;LEN(metadata!B211))), 1),"0123456789abcdefghijklmnopqrstuvwxyzABCDEFGHIJKLMNOPQRSTUVWXYZ.")))))</f>
        <v>0</v>
      </c>
      <c r="V211">
        <f>AND(IF(metadata!C211="",FALSE,TRUE),exact(metadata!C211,"UBERON:genitourinary"))</f>
        <v>0</v>
      </c>
      <c r="W211">
        <f>AND(IF(metadata!D211="",FALSE,TRUE),exact(metadata!D211,"UBERON:urine"))</f>
        <v>0</v>
      </c>
      <c r="X211">
        <f>AND(IF(metadata!E211="",FALSE,TRUE),exact(metadata!E211,"UBERON:kidney"))</f>
        <v>0</v>
      </c>
      <c r="Y211">
        <f>AND(IF(metadata!F211="",FALSE,TRUE),exact(metadata!F211,"animal corpus"))</f>
        <v>0</v>
      </c>
      <c r="Z211">
        <f>AND(IF(metadata!G211="",FALSE,TRUE),exact(metadata!G211,"urine"))</f>
        <v>0</v>
      </c>
      <c r="AA211">
        <f>AND(IF(metadata!H211="",FALSE,TRUE),exact(metadata!H211,"urine"))</f>
        <v>0</v>
      </c>
      <c r="AB211">
        <f>AND(IF(metadata!I211="",FALSE,TRUE),exact(metadata!I211,"urine metagenome"))</f>
        <v>0</v>
      </c>
      <c r="AC211">
        <f>AND(IF(metadata!J211="",FALSE,TRUE),exact(metadata!J211,"1346744"))</f>
        <v>0</v>
      </c>
    </row>
    <row r="212" spans="1:29">
      <c r="A212" s="4">
        <f>IF(B212=" "," ",HYPERLINK(CONCATENATE("#metadata!",ADDRESS(INDEX($P$2:$P$1001,MATCH(ROWS($N$2:N212),$N$2:$N$1001,0),0),1)),INDEX($S$2:$S$1001,MATCH(ROWS($N$2:N212),$N$2:$N$1001,0),0)))</f>
        <v>0</v>
      </c>
      <c r="B212" s="3">
        <f>IF(OR(INDEX($O$2:$O$1001,MATCH(ROWS($N$2:N212),$N$2:$N$1001,0),1)&gt;=100000,INDEX($U$1005:$AC$1005,1,MATCH(COLUMNS($U$1006:U1006),$U$1006:$AC$1006,0))&gt;=100000), " ",IF(INDEX($U$2:$AC$1001,MATCH(ROWS($N$2:N212),$N$2:$N$1001,0),MATCH(COLUMNS($U$1006:U1006),$U$1006:$AC$1006,0)), HYPERLINK("#",""), HYPERLINK(CONCATENATE("#metadata!", ADDRESS(INDEX($P$2:$P$1001,MATCH(ROWS($N$2:N212),$N$2:$N$1001,0),0), INDEX($U$1004:$AC$1004,1,MATCH(COLUMNS($U$1006:U1006),$U$1006:$AC$1006,0)))),"Fix")))</f>
        <v>0</v>
      </c>
      <c r="C212" s="3">
        <f>IF(OR(INDEX($O$2:$O$1001,MATCH(ROWS($N$2:N212),$N$2:$N$1001,0),1)&gt;=100000,INDEX($U$1005:$AC$1005,1,MATCH(COLUMNS($U$1006:V1006),$U$1006:$AC$1006,0))&gt;=100000), " ",IF(INDEX($U$2:$AC$1001,MATCH(ROWS($N$2:N212),$N$2:$N$1001,0),MATCH(COLUMNS($U$1006:V1006),$U$1006:$AC$1006,0)), HYPERLINK("#",""), HYPERLINK(CONCATENATE("#metadata!", ADDRESS(INDEX($P$2:$P$1001,MATCH(ROWS($N$2:N212),$N$2:$N$1001,0),0), INDEX($U$1004:$AC$1004,1,MATCH(COLUMNS($U$1006:V1006),$U$1006:$AC$1006,0)))),"Fix")))</f>
        <v>0</v>
      </c>
      <c r="D212" s="3">
        <f>IF(OR(INDEX($O$2:$O$1001,MATCH(ROWS($N$2:N212),$N$2:$N$1001,0),1)&gt;=100000,INDEX($U$1005:$AC$1005,1,MATCH(COLUMNS($U$1006:W1006),$U$1006:$AC$1006,0))&gt;=100000), " ",IF(INDEX($U$2:$AC$1001,MATCH(ROWS($N$2:N212),$N$2:$N$1001,0),MATCH(COLUMNS($U$1006:W1006),$U$1006:$AC$1006,0)), HYPERLINK("#",""), HYPERLINK(CONCATENATE("#metadata!", ADDRESS(INDEX($P$2:$P$1001,MATCH(ROWS($N$2:N212),$N$2:$N$1001,0),0), INDEX($U$1004:$AC$1004,1,MATCH(COLUMNS($U$1006:W1006),$U$1006:$AC$1006,0)))),"Fix")))</f>
        <v>0</v>
      </c>
      <c r="E212" s="3">
        <f>IF(OR(INDEX($O$2:$O$1001,MATCH(ROWS($N$2:N212),$N$2:$N$1001,0),1)&gt;=100000,INDEX($U$1005:$AC$1005,1,MATCH(COLUMNS($U$1006:X1006),$U$1006:$AC$1006,0))&gt;=100000), " ",IF(INDEX($U$2:$AC$1001,MATCH(ROWS($N$2:N212),$N$2:$N$1001,0),MATCH(COLUMNS($U$1006:X1006),$U$1006:$AC$1006,0)), HYPERLINK("#",""), HYPERLINK(CONCATENATE("#metadata!", ADDRESS(INDEX($P$2:$P$1001,MATCH(ROWS($N$2:N212),$N$2:$N$1001,0),0), INDEX($U$1004:$AC$1004,1,MATCH(COLUMNS($U$1006:X1006),$U$1006:$AC$1006,0)))),"Fix")))</f>
        <v>0</v>
      </c>
      <c r="F212" s="3">
        <f>IF(OR(INDEX($O$2:$O$1001,MATCH(ROWS($N$2:N212),$N$2:$N$1001,0),1)&gt;=100000,INDEX($U$1005:$AC$1005,1,MATCH(COLUMNS($U$1006:Y1006),$U$1006:$AC$1006,0))&gt;=100000), " ",IF(INDEX($U$2:$AC$1001,MATCH(ROWS($N$2:N212),$N$2:$N$1001,0),MATCH(COLUMNS($U$1006:Y1006),$U$1006:$AC$1006,0)), HYPERLINK("#",""), HYPERLINK(CONCATENATE("#metadata!", ADDRESS(INDEX($P$2:$P$1001,MATCH(ROWS($N$2:N212),$N$2:$N$1001,0),0), INDEX($U$1004:$AC$1004,1,MATCH(COLUMNS($U$1006:Y1006),$U$1006:$AC$1006,0)))),"Fix")))</f>
        <v>0</v>
      </c>
      <c r="G212" s="3">
        <f>IF(OR(INDEX($O$2:$O$1001,MATCH(ROWS($N$2:N212),$N$2:$N$1001,0),1)&gt;=100000,INDEX($U$1005:$AC$1005,1,MATCH(COLUMNS($U$1006:Z1006),$U$1006:$AC$1006,0))&gt;=100000), " ",IF(INDEX($U$2:$AC$1001,MATCH(ROWS($N$2:N212),$N$2:$N$1001,0),MATCH(COLUMNS($U$1006:Z1006),$U$1006:$AC$1006,0)), HYPERLINK("#",""), HYPERLINK(CONCATENATE("#metadata!", ADDRESS(INDEX($P$2:$P$1001,MATCH(ROWS($N$2:N212),$N$2:$N$1001,0),0), INDEX($U$1004:$AC$1004,1,MATCH(COLUMNS($U$1006:Z1006),$U$1006:$AC$1006,0)))),"Fix")))</f>
        <v>0</v>
      </c>
      <c r="H212" s="3">
        <f>IF(OR(INDEX($O$2:$O$1001,MATCH(ROWS($N$2:N212),$N$2:$N$1001,0),1)&gt;=100000,INDEX($U$1005:$AC$1005,1,MATCH(COLUMNS($U$1006:AA1006),$U$1006:$AC$1006,0))&gt;=100000), " ",IF(INDEX($U$2:$AC$1001,MATCH(ROWS($N$2:N212),$N$2:$N$1001,0),MATCH(COLUMNS($U$1006:AA1006),$U$1006:$AC$1006,0)), HYPERLINK("#",""), HYPERLINK(CONCATENATE("#metadata!", ADDRESS(INDEX($P$2:$P$1001,MATCH(ROWS($N$2:N212),$N$2:$N$1001,0),0), INDEX($U$1004:$AC$1004,1,MATCH(COLUMNS($U$1006:AA1006),$U$1006:$AC$1006,0)))),"Fix")))</f>
        <v>0</v>
      </c>
      <c r="I212" s="3">
        <f>IF(OR(INDEX($O$2:$O$1001,MATCH(ROWS($N$2:N212),$N$2:$N$1001,0),1)&gt;=100000,INDEX($U$1005:$AC$1005,1,MATCH(COLUMNS($U$1006:AB1006),$U$1006:$AC$1006,0))&gt;=100000), " ",IF(INDEX($U$2:$AC$1001,MATCH(ROWS($N$2:N212),$N$2:$N$1001,0),MATCH(COLUMNS($U$1006:AB1006),$U$1006:$AC$1006,0)), HYPERLINK("#",""), HYPERLINK(CONCATENATE("#metadata!", ADDRESS(INDEX($P$2:$P$1001,MATCH(ROWS($N$2:N212),$N$2:$N$1001,0),0), INDEX($U$1004:$AC$1004,1,MATCH(COLUMNS($U$1006:AB1006),$U$1006:$AC$1006,0)))),"Fix")))</f>
        <v>0</v>
      </c>
      <c r="J212" s="3">
        <f>IF(OR(INDEX($O$2:$O$1001,MATCH(ROWS($N$2:N212),$N$2:$N$1001,0),1)&gt;=100000,INDEX($U$1005:$AC$1005,1,MATCH(COLUMNS($U$1006:AC1006),$U$1006:$AC$1006,0))&gt;=100000), " ",IF(INDEX($U$2:$AC$1001,MATCH(ROWS($N$2:N212),$N$2:$N$1001,0),MATCH(COLUMNS($U$1006:AC1006),$U$1006:$AC$1006,0)), HYPERLINK("#",""), HYPERLINK(CONCATENATE("#metadata!", ADDRESS(INDEX($P$2:$P$1001,MATCH(ROWS($N$2:N212),$N$2:$N$1001,0),0), INDEX($U$1004:$AC$1004,1,MATCH(COLUMNS($U$1006:AC1006),$U$1006:$AC$1006,0)))),"Fix")))</f>
        <v>0</v>
      </c>
      <c r="N212">
        <v>0</v>
      </c>
      <c r="O212">
        <v>0</v>
      </c>
      <c r="P212">
        <v>0</v>
      </c>
      <c r="Q212">
        <f>IF(R212,TRUE,AND(U212:AC212))</f>
        <v>0</v>
      </c>
      <c r="R212">
        <f>COUNTBLANK(metadata!B212:J212)=COLUMNS(metadata!B212:J212)</f>
        <v>0</v>
      </c>
      <c r="S212">
        <v>0</v>
      </c>
      <c r="U212">
        <f>AND(IF(metadata!B212="",FALSE,TRUE),COUNTIF(metadata!B:B, metadata!B212) = 1,NOT(ISERROR(SUMPRODUCT(SEARCH(MID(metadata!B212,ROW(INDIRECT("1:"&amp;LEN(metadata!B212))), 1),"0123456789abcdefghijklmnopqrstuvwxyzABCDEFGHIJKLMNOPQRSTUVWXYZ.")))))</f>
        <v>0</v>
      </c>
      <c r="V212">
        <f>AND(IF(metadata!C212="",FALSE,TRUE),exact(metadata!C212,"UBERON:genitourinary"))</f>
        <v>0</v>
      </c>
      <c r="W212">
        <f>AND(IF(metadata!D212="",FALSE,TRUE),exact(metadata!D212,"UBERON:urine"))</f>
        <v>0</v>
      </c>
      <c r="X212">
        <f>AND(IF(metadata!E212="",FALSE,TRUE),exact(metadata!E212,"UBERON:kidney"))</f>
        <v>0</v>
      </c>
      <c r="Y212">
        <f>AND(IF(metadata!F212="",FALSE,TRUE),exact(metadata!F212,"animal corpus"))</f>
        <v>0</v>
      </c>
      <c r="Z212">
        <f>AND(IF(metadata!G212="",FALSE,TRUE),exact(metadata!G212,"urine"))</f>
        <v>0</v>
      </c>
      <c r="AA212">
        <f>AND(IF(metadata!H212="",FALSE,TRUE),exact(metadata!H212,"urine"))</f>
        <v>0</v>
      </c>
      <c r="AB212">
        <f>AND(IF(metadata!I212="",FALSE,TRUE),exact(metadata!I212,"urine metagenome"))</f>
        <v>0</v>
      </c>
      <c r="AC212">
        <f>AND(IF(metadata!J212="",FALSE,TRUE),exact(metadata!J212,"1346744"))</f>
        <v>0</v>
      </c>
    </row>
    <row r="213" spans="1:29">
      <c r="A213" s="4">
        <f>IF(B213=" "," ",HYPERLINK(CONCATENATE("#metadata!",ADDRESS(INDEX($P$2:$P$1001,MATCH(ROWS($N$2:N213),$N$2:$N$1001,0),0),1)),INDEX($S$2:$S$1001,MATCH(ROWS($N$2:N213),$N$2:$N$1001,0),0)))</f>
        <v>0</v>
      </c>
      <c r="B213" s="3">
        <f>IF(OR(INDEX($O$2:$O$1001,MATCH(ROWS($N$2:N213),$N$2:$N$1001,0),1)&gt;=100000,INDEX($U$1005:$AC$1005,1,MATCH(COLUMNS($U$1006:U1006),$U$1006:$AC$1006,0))&gt;=100000), " ",IF(INDEX($U$2:$AC$1001,MATCH(ROWS($N$2:N213),$N$2:$N$1001,0),MATCH(COLUMNS($U$1006:U1006),$U$1006:$AC$1006,0)), HYPERLINK("#",""), HYPERLINK(CONCATENATE("#metadata!", ADDRESS(INDEX($P$2:$P$1001,MATCH(ROWS($N$2:N213),$N$2:$N$1001,0),0), INDEX($U$1004:$AC$1004,1,MATCH(COLUMNS($U$1006:U1006),$U$1006:$AC$1006,0)))),"Fix")))</f>
        <v>0</v>
      </c>
      <c r="C213" s="3">
        <f>IF(OR(INDEX($O$2:$O$1001,MATCH(ROWS($N$2:N213),$N$2:$N$1001,0),1)&gt;=100000,INDEX($U$1005:$AC$1005,1,MATCH(COLUMNS($U$1006:V1006),$U$1006:$AC$1006,0))&gt;=100000), " ",IF(INDEX($U$2:$AC$1001,MATCH(ROWS($N$2:N213),$N$2:$N$1001,0),MATCH(COLUMNS($U$1006:V1006),$U$1006:$AC$1006,0)), HYPERLINK("#",""), HYPERLINK(CONCATENATE("#metadata!", ADDRESS(INDEX($P$2:$P$1001,MATCH(ROWS($N$2:N213),$N$2:$N$1001,0),0), INDEX($U$1004:$AC$1004,1,MATCH(COLUMNS($U$1006:V1006),$U$1006:$AC$1006,0)))),"Fix")))</f>
        <v>0</v>
      </c>
      <c r="D213" s="3">
        <f>IF(OR(INDEX($O$2:$O$1001,MATCH(ROWS($N$2:N213),$N$2:$N$1001,0),1)&gt;=100000,INDEX($U$1005:$AC$1005,1,MATCH(COLUMNS($U$1006:W1006),$U$1006:$AC$1006,0))&gt;=100000), " ",IF(INDEX($U$2:$AC$1001,MATCH(ROWS($N$2:N213),$N$2:$N$1001,0),MATCH(COLUMNS($U$1006:W1006),$U$1006:$AC$1006,0)), HYPERLINK("#",""), HYPERLINK(CONCATENATE("#metadata!", ADDRESS(INDEX($P$2:$P$1001,MATCH(ROWS($N$2:N213),$N$2:$N$1001,0),0), INDEX($U$1004:$AC$1004,1,MATCH(COLUMNS($U$1006:W1006),$U$1006:$AC$1006,0)))),"Fix")))</f>
        <v>0</v>
      </c>
      <c r="E213" s="3">
        <f>IF(OR(INDEX($O$2:$O$1001,MATCH(ROWS($N$2:N213),$N$2:$N$1001,0),1)&gt;=100000,INDEX($U$1005:$AC$1005,1,MATCH(COLUMNS($U$1006:X1006),$U$1006:$AC$1006,0))&gt;=100000), " ",IF(INDEX($U$2:$AC$1001,MATCH(ROWS($N$2:N213),$N$2:$N$1001,0),MATCH(COLUMNS($U$1006:X1006),$U$1006:$AC$1006,0)), HYPERLINK("#",""), HYPERLINK(CONCATENATE("#metadata!", ADDRESS(INDEX($P$2:$P$1001,MATCH(ROWS($N$2:N213),$N$2:$N$1001,0),0), INDEX($U$1004:$AC$1004,1,MATCH(COLUMNS($U$1006:X1006),$U$1006:$AC$1006,0)))),"Fix")))</f>
        <v>0</v>
      </c>
      <c r="F213" s="3">
        <f>IF(OR(INDEX($O$2:$O$1001,MATCH(ROWS($N$2:N213),$N$2:$N$1001,0),1)&gt;=100000,INDEX($U$1005:$AC$1005,1,MATCH(COLUMNS($U$1006:Y1006),$U$1006:$AC$1006,0))&gt;=100000), " ",IF(INDEX($U$2:$AC$1001,MATCH(ROWS($N$2:N213),$N$2:$N$1001,0),MATCH(COLUMNS($U$1006:Y1006),$U$1006:$AC$1006,0)), HYPERLINK("#",""), HYPERLINK(CONCATENATE("#metadata!", ADDRESS(INDEX($P$2:$P$1001,MATCH(ROWS($N$2:N213),$N$2:$N$1001,0),0), INDEX($U$1004:$AC$1004,1,MATCH(COLUMNS($U$1006:Y1006),$U$1006:$AC$1006,0)))),"Fix")))</f>
        <v>0</v>
      </c>
      <c r="G213" s="3">
        <f>IF(OR(INDEX($O$2:$O$1001,MATCH(ROWS($N$2:N213),$N$2:$N$1001,0),1)&gt;=100000,INDEX($U$1005:$AC$1005,1,MATCH(COLUMNS($U$1006:Z1006),$U$1006:$AC$1006,0))&gt;=100000), " ",IF(INDEX($U$2:$AC$1001,MATCH(ROWS($N$2:N213),$N$2:$N$1001,0),MATCH(COLUMNS($U$1006:Z1006),$U$1006:$AC$1006,0)), HYPERLINK("#",""), HYPERLINK(CONCATENATE("#metadata!", ADDRESS(INDEX($P$2:$P$1001,MATCH(ROWS($N$2:N213),$N$2:$N$1001,0),0), INDEX($U$1004:$AC$1004,1,MATCH(COLUMNS($U$1006:Z1006),$U$1006:$AC$1006,0)))),"Fix")))</f>
        <v>0</v>
      </c>
      <c r="H213" s="3">
        <f>IF(OR(INDEX($O$2:$O$1001,MATCH(ROWS($N$2:N213),$N$2:$N$1001,0),1)&gt;=100000,INDEX($U$1005:$AC$1005,1,MATCH(COLUMNS($U$1006:AA1006),$U$1006:$AC$1006,0))&gt;=100000), " ",IF(INDEX($U$2:$AC$1001,MATCH(ROWS($N$2:N213),$N$2:$N$1001,0),MATCH(COLUMNS($U$1006:AA1006),$U$1006:$AC$1006,0)), HYPERLINK("#",""), HYPERLINK(CONCATENATE("#metadata!", ADDRESS(INDEX($P$2:$P$1001,MATCH(ROWS($N$2:N213),$N$2:$N$1001,0),0), INDEX($U$1004:$AC$1004,1,MATCH(COLUMNS($U$1006:AA1006),$U$1006:$AC$1006,0)))),"Fix")))</f>
        <v>0</v>
      </c>
      <c r="I213" s="3">
        <f>IF(OR(INDEX($O$2:$O$1001,MATCH(ROWS($N$2:N213),$N$2:$N$1001,0),1)&gt;=100000,INDEX($U$1005:$AC$1005,1,MATCH(COLUMNS($U$1006:AB1006),$U$1006:$AC$1006,0))&gt;=100000), " ",IF(INDEX($U$2:$AC$1001,MATCH(ROWS($N$2:N213),$N$2:$N$1001,0),MATCH(COLUMNS($U$1006:AB1006),$U$1006:$AC$1006,0)), HYPERLINK("#",""), HYPERLINK(CONCATENATE("#metadata!", ADDRESS(INDEX($P$2:$P$1001,MATCH(ROWS($N$2:N213),$N$2:$N$1001,0),0), INDEX($U$1004:$AC$1004,1,MATCH(COLUMNS($U$1006:AB1006),$U$1006:$AC$1006,0)))),"Fix")))</f>
        <v>0</v>
      </c>
      <c r="J213" s="3">
        <f>IF(OR(INDEX($O$2:$O$1001,MATCH(ROWS($N$2:N213),$N$2:$N$1001,0),1)&gt;=100000,INDEX($U$1005:$AC$1005,1,MATCH(COLUMNS($U$1006:AC1006),$U$1006:$AC$1006,0))&gt;=100000), " ",IF(INDEX($U$2:$AC$1001,MATCH(ROWS($N$2:N213),$N$2:$N$1001,0),MATCH(COLUMNS($U$1006:AC1006),$U$1006:$AC$1006,0)), HYPERLINK("#",""), HYPERLINK(CONCATENATE("#metadata!", ADDRESS(INDEX($P$2:$P$1001,MATCH(ROWS($N$2:N213),$N$2:$N$1001,0),0), INDEX($U$1004:$AC$1004,1,MATCH(COLUMNS($U$1006:AC1006),$U$1006:$AC$1006,0)))),"Fix")))</f>
        <v>0</v>
      </c>
      <c r="N213">
        <v>0</v>
      </c>
      <c r="O213">
        <v>0</v>
      </c>
      <c r="P213">
        <v>0</v>
      </c>
      <c r="Q213">
        <f>IF(R213,TRUE,AND(U213:AC213))</f>
        <v>0</v>
      </c>
      <c r="R213">
        <f>COUNTBLANK(metadata!B213:J213)=COLUMNS(metadata!B213:J213)</f>
        <v>0</v>
      </c>
      <c r="S213">
        <v>0</v>
      </c>
      <c r="U213">
        <f>AND(IF(metadata!B213="",FALSE,TRUE),COUNTIF(metadata!B:B, metadata!B213) = 1,NOT(ISERROR(SUMPRODUCT(SEARCH(MID(metadata!B213,ROW(INDIRECT("1:"&amp;LEN(metadata!B213))), 1),"0123456789abcdefghijklmnopqrstuvwxyzABCDEFGHIJKLMNOPQRSTUVWXYZ.")))))</f>
        <v>0</v>
      </c>
      <c r="V213">
        <f>AND(IF(metadata!C213="",FALSE,TRUE),exact(metadata!C213,"UBERON:genitourinary"))</f>
        <v>0</v>
      </c>
      <c r="W213">
        <f>AND(IF(metadata!D213="",FALSE,TRUE),exact(metadata!D213,"UBERON:urine"))</f>
        <v>0</v>
      </c>
      <c r="X213">
        <f>AND(IF(metadata!E213="",FALSE,TRUE),exact(metadata!E213,"UBERON:kidney"))</f>
        <v>0</v>
      </c>
      <c r="Y213">
        <f>AND(IF(metadata!F213="",FALSE,TRUE),exact(metadata!F213,"animal corpus"))</f>
        <v>0</v>
      </c>
      <c r="Z213">
        <f>AND(IF(metadata!G213="",FALSE,TRUE),exact(metadata!G213,"urine"))</f>
        <v>0</v>
      </c>
      <c r="AA213">
        <f>AND(IF(metadata!H213="",FALSE,TRUE),exact(metadata!H213,"urine"))</f>
        <v>0</v>
      </c>
      <c r="AB213">
        <f>AND(IF(metadata!I213="",FALSE,TRUE),exact(metadata!I213,"urine metagenome"))</f>
        <v>0</v>
      </c>
      <c r="AC213">
        <f>AND(IF(metadata!J213="",FALSE,TRUE),exact(metadata!J213,"1346744"))</f>
        <v>0</v>
      </c>
    </row>
    <row r="214" spans="1:29">
      <c r="A214" s="4">
        <f>IF(B214=" "," ",HYPERLINK(CONCATENATE("#metadata!",ADDRESS(INDEX($P$2:$P$1001,MATCH(ROWS($N$2:N214),$N$2:$N$1001,0),0),1)),INDEX($S$2:$S$1001,MATCH(ROWS($N$2:N214),$N$2:$N$1001,0),0)))</f>
        <v>0</v>
      </c>
      <c r="B214" s="3">
        <f>IF(OR(INDEX($O$2:$O$1001,MATCH(ROWS($N$2:N214),$N$2:$N$1001,0),1)&gt;=100000,INDEX($U$1005:$AC$1005,1,MATCH(COLUMNS($U$1006:U1006),$U$1006:$AC$1006,0))&gt;=100000), " ",IF(INDEX($U$2:$AC$1001,MATCH(ROWS($N$2:N214),$N$2:$N$1001,0),MATCH(COLUMNS($U$1006:U1006),$U$1006:$AC$1006,0)), HYPERLINK("#",""), HYPERLINK(CONCATENATE("#metadata!", ADDRESS(INDEX($P$2:$P$1001,MATCH(ROWS($N$2:N214),$N$2:$N$1001,0),0), INDEX($U$1004:$AC$1004,1,MATCH(COLUMNS($U$1006:U1006),$U$1006:$AC$1006,0)))),"Fix")))</f>
        <v>0</v>
      </c>
      <c r="C214" s="3">
        <f>IF(OR(INDEX($O$2:$O$1001,MATCH(ROWS($N$2:N214),$N$2:$N$1001,0),1)&gt;=100000,INDEX($U$1005:$AC$1005,1,MATCH(COLUMNS($U$1006:V1006),$U$1006:$AC$1006,0))&gt;=100000), " ",IF(INDEX($U$2:$AC$1001,MATCH(ROWS($N$2:N214),$N$2:$N$1001,0),MATCH(COLUMNS($U$1006:V1006),$U$1006:$AC$1006,0)), HYPERLINK("#",""), HYPERLINK(CONCATENATE("#metadata!", ADDRESS(INDEX($P$2:$P$1001,MATCH(ROWS($N$2:N214),$N$2:$N$1001,0),0), INDEX($U$1004:$AC$1004,1,MATCH(COLUMNS($U$1006:V1006),$U$1006:$AC$1006,0)))),"Fix")))</f>
        <v>0</v>
      </c>
      <c r="D214" s="3">
        <f>IF(OR(INDEX($O$2:$O$1001,MATCH(ROWS($N$2:N214),$N$2:$N$1001,0),1)&gt;=100000,INDEX($U$1005:$AC$1005,1,MATCH(COLUMNS($U$1006:W1006),$U$1006:$AC$1006,0))&gt;=100000), " ",IF(INDEX($U$2:$AC$1001,MATCH(ROWS($N$2:N214),$N$2:$N$1001,0),MATCH(COLUMNS($U$1006:W1006),$U$1006:$AC$1006,0)), HYPERLINK("#",""), HYPERLINK(CONCATENATE("#metadata!", ADDRESS(INDEX($P$2:$P$1001,MATCH(ROWS($N$2:N214),$N$2:$N$1001,0),0), INDEX($U$1004:$AC$1004,1,MATCH(COLUMNS($U$1006:W1006),$U$1006:$AC$1006,0)))),"Fix")))</f>
        <v>0</v>
      </c>
      <c r="E214" s="3">
        <f>IF(OR(INDEX($O$2:$O$1001,MATCH(ROWS($N$2:N214),$N$2:$N$1001,0),1)&gt;=100000,INDEX($U$1005:$AC$1005,1,MATCH(COLUMNS($U$1006:X1006),$U$1006:$AC$1006,0))&gt;=100000), " ",IF(INDEX($U$2:$AC$1001,MATCH(ROWS($N$2:N214),$N$2:$N$1001,0),MATCH(COLUMNS($U$1006:X1006),$U$1006:$AC$1006,0)), HYPERLINK("#",""), HYPERLINK(CONCATENATE("#metadata!", ADDRESS(INDEX($P$2:$P$1001,MATCH(ROWS($N$2:N214),$N$2:$N$1001,0),0), INDEX($U$1004:$AC$1004,1,MATCH(COLUMNS($U$1006:X1006),$U$1006:$AC$1006,0)))),"Fix")))</f>
        <v>0</v>
      </c>
      <c r="F214" s="3">
        <f>IF(OR(INDEX($O$2:$O$1001,MATCH(ROWS($N$2:N214),$N$2:$N$1001,0),1)&gt;=100000,INDEX($U$1005:$AC$1005,1,MATCH(COLUMNS($U$1006:Y1006),$U$1006:$AC$1006,0))&gt;=100000), " ",IF(INDEX($U$2:$AC$1001,MATCH(ROWS($N$2:N214),$N$2:$N$1001,0),MATCH(COLUMNS($U$1006:Y1006),$U$1006:$AC$1006,0)), HYPERLINK("#",""), HYPERLINK(CONCATENATE("#metadata!", ADDRESS(INDEX($P$2:$P$1001,MATCH(ROWS($N$2:N214),$N$2:$N$1001,0),0), INDEX($U$1004:$AC$1004,1,MATCH(COLUMNS($U$1006:Y1006),$U$1006:$AC$1006,0)))),"Fix")))</f>
        <v>0</v>
      </c>
      <c r="G214" s="3">
        <f>IF(OR(INDEX($O$2:$O$1001,MATCH(ROWS($N$2:N214),$N$2:$N$1001,0),1)&gt;=100000,INDEX($U$1005:$AC$1005,1,MATCH(COLUMNS($U$1006:Z1006),$U$1006:$AC$1006,0))&gt;=100000), " ",IF(INDEX($U$2:$AC$1001,MATCH(ROWS($N$2:N214),$N$2:$N$1001,0),MATCH(COLUMNS($U$1006:Z1006),$U$1006:$AC$1006,0)), HYPERLINK("#",""), HYPERLINK(CONCATENATE("#metadata!", ADDRESS(INDEX($P$2:$P$1001,MATCH(ROWS($N$2:N214),$N$2:$N$1001,0),0), INDEX($U$1004:$AC$1004,1,MATCH(COLUMNS($U$1006:Z1006),$U$1006:$AC$1006,0)))),"Fix")))</f>
        <v>0</v>
      </c>
      <c r="H214" s="3">
        <f>IF(OR(INDEX($O$2:$O$1001,MATCH(ROWS($N$2:N214),$N$2:$N$1001,0),1)&gt;=100000,INDEX($U$1005:$AC$1005,1,MATCH(COLUMNS($U$1006:AA1006),$U$1006:$AC$1006,0))&gt;=100000), " ",IF(INDEX($U$2:$AC$1001,MATCH(ROWS($N$2:N214),$N$2:$N$1001,0),MATCH(COLUMNS($U$1006:AA1006),$U$1006:$AC$1006,0)), HYPERLINK("#",""), HYPERLINK(CONCATENATE("#metadata!", ADDRESS(INDEX($P$2:$P$1001,MATCH(ROWS($N$2:N214),$N$2:$N$1001,0),0), INDEX($U$1004:$AC$1004,1,MATCH(COLUMNS($U$1006:AA1006),$U$1006:$AC$1006,0)))),"Fix")))</f>
        <v>0</v>
      </c>
      <c r="I214" s="3">
        <f>IF(OR(INDEX($O$2:$O$1001,MATCH(ROWS($N$2:N214),$N$2:$N$1001,0),1)&gt;=100000,INDEX($U$1005:$AC$1005,1,MATCH(COLUMNS($U$1006:AB1006),$U$1006:$AC$1006,0))&gt;=100000), " ",IF(INDEX($U$2:$AC$1001,MATCH(ROWS($N$2:N214),$N$2:$N$1001,0),MATCH(COLUMNS($U$1006:AB1006),$U$1006:$AC$1006,0)), HYPERLINK("#",""), HYPERLINK(CONCATENATE("#metadata!", ADDRESS(INDEX($P$2:$P$1001,MATCH(ROWS($N$2:N214),$N$2:$N$1001,0),0), INDEX($U$1004:$AC$1004,1,MATCH(COLUMNS($U$1006:AB1006),$U$1006:$AC$1006,0)))),"Fix")))</f>
        <v>0</v>
      </c>
      <c r="J214" s="3">
        <f>IF(OR(INDEX($O$2:$O$1001,MATCH(ROWS($N$2:N214),$N$2:$N$1001,0),1)&gt;=100000,INDEX($U$1005:$AC$1005,1,MATCH(COLUMNS($U$1006:AC1006),$U$1006:$AC$1006,0))&gt;=100000), " ",IF(INDEX($U$2:$AC$1001,MATCH(ROWS($N$2:N214),$N$2:$N$1001,0),MATCH(COLUMNS($U$1006:AC1006),$U$1006:$AC$1006,0)), HYPERLINK("#",""), HYPERLINK(CONCATENATE("#metadata!", ADDRESS(INDEX($P$2:$P$1001,MATCH(ROWS($N$2:N214),$N$2:$N$1001,0),0), INDEX($U$1004:$AC$1004,1,MATCH(COLUMNS($U$1006:AC1006),$U$1006:$AC$1006,0)))),"Fix")))</f>
        <v>0</v>
      </c>
      <c r="N214">
        <v>0</v>
      </c>
      <c r="O214">
        <v>0</v>
      </c>
      <c r="P214">
        <v>0</v>
      </c>
      <c r="Q214">
        <f>IF(R214,TRUE,AND(U214:AC214))</f>
        <v>0</v>
      </c>
      <c r="R214">
        <f>COUNTBLANK(metadata!B214:J214)=COLUMNS(metadata!B214:J214)</f>
        <v>0</v>
      </c>
      <c r="S214">
        <v>0</v>
      </c>
      <c r="U214">
        <f>AND(IF(metadata!B214="",FALSE,TRUE),COUNTIF(metadata!B:B, metadata!B214) = 1,NOT(ISERROR(SUMPRODUCT(SEARCH(MID(metadata!B214,ROW(INDIRECT("1:"&amp;LEN(metadata!B214))), 1),"0123456789abcdefghijklmnopqrstuvwxyzABCDEFGHIJKLMNOPQRSTUVWXYZ.")))))</f>
        <v>0</v>
      </c>
      <c r="V214">
        <f>AND(IF(metadata!C214="",FALSE,TRUE),exact(metadata!C214,"UBERON:genitourinary"))</f>
        <v>0</v>
      </c>
      <c r="W214">
        <f>AND(IF(metadata!D214="",FALSE,TRUE),exact(metadata!D214,"UBERON:urine"))</f>
        <v>0</v>
      </c>
      <c r="X214">
        <f>AND(IF(metadata!E214="",FALSE,TRUE),exact(metadata!E214,"UBERON:kidney"))</f>
        <v>0</v>
      </c>
      <c r="Y214">
        <f>AND(IF(metadata!F214="",FALSE,TRUE),exact(metadata!F214,"animal corpus"))</f>
        <v>0</v>
      </c>
      <c r="Z214">
        <f>AND(IF(metadata!G214="",FALSE,TRUE),exact(metadata!G214,"urine"))</f>
        <v>0</v>
      </c>
      <c r="AA214">
        <f>AND(IF(metadata!H214="",FALSE,TRUE),exact(metadata!H214,"urine"))</f>
        <v>0</v>
      </c>
      <c r="AB214">
        <f>AND(IF(metadata!I214="",FALSE,TRUE),exact(metadata!I214,"urine metagenome"))</f>
        <v>0</v>
      </c>
      <c r="AC214">
        <f>AND(IF(metadata!J214="",FALSE,TRUE),exact(metadata!J214,"1346744"))</f>
        <v>0</v>
      </c>
    </row>
    <row r="215" spans="1:29">
      <c r="A215" s="4">
        <f>IF(B215=" "," ",HYPERLINK(CONCATENATE("#metadata!",ADDRESS(INDEX($P$2:$P$1001,MATCH(ROWS($N$2:N215),$N$2:$N$1001,0),0),1)),INDEX($S$2:$S$1001,MATCH(ROWS($N$2:N215),$N$2:$N$1001,0),0)))</f>
        <v>0</v>
      </c>
      <c r="B215" s="3">
        <f>IF(OR(INDEX($O$2:$O$1001,MATCH(ROWS($N$2:N215),$N$2:$N$1001,0),1)&gt;=100000,INDEX($U$1005:$AC$1005,1,MATCH(COLUMNS($U$1006:U1006),$U$1006:$AC$1006,0))&gt;=100000), " ",IF(INDEX($U$2:$AC$1001,MATCH(ROWS($N$2:N215),$N$2:$N$1001,0),MATCH(COLUMNS($U$1006:U1006),$U$1006:$AC$1006,0)), HYPERLINK("#",""), HYPERLINK(CONCATENATE("#metadata!", ADDRESS(INDEX($P$2:$P$1001,MATCH(ROWS($N$2:N215),$N$2:$N$1001,0),0), INDEX($U$1004:$AC$1004,1,MATCH(COLUMNS($U$1006:U1006),$U$1006:$AC$1006,0)))),"Fix")))</f>
        <v>0</v>
      </c>
      <c r="C215" s="3">
        <f>IF(OR(INDEX($O$2:$O$1001,MATCH(ROWS($N$2:N215),$N$2:$N$1001,0),1)&gt;=100000,INDEX($U$1005:$AC$1005,1,MATCH(COLUMNS($U$1006:V1006),$U$1006:$AC$1006,0))&gt;=100000), " ",IF(INDEX($U$2:$AC$1001,MATCH(ROWS($N$2:N215),$N$2:$N$1001,0),MATCH(COLUMNS($U$1006:V1006),$U$1006:$AC$1006,0)), HYPERLINK("#",""), HYPERLINK(CONCATENATE("#metadata!", ADDRESS(INDEX($P$2:$P$1001,MATCH(ROWS($N$2:N215),$N$2:$N$1001,0),0), INDEX($U$1004:$AC$1004,1,MATCH(COLUMNS($U$1006:V1006),$U$1006:$AC$1006,0)))),"Fix")))</f>
        <v>0</v>
      </c>
      <c r="D215" s="3">
        <f>IF(OR(INDEX($O$2:$O$1001,MATCH(ROWS($N$2:N215),$N$2:$N$1001,0),1)&gt;=100000,INDEX($U$1005:$AC$1005,1,MATCH(COLUMNS($U$1006:W1006),$U$1006:$AC$1006,0))&gt;=100000), " ",IF(INDEX($U$2:$AC$1001,MATCH(ROWS($N$2:N215),$N$2:$N$1001,0),MATCH(COLUMNS($U$1006:W1006),$U$1006:$AC$1006,0)), HYPERLINK("#",""), HYPERLINK(CONCATENATE("#metadata!", ADDRESS(INDEX($P$2:$P$1001,MATCH(ROWS($N$2:N215),$N$2:$N$1001,0),0), INDEX($U$1004:$AC$1004,1,MATCH(COLUMNS($U$1006:W1006),$U$1006:$AC$1006,0)))),"Fix")))</f>
        <v>0</v>
      </c>
      <c r="E215" s="3">
        <f>IF(OR(INDEX($O$2:$O$1001,MATCH(ROWS($N$2:N215),$N$2:$N$1001,0),1)&gt;=100000,INDEX($U$1005:$AC$1005,1,MATCH(COLUMNS($U$1006:X1006),$U$1006:$AC$1006,0))&gt;=100000), " ",IF(INDEX($U$2:$AC$1001,MATCH(ROWS($N$2:N215),$N$2:$N$1001,0),MATCH(COLUMNS($U$1006:X1006),$U$1006:$AC$1006,0)), HYPERLINK("#",""), HYPERLINK(CONCATENATE("#metadata!", ADDRESS(INDEX($P$2:$P$1001,MATCH(ROWS($N$2:N215),$N$2:$N$1001,0),0), INDEX($U$1004:$AC$1004,1,MATCH(COLUMNS($U$1006:X1006),$U$1006:$AC$1006,0)))),"Fix")))</f>
        <v>0</v>
      </c>
      <c r="F215" s="3">
        <f>IF(OR(INDEX($O$2:$O$1001,MATCH(ROWS($N$2:N215),$N$2:$N$1001,0),1)&gt;=100000,INDEX($U$1005:$AC$1005,1,MATCH(COLUMNS($U$1006:Y1006),$U$1006:$AC$1006,0))&gt;=100000), " ",IF(INDEX($U$2:$AC$1001,MATCH(ROWS($N$2:N215),$N$2:$N$1001,0),MATCH(COLUMNS($U$1006:Y1006),$U$1006:$AC$1006,0)), HYPERLINK("#",""), HYPERLINK(CONCATENATE("#metadata!", ADDRESS(INDEX($P$2:$P$1001,MATCH(ROWS($N$2:N215),$N$2:$N$1001,0),0), INDEX($U$1004:$AC$1004,1,MATCH(COLUMNS($U$1006:Y1006),$U$1006:$AC$1006,0)))),"Fix")))</f>
        <v>0</v>
      </c>
      <c r="G215" s="3">
        <f>IF(OR(INDEX($O$2:$O$1001,MATCH(ROWS($N$2:N215),$N$2:$N$1001,0),1)&gt;=100000,INDEX($U$1005:$AC$1005,1,MATCH(COLUMNS($U$1006:Z1006),$U$1006:$AC$1006,0))&gt;=100000), " ",IF(INDEX($U$2:$AC$1001,MATCH(ROWS($N$2:N215),$N$2:$N$1001,0),MATCH(COLUMNS($U$1006:Z1006),$U$1006:$AC$1006,0)), HYPERLINK("#",""), HYPERLINK(CONCATENATE("#metadata!", ADDRESS(INDEX($P$2:$P$1001,MATCH(ROWS($N$2:N215),$N$2:$N$1001,0),0), INDEX($U$1004:$AC$1004,1,MATCH(COLUMNS($U$1006:Z1006),$U$1006:$AC$1006,0)))),"Fix")))</f>
        <v>0</v>
      </c>
      <c r="H215" s="3">
        <f>IF(OR(INDEX($O$2:$O$1001,MATCH(ROWS($N$2:N215),$N$2:$N$1001,0),1)&gt;=100000,INDEX($U$1005:$AC$1005,1,MATCH(COLUMNS($U$1006:AA1006),$U$1006:$AC$1006,0))&gt;=100000), " ",IF(INDEX($U$2:$AC$1001,MATCH(ROWS($N$2:N215),$N$2:$N$1001,0),MATCH(COLUMNS($U$1006:AA1006),$U$1006:$AC$1006,0)), HYPERLINK("#",""), HYPERLINK(CONCATENATE("#metadata!", ADDRESS(INDEX($P$2:$P$1001,MATCH(ROWS($N$2:N215),$N$2:$N$1001,0),0), INDEX($U$1004:$AC$1004,1,MATCH(COLUMNS($U$1006:AA1006),$U$1006:$AC$1006,0)))),"Fix")))</f>
        <v>0</v>
      </c>
      <c r="I215" s="3">
        <f>IF(OR(INDEX($O$2:$O$1001,MATCH(ROWS($N$2:N215),$N$2:$N$1001,0),1)&gt;=100000,INDEX($U$1005:$AC$1005,1,MATCH(COLUMNS($U$1006:AB1006),$U$1006:$AC$1006,0))&gt;=100000), " ",IF(INDEX($U$2:$AC$1001,MATCH(ROWS($N$2:N215),$N$2:$N$1001,0),MATCH(COLUMNS($U$1006:AB1006),$U$1006:$AC$1006,0)), HYPERLINK("#",""), HYPERLINK(CONCATENATE("#metadata!", ADDRESS(INDEX($P$2:$P$1001,MATCH(ROWS($N$2:N215),$N$2:$N$1001,0),0), INDEX($U$1004:$AC$1004,1,MATCH(COLUMNS($U$1006:AB1006),$U$1006:$AC$1006,0)))),"Fix")))</f>
        <v>0</v>
      </c>
      <c r="J215" s="3">
        <f>IF(OR(INDEX($O$2:$O$1001,MATCH(ROWS($N$2:N215),$N$2:$N$1001,0),1)&gt;=100000,INDEX($U$1005:$AC$1005,1,MATCH(COLUMNS($U$1006:AC1006),$U$1006:$AC$1006,0))&gt;=100000), " ",IF(INDEX($U$2:$AC$1001,MATCH(ROWS($N$2:N215),$N$2:$N$1001,0),MATCH(COLUMNS($U$1006:AC1006),$U$1006:$AC$1006,0)), HYPERLINK("#",""), HYPERLINK(CONCATENATE("#metadata!", ADDRESS(INDEX($P$2:$P$1001,MATCH(ROWS($N$2:N215),$N$2:$N$1001,0),0), INDEX($U$1004:$AC$1004,1,MATCH(COLUMNS($U$1006:AC1006),$U$1006:$AC$1006,0)))),"Fix")))</f>
        <v>0</v>
      </c>
      <c r="N215">
        <v>0</v>
      </c>
      <c r="O215">
        <v>0</v>
      </c>
      <c r="P215">
        <v>0</v>
      </c>
      <c r="Q215">
        <f>IF(R215,TRUE,AND(U215:AC215))</f>
        <v>0</v>
      </c>
      <c r="R215">
        <f>COUNTBLANK(metadata!B215:J215)=COLUMNS(metadata!B215:J215)</f>
        <v>0</v>
      </c>
      <c r="S215">
        <v>0</v>
      </c>
      <c r="U215">
        <f>AND(IF(metadata!B215="",FALSE,TRUE),COUNTIF(metadata!B:B, metadata!B215) = 1,NOT(ISERROR(SUMPRODUCT(SEARCH(MID(metadata!B215,ROW(INDIRECT("1:"&amp;LEN(metadata!B215))), 1),"0123456789abcdefghijklmnopqrstuvwxyzABCDEFGHIJKLMNOPQRSTUVWXYZ.")))))</f>
        <v>0</v>
      </c>
      <c r="V215">
        <f>AND(IF(metadata!C215="",FALSE,TRUE),exact(metadata!C215,"UBERON:genitourinary"))</f>
        <v>0</v>
      </c>
      <c r="W215">
        <f>AND(IF(metadata!D215="",FALSE,TRUE),exact(metadata!D215,"UBERON:urine"))</f>
        <v>0</v>
      </c>
      <c r="X215">
        <f>AND(IF(metadata!E215="",FALSE,TRUE),exact(metadata!E215,"UBERON:kidney"))</f>
        <v>0</v>
      </c>
      <c r="Y215">
        <f>AND(IF(metadata!F215="",FALSE,TRUE),exact(metadata!F215,"animal corpus"))</f>
        <v>0</v>
      </c>
      <c r="Z215">
        <f>AND(IF(metadata!G215="",FALSE,TRUE),exact(metadata!G215,"urine"))</f>
        <v>0</v>
      </c>
      <c r="AA215">
        <f>AND(IF(metadata!H215="",FALSE,TRUE),exact(metadata!H215,"urine"))</f>
        <v>0</v>
      </c>
      <c r="AB215">
        <f>AND(IF(metadata!I215="",FALSE,TRUE),exact(metadata!I215,"urine metagenome"))</f>
        <v>0</v>
      </c>
      <c r="AC215">
        <f>AND(IF(metadata!J215="",FALSE,TRUE),exact(metadata!J215,"1346744"))</f>
        <v>0</v>
      </c>
    </row>
    <row r="216" spans="1:29">
      <c r="A216" s="4">
        <f>IF(B216=" "," ",HYPERLINK(CONCATENATE("#metadata!",ADDRESS(INDEX($P$2:$P$1001,MATCH(ROWS($N$2:N216),$N$2:$N$1001,0),0),1)),INDEX($S$2:$S$1001,MATCH(ROWS($N$2:N216),$N$2:$N$1001,0),0)))</f>
        <v>0</v>
      </c>
      <c r="B216" s="3">
        <f>IF(OR(INDEX($O$2:$O$1001,MATCH(ROWS($N$2:N216),$N$2:$N$1001,0),1)&gt;=100000,INDEX($U$1005:$AC$1005,1,MATCH(COLUMNS($U$1006:U1006),$U$1006:$AC$1006,0))&gt;=100000), " ",IF(INDEX($U$2:$AC$1001,MATCH(ROWS($N$2:N216),$N$2:$N$1001,0),MATCH(COLUMNS($U$1006:U1006),$U$1006:$AC$1006,0)), HYPERLINK("#",""), HYPERLINK(CONCATENATE("#metadata!", ADDRESS(INDEX($P$2:$P$1001,MATCH(ROWS($N$2:N216),$N$2:$N$1001,0),0), INDEX($U$1004:$AC$1004,1,MATCH(COLUMNS($U$1006:U1006),$U$1006:$AC$1006,0)))),"Fix")))</f>
        <v>0</v>
      </c>
      <c r="C216" s="3">
        <f>IF(OR(INDEX($O$2:$O$1001,MATCH(ROWS($N$2:N216),$N$2:$N$1001,0),1)&gt;=100000,INDEX($U$1005:$AC$1005,1,MATCH(COLUMNS($U$1006:V1006),$U$1006:$AC$1006,0))&gt;=100000), " ",IF(INDEX($U$2:$AC$1001,MATCH(ROWS($N$2:N216),$N$2:$N$1001,0),MATCH(COLUMNS($U$1006:V1006),$U$1006:$AC$1006,0)), HYPERLINK("#",""), HYPERLINK(CONCATENATE("#metadata!", ADDRESS(INDEX($P$2:$P$1001,MATCH(ROWS($N$2:N216),$N$2:$N$1001,0),0), INDEX($U$1004:$AC$1004,1,MATCH(COLUMNS($U$1006:V1006),$U$1006:$AC$1006,0)))),"Fix")))</f>
        <v>0</v>
      </c>
      <c r="D216" s="3">
        <f>IF(OR(INDEX($O$2:$O$1001,MATCH(ROWS($N$2:N216),$N$2:$N$1001,0),1)&gt;=100000,INDEX($U$1005:$AC$1005,1,MATCH(COLUMNS($U$1006:W1006),$U$1006:$AC$1006,0))&gt;=100000), " ",IF(INDEX($U$2:$AC$1001,MATCH(ROWS($N$2:N216),$N$2:$N$1001,0),MATCH(COLUMNS($U$1006:W1006),$U$1006:$AC$1006,0)), HYPERLINK("#",""), HYPERLINK(CONCATENATE("#metadata!", ADDRESS(INDEX($P$2:$P$1001,MATCH(ROWS($N$2:N216),$N$2:$N$1001,0),0), INDEX($U$1004:$AC$1004,1,MATCH(COLUMNS($U$1006:W1006),$U$1006:$AC$1006,0)))),"Fix")))</f>
        <v>0</v>
      </c>
      <c r="E216" s="3">
        <f>IF(OR(INDEX($O$2:$O$1001,MATCH(ROWS($N$2:N216),$N$2:$N$1001,0),1)&gt;=100000,INDEX($U$1005:$AC$1005,1,MATCH(COLUMNS($U$1006:X1006),$U$1006:$AC$1006,0))&gt;=100000), " ",IF(INDEX($U$2:$AC$1001,MATCH(ROWS($N$2:N216),$N$2:$N$1001,0),MATCH(COLUMNS($U$1006:X1006),$U$1006:$AC$1006,0)), HYPERLINK("#",""), HYPERLINK(CONCATENATE("#metadata!", ADDRESS(INDEX($P$2:$P$1001,MATCH(ROWS($N$2:N216),$N$2:$N$1001,0),0), INDEX($U$1004:$AC$1004,1,MATCH(COLUMNS($U$1006:X1006),$U$1006:$AC$1006,0)))),"Fix")))</f>
        <v>0</v>
      </c>
      <c r="F216" s="3">
        <f>IF(OR(INDEX($O$2:$O$1001,MATCH(ROWS($N$2:N216),$N$2:$N$1001,0),1)&gt;=100000,INDEX($U$1005:$AC$1005,1,MATCH(COLUMNS($U$1006:Y1006),$U$1006:$AC$1006,0))&gt;=100000), " ",IF(INDEX($U$2:$AC$1001,MATCH(ROWS($N$2:N216),$N$2:$N$1001,0),MATCH(COLUMNS($U$1006:Y1006),$U$1006:$AC$1006,0)), HYPERLINK("#",""), HYPERLINK(CONCATENATE("#metadata!", ADDRESS(INDEX($P$2:$P$1001,MATCH(ROWS($N$2:N216),$N$2:$N$1001,0),0), INDEX($U$1004:$AC$1004,1,MATCH(COLUMNS($U$1006:Y1006),$U$1006:$AC$1006,0)))),"Fix")))</f>
        <v>0</v>
      </c>
      <c r="G216" s="3">
        <f>IF(OR(INDEX($O$2:$O$1001,MATCH(ROWS($N$2:N216),$N$2:$N$1001,0),1)&gt;=100000,INDEX($U$1005:$AC$1005,1,MATCH(COLUMNS($U$1006:Z1006),$U$1006:$AC$1006,0))&gt;=100000), " ",IF(INDEX($U$2:$AC$1001,MATCH(ROWS($N$2:N216),$N$2:$N$1001,0),MATCH(COLUMNS($U$1006:Z1006),$U$1006:$AC$1006,0)), HYPERLINK("#",""), HYPERLINK(CONCATENATE("#metadata!", ADDRESS(INDEX($P$2:$P$1001,MATCH(ROWS($N$2:N216),$N$2:$N$1001,0),0), INDEX($U$1004:$AC$1004,1,MATCH(COLUMNS($U$1006:Z1006),$U$1006:$AC$1006,0)))),"Fix")))</f>
        <v>0</v>
      </c>
      <c r="H216" s="3">
        <f>IF(OR(INDEX($O$2:$O$1001,MATCH(ROWS($N$2:N216),$N$2:$N$1001,0),1)&gt;=100000,INDEX($U$1005:$AC$1005,1,MATCH(COLUMNS($U$1006:AA1006),$U$1006:$AC$1006,0))&gt;=100000), " ",IF(INDEX($U$2:$AC$1001,MATCH(ROWS($N$2:N216),$N$2:$N$1001,0),MATCH(COLUMNS($U$1006:AA1006),$U$1006:$AC$1006,0)), HYPERLINK("#",""), HYPERLINK(CONCATENATE("#metadata!", ADDRESS(INDEX($P$2:$P$1001,MATCH(ROWS($N$2:N216),$N$2:$N$1001,0),0), INDEX($U$1004:$AC$1004,1,MATCH(COLUMNS($U$1006:AA1006),$U$1006:$AC$1006,0)))),"Fix")))</f>
        <v>0</v>
      </c>
      <c r="I216" s="3">
        <f>IF(OR(INDEX($O$2:$O$1001,MATCH(ROWS($N$2:N216),$N$2:$N$1001,0),1)&gt;=100000,INDEX($U$1005:$AC$1005,1,MATCH(COLUMNS($U$1006:AB1006),$U$1006:$AC$1006,0))&gt;=100000), " ",IF(INDEX($U$2:$AC$1001,MATCH(ROWS($N$2:N216),$N$2:$N$1001,0),MATCH(COLUMNS($U$1006:AB1006),$U$1006:$AC$1006,0)), HYPERLINK("#",""), HYPERLINK(CONCATENATE("#metadata!", ADDRESS(INDEX($P$2:$P$1001,MATCH(ROWS($N$2:N216),$N$2:$N$1001,0),0), INDEX($U$1004:$AC$1004,1,MATCH(COLUMNS($U$1006:AB1006),$U$1006:$AC$1006,0)))),"Fix")))</f>
        <v>0</v>
      </c>
      <c r="J216" s="3">
        <f>IF(OR(INDEX($O$2:$O$1001,MATCH(ROWS($N$2:N216),$N$2:$N$1001,0),1)&gt;=100000,INDEX($U$1005:$AC$1005,1,MATCH(COLUMNS($U$1006:AC1006),$U$1006:$AC$1006,0))&gt;=100000), " ",IF(INDEX($U$2:$AC$1001,MATCH(ROWS($N$2:N216),$N$2:$N$1001,0),MATCH(COLUMNS($U$1006:AC1006),$U$1006:$AC$1006,0)), HYPERLINK("#",""), HYPERLINK(CONCATENATE("#metadata!", ADDRESS(INDEX($P$2:$P$1001,MATCH(ROWS($N$2:N216),$N$2:$N$1001,0),0), INDEX($U$1004:$AC$1004,1,MATCH(COLUMNS($U$1006:AC1006),$U$1006:$AC$1006,0)))),"Fix")))</f>
        <v>0</v>
      </c>
      <c r="N216">
        <v>0</v>
      </c>
      <c r="O216">
        <v>0</v>
      </c>
      <c r="P216">
        <v>0</v>
      </c>
      <c r="Q216">
        <f>IF(R216,TRUE,AND(U216:AC216))</f>
        <v>0</v>
      </c>
      <c r="R216">
        <f>COUNTBLANK(metadata!B216:J216)=COLUMNS(metadata!B216:J216)</f>
        <v>0</v>
      </c>
      <c r="S216">
        <v>0</v>
      </c>
      <c r="U216">
        <f>AND(IF(metadata!B216="",FALSE,TRUE),COUNTIF(metadata!B:B, metadata!B216) = 1,NOT(ISERROR(SUMPRODUCT(SEARCH(MID(metadata!B216,ROW(INDIRECT("1:"&amp;LEN(metadata!B216))), 1),"0123456789abcdefghijklmnopqrstuvwxyzABCDEFGHIJKLMNOPQRSTUVWXYZ.")))))</f>
        <v>0</v>
      </c>
      <c r="V216">
        <f>AND(IF(metadata!C216="",FALSE,TRUE),exact(metadata!C216,"UBERON:genitourinary"))</f>
        <v>0</v>
      </c>
      <c r="W216">
        <f>AND(IF(metadata!D216="",FALSE,TRUE),exact(metadata!D216,"UBERON:urine"))</f>
        <v>0</v>
      </c>
      <c r="X216">
        <f>AND(IF(metadata!E216="",FALSE,TRUE),exact(metadata!E216,"UBERON:kidney"))</f>
        <v>0</v>
      </c>
      <c r="Y216">
        <f>AND(IF(metadata!F216="",FALSE,TRUE),exact(metadata!F216,"animal corpus"))</f>
        <v>0</v>
      </c>
      <c r="Z216">
        <f>AND(IF(metadata!G216="",FALSE,TRUE),exact(metadata!G216,"urine"))</f>
        <v>0</v>
      </c>
      <c r="AA216">
        <f>AND(IF(metadata!H216="",FALSE,TRUE),exact(metadata!H216,"urine"))</f>
        <v>0</v>
      </c>
      <c r="AB216">
        <f>AND(IF(metadata!I216="",FALSE,TRUE),exact(metadata!I216,"urine metagenome"))</f>
        <v>0</v>
      </c>
      <c r="AC216">
        <f>AND(IF(metadata!J216="",FALSE,TRUE),exact(metadata!J216,"1346744"))</f>
        <v>0</v>
      </c>
    </row>
    <row r="217" spans="1:29">
      <c r="A217" s="4">
        <f>IF(B217=" "," ",HYPERLINK(CONCATENATE("#metadata!",ADDRESS(INDEX($P$2:$P$1001,MATCH(ROWS($N$2:N217),$N$2:$N$1001,0),0),1)),INDEX($S$2:$S$1001,MATCH(ROWS($N$2:N217),$N$2:$N$1001,0),0)))</f>
        <v>0</v>
      </c>
      <c r="B217" s="3">
        <f>IF(OR(INDEX($O$2:$O$1001,MATCH(ROWS($N$2:N217),$N$2:$N$1001,0),1)&gt;=100000,INDEX($U$1005:$AC$1005,1,MATCH(COLUMNS($U$1006:U1006),$U$1006:$AC$1006,0))&gt;=100000), " ",IF(INDEX($U$2:$AC$1001,MATCH(ROWS($N$2:N217),$N$2:$N$1001,0),MATCH(COLUMNS($U$1006:U1006),$U$1006:$AC$1006,0)), HYPERLINK("#",""), HYPERLINK(CONCATENATE("#metadata!", ADDRESS(INDEX($P$2:$P$1001,MATCH(ROWS($N$2:N217),$N$2:$N$1001,0),0), INDEX($U$1004:$AC$1004,1,MATCH(COLUMNS($U$1006:U1006),$U$1006:$AC$1006,0)))),"Fix")))</f>
        <v>0</v>
      </c>
      <c r="C217" s="3">
        <f>IF(OR(INDEX($O$2:$O$1001,MATCH(ROWS($N$2:N217),$N$2:$N$1001,0),1)&gt;=100000,INDEX($U$1005:$AC$1005,1,MATCH(COLUMNS($U$1006:V1006),$U$1006:$AC$1006,0))&gt;=100000), " ",IF(INDEX($U$2:$AC$1001,MATCH(ROWS($N$2:N217),$N$2:$N$1001,0),MATCH(COLUMNS($U$1006:V1006),$U$1006:$AC$1006,0)), HYPERLINK("#",""), HYPERLINK(CONCATENATE("#metadata!", ADDRESS(INDEX($P$2:$P$1001,MATCH(ROWS($N$2:N217),$N$2:$N$1001,0),0), INDEX($U$1004:$AC$1004,1,MATCH(COLUMNS($U$1006:V1006),$U$1006:$AC$1006,0)))),"Fix")))</f>
        <v>0</v>
      </c>
      <c r="D217" s="3">
        <f>IF(OR(INDEX($O$2:$O$1001,MATCH(ROWS($N$2:N217),$N$2:$N$1001,0),1)&gt;=100000,INDEX($U$1005:$AC$1005,1,MATCH(COLUMNS($U$1006:W1006),$U$1006:$AC$1006,0))&gt;=100000), " ",IF(INDEX($U$2:$AC$1001,MATCH(ROWS($N$2:N217),$N$2:$N$1001,0),MATCH(COLUMNS($U$1006:W1006),$U$1006:$AC$1006,0)), HYPERLINK("#",""), HYPERLINK(CONCATENATE("#metadata!", ADDRESS(INDEX($P$2:$P$1001,MATCH(ROWS($N$2:N217),$N$2:$N$1001,0),0), INDEX($U$1004:$AC$1004,1,MATCH(COLUMNS($U$1006:W1006),$U$1006:$AC$1006,0)))),"Fix")))</f>
        <v>0</v>
      </c>
      <c r="E217" s="3">
        <f>IF(OR(INDEX($O$2:$O$1001,MATCH(ROWS($N$2:N217),$N$2:$N$1001,0),1)&gt;=100000,INDEX($U$1005:$AC$1005,1,MATCH(COLUMNS($U$1006:X1006),$U$1006:$AC$1006,0))&gt;=100000), " ",IF(INDEX($U$2:$AC$1001,MATCH(ROWS($N$2:N217),$N$2:$N$1001,0),MATCH(COLUMNS($U$1006:X1006),$U$1006:$AC$1006,0)), HYPERLINK("#",""), HYPERLINK(CONCATENATE("#metadata!", ADDRESS(INDEX($P$2:$P$1001,MATCH(ROWS($N$2:N217),$N$2:$N$1001,0),0), INDEX($U$1004:$AC$1004,1,MATCH(COLUMNS($U$1006:X1006),$U$1006:$AC$1006,0)))),"Fix")))</f>
        <v>0</v>
      </c>
      <c r="F217" s="3">
        <f>IF(OR(INDEX($O$2:$O$1001,MATCH(ROWS($N$2:N217),$N$2:$N$1001,0),1)&gt;=100000,INDEX($U$1005:$AC$1005,1,MATCH(COLUMNS($U$1006:Y1006),$U$1006:$AC$1006,0))&gt;=100000), " ",IF(INDEX($U$2:$AC$1001,MATCH(ROWS($N$2:N217),$N$2:$N$1001,0),MATCH(COLUMNS($U$1006:Y1006),$U$1006:$AC$1006,0)), HYPERLINK("#",""), HYPERLINK(CONCATENATE("#metadata!", ADDRESS(INDEX($P$2:$P$1001,MATCH(ROWS($N$2:N217),$N$2:$N$1001,0),0), INDEX($U$1004:$AC$1004,1,MATCH(COLUMNS($U$1006:Y1006),$U$1006:$AC$1006,0)))),"Fix")))</f>
        <v>0</v>
      </c>
      <c r="G217" s="3">
        <f>IF(OR(INDEX($O$2:$O$1001,MATCH(ROWS($N$2:N217),$N$2:$N$1001,0),1)&gt;=100000,INDEX($U$1005:$AC$1005,1,MATCH(COLUMNS($U$1006:Z1006),$U$1006:$AC$1006,0))&gt;=100000), " ",IF(INDEX($U$2:$AC$1001,MATCH(ROWS($N$2:N217),$N$2:$N$1001,0),MATCH(COLUMNS($U$1006:Z1006),$U$1006:$AC$1006,0)), HYPERLINK("#",""), HYPERLINK(CONCATENATE("#metadata!", ADDRESS(INDEX($P$2:$P$1001,MATCH(ROWS($N$2:N217),$N$2:$N$1001,0),0), INDEX($U$1004:$AC$1004,1,MATCH(COLUMNS($U$1006:Z1006),$U$1006:$AC$1006,0)))),"Fix")))</f>
        <v>0</v>
      </c>
      <c r="H217" s="3">
        <f>IF(OR(INDEX($O$2:$O$1001,MATCH(ROWS($N$2:N217),$N$2:$N$1001,0),1)&gt;=100000,INDEX($U$1005:$AC$1005,1,MATCH(COLUMNS($U$1006:AA1006),$U$1006:$AC$1006,0))&gt;=100000), " ",IF(INDEX($U$2:$AC$1001,MATCH(ROWS($N$2:N217),$N$2:$N$1001,0),MATCH(COLUMNS($U$1006:AA1006),$U$1006:$AC$1006,0)), HYPERLINK("#",""), HYPERLINK(CONCATENATE("#metadata!", ADDRESS(INDEX($P$2:$P$1001,MATCH(ROWS($N$2:N217),$N$2:$N$1001,0),0), INDEX($U$1004:$AC$1004,1,MATCH(COLUMNS($U$1006:AA1006),$U$1006:$AC$1006,0)))),"Fix")))</f>
        <v>0</v>
      </c>
      <c r="I217" s="3">
        <f>IF(OR(INDEX($O$2:$O$1001,MATCH(ROWS($N$2:N217),$N$2:$N$1001,0),1)&gt;=100000,INDEX($U$1005:$AC$1005,1,MATCH(COLUMNS($U$1006:AB1006),$U$1006:$AC$1006,0))&gt;=100000), " ",IF(INDEX($U$2:$AC$1001,MATCH(ROWS($N$2:N217),$N$2:$N$1001,0),MATCH(COLUMNS($U$1006:AB1006),$U$1006:$AC$1006,0)), HYPERLINK("#",""), HYPERLINK(CONCATENATE("#metadata!", ADDRESS(INDEX($P$2:$P$1001,MATCH(ROWS($N$2:N217),$N$2:$N$1001,0),0), INDEX($U$1004:$AC$1004,1,MATCH(COLUMNS($U$1006:AB1006),$U$1006:$AC$1006,0)))),"Fix")))</f>
        <v>0</v>
      </c>
      <c r="J217" s="3">
        <f>IF(OR(INDEX($O$2:$O$1001,MATCH(ROWS($N$2:N217),$N$2:$N$1001,0),1)&gt;=100000,INDEX($U$1005:$AC$1005,1,MATCH(COLUMNS($U$1006:AC1006),$U$1006:$AC$1006,0))&gt;=100000), " ",IF(INDEX($U$2:$AC$1001,MATCH(ROWS($N$2:N217),$N$2:$N$1001,0),MATCH(COLUMNS($U$1006:AC1006),$U$1006:$AC$1006,0)), HYPERLINK("#",""), HYPERLINK(CONCATENATE("#metadata!", ADDRESS(INDEX($P$2:$P$1001,MATCH(ROWS($N$2:N217),$N$2:$N$1001,0),0), INDEX($U$1004:$AC$1004,1,MATCH(COLUMNS($U$1006:AC1006),$U$1006:$AC$1006,0)))),"Fix")))</f>
        <v>0</v>
      </c>
      <c r="N217">
        <v>0</v>
      </c>
      <c r="O217">
        <v>0</v>
      </c>
      <c r="P217">
        <v>0</v>
      </c>
      <c r="Q217">
        <f>IF(R217,TRUE,AND(U217:AC217))</f>
        <v>0</v>
      </c>
      <c r="R217">
        <f>COUNTBLANK(metadata!B217:J217)=COLUMNS(metadata!B217:J217)</f>
        <v>0</v>
      </c>
      <c r="S217">
        <v>0</v>
      </c>
      <c r="U217">
        <f>AND(IF(metadata!B217="",FALSE,TRUE),COUNTIF(metadata!B:B, metadata!B217) = 1,NOT(ISERROR(SUMPRODUCT(SEARCH(MID(metadata!B217,ROW(INDIRECT("1:"&amp;LEN(metadata!B217))), 1),"0123456789abcdefghijklmnopqrstuvwxyzABCDEFGHIJKLMNOPQRSTUVWXYZ.")))))</f>
        <v>0</v>
      </c>
      <c r="V217">
        <f>AND(IF(metadata!C217="",FALSE,TRUE),exact(metadata!C217,"UBERON:genitourinary"))</f>
        <v>0</v>
      </c>
      <c r="W217">
        <f>AND(IF(metadata!D217="",FALSE,TRUE),exact(metadata!D217,"UBERON:urine"))</f>
        <v>0</v>
      </c>
      <c r="X217">
        <f>AND(IF(metadata!E217="",FALSE,TRUE),exact(metadata!E217,"UBERON:kidney"))</f>
        <v>0</v>
      </c>
      <c r="Y217">
        <f>AND(IF(metadata!F217="",FALSE,TRUE),exact(metadata!F217,"animal corpus"))</f>
        <v>0</v>
      </c>
      <c r="Z217">
        <f>AND(IF(metadata!G217="",FALSE,TRUE),exact(metadata!G217,"urine"))</f>
        <v>0</v>
      </c>
      <c r="AA217">
        <f>AND(IF(metadata!H217="",FALSE,TRUE),exact(metadata!H217,"urine"))</f>
        <v>0</v>
      </c>
      <c r="AB217">
        <f>AND(IF(metadata!I217="",FALSE,TRUE),exact(metadata!I217,"urine metagenome"))</f>
        <v>0</v>
      </c>
      <c r="AC217">
        <f>AND(IF(metadata!J217="",FALSE,TRUE),exact(metadata!J217,"1346744"))</f>
        <v>0</v>
      </c>
    </row>
    <row r="218" spans="1:29">
      <c r="A218" s="4">
        <f>IF(B218=" "," ",HYPERLINK(CONCATENATE("#metadata!",ADDRESS(INDEX($P$2:$P$1001,MATCH(ROWS($N$2:N218),$N$2:$N$1001,0),0),1)),INDEX($S$2:$S$1001,MATCH(ROWS($N$2:N218),$N$2:$N$1001,0),0)))</f>
        <v>0</v>
      </c>
      <c r="B218" s="3">
        <f>IF(OR(INDEX($O$2:$O$1001,MATCH(ROWS($N$2:N218),$N$2:$N$1001,0),1)&gt;=100000,INDEX($U$1005:$AC$1005,1,MATCH(COLUMNS($U$1006:U1006),$U$1006:$AC$1006,0))&gt;=100000), " ",IF(INDEX($U$2:$AC$1001,MATCH(ROWS($N$2:N218),$N$2:$N$1001,0),MATCH(COLUMNS($U$1006:U1006),$U$1006:$AC$1006,0)), HYPERLINK("#",""), HYPERLINK(CONCATENATE("#metadata!", ADDRESS(INDEX($P$2:$P$1001,MATCH(ROWS($N$2:N218),$N$2:$N$1001,0),0), INDEX($U$1004:$AC$1004,1,MATCH(COLUMNS($U$1006:U1006),$U$1006:$AC$1006,0)))),"Fix")))</f>
        <v>0</v>
      </c>
      <c r="C218" s="3">
        <f>IF(OR(INDEX($O$2:$O$1001,MATCH(ROWS($N$2:N218),$N$2:$N$1001,0),1)&gt;=100000,INDEX($U$1005:$AC$1005,1,MATCH(COLUMNS($U$1006:V1006),$U$1006:$AC$1006,0))&gt;=100000), " ",IF(INDEX($U$2:$AC$1001,MATCH(ROWS($N$2:N218),$N$2:$N$1001,0),MATCH(COLUMNS($U$1006:V1006),$U$1006:$AC$1006,0)), HYPERLINK("#",""), HYPERLINK(CONCATENATE("#metadata!", ADDRESS(INDEX($P$2:$P$1001,MATCH(ROWS($N$2:N218),$N$2:$N$1001,0),0), INDEX($U$1004:$AC$1004,1,MATCH(COLUMNS($U$1006:V1006),$U$1006:$AC$1006,0)))),"Fix")))</f>
        <v>0</v>
      </c>
      <c r="D218" s="3">
        <f>IF(OR(INDEX($O$2:$O$1001,MATCH(ROWS($N$2:N218),$N$2:$N$1001,0),1)&gt;=100000,INDEX($U$1005:$AC$1005,1,MATCH(COLUMNS($U$1006:W1006),$U$1006:$AC$1006,0))&gt;=100000), " ",IF(INDEX($U$2:$AC$1001,MATCH(ROWS($N$2:N218),$N$2:$N$1001,0),MATCH(COLUMNS($U$1006:W1006),$U$1006:$AC$1006,0)), HYPERLINK("#",""), HYPERLINK(CONCATENATE("#metadata!", ADDRESS(INDEX($P$2:$P$1001,MATCH(ROWS($N$2:N218),$N$2:$N$1001,0),0), INDEX($U$1004:$AC$1004,1,MATCH(COLUMNS($U$1006:W1006),$U$1006:$AC$1006,0)))),"Fix")))</f>
        <v>0</v>
      </c>
      <c r="E218" s="3">
        <f>IF(OR(INDEX($O$2:$O$1001,MATCH(ROWS($N$2:N218),$N$2:$N$1001,0),1)&gt;=100000,INDEX($U$1005:$AC$1005,1,MATCH(COLUMNS($U$1006:X1006),$U$1006:$AC$1006,0))&gt;=100000), " ",IF(INDEX($U$2:$AC$1001,MATCH(ROWS($N$2:N218),$N$2:$N$1001,0),MATCH(COLUMNS($U$1006:X1006),$U$1006:$AC$1006,0)), HYPERLINK("#",""), HYPERLINK(CONCATENATE("#metadata!", ADDRESS(INDEX($P$2:$P$1001,MATCH(ROWS($N$2:N218),$N$2:$N$1001,0),0), INDEX($U$1004:$AC$1004,1,MATCH(COLUMNS($U$1006:X1006),$U$1006:$AC$1006,0)))),"Fix")))</f>
        <v>0</v>
      </c>
      <c r="F218" s="3">
        <f>IF(OR(INDEX($O$2:$O$1001,MATCH(ROWS($N$2:N218),$N$2:$N$1001,0),1)&gt;=100000,INDEX($U$1005:$AC$1005,1,MATCH(COLUMNS($U$1006:Y1006),$U$1006:$AC$1006,0))&gt;=100000), " ",IF(INDEX($U$2:$AC$1001,MATCH(ROWS($N$2:N218),$N$2:$N$1001,0),MATCH(COLUMNS($U$1006:Y1006),$U$1006:$AC$1006,0)), HYPERLINK("#",""), HYPERLINK(CONCATENATE("#metadata!", ADDRESS(INDEX($P$2:$P$1001,MATCH(ROWS($N$2:N218),$N$2:$N$1001,0),0), INDEX($U$1004:$AC$1004,1,MATCH(COLUMNS($U$1006:Y1006),$U$1006:$AC$1006,0)))),"Fix")))</f>
        <v>0</v>
      </c>
      <c r="G218" s="3">
        <f>IF(OR(INDEX($O$2:$O$1001,MATCH(ROWS($N$2:N218),$N$2:$N$1001,0),1)&gt;=100000,INDEX($U$1005:$AC$1005,1,MATCH(COLUMNS($U$1006:Z1006),$U$1006:$AC$1006,0))&gt;=100000), " ",IF(INDEX($U$2:$AC$1001,MATCH(ROWS($N$2:N218),$N$2:$N$1001,0),MATCH(COLUMNS($U$1006:Z1006),$U$1006:$AC$1006,0)), HYPERLINK("#",""), HYPERLINK(CONCATENATE("#metadata!", ADDRESS(INDEX($P$2:$P$1001,MATCH(ROWS($N$2:N218),$N$2:$N$1001,0),0), INDEX($U$1004:$AC$1004,1,MATCH(COLUMNS($U$1006:Z1006),$U$1006:$AC$1006,0)))),"Fix")))</f>
        <v>0</v>
      </c>
      <c r="H218" s="3">
        <f>IF(OR(INDEX($O$2:$O$1001,MATCH(ROWS($N$2:N218),$N$2:$N$1001,0),1)&gt;=100000,INDEX($U$1005:$AC$1005,1,MATCH(COLUMNS($U$1006:AA1006),$U$1006:$AC$1006,0))&gt;=100000), " ",IF(INDEX($U$2:$AC$1001,MATCH(ROWS($N$2:N218),$N$2:$N$1001,0),MATCH(COLUMNS($U$1006:AA1006),$U$1006:$AC$1006,0)), HYPERLINK("#",""), HYPERLINK(CONCATENATE("#metadata!", ADDRESS(INDEX($P$2:$P$1001,MATCH(ROWS($N$2:N218),$N$2:$N$1001,0),0), INDEX($U$1004:$AC$1004,1,MATCH(COLUMNS($U$1006:AA1006),$U$1006:$AC$1006,0)))),"Fix")))</f>
        <v>0</v>
      </c>
      <c r="I218" s="3">
        <f>IF(OR(INDEX($O$2:$O$1001,MATCH(ROWS($N$2:N218),$N$2:$N$1001,0),1)&gt;=100000,INDEX($U$1005:$AC$1005,1,MATCH(COLUMNS($U$1006:AB1006),$U$1006:$AC$1006,0))&gt;=100000), " ",IF(INDEX($U$2:$AC$1001,MATCH(ROWS($N$2:N218),$N$2:$N$1001,0),MATCH(COLUMNS($U$1006:AB1006),$U$1006:$AC$1006,0)), HYPERLINK("#",""), HYPERLINK(CONCATENATE("#metadata!", ADDRESS(INDEX($P$2:$P$1001,MATCH(ROWS($N$2:N218),$N$2:$N$1001,0),0), INDEX($U$1004:$AC$1004,1,MATCH(COLUMNS($U$1006:AB1006),$U$1006:$AC$1006,0)))),"Fix")))</f>
        <v>0</v>
      </c>
      <c r="J218" s="3">
        <f>IF(OR(INDEX($O$2:$O$1001,MATCH(ROWS($N$2:N218),$N$2:$N$1001,0),1)&gt;=100000,INDEX($U$1005:$AC$1005,1,MATCH(COLUMNS($U$1006:AC1006),$U$1006:$AC$1006,0))&gt;=100000), " ",IF(INDEX($U$2:$AC$1001,MATCH(ROWS($N$2:N218),$N$2:$N$1001,0),MATCH(COLUMNS($U$1006:AC1006),$U$1006:$AC$1006,0)), HYPERLINK("#",""), HYPERLINK(CONCATENATE("#metadata!", ADDRESS(INDEX($P$2:$P$1001,MATCH(ROWS($N$2:N218),$N$2:$N$1001,0),0), INDEX($U$1004:$AC$1004,1,MATCH(COLUMNS($U$1006:AC1006),$U$1006:$AC$1006,0)))),"Fix")))</f>
        <v>0</v>
      </c>
      <c r="N218">
        <v>0</v>
      </c>
      <c r="O218">
        <v>0</v>
      </c>
      <c r="P218">
        <v>0</v>
      </c>
      <c r="Q218">
        <f>IF(R218,TRUE,AND(U218:AC218))</f>
        <v>0</v>
      </c>
      <c r="R218">
        <f>COUNTBLANK(metadata!B218:J218)=COLUMNS(metadata!B218:J218)</f>
        <v>0</v>
      </c>
      <c r="S218">
        <v>0</v>
      </c>
      <c r="U218">
        <f>AND(IF(metadata!B218="",FALSE,TRUE),COUNTIF(metadata!B:B, metadata!B218) = 1,NOT(ISERROR(SUMPRODUCT(SEARCH(MID(metadata!B218,ROW(INDIRECT("1:"&amp;LEN(metadata!B218))), 1),"0123456789abcdefghijklmnopqrstuvwxyzABCDEFGHIJKLMNOPQRSTUVWXYZ.")))))</f>
        <v>0</v>
      </c>
      <c r="V218">
        <f>AND(IF(metadata!C218="",FALSE,TRUE),exact(metadata!C218,"UBERON:genitourinary"))</f>
        <v>0</v>
      </c>
      <c r="W218">
        <f>AND(IF(metadata!D218="",FALSE,TRUE),exact(metadata!D218,"UBERON:urine"))</f>
        <v>0</v>
      </c>
      <c r="X218">
        <f>AND(IF(metadata!E218="",FALSE,TRUE),exact(metadata!E218,"UBERON:kidney"))</f>
        <v>0</v>
      </c>
      <c r="Y218">
        <f>AND(IF(metadata!F218="",FALSE,TRUE),exact(metadata!F218,"animal corpus"))</f>
        <v>0</v>
      </c>
      <c r="Z218">
        <f>AND(IF(metadata!G218="",FALSE,TRUE),exact(metadata!G218,"urine"))</f>
        <v>0</v>
      </c>
      <c r="AA218">
        <f>AND(IF(metadata!H218="",FALSE,TRUE),exact(metadata!H218,"urine"))</f>
        <v>0</v>
      </c>
      <c r="AB218">
        <f>AND(IF(metadata!I218="",FALSE,TRUE),exact(metadata!I218,"urine metagenome"))</f>
        <v>0</v>
      </c>
      <c r="AC218">
        <f>AND(IF(metadata!J218="",FALSE,TRUE),exact(metadata!J218,"1346744"))</f>
        <v>0</v>
      </c>
    </row>
    <row r="219" spans="1:29">
      <c r="A219" s="4">
        <f>IF(B219=" "," ",HYPERLINK(CONCATENATE("#metadata!",ADDRESS(INDEX($P$2:$P$1001,MATCH(ROWS($N$2:N219),$N$2:$N$1001,0),0),1)),INDEX($S$2:$S$1001,MATCH(ROWS($N$2:N219),$N$2:$N$1001,0),0)))</f>
        <v>0</v>
      </c>
      <c r="B219" s="3">
        <f>IF(OR(INDEX($O$2:$O$1001,MATCH(ROWS($N$2:N219),$N$2:$N$1001,0),1)&gt;=100000,INDEX($U$1005:$AC$1005,1,MATCH(COLUMNS($U$1006:U1006),$U$1006:$AC$1006,0))&gt;=100000), " ",IF(INDEX($U$2:$AC$1001,MATCH(ROWS($N$2:N219),$N$2:$N$1001,0),MATCH(COLUMNS($U$1006:U1006),$U$1006:$AC$1006,0)), HYPERLINK("#",""), HYPERLINK(CONCATENATE("#metadata!", ADDRESS(INDEX($P$2:$P$1001,MATCH(ROWS($N$2:N219),$N$2:$N$1001,0),0), INDEX($U$1004:$AC$1004,1,MATCH(COLUMNS($U$1006:U1006),$U$1006:$AC$1006,0)))),"Fix")))</f>
        <v>0</v>
      </c>
      <c r="C219" s="3">
        <f>IF(OR(INDEX($O$2:$O$1001,MATCH(ROWS($N$2:N219),$N$2:$N$1001,0),1)&gt;=100000,INDEX($U$1005:$AC$1005,1,MATCH(COLUMNS($U$1006:V1006),$U$1006:$AC$1006,0))&gt;=100000), " ",IF(INDEX($U$2:$AC$1001,MATCH(ROWS($N$2:N219),$N$2:$N$1001,0),MATCH(COLUMNS($U$1006:V1006),$U$1006:$AC$1006,0)), HYPERLINK("#",""), HYPERLINK(CONCATENATE("#metadata!", ADDRESS(INDEX($P$2:$P$1001,MATCH(ROWS($N$2:N219),$N$2:$N$1001,0),0), INDEX($U$1004:$AC$1004,1,MATCH(COLUMNS($U$1006:V1006),$U$1006:$AC$1006,0)))),"Fix")))</f>
        <v>0</v>
      </c>
      <c r="D219" s="3">
        <f>IF(OR(INDEX($O$2:$O$1001,MATCH(ROWS($N$2:N219),$N$2:$N$1001,0),1)&gt;=100000,INDEX($U$1005:$AC$1005,1,MATCH(COLUMNS($U$1006:W1006),$U$1006:$AC$1006,0))&gt;=100000), " ",IF(INDEX($U$2:$AC$1001,MATCH(ROWS($N$2:N219),$N$2:$N$1001,0),MATCH(COLUMNS($U$1006:W1006),$U$1006:$AC$1006,0)), HYPERLINK("#",""), HYPERLINK(CONCATENATE("#metadata!", ADDRESS(INDEX($P$2:$P$1001,MATCH(ROWS($N$2:N219),$N$2:$N$1001,0),0), INDEX($U$1004:$AC$1004,1,MATCH(COLUMNS($U$1006:W1006),$U$1006:$AC$1006,0)))),"Fix")))</f>
        <v>0</v>
      </c>
      <c r="E219" s="3">
        <f>IF(OR(INDEX($O$2:$O$1001,MATCH(ROWS($N$2:N219),$N$2:$N$1001,0),1)&gt;=100000,INDEX($U$1005:$AC$1005,1,MATCH(COLUMNS($U$1006:X1006),$U$1006:$AC$1006,0))&gt;=100000), " ",IF(INDEX($U$2:$AC$1001,MATCH(ROWS($N$2:N219),$N$2:$N$1001,0),MATCH(COLUMNS($U$1006:X1006),$U$1006:$AC$1006,0)), HYPERLINK("#",""), HYPERLINK(CONCATENATE("#metadata!", ADDRESS(INDEX($P$2:$P$1001,MATCH(ROWS($N$2:N219),$N$2:$N$1001,0),0), INDEX($U$1004:$AC$1004,1,MATCH(COLUMNS($U$1006:X1006),$U$1006:$AC$1006,0)))),"Fix")))</f>
        <v>0</v>
      </c>
      <c r="F219" s="3">
        <f>IF(OR(INDEX($O$2:$O$1001,MATCH(ROWS($N$2:N219),$N$2:$N$1001,0),1)&gt;=100000,INDEX($U$1005:$AC$1005,1,MATCH(COLUMNS($U$1006:Y1006),$U$1006:$AC$1006,0))&gt;=100000), " ",IF(INDEX($U$2:$AC$1001,MATCH(ROWS($N$2:N219),$N$2:$N$1001,0),MATCH(COLUMNS($U$1006:Y1006),$U$1006:$AC$1006,0)), HYPERLINK("#",""), HYPERLINK(CONCATENATE("#metadata!", ADDRESS(INDEX($P$2:$P$1001,MATCH(ROWS($N$2:N219),$N$2:$N$1001,0),0), INDEX($U$1004:$AC$1004,1,MATCH(COLUMNS($U$1006:Y1006),$U$1006:$AC$1006,0)))),"Fix")))</f>
        <v>0</v>
      </c>
      <c r="G219" s="3">
        <f>IF(OR(INDEX($O$2:$O$1001,MATCH(ROWS($N$2:N219),$N$2:$N$1001,0),1)&gt;=100000,INDEX($U$1005:$AC$1005,1,MATCH(COLUMNS($U$1006:Z1006),$U$1006:$AC$1006,0))&gt;=100000), " ",IF(INDEX($U$2:$AC$1001,MATCH(ROWS($N$2:N219),$N$2:$N$1001,0),MATCH(COLUMNS($U$1006:Z1006),$U$1006:$AC$1006,0)), HYPERLINK("#",""), HYPERLINK(CONCATENATE("#metadata!", ADDRESS(INDEX($P$2:$P$1001,MATCH(ROWS($N$2:N219),$N$2:$N$1001,0),0), INDEX($U$1004:$AC$1004,1,MATCH(COLUMNS($U$1006:Z1006),$U$1006:$AC$1006,0)))),"Fix")))</f>
        <v>0</v>
      </c>
      <c r="H219" s="3">
        <f>IF(OR(INDEX($O$2:$O$1001,MATCH(ROWS($N$2:N219),$N$2:$N$1001,0),1)&gt;=100000,INDEX($U$1005:$AC$1005,1,MATCH(COLUMNS($U$1006:AA1006),$U$1006:$AC$1006,0))&gt;=100000), " ",IF(INDEX($U$2:$AC$1001,MATCH(ROWS($N$2:N219),$N$2:$N$1001,0),MATCH(COLUMNS($U$1006:AA1006),$U$1006:$AC$1006,0)), HYPERLINK("#",""), HYPERLINK(CONCATENATE("#metadata!", ADDRESS(INDEX($P$2:$P$1001,MATCH(ROWS($N$2:N219),$N$2:$N$1001,0),0), INDEX($U$1004:$AC$1004,1,MATCH(COLUMNS($U$1006:AA1006),$U$1006:$AC$1006,0)))),"Fix")))</f>
        <v>0</v>
      </c>
      <c r="I219" s="3">
        <f>IF(OR(INDEX($O$2:$O$1001,MATCH(ROWS($N$2:N219),$N$2:$N$1001,0),1)&gt;=100000,INDEX($U$1005:$AC$1005,1,MATCH(COLUMNS($U$1006:AB1006),$U$1006:$AC$1006,0))&gt;=100000), " ",IF(INDEX($U$2:$AC$1001,MATCH(ROWS($N$2:N219),$N$2:$N$1001,0),MATCH(COLUMNS($U$1006:AB1006),$U$1006:$AC$1006,0)), HYPERLINK("#",""), HYPERLINK(CONCATENATE("#metadata!", ADDRESS(INDEX($P$2:$P$1001,MATCH(ROWS($N$2:N219),$N$2:$N$1001,0),0), INDEX($U$1004:$AC$1004,1,MATCH(COLUMNS($U$1006:AB1006),$U$1006:$AC$1006,0)))),"Fix")))</f>
        <v>0</v>
      </c>
      <c r="J219" s="3">
        <f>IF(OR(INDEX($O$2:$O$1001,MATCH(ROWS($N$2:N219),$N$2:$N$1001,0),1)&gt;=100000,INDEX($U$1005:$AC$1005,1,MATCH(COLUMNS($U$1006:AC1006),$U$1006:$AC$1006,0))&gt;=100000), " ",IF(INDEX($U$2:$AC$1001,MATCH(ROWS($N$2:N219),$N$2:$N$1001,0),MATCH(COLUMNS($U$1006:AC1006),$U$1006:$AC$1006,0)), HYPERLINK("#",""), HYPERLINK(CONCATENATE("#metadata!", ADDRESS(INDEX($P$2:$P$1001,MATCH(ROWS($N$2:N219),$N$2:$N$1001,0),0), INDEX($U$1004:$AC$1004,1,MATCH(COLUMNS($U$1006:AC1006),$U$1006:$AC$1006,0)))),"Fix")))</f>
        <v>0</v>
      </c>
      <c r="N219">
        <v>0</v>
      </c>
      <c r="O219">
        <v>0</v>
      </c>
      <c r="P219">
        <v>0</v>
      </c>
      <c r="Q219">
        <f>IF(R219,TRUE,AND(U219:AC219))</f>
        <v>0</v>
      </c>
      <c r="R219">
        <f>COUNTBLANK(metadata!B219:J219)=COLUMNS(metadata!B219:J219)</f>
        <v>0</v>
      </c>
      <c r="S219">
        <v>0</v>
      </c>
      <c r="U219">
        <f>AND(IF(metadata!B219="",FALSE,TRUE),COUNTIF(metadata!B:B, metadata!B219) = 1,NOT(ISERROR(SUMPRODUCT(SEARCH(MID(metadata!B219,ROW(INDIRECT("1:"&amp;LEN(metadata!B219))), 1),"0123456789abcdefghijklmnopqrstuvwxyzABCDEFGHIJKLMNOPQRSTUVWXYZ.")))))</f>
        <v>0</v>
      </c>
      <c r="V219">
        <f>AND(IF(metadata!C219="",FALSE,TRUE),exact(metadata!C219,"UBERON:genitourinary"))</f>
        <v>0</v>
      </c>
      <c r="W219">
        <f>AND(IF(metadata!D219="",FALSE,TRUE),exact(metadata!D219,"UBERON:urine"))</f>
        <v>0</v>
      </c>
      <c r="X219">
        <f>AND(IF(metadata!E219="",FALSE,TRUE),exact(metadata!E219,"UBERON:kidney"))</f>
        <v>0</v>
      </c>
      <c r="Y219">
        <f>AND(IF(metadata!F219="",FALSE,TRUE),exact(metadata!F219,"animal corpus"))</f>
        <v>0</v>
      </c>
      <c r="Z219">
        <f>AND(IF(metadata!G219="",FALSE,TRUE),exact(metadata!G219,"urine"))</f>
        <v>0</v>
      </c>
      <c r="AA219">
        <f>AND(IF(metadata!H219="",FALSE,TRUE),exact(metadata!H219,"urine"))</f>
        <v>0</v>
      </c>
      <c r="AB219">
        <f>AND(IF(metadata!I219="",FALSE,TRUE),exact(metadata!I219,"urine metagenome"))</f>
        <v>0</v>
      </c>
      <c r="AC219">
        <f>AND(IF(metadata!J219="",FALSE,TRUE),exact(metadata!J219,"1346744"))</f>
        <v>0</v>
      </c>
    </row>
    <row r="220" spans="1:29">
      <c r="A220" s="4">
        <f>IF(B220=" "," ",HYPERLINK(CONCATENATE("#metadata!",ADDRESS(INDEX($P$2:$P$1001,MATCH(ROWS($N$2:N220),$N$2:$N$1001,0),0),1)),INDEX($S$2:$S$1001,MATCH(ROWS($N$2:N220),$N$2:$N$1001,0),0)))</f>
        <v>0</v>
      </c>
      <c r="B220" s="3">
        <f>IF(OR(INDEX($O$2:$O$1001,MATCH(ROWS($N$2:N220),$N$2:$N$1001,0),1)&gt;=100000,INDEX($U$1005:$AC$1005,1,MATCH(COLUMNS($U$1006:U1006),$U$1006:$AC$1006,0))&gt;=100000), " ",IF(INDEX($U$2:$AC$1001,MATCH(ROWS($N$2:N220),$N$2:$N$1001,0),MATCH(COLUMNS($U$1006:U1006),$U$1006:$AC$1006,0)), HYPERLINK("#",""), HYPERLINK(CONCATENATE("#metadata!", ADDRESS(INDEX($P$2:$P$1001,MATCH(ROWS($N$2:N220),$N$2:$N$1001,0),0), INDEX($U$1004:$AC$1004,1,MATCH(COLUMNS($U$1006:U1006),$U$1006:$AC$1006,0)))),"Fix")))</f>
        <v>0</v>
      </c>
      <c r="C220" s="3">
        <f>IF(OR(INDEX($O$2:$O$1001,MATCH(ROWS($N$2:N220),$N$2:$N$1001,0),1)&gt;=100000,INDEX($U$1005:$AC$1005,1,MATCH(COLUMNS($U$1006:V1006),$U$1006:$AC$1006,0))&gt;=100000), " ",IF(INDEX($U$2:$AC$1001,MATCH(ROWS($N$2:N220),$N$2:$N$1001,0),MATCH(COLUMNS($U$1006:V1006),$U$1006:$AC$1006,0)), HYPERLINK("#",""), HYPERLINK(CONCATENATE("#metadata!", ADDRESS(INDEX($P$2:$P$1001,MATCH(ROWS($N$2:N220),$N$2:$N$1001,0),0), INDEX($U$1004:$AC$1004,1,MATCH(COLUMNS($U$1006:V1006),$U$1006:$AC$1006,0)))),"Fix")))</f>
        <v>0</v>
      </c>
      <c r="D220" s="3">
        <f>IF(OR(INDEX($O$2:$O$1001,MATCH(ROWS($N$2:N220),$N$2:$N$1001,0),1)&gt;=100000,INDEX($U$1005:$AC$1005,1,MATCH(COLUMNS($U$1006:W1006),$U$1006:$AC$1006,0))&gt;=100000), " ",IF(INDEX($U$2:$AC$1001,MATCH(ROWS($N$2:N220),$N$2:$N$1001,0),MATCH(COLUMNS($U$1006:W1006),$U$1006:$AC$1006,0)), HYPERLINK("#",""), HYPERLINK(CONCATENATE("#metadata!", ADDRESS(INDEX($P$2:$P$1001,MATCH(ROWS($N$2:N220),$N$2:$N$1001,0),0), INDEX($U$1004:$AC$1004,1,MATCH(COLUMNS($U$1006:W1006),$U$1006:$AC$1006,0)))),"Fix")))</f>
        <v>0</v>
      </c>
      <c r="E220" s="3">
        <f>IF(OR(INDEX($O$2:$O$1001,MATCH(ROWS($N$2:N220),$N$2:$N$1001,0),1)&gt;=100000,INDEX($U$1005:$AC$1005,1,MATCH(COLUMNS($U$1006:X1006),$U$1006:$AC$1006,0))&gt;=100000), " ",IF(INDEX($U$2:$AC$1001,MATCH(ROWS($N$2:N220),$N$2:$N$1001,0),MATCH(COLUMNS($U$1006:X1006),$U$1006:$AC$1006,0)), HYPERLINK("#",""), HYPERLINK(CONCATENATE("#metadata!", ADDRESS(INDEX($P$2:$P$1001,MATCH(ROWS($N$2:N220),$N$2:$N$1001,0),0), INDEX($U$1004:$AC$1004,1,MATCH(COLUMNS($U$1006:X1006),$U$1006:$AC$1006,0)))),"Fix")))</f>
        <v>0</v>
      </c>
      <c r="F220" s="3">
        <f>IF(OR(INDEX($O$2:$O$1001,MATCH(ROWS($N$2:N220),$N$2:$N$1001,0),1)&gt;=100000,INDEX($U$1005:$AC$1005,1,MATCH(COLUMNS($U$1006:Y1006),$U$1006:$AC$1006,0))&gt;=100000), " ",IF(INDEX($U$2:$AC$1001,MATCH(ROWS($N$2:N220),$N$2:$N$1001,0),MATCH(COLUMNS($U$1006:Y1006),$U$1006:$AC$1006,0)), HYPERLINK("#",""), HYPERLINK(CONCATENATE("#metadata!", ADDRESS(INDEX($P$2:$P$1001,MATCH(ROWS($N$2:N220),$N$2:$N$1001,0),0), INDEX($U$1004:$AC$1004,1,MATCH(COLUMNS($U$1006:Y1006),$U$1006:$AC$1006,0)))),"Fix")))</f>
        <v>0</v>
      </c>
      <c r="G220" s="3">
        <f>IF(OR(INDEX($O$2:$O$1001,MATCH(ROWS($N$2:N220),$N$2:$N$1001,0),1)&gt;=100000,INDEX($U$1005:$AC$1005,1,MATCH(COLUMNS($U$1006:Z1006),$U$1006:$AC$1006,0))&gt;=100000), " ",IF(INDEX($U$2:$AC$1001,MATCH(ROWS($N$2:N220),$N$2:$N$1001,0),MATCH(COLUMNS($U$1006:Z1006),$U$1006:$AC$1006,0)), HYPERLINK("#",""), HYPERLINK(CONCATENATE("#metadata!", ADDRESS(INDEX($P$2:$P$1001,MATCH(ROWS($N$2:N220),$N$2:$N$1001,0),0), INDEX($U$1004:$AC$1004,1,MATCH(COLUMNS($U$1006:Z1006),$U$1006:$AC$1006,0)))),"Fix")))</f>
        <v>0</v>
      </c>
      <c r="H220" s="3">
        <f>IF(OR(INDEX($O$2:$O$1001,MATCH(ROWS($N$2:N220),$N$2:$N$1001,0),1)&gt;=100000,INDEX($U$1005:$AC$1005,1,MATCH(COLUMNS($U$1006:AA1006),$U$1006:$AC$1006,0))&gt;=100000), " ",IF(INDEX($U$2:$AC$1001,MATCH(ROWS($N$2:N220),$N$2:$N$1001,0),MATCH(COLUMNS($U$1006:AA1006),$U$1006:$AC$1006,0)), HYPERLINK("#",""), HYPERLINK(CONCATENATE("#metadata!", ADDRESS(INDEX($P$2:$P$1001,MATCH(ROWS($N$2:N220),$N$2:$N$1001,0),0), INDEX($U$1004:$AC$1004,1,MATCH(COLUMNS($U$1006:AA1006),$U$1006:$AC$1006,0)))),"Fix")))</f>
        <v>0</v>
      </c>
      <c r="I220" s="3">
        <f>IF(OR(INDEX($O$2:$O$1001,MATCH(ROWS($N$2:N220),$N$2:$N$1001,0),1)&gt;=100000,INDEX($U$1005:$AC$1005,1,MATCH(COLUMNS($U$1006:AB1006),$U$1006:$AC$1006,0))&gt;=100000), " ",IF(INDEX($U$2:$AC$1001,MATCH(ROWS($N$2:N220),$N$2:$N$1001,0),MATCH(COLUMNS($U$1006:AB1006),$U$1006:$AC$1006,0)), HYPERLINK("#",""), HYPERLINK(CONCATENATE("#metadata!", ADDRESS(INDEX($P$2:$P$1001,MATCH(ROWS($N$2:N220),$N$2:$N$1001,0),0), INDEX($U$1004:$AC$1004,1,MATCH(COLUMNS($U$1006:AB1006),$U$1006:$AC$1006,0)))),"Fix")))</f>
        <v>0</v>
      </c>
      <c r="J220" s="3">
        <f>IF(OR(INDEX($O$2:$O$1001,MATCH(ROWS($N$2:N220),$N$2:$N$1001,0),1)&gt;=100000,INDEX($U$1005:$AC$1005,1,MATCH(COLUMNS($U$1006:AC1006),$U$1006:$AC$1006,0))&gt;=100000), " ",IF(INDEX($U$2:$AC$1001,MATCH(ROWS($N$2:N220),$N$2:$N$1001,0),MATCH(COLUMNS($U$1006:AC1006),$U$1006:$AC$1006,0)), HYPERLINK("#",""), HYPERLINK(CONCATENATE("#metadata!", ADDRESS(INDEX($P$2:$P$1001,MATCH(ROWS($N$2:N220),$N$2:$N$1001,0),0), INDEX($U$1004:$AC$1004,1,MATCH(COLUMNS($U$1006:AC1006),$U$1006:$AC$1006,0)))),"Fix")))</f>
        <v>0</v>
      </c>
      <c r="N220">
        <v>0</v>
      </c>
      <c r="O220">
        <v>0</v>
      </c>
      <c r="P220">
        <v>0</v>
      </c>
      <c r="Q220">
        <f>IF(R220,TRUE,AND(U220:AC220))</f>
        <v>0</v>
      </c>
      <c r="R220">
        <f>COUNTBLANK(metadata!B220:J220)=COLUMNS(metadata!B220:J220)</f>
        <v>0</v>
      </c>
      <c r="S220">
        <v>0</v>
      </c>
      <c r="U220">
        <f>AND(IF(metadata!B220="",FALSE,TRUE),COUNTIF(metadata!B:B, metadata!B220) = 1,NOT(ISERROR(SUMPRODUCT(SEARCH(MID(metadata!B220,ROW(INDIRECT("1:"&amp;LEN(metadata!B220))), 1),"0123456789abcdefghijklmnopqrstuvwxyzABCDEFGHIJKLMNOPQRSTUVWXYZ.")))))</f>
        <v>0</v>
      </c>
      <c r="V220">
        <f>AND(IF(metadata!C220="",FALSE,TRUE),exact(metadata!C220,"UBERON:genitourinary"))</f>
        <v>0</v>
      </c>
      <c r="W220">
        <f>AND(IF(metadata!D220="",FALSE,TRUE),exact(metadata!D220,"UBERON:urine"))</f>
        <v>0</v>
      </c>
      <c r="X220">
        <f>AND(IF(metadata!E220="",FALSE,TRUE),exact(metadata!E220,"UBERON:kidney"))</f>
        <v>0</v>
      </c>
      <c r="Y220">
        <f>AND(IF(metadata!F220="",FALSE,TRUE),exact(metadata!F220,"animal corpus"))</f>
        <v>0</v>
      </c>
      <c r="Z220">
        <f>AND(IF(metadata!G220="",FALSE,TRUE),exact(metadata!G220,"urine"))</f>
        <v>0</v>
      </c>
      <c r="AA220">
        <f>AND(IF(metadata!H220="",FALSE,TRUE),exact(metadata!H220,"urine"))</f>
        <v>0</v>
      </c>
      <c r="AB220">
        <f>AND(IF(metadata!I220="",FALSE,TRUE),exact(metadata!I220,"urine metagenome"))</f>
        <v>0</v>
      </c>
      <c r="AC220">
        <f>AND(IF(metadata!J220="",FALSE,TRUE),exact(metadata!J220,"1346744"))</f>
        <v>0</v>
      </c>
    </row>
    <row r="221" spans="1:29">
      <c r="A221" s="4">
        <f>IF(B221=" "," ",HYPERLINK(CONCATENATE("#metadata!",ADDRESS(INDEX($P$2:$P$1001,MATCH(ROWS($N$2:N221),$N$2:$N$1001,0),0),1)),INDEX($S$2:$S$1001,MATCH(ROWS($N$2:N221),$N$2:$N$1001,0),0)))</f>
        <v>0</v>
      </c>
      <c r="B221" s="3">
        <f>IF(OR(INDEX($O$2:$O$1001,MATCH(ROWS($N$2:N221),$N$2:$N$1001,0),1)&gt;=100000,INDEX($U$1005:$AC$1005,1,MATCH(COLUMNS($U$1006:U1006),$U$1006:$AC$1006,0))&gt;=100000), " ",IF(INDEX($U$2:$AC$1001,MATCH(ROWS($N$2:N221),$N$2:$N$1001,0),MATCH(COLUMNS($U$1006:U1006),$U$1006:$AC$1006,0)), HYPERLINK("#",""), HYPERLINK(CONCATENATE("#metadata!", ADDRESS(INDEX($P$2:$P$1001,MATCH(ROWS($N$2:N221),$N$2:$N$1001,0),0), INDEX($U$1004:$AC$1004,1,MATCH(COLUMNS($U$1006:U1006),$U$1006:$AC$1006,0)))),"Fix")))</f>
        <v>0</v>
      </c>
      <c r="C221" s="3">
        <f>IF(OR(INDEX($O$2:$O$1001,MATCH(ROWS($N$2:N221),$N$2:$N$1001,0),1)&gt;=100000,INDEX($U$1005:$AC$1005,1,MATCH(COLUMNS($U$1006:V1006),$U$1006:$AC$1006,0))&gt;=100000), " ",IF(INDEX($U$2:$AC$1001,MATCH(ROWS($N$2:N221),$N$2:$N$1001,0),MATCH(COLUMNS($U$1006:V1006),$U$1006:$AC$1006,0)), HYPERLINK("#",""), HYPERLINK(CONCATENATE("#metadata!", ADDRESS(INDEX($P$2:$P$1001,MATCH(ROWS($N$2:N221),$N$2:$N$1001,0),0), INDEX($U$1004:$AC$1004,1,MATCH(COLUMNS($U$1006:V1006),$U$1006:$AC$1006,0)))),"Fix")))</f>
        <v>0</v>
      </c>
      <c r="D221" s="3">
        <f>IF(OR(INDEX($O$2:$O$1001,MATCH(ROWS($N$2:N221),$N$2:$N$1001,0),1)&gt;=100000,INDEX($U$1005:$AC$1005,1,MATCH(COLUMNS($U$1006:W1006),$U$1006:$AC$1006,0))&gt;=100000), " ",IF(INDEX($U$2:$AC$1001,MATCH(ROWS($N$2:N221),$N$2:$N$1001,0),MATCH(COLUMNS($U$1006:W1006),$U$1006:$AC$1006,0)), HYPERLINK("#",""), HYPERLINK(CONCATENATE("#metadata!", ADDRESS(INDEX($P$2:$P$1001,MATCH(ROWS($N$2:N221),$N$2:$N$1001,0),0), INDEX($U$1004:$AC$1004,1,MATCH(COLUMNS($U$1006:W1006),$U$1006:$AC$1006,0)))),"Fix")))</f>
        <v>0</v>
      </c>
      <c r="E221" s="3">
        <f>IF(OR(INDEX($O$2:$O$1001,MATCH(ROWS($N$2:N221),$N$2:$N$1001,0),1)&gt;=100000,INDEX($U$1005:$AC$1005,1,MATCH(COLUMNS($U$1006:X1006),$U$1006:$AC$1006,0))&gt;=100000), " ",IF(INDEX($U$2:$AC$1001,MATCH(ROWS($N$2:N221),$N$2:$N$1001,0),MATCH(COLUMNS($U$1006:X1006),$U$1006:$AC$1006,0)), HYPERLINK("#",""), HYPERLINK(CONCATENATE("#metadata!", ADDRESS(INDEX($P$2:$P$1001,MATCH(ROWS($N$2:N221),$N$2:$N$1001,0),0), INDEX($U$1004:$AC$1004,1,MATCH(COLUMNS($U$1006:X1006),$U$1006:$AC$1006,0)))),"Fix")))</f>
        <v>0</v>
      </c>
      <c r="F221" s="3">
        <f>IF(OR(INDEX($O$2:$O$1001,MATCH(ROWS($N$2:N221),$N$2:$N$1001,0),1)&gt;=100000,INDEX($U$1005:$AC$1005,1,MATCH(COLUMNS($U$1006:Y1006),$U$1006:$AC$1006,0))&gt;=100000), " ",IF(INDEX($U$2:$AC$1001,MATCH(ROWS($N$2:N221),$N$2:$N$1001,0),MATCH(COLUMNS($U$1006:Y1006),$U$1006:$AC$1006,0)), HYPERLINK("#",""), HYPERLINK(CONCATENATE("#metadata!", ADDRESS(INDEX($P$2:$P$1001,MATCH(ROWS($N$2:N221),$N$2:$N$1001,0),0), INDEX($U$1004:$AC$1004,1,MATCH(COLUMNS($U$1006:Y1006),$U$1006:$AC$1006,0)))),"Fix")))</f>
        <v>0</v>
      </c>
      <c r="G221" s="3">
        <f>IF(OR(INDEX($O$2:$O$1001,MATCH(ROWS($N$2:N221),$N$2:$N$1001,0),1)&gt;=100000,INDEX($U$1005:$AC$1005,1,MATCH(COLUMNS($U$1006:Z1006),$U$1006:$AC$1006,0))&gt;=100000), " ",IF(INDEX($U$2:$AC$1001,MATCH(ROWS($N$2:N221),$N$2:$N$1001,0),MATCH(COLUMNS($U$1006:Z1006),$U$1006:$AC$1006,0)), HYPERLINK("#",""), HYPERLINK(CONCATENATE("#metadata!", ADDRESS(INDEX($P$2:$P$1001,MATCH(ROWS($N$2:N221),$N$2:$N$1001,0),0), INDEX($U$1004:$AC$1004,1,MATCH(COLUMNS($U$1006:Z1006),$U$1006:$AC$1006,0)))),"Fix")))</f>
        <v>0</v>
      </c>
      <c r="H221" s="3">
        <f>IF(OR(INDEX($O$2:$O$1001,MATCH(ROWS($N$2:N221),$N$2:$N$1001,0),1)&gt;=100000,INDEX($U$1005:$AC$1005,1,MATCH(COLUMNS($U$1006:AA1006),$U$1006:$AC$1006,0))&gt;=100000), " ",IF(INDEX($U$2:$AC$1001,MATCH(ROWS($N$2:N221),$N$2:$N$1001,0),MATCH(COLUMNS($U$1006:AA1006),$U$1006:$AC$1006,0)), HYPERLINK("#",""), HYPERLINK(CONCATENATE("#metadata!", ADDRESS(INDEX($P$2:$P$1001,MATCH(ROWS($N$2:N221),$N$2:$N$1001,0),0), INDEX($U$1004:$AC$1004,1,MATCH(COLUMNS($U$1006:AA1006),$U$1006:$AC$1006,0)))),"Fix")))</f>
        <v>0</v>
      </c>
      <c r="I221" s="3">
        <f>IF(OR(INDEX($O$2:$O$1001,MATCH(ROWS($N$2:N221),$N$2:$N$1001,0),1)&gt;=100000,INDEX($U$1005:$AC$1005,1,MATCH(COLUMNS($U$1006:AB1006),$U$1006:$AC$1006,0))&gt;=100000), " ",IF(INDEX($U$2:$AC$1001,MATCH(ROWS($N$2:N221),$N$2:$N$1001,0),MATCH(COLUMNS($U$1006:AB1006),$U$1006:$AC$1006,0)), HYPERLINK("#",""), HYPERLINK(CONCATENATE("#metadata!", ADDRESS(INDEX($P$2:$P$1001,MATCH(ROWS($N$2:N221),$N$2:$N$1001,0),0), INDEX($U$1004:$AC$1004,1,MATCH(COLUMNS($U$1006:AB1006),$U$1006:$AC$1006,0)))),"Fix")))</f>
        <v>0</v>
      </c>
      <c r="J221" s="3">
        <f>IF(OR(INDEX($O$2:$O$1001,MATCH(ROWS($N$2:N221),$N$2:$N$1001,0),1)&gt;=100000,INDEX($U$1005:$AC$1005,1,MATCH(COLUMNS($U$1006:AC1006),$U$1006:$AC$1006,0))&gt;=100000), " ",IF(INDEX($U$2:$AC$1001,MATCH(ROWS($N$2:N221),$N$2:$N$1001,0),MATCH(COLUMNS($U$1006:AC1006),$U$1006:$AC$1006,0)), HYPERLINK("#",""), HYPERLINK(CONCATENATE("#metadata!", ADDRESS(INDEX($P$2:$P$1001,MATCH(ROWS($N$2:N221),$N$2:$N$1001,0),0), INDEX($U$1004:$AC$1004,1,MATCH(COLUMNS($U$1006:AC1006),$U$1006:$AC$1006,0)))),"Fix")))</f>
        <v>0</v>
      </c>
      <c r="N221">
        <v>0</v>
      </c>
      <c r="O221">
        <v>0</v>
      </c>
      <c r="P221">
        <v>0</v>
      </c>
      <c r="Q221">
        <f>IF(R221,TRUE,AND(U221:AC221))</f>
        <v>0</v>
      </c>
      <c r="R221">
        <f>COUNTBLANK(metadata!B221:J221)=COLUMNS(metadata!B221:J221)</f>
        <v>0</v>
      </c>
      <c r="S221">
        <v>0</v>
      </c>
      <c r="U221">
        <f>AND(IF(metadata!B221="",FALSE,TRUE),COUNTIF(metadata!B:B, metadata!B221) = 1,NOT(ISERROR(SUMPRODUCT(SEARCH(MID(metadata!B221,ROW(INDIRECT("1:"&amp;LEN(metadata!B221))), 1),"0123456789abcdefghijklmnopqrstuvwxyzABCDEFGHIJKLMNOPQRSTUVWXYZ.")))))</f>
        <v>0</v>
      </c>
      <c r="V221">
        <f>AND(IF(metadata!C221="",FALSE,TRUE),exact(metadata!C221,"UBERON:genitourinary"))</f>
        <v>0</v>
      </c>
      <c r="W221">
        <f>AND(IF(metadata!D221="",FALSE,TRUE),exact(metadata!D221,"UBERON:urine"))</f>
        <v>0</v>
      </c>
      <c r="X221">
        <f>AND(IF(metadata!E221="",FALSE,TRUE),exact(metadata!E221,"UBERON:kidney"))</f>
        <v>0</v>
      </c>
      <c r="Y221">
        <f>AND(IF(metadata!F221="",FALSE,TRUE),exact(metadata!F221,"animal corpus"))</f>
        <v>0</v>
      </c>
      <c r="Z221">
        <f>AND(IF(metadata!G221="",FALSE,TRUE),exact(metadata!G221,"urine"))</f>
        <v>0</v>
      </c>
      <c r="AA221">
        <f>AND(IF(metadata!H221="",FALSE,TRUE),exact(metadata!H221,"urine"))</f>
        <v>0</v>
      </c>
      <c r="AB221">
        <f>AND(IF(metadata!I221="",FALSE,TRUE),exact(metadata!I221,"urine metagenome"))</f>
        <v>0</v>
      </c>
      <c r="AC221">
        <f>AND(IF(metadata!J221="",FALSE,TRUE),exact(metadata!J221,"1346744"))</f>
        <v>0</v>
      </c>
    </row>
    <row r="222" spans="1:29">
      <c r="A222" s="4">
        <f>IF(B222=" "," ",HYPERLINK(CONCATENATE("#metadata!",ADDRESS(INDEX($P$2:$P$1001,MATCH(ROWS($N$2:N222),$N$2:$N$1001,0),0),1)),INDEX($S$2:$S$1001,MATCH(ROWS($N$2:N222),$N$2:$N$1001,0),0)))</f>
        <v>0</v>
      </c>
      <c r="B222" s="3">
        <f>IF(OR(INDEX($O$2:$O$1001,MATCH(ROWS($N$2:N222),$N$2:$N$1001,0),1)&gt;=100000,INDEX($U$1005:$AC$1005,1,MATCH(COLUMNS($U$1006:U1006),$U$1006:$AC$1006,0))&gt;=100000), " ",IF(INDEX($U$2:$AC$1001,MATCH(ROWS($N$2:N222),$N$2:$N$1001,0),MATCH(COLUMNS($U$1006:U1006),$U$1006:$AC$1006,0)), HYPERLINK("#",""), HYPERLINK(CONCATENATE("#metadata!", ADDRESS(INDEX($P$2:$P$1001,MATCH(ROWS($N$2:N222),$N$2:$N$1001,0),0), INDEX($U$1004:$AC$1004,1,MATCH(COLUMNS($U$1006:U1006),$U$1006:$AC$1006,0)))),"Fix")))</f>
        <v>0</v>
      </c>
      <c r="C222" s="3">
        <f>IF(OR(INDEX($O$2:$O$1001,MATCH(ROWS($N$2:N222),$N$2:$N$1001,0),1)&gt;=100000,INDEX($U$1005:$AC$1005,1,MATCH(COLUMNS($U$1006:V1006),$U$1006:$AC$1006,0))&gt;=100000), " ",IF(INDEX($U$2:$AC$1001,MATCH(ROWS($N$2:N222),$N$2:$N$1001,0),MATCH(COLUMNS($U$1006:V1006),$U$1006:$AC$1006,0)), HYPERLINK("#",""), HYPERLINK(CONCATENATE("#metadata!", ADDRESS(INDEX($P$2:$P$1001,MATCH(ROWS($N$2:N222),$N$2:$N$1001,0),0), INDEX($U$1004:$AC$1004,1,MATCH(COLUMNS($U$1006:V1006),$U$1006:$AC$1006,0)))),"Fix")))</f>
        <v>0</v>
      </c>
      <c r="D222" s="3">
        <f>IF(OR(INDEX($O$2:$O$1001,MATCH(ROWS($N$2:N222),$N$2:$N$1001,0),1)&gt;=100000,INDEX($U$1005:$AC$1005,1,MATCH(COLUMNS($U$1006:W1006),$U$1006:$AC$1006,0))&gt;=100000), " ",IF(INDEX($U$2:$AC$1001,MATCH(ROWS($N$2:N222),$N$2:$N$1001,0),MATCH(COLUMNS($U$1006:W1006),$U$1006:$AC$1006,0)), HYPERLINK("#",""), HYPERLINK(CONCATENATE("#metadata!", ADDRESS(INDEX($P$2:$P$1001,MATCH(ROWS($N$2:N222),$N$2:$N$1001,0),0), INDEX($U$1004:$AC$1004,1,MATCH(COLUMNS($U$1006:W1006),$U$1006:$AC$1006,0)))),"Fix")))</f>
        <v>0</v>
      </c>
      <c r="E222" s="3">
        <f>IF(OR(INDEX($O$2:$O$1001,MATCH(ROWS($N$2:N222),$N$2:$N$1001,0),1)&gt;=100000,INDEX($U$1005:$AC$1005,1,MATCH(COLUMNS($U$1006:X1006),$U$1006:$AC$1006,0))&gt;=100000), " ",IF(INDEX($U$2:$AC$1001,MATCH(ROWS($N$2:N222),$N$2:$N$1001,0),MATCH(COLUMNS($U$1006:X1006),$U$1006:$AC$1006,0)), HYPERLINK("#",""), HYPERLINK(CONCATENATE("#metadata!", ADDRESS(INDEX($P$2:$P$1001,MATCH(ROWS($N$2:N222),$N$2:$N$1001,0),0), INDEX($U$1004:$AC$1004,1,MATCH(COLUMNS($U$1006:X1006),$U$1006:$AC$1006,0)))),"Fix")))</f>
        <v>0</v>
      </c>
      <c r="F222" s="3">
        <f>IF(OR(INDEX($O$2:$O$1001,MATCH(ROWS($N$2:N222),$N$2:$N$1001,0),1)&gt;=100000,INDEX($U$1005:$AC$1005,1,MATCH(COLUMNS($U$1006:Y1006),$U$1006:$AC$1006,0))&gt;=100000), " ",IF(INDEX($U$2:$AC$1001,MATCH(ROWS($N$2:N222),$N$2:$N$1001,0),MATCH(COLUMNS($U$1006:Y1006),$U$1006:$AC$1006,0)), HYPERLINK("#",""), HYPERLINK(CONCATENATE("#metadata!", ADDRESS(INDEX($P$2:$P$1001,MATCH(ROWS($N$2:N222),$N$2:$N$1001,0),0), INDEX($U$1004:$AC$1004,1,MATCH(COLUMNS($U$1006:Y1006),$U$1006:$AC$1006,0)))),"Fix")))</f>
        <v>0</v>
      </c>
      <c r="G222" s="3">
        <f>IF(OR(INDEX($O$2:$O$1001,MATCH(ROWS($N$2:N222),$N$2:$N$1001,0),1)&gt;=100000,INDEX($U$1005:$AC$1005,1,MATCH(COLUMNS($U$1006:Z1006),$U$1006:$AC$1006,0))&gt;=100000), " ",IF(INDEX($U$2:$AC$1001,MATCH(ROWS($N$2:N222),$N$2:$N$1001,0),MATCH(COLUMNS($U$1006:Z1006),$U$1006:$AC$1006,0)), HYPERLINK("#",""), HYPERLINK(CONCATENATE("#metadata!", ADDRESS(INDEX($P$2:$P$1001,MATCH(ROWS($N$2:N222),$N$2:$N$1001,0),0), INDEX($U$1004:$AC$1004,1,MATCH(COLUMNS($U$1006:Z1006),$U$1006:$AC$1006,0)))),"Fix")))</f>
        <v>0</v>
      </c>
      <c r="H222" s="3">
        <f>IF(OR(INDEX($O$2:$O$1001,MATCH(ROWS($N$2:N222),$N$2:$N$1001,0),1)&gt;=100000,INDEX($U$1005:$AC$1005,1,MATCH(COLUMNS($U$1006:AA1006),$U$1006:$AC$1006,0))&gt;=100000), " ",IF(INDEX($U$2:$AC$1001,MATCH(ROWS($N$2:N222),$N$2:$N$1001,0),MATCH(COLUMNS($U$1006:AA1006),$U$1006:$AC$1006,0)), HYPERLINK("#",""), HYPERLINK(CONCATENATE("#metadata!", ADDRESS(INDEX($P$2:$P$1001,MATCH(ROWS($N$2:N222),$N$2:$N$1001,0),0), INDEX($U$1004:$AC$1004,1,MATCH(COLUMNS($U$1006:AA1006),$U$1006:$AC$1006,0)))),"Fix")))</f>
        <v>0</v>
      </c>
      <c r="I222" s="3">
        <f>IF(OR(INDEX($O$2:$O$1001,MATCH(ROWS($N$2:N222),$N$2:$N$1001,0),1)&gt;=100000,INDEX($U$1005:$AC$1005,1,MATCH(COLUMNS($U$1006:AB1006),$U$1006:$AC$1006,0))&gt;=100000), " ",IF(INDEX($U$2:$AC$1001,MATCH(ROWS($N$2:N222),$N$2:$N$1001,0),MATCH(COLUMNS($U$1006:AB1006),$U$1006:$AC$1006,0)), HYPERLINK("#",""), HYPERLINK(CONCATENATE("#metadata!", ADDRESS(INDEX($P$2:$P$1001,MATCH(ROWS($N$2:N222),$N$2:$N$1001,0),0), INDEX($U$1004:$AC$1004,1,MATCH(COLUMNS($U$1006:AB1006),$U$1006:$AC$1006,0)))),"Fix")))</f>
        <v>0</v>
      </c>
      <c r="J222" s="3">
        <f>IF(OR(INDEX($O$2:$O$1001,MATCH(ROWS($N$2:N222),$N$2:$N$1001,0),1)&gt;=100000,INDEX($U$1005:$AC$1005,1,MATCH(COLUMNS($U$1006:AC1006),$U$1006:$AC$1006,0))&gt;=100000), " ",IF(INDEX($U$2:$AC$1001,MATCH(ROWS($N$2:N222),$N$2:$N$1001,0),MATCH(COLUMNS($U$1006:AC1006),$U$1006:$AC$1006,0)), HYPERLINK("#",""), HYPERLINK(CONCATENATE("#metadata!", ADDRESS(INDEX($P$2:$P$1001,MATCH(ROWS($N$2:N222),$N$2:$N$1001,0),0), INDEX($U$1004:$AC$1004,1,MATCH(COLUMNS($U$1006:AC1006),$U$1006:$AC$1006,0)))),"Fix")))</f>
        <v>0</v>
      </c>
      <c r="N222">
        <v>0</v>
      </c>
      <c r="O222">
        <v>0</v>
      </c>
      <c r="P222">
        <v>0</v>
      </c>
      <c r="Q222">
        <f>IF(R222,TRUE,AND(U222:AC222))</f>
        <v>0</v>
      </c>
      <c r="R222">
        <f>COUNTBLANK(metadata!B222:J222)=COLUMNS(metadata!B222:J222)</f>
        <v>0</v>
      </c>
      <c r="S222">
        <v>0</v>
      </c>
      <c r="U222">
        <f>AND(IF(metadata!B222="",FALSE,TRUE),COUNTIF(metadata!B:B, metadata!B222) = 1,NOT(ISERROR(SUMPRODUCT(SEARCH(MID(metadata!B222,ROW(INDIRECT("1:"&amp;LEN(metadata!B222))), 1),"0123456789abcdefghijklmnopqrstuvwxyzABCDEFGHIJKLMNOPQRSTUVWXYZ.")))))</f>
        <v>0</v>
      </c>
      <c r="V222">
        <f>AND(IF(metadata!C222="",FALSE,TRUE),exact(metadata!C222,"UBERON:genitourinary"))</f>
        <v>0</v>
      </c>
      <c r="W222">
        <f>AND(IF(metadata!D222="",FALSE,TRUE),exact(metadata!D222,"UBERON:urine"))</f>
        <v>0</v>
      </c>
      <c r="X222">
        <f>AND(IF(metadata!E222="",FALSE,TRUE),exact(metadata!E222,"UBERON:kidney"))</f>
        <v>0</v>
      </c>
      <c r="Y222">
        <f>AND(IF(metadata!F222="",FALSE,TRUE),exact(metadata!F222,"animal corpus"))</f>
        <v>0</v>
      </c>
      <c r="Z222">
        <f>AND(IF(metadata!G222="",FALSE,TRUE),exact(metadata!G222,"urine"))</f>
        <v>0</v>
      </c>
      <c r="AA222">
        <f>AND(IF(metadata!H222="",FALSE,TRUE),exact(metadata!H222,"urine"))</f>
        <v>0</v>
      </c>
      <c r="AB222">
        <f>AND(IF(metadata!I222="",FALSE,TRUE),exact(metadata!I222,"urine metagenome"))</f>
        <v>0</v>
      </c>
      <c r="AC222">
        <f>AND(IF(metadata!J222="",FALSE,TRUE),exact(metadata!J222,"1346744"))</f>
        <v>0</v>
      </c>
    </row>
    <row r="223" spans="1:29">
      <c r="A223" s="4">
        <f>IF(B223=" "," ",HYPERLINK(CONCATENATE("#metadata!",ADDRESS(INDEX($P$2:$P$1001,MATCH(ROWS($N$2:N223),$N$2:$N$1001,0),0),1)),INDEX($S$2:$S$1001,MATCH(ROWS($N$2:N223),$N$2:$N$1001,0),0)))</f>
        <v>0</v>
      </c>
      <c r="B223" s="3">
        <f>IF(OR(INDEX($O$2:$O$1001,MATCH(ROWS($N$2:N223),$N$2:$N$1001,0),1)&gt;=100000,INDEX($U$1005:$AC$1005,1,MATCH(COLUMNS($U$1006:U1006),$U$1006:$AC$1006,0))&gt;=100000), " ",IF(INDEX($U$2:$AC$1001,MATCH(ROWS($N$2:N223),$N$2:$N$1001,0),MATCH(COLUMNS($U$1006:U1006),$U$1006:$AC$1006,0)), HYPERLINK("#",""), HYPERLINK(CONCATENATE("#metadata!", ADDRESS(INDEX($P$2:$P$1001,MATCH(ROWS($N$2:N223),$N$2:$N$1001,0),0), INDEX($U$1004:$AC$1004,1,MATCH(COLUMNS($U$1006:U1006),$U$1006:$AC$1006,0)))),"Fix")))</f>
        <v>0</v>
      </c>
      <c r="C223" s="3">
        <f>IF(OR(INDEX($O$2:$O$1001,MATCH(ROWS($N$2:N223),$N$2:$N$1001,0),1)&gt;=100000,INDEX($U$1005:$AC$1005,1,MATCH(COLUMNS($U$1006:V1006),$U$1006:$AC$1006,0))&gt;=100000), " ",IF(INDEX($U$2:$AC$1001,MATCH(ROWS($N$2:N223),$N$2:$N$1001,0),MATCH(COLUMNS($U$1006:V1006),$U$1006:$AC$1006,0)), HYPERLINK("#",""), HYPERLINK(CONCATENATE("#metadata!", ADDRESS(INDEX($P$2:$P$1001,MATCH(ROWS($N$2:N223),$N$2:$N$1001,0),0), INDEX($U$1004:$AC$1004,1,MATCH(COLUMNS($U$1006:V1006),$U$1006:$AC$1006,0)))),"Fix")))</f>
        <v>0</v>
      </c>
      <c r="D223" s="3">
        <f>IF(OR(INDEX($O$2:$O$1001,MATCH(ROWS($N$2:N223),$N$2:$N$1001,0),1)&gt;=100000,INDEX($U$1005:$AC$1005,1,MATCH(COLUMNS($U$1006:W1006),$U$1006:$AC$1006,0))&gt;=100000), " ",IF(INDEX($U$2:$AC$1001,MATCH(ROWS($N$2:N223),$N$2:$N$1001,0),MATCH(COLUMNS($U$1006:W1006),$U$1006:$AC$1006,0)), HYPERLINK("#",""), HYPERLINK(CONCATENATE("#metadata!", ADDRESS(INDEX($P$2:$P$1001,MATCH(ROWS($N$2:N223),$N$2:$N$1001,0),0), INDEX($U$1004:$AC$1004,1,MATCH(COLUMNS($U$1006:W1006),$U$1006:$AC$1006,0)))),"Fix")))</f>
        <v>0</v>
      </c>
      <c r="E223" s="3">
        <f>IF(OR(INDEX($O$2:$O$1001,MATCH(ROWS($N$2:N223),$N$2:$N$1001,0),1)&gt;=100000,INDEX($U$1005:$AC$1005,1,MATCH(COLUMNS($U$1006:X1006),$U$1006:$AC$1006,0))&gt;=100000), " ",IF(INDEX($U$2:$AC$1001,MATCH(ROWS($N$2:N223),$N$2:$N$1001,0),MATCH(COLUMNS($U$1006:X1006),$U$1006:$AC$1006,0)), HYPERLINK("#",""), HYPERLINK(CONCATENATE("#metadata!", ADDRESS(INDEX($P$2:$P$1001,MATCH(ROWS($N$2:N223),$N$2:$N$1001,0),0), INDEX($U$1004:$AC$1004,1,MATCH(COLUMNS($U$1006:X1006),$U$1006:$AC$1006,0)))),"Fix")))</f>
        <v>0</v>
      </c>
      <c r="F223" s="3">
        <f>IF(OR(INDEX($O$2:$O$1001,MATCH(ROWS($N$2:N223),$N$2:$N$1001,0),1)&gt;=100000,INDEX($U$1005:$AC$1005,1,MATCH(COLUMNS($U$1006:Y1006),$U$1006:$AC$1006,0))&gt;=100000), " ",IF(INDEX($U$2:$AC$1001,MATCH(ROWS($N$2:N223),$N$2:$N$1001,0),MATCH(COLUMNS($U$1006:Y1006),$U$1006:$AC$1006,0)), HYPERLINK("#",""), HYPERLINK(CONCATENATE("#metadata!", ADDRESS(INDEX($P$2:$P$1001,MATCH(ROWS($N$2:N223),$N$2:$N$1001,0),0), INDEX($U$1004:$AC$1004,1,MATCH(COLUMNS($U$1006:Y1006),$U$1006:$AC$1006,0)))),"Fix")))</f>
        <v>0</v>
      </c>
      <c r="G223" s="3">
        <f>IF(OR(INDEX($O$2:$O$1001,MATCH(ROWS($N$2:N223),$N$2:$N$1001,0),1)&gt;=100000,INDEX($U$1005:$AC$1005,1,MATCH(COLUMNS($U$1006:Z1006),$U$1006:$AC$1006,0))&gt;=100000), " ",IF(INDEX($U$2:$AC$1001,MATCH(ROWS($N$2:N223),$N$2:$N$1001,0),MATCH(COLUMNS($U$1006:Z1006),$U$1006:$AC$1006,0)), HYPERLINK("#",""), HYPERLINK(CONCATENATE("#metadata!", ADDRESS(INDEX($P$2:$P$1001,MATCH(ROWS($N$2:N223),$N$2:$N$1001,0),0), INDEX($U$1004:$AC$1004,1,MATCH(COLUMNS($U$1006:Z1006),$U$1006:$AC$1006,0)))),"Fix")))</f>
        <v>0</v>
      </c>
      <c r="H223" s="3">
        <f>IF(OR(INDEX($O$2:$O$1001,MATCH(ROWS($N$2:N223),$N$2:$N$1001,0),1)&gt;=100000,INDEX($U$1005:$AC$1005,1,MATCH(COLUMNS($U$1006:AA1006),$U$1006:$AC$1006,0))&gt;=100000), " ",IF(INDEX($U$2:$AC$1001,MATCH(ROWS($N$2:N223),$N$2:$N$1001,0),MATCH(COLUMNS($U$1006:AA1006),$U$1006:$AC$1006,0)), HYPERLINK("#",""), HYPERLINK(CONCATENATE("#metadata!", ADDRESS(INDEX($P$2:$P$1001,MATCH(ROWS($N$2:N223),$N$2:$N$1001,0),0), INDEX($U$1004:$AC$1004,1,MATCH(COLUMNS($U$1006:AA1006),$U$1006:$AC$1006,0)))),"Fix")))</f>
        <v>0</v>
      </c>
      <c r="I223" s="3">
        <f>IF(OR(INDEX($O$2:$O$1001,MATCH(ROWS($N$2:N223),$N$2:$N$1001,0),1)&gt;=100000,INDEX($U$1005:$AC$1005,1,MATCH(COLUMNS($U$1006:AB1006),$U$1006:$AC$1006,0))&gt;=100000), " ",IF(INDEX($U$2:$AC$1001,MATCH(ROWS($N$2:N223),$N$2:$N$1001,0),MATCH(COLUMNS($U$1006:AB1006),$U$1006:$AC$1006,0)), HYPERLINK("#",""), HYPERLINK(CONCATENATE("#metadata!", ADDRESS(INDEX($P$2:$P$1001,MATCH(ROWS($N$2:N223),$N$2:$N$1001,0),0), INDEX($U$1004:$AC$1004,1,MATCH(COLUMNS($U$1006:AB1006),$U$1006:$AC$1006,0)))),"Fix")))</f>
        <v>0</v>
      </c>
      <c r="J223" s="3">
        <f>IF(OR(INDEX($O$2:$O$1001,MATCH(ROWS($N$2:N223),$N$2:$N$1001,0),1)&gt;=100000,INDEX($U$1005:$AC$1005,1,MATCH(COLUMNS($U$1006:AC1006),$U$1006:$AC$1006,0))&gt;=100000), " ",IF(INDEX($U$2:$AC$1001,MATCH(ROWS($N$2:N223),$N$2:$N$1001,0),MATCH(COLUMNS($U$1006:AC1006),$U$1006:$AC$1006,0)), HYPERLINK("#",""), HYPERLINK(CONCATENATE("#metadata!", ADDRESS(INDEX($P$2:$P$1001,MATCH(ROWS($N$2:N223),$N$2:$N$1001,0),0), INDEX($U$1004:$AC$1004,1,MATCH(COLUMNS($U$1006:AC1006),$U$1006:$AC$1006,0)))),"Fix")))</f>
        <v>0</v>
      </c>
      <c r="N223">
        <v>0</v>
      </c>
      <c r="O223">
        <v>0</v>
      </c>
      <c r="P223">
        <v>0</v>
      </c>
      <c r="Q223">
        <f>IF(R223,TRUE,AND(U223:AC223))</f>
        <v>0</v>
      </c>
      <c r="R223">
        <f>COUNTBLANK(metadata!B223:J223)=COLUMNS(metadata!B223:J223)</f>
        <v>0</v>
      </c>
      <c r="S223">
        <v>0</v>
      </c>
      <c r="U223">
        <f>AND(IF(metadata!B223="",FALSE,TRUE),COUNTIF(metadata!B:B, metadata!B223) = 1,NOT(ISERROR(SUMPRODUCT(SEARCH(MID(metadata!B223,ROW(INDIRECT("1:"&amp;LEN(metadata!B223))), 1),"0123456789abcdefghijklmnopqrstuvwxyzABCDEFGHIJKLMNOPQRSTUVWXYZ.")))))</f>
        <v>0</v>
      </c>
      <c r="V223">
        <f>AND(IF(metadata!C223="",FALSE,TRUE),exact(metadata!C223,"UBERON:genitourinary"))</f>
        <v>0</v>
      </c>
      <c r="W223">
        <f>AND(IF(metadata!D223="",FALSE,TRUE),exact(metadata!D223,"UBERON:urine"))</f>
        <v>0</v>
      </c>
      <c r="X223">
        <f>AND(IF(metadata!E223="",FALSE,TRUE),exact(metadata!E223,"UBERON:kidney"))</f>
        <v>0</v>
      </c>
      <c r="Y223">
        <f>AND(IF(metadata!F223="",FALSE,TRUE),exact(metadata!F223,"animal corpus"))</f>
        <v>0</v>
      </c>
      <c r="Z223">
        <f>AND(IF(metadata!G223="",FALSE,TRUE),exact(metadata!G223,"urine"))</f>
        <v>0</v>
      </c>
      <c r="AA223">
        <f>AND(IF(metadata!H223="",FALSE,TRUE),exact(metadata!H223,"urine"))</f>
        <v>0</v>
      </c>
      <c r="AB223">
        <f>AND(IF(metadata!I223="",FALSE,TRUE),exact(metadata!I223,"urine metagenome"))</f>
        <v>0</v>
      </c>
      <c r="AC223">
        <f>AND(IF(metadata!J223="",FALSE,TRUE),exact(metadata!J223,"1346744"))</f>
        <v>0</v>
      </c>
    </row>
    <row r="224" spans="1:29">
      <c r="A224" s="4">
        <f>IF(B224=" "," ",HYPERLINK(CONCATENATE("#metadata!",ADDRESS(INDEX($P$2:$P$1001,MATCH(ROWS($N$2:N224),$N$2:$N$1001,0),0),1)),INDEX($S$2:$S$1001,MATCH(ROWS($N$2:N224),$N$2:$N$1001,0),0)))</f>
        <v>0</v>
      </c>
      <c r="B224" s="3">
        <f>IF(OR(INDEX($O$2:$O$1001,MATCH(ROWS($N$2:N224),$N$2:$N$1001,0),1)&gt;=100000,INDEX($U$1005:$AC$1005,1,MATCH(COLUMNS($U$1006:U1006),$U$1006:$AC$1006,0))&gt;=100000), " ",IF(INDEX($U$2:$AC$1001,MATCH(ROWS($N$2:N224),$N$2:$N$1001,0),MATCH(COLUMNS($U$1006:U1006),$U$1006:$AC$1006,0)), HYPERLINK("#",""), HYPERLINK(CONCATENATE("#metadata!", ADDRESS(INDEX($P$2:$P$1001,MATCH(ROWS($N$2:N224),$N$2:$N$1001,0),0), INDEX($U$1004:$AC$1004,1,MATCH(COLUMNS($U$1006:U1006),$U$1006:$AC$1006,0)))),"Fix")))</f>
        <v>0</v>
      </c>
      <c r="C224" s="3">
        <f>IF(OR(INDEX($O$2:$O$1001,MATCH(ROWS($N$2:N224),$N$2:$N$1001,0),1)&gt;=100000,INDEX($U$1005:$AC$1005,1,MATCH(COLUMNS($U$1006:V1006),$U$1006:$AC$1006,0))&gt;=100000), " ",IF(INDEX($U$2:$AC$1001,MATCH(ROWS($N$2:N224),$N$2:$N$1001,0),MATCH(COLUMNS($U$1006:V1006),$U$1006:$AC$1006,0)), HYPERLINK("#",""), HYPERLINK(CONCATENATE("#metadata!", ADDRESS(INDEX($P$2:$P$1001,MATCH(ROWS($N$2:N224),$N$2:$N$1001,0),0), INDEX($U$1004:$AC$1004,1,MATCH(COLUMNS($U$1006:V1006),$U$1006:$AC$1006,0)))),"Fix")))</f>
        <v>0</v>
      </c>
      <c r="D224" s="3">
        <f>IF(OR(INDEX($O$2:$O$1001,MATCH(ROWS($N$2:N224),$N$2:$N$1001,0),1)&gt;=100000,INDEX($U$1005:$AC$1005,1,MATCH(COLUMNS($U$1006:W1006),$U$1006:$AC$1006,0))&gt;=100000), " ",IF(INDEX($U$2:$AC$1001,MATCH(ROWS($N$2:N224),$N$2:$N$1001,0),MATCH(COLUMNS($U$1006:W1006),$U$1006:$AC$1006,0)), HYPERLINK("#",""), HYPERLINK(CONCATENATE("#metadata!", ADDRESS(INDEX($P$2:$P$1001,MATCH(ROWS($N$2:N224),$N$2:$N$1001,0),0), INDEX($U$1004:$AC$1004,1,MATCH(COLUMNS($U$1006:W1006),$U$1006:$AC$1006,0)))),"Fix")))</f>
        <v>0</v>
      </c>
      <c r="E224" s="3">
        <f>IF(OR(INDEX($O$2:$O$1001,MATCH(ROWS($N$2:N224),$N$2:$N$1001,0),1)&gt;=100000,INDEX($U$1005:$AC$1005,1,MATCH(COLUMNS($U$1006:X1006),$U$1006:$AC$1006,0))&gt;=100000), " ",IF(INDEX($U$2:$AC$1001,MATCH(ROWS($N$2:N224),$N$2:$N$1001,0),MATCH(COLUMNS($U$1006:X1006),$U$1006:$AC$1006,0)), HYPERLINK("#",""), HYPERLINK(CONCATENATE("#metadata!", ADDRESS(INDEX($P$2:$P$1001,MATCH(ROWS($N$2:N224),$N$2:$N$1001,0),0), INDEX($U$1004:$AC$1004,1,MATCH(COLUMNS($U$1006:X1006),$U$1006:$AC$1006,0)))),"Fix")))</f>
        <v>0</v>
      </c>
      <c r="F224" s="3">
        <f>IF(OR(INDEX($O$2:$O$1001,MATCH(ROWS($N$2:N224),$N$2:$N$1001,0),1)&gt;=100000,INDEX($U$1005:$AC$1005,1,MATCH(COLUMNS($U$1006:Y1006),$U$1006:$AC$1006,0))&gt;=100000), " ",IF(INDEX($U$2:$AC$1001,MATCH(ROWS($N$2:N224),$N$2:$N$1001,0),MATCH(COLUMNS($U$1006:Y1006),$U$1006:$AC$1006,0)), HYPERLINK("#",""), HYPERLINK(CONCATENATE("#metadata!", ADDRESS(INDEX($P$2:$P$1001,MATCH(ROWS($N$2:N224),$N$2:$N$1001,0),0), INDEX($U$1004:$AC$1004,1,MATCH(COLUMNS($U$1006:Y1006),$U$1006:$AC$1006,0)))),"Fix")))</f>
        <v>0</v>
      </c>
      <c r="G224" s="3">
        <f>IF(OR(INDEX($O$2:$O$1001,MATCH(ROWS($N$2:N224),$N$2:$N$1001,0),1)&gt;=100000,INDEX($U$1005:$AC$1005,1,MATCH(COLUMNS($U$1006:Z1006),$U$1006:$AC$1006,0))&gt;=100000), " ",IF(INDEX($U$2:$AC$1001,MATCH(ROWS($N$2:N224),$N$2:$N$1001,0),MATCH(COLUMNS($U$1006:Z1006),$U$1006:$AC$1006,0)), HYPERLINK("#",""), HYPERLINK(CONCATENATE("#metadata!", ADDRESS(INDEX($P$2:$P$1001,MATCH(ROWS($N$2:N224),$N$2:$N$1001,0),0), INDEX($U$1004:$AC$1004,1,MATCH(COLUMNS($U$1006:Z1006),$U$1006:$AC$1006,0)))),"Fix")))</f>
        <v>0</v>
      </c>
      <c r="H224" s="3">
        <f>IF(OR(INDEX($O$2:$O$1001,MATCH(ROWS($N$2:N224),$N$2:$N$1001,0),1)&gt;=100000,INDEX($U$1005:$AC$1005,1,MATCH(COLUMNS($U$1006:AA1006),$U$1006:$AC$1006,0))&gt;=100000), " ",IF(INDEX($U$2:$AC$1001,MATCH(ROWS($N$2:N224),$N$2:$N$1001,0),MATCH(COLUMNS($U$1006:AA1006),$U$1006:$AC$1006,0)), HYPERLINK("#",""), HYPERLINK(CONCATENATE("#metadata!", ADDRESS(INDEX($P$2:$P$1001,MATCH(ROWS($N$2:N224),$N$2:$N$1001,0),0), INDEX($U$1004:$AC$1004,1,MATCH(COLUMNS($U$1006:AA1006),$U$1006:$AC$1006,0)))),"Fix")))</f>
        <v>0</v>
      </c>
      <c r="I224" s="3">
        <f>IF(OR(INDEX($O$2:$O$1001,MATCH(ROWS($N$2:N224),$N$2:$N$1001,0),1)&gt;=100000,INDEX($U$1005:$AC$1005,1,MATCH(COLUMNS($U$1006:AB1006),$U$1006:$AC$1006,0))&gt;=100000), " ",IF(INDEX($U$2:$AC$1001,MATCH(ROWS($N$2:N224),$N$2:$N$1001,0),MATCH(COLUMNS($U$1006:AB1006),$U$1006:$AC$1006,0)), HYPERLINK("#",""), HYPERLINK(CONCATENATE("#metadata!", ADDRESS(INDEX($P$2:$P$1001,MATCH(ROWS($N$2:N224),$N$2:$N$1001,0),0), INDEX($U$1004:$AC$1004,1,MATCH(COLUMNS($U$1006:AB1006),$U$1006:$AC$1006,0)))),"Fix")))</f>
        <v>0</v>
      </c>
      <c r="J224" s="3">
        <f>IF(OR(INDEX($O$2:$O$1001,MATCH(ROWS($N$2:N224),$N$2:$N$1001,0),1)&gt;=100000,INDEX($U$1005:$AC$1005,1,MATCH(COLUMNS($U$1006:AC1006),$U$1006:$AC$1006,0))&gt;=100000), " ",IF(INDEX($U$2:$AC$1001,MATCH(ROWS($N$2:N224),$N$2:$N$1001,0),MATCH(COLUMNS($U$1006:AC1006),$U$1006:$AC$1006,0)), HYPERLINK("#",""), HYPERLINK(CONCATENATE("#metadata!", ADDRESS(INDEX($P$2:$P$1001,MATCH(ROWS($N$2:N224),$N$2:$N$1001,0),0), INDEX($U$1004:$AC$1004,1,MATCH(COLUMNS($U$1006:AC1006),$U$1006:$AC$1006,0)))),"Fix")))</f>
        <v>0</v>
      </c>
      <c r="N224">
        <v>0</v>
      </c>
      <c r="O224">
        <v>0</v>
      </c>
      <c r="P224">
        <v>0</v>
      </c>
      <c r="Q224">
        <f>IF(R224,TRUE,AND(U224:AC224))</f>
        <v>0</v>
      </c>
      <c r="R224">
        <f>COUNTBLANK(metadata!B224:J224)=COLUMNS(metadata!B224:J224)</f>
        <v>0</v>
      </c>
      <c r="S224">
        <v>0</v>
      </c>
      <c r="U224">
        <f>AND(IF(metadata!B224="",FALSE,TRUE),COUNTIF(metadata!B:B, metadata!B224) = 1,NOT(ISERROR(SUMPRODUCT(SEARCH(MID(metadata!B224,ROW(INDIRECT("1:"&amp;LEN(metadata!B224))), 1),"0123456789abcdefghijklmnopqrstuvwxyzABCDEFGHIJKLMNOPQRSTUVWXYZ.")))))</f>
        <v>0</v>
      </c>
      <c r="V224">
        <f>AND(IF(metadata!C224="",FALSE,TRUE),exact(metadata!C224,"UBERON:genitourinary"))</f>
        <v>0</v>
      </c>
      <c r="W224">
        <f>AND(IF(metadata!D224="",FALSE,TRUE),exact(metadata!D224,"UBERON:urine"))</f>
        <v>0</v>
      </c>
      <c r="X224">
        <f>AND(IF(metadata!E224="",FALSE,TRUE),exact(metadata!E224,"UBERON:kidney"))</f>
        <v>0</v>
      </c>
      <c r="Y224">
        <f>AND(IF(metadata!F224="",FALSE,TRUE),exact(metadata!F224,"animal corpus"))</f>
        <v>0</v>
      </c>
      <c r="Z224">
        <f>AND(IF(metadata!G224="",FALSE,TRUE),exact(metadata!G224,"urine"))</f>
        <v>0</v>
      </c>
      <c r="AA224">
        <f>AND(IF(metadata!H224="",FALSE,TRUE),exact(metadata!H224,"urine"))</f>
        <v>0</v>
      </c>
      <c r="AB224">
        <f>AND(IF(metadata!I224="",FALSE,TRUE),exact(metadata!I224,"urine metagenome"))</f>
        <v>0</v>
      </c>
      <c r="AC224">
        <f>AND(IF(metadata!J224="",FALSE,TRUE),exact(metadata!J224,"1346744"))</f>
        <v>0</v>
      </c>
    </row>
    <row r="225" spans="1:29">
      <c r="A225" s="4">
        <f>IF(B225=" "," ",HYPERLINK(CONCATENATE("#metadata!",ADDRESS(INDEX($P$2:$P$1001,MATCH(ROWS($N$2:N225),$N$2:$N$1001,0),0),1)),INDEX($S$2:$S$1001,MATCH(ROWS($N$2:N225),$N$2:$N$1001,0),0)))</f>
        <v>0</v>
      </c>
      <c r="B225" s="3">
        <f>IF(OR(INDEX($O$2:$O$1001,MATCH(ROWS($N$2:N225),$N$2:$N$1001,0),1)&gt;=100000,INDEX($U$1005:$AC$1005,1,MATCH(COLUMNS($U$1006:U1006),$U$1006:$AC$1006,0))&gt;=100000), " ",IF(INDEX($U$2:$AC$1001,MATCH(ROWS($N$2:N225),$N$2:$N$1001,0),MATCH(COLUMNS($U$1006:U1006),$U$1006:$AC$1006,0)), HYPERLINK("#",""), HYPERLINK(CONCATENATE("#metadata!", ADDRESS(INDEX($P$2:$P$1001,MATCH(ROWS($N$2:N225),$N$2:$N$1001,0),0), INDEX($U$1004:$AC$1004,1,MATCH(COLUMNS($U$1006:U1006),$U$1006:$AC$1006,0)))),"Fix")))</f>
        <v>0</v>
      </c>
      <c r="C225" s="3">
        <f>IF(OR(INDEX($O$2:$O$1001,MATCH(ROWS($N$2:N225),$N$2:$N$1001,0),1)&gt;=100000,INDEX($U$1005:$AC$1005,1,MATCH(COLUMNS($U$1006:V1006),$U$1006:$AC$1006,0))&gt;=100000), " ",IF(INDEX($U$2:$AC$1001,MATCH(ROWS($N$2:N225),$N$2:$N$1001,0),MATCH(COLUMNS($U$1006:V1006),$U$1006:$AC$1006,0)), HYPERLINK("#",""), HYPERLINK(CONCATENATE("#metadata!", ADDRESS(INDEX($P$2:$P$1001,MATCH(ROWS($N$2:N225),$N$2:$N$1001,0),0), INDEX($U$1004:$AC$1004,1,MATCH(COLUMNS($U$1006:V1006),$U$1006:$AC$1006,0)))),"Fix")))</f>
        <v>0</v>
      </c>
      <c r="D225" s="3">
        <f>IF(OR(INDEX($O$2:$O$1001,MATCH(ROWS($N$2:N225),$N$2:$N$1001,0),1)&gt;=100000,INDEX($U$1005:$AC$1005,1,MATCH(COLUMNS($U$1006:W1006),$U$1006:$AC$1006,0))&gt;=100000), " ",IF(INDEX($U$2:$AC$1001,MATCH(ROWS($N$2:N225),$N$2:$N$1001,0),MATCH(COLUMNS($U$1006:W1006),$U$1006:$AC$1006,0)), HYPERLINK("#",""), HYPERLINK(CONCATENATE("#metadata!", ADDRESS(INDEX($P$2:$P$1001,MATCH(ROWS($N$2:N225),$N$2:$N$1001,0),0), INDEX($U$1004:$AC$1004,1,MATCH(COLUMNS($U$1006:W1006),$U$1006:$AC$1006,0)))),"Fix")))</f>
        <v>0</v>
      </c>
      <c r="E225" s="3">
        <f>IF(OR(INDEX($O$2:$O$1001,MATCH(ROWS($N$2:N225),$N$2:$N$1001,0),1)&gt;=100000,INDEX($U$1005:$AC$1005,1,MATCH(COLUMNS($U$1006:X1006),$U$1006:$AC$1006,0))&gt;=100000), " ",IF(INDEX($U$2:$AC$1001,MATCH(ROWS($N$2:N225),$N$2:$N$1001,0),MATCH(COLUMNS($U$1006:X1006),$U$1006:$AC$1006,0)), HYPERLINK("#",""), HYPERLINK(CONCATENATE("#metadata!", ADDRESS(INDEX($P$2:$P$1001,MATCH(ROWS($N$2:N225),$N$2:$N$1001,0),0), INDEX($U$1004:$AC$1004,1,MATCH(COLUMNS($U$1006:X1006),$U$1006:$AC$1006,0)))),"Fix")))</f>
        <v>0</v>
      </c>
      <c r="F225" s="3">
        <f>IF(OR(INDEX($O$2:$O$1001,MATCH(ROWS($N$2:N225),$N$2:$N$1001,0),1)&gt;=100000,INDEX($U$1005:$AC$1005,1,MATCH(COLUMNS($U$1006:Y1006),$U$1006:$AC$1006,0))&gt;=100000), " ",IF(INDEX($U$2:$AC$1001,MATCH(ROWS($N$2:N225),$N$2:$N$1001,0),MATCH(COLUMNS($U$1006:Y1006),$U$1006:$AC$1006,0)), HYPERLINK("#",""), HYPERLINK(CONCATENATE("#metadata!", ADDRESS(INDEX($P$2:$P$1001,MATCH(ROWS($N$2:N225),$N$2:$N$1001,0),0), INDEX($U$1004:$AC$1004,1,MATCH(COLUMNS($U$1006:Y1006),$U$1006:$AC$1006,0)))),"Fix")))</f>
        <v>0</v>
      </c>
      <c r="G225" s="3">
        <f>IF(OR(INDEX($O$2:$O$1001,MATCH(ROWS($N$2:N225),$N$2:$N$1001,0),1)&gt;=100000,INDEX($U$1005:$AC$1005,1,MATCH(COLUMNS($U$1006:Z1006),$U$1006:$AC$1006,0))&gt;=100000), " ",IF(INDEX($U$2:$AC$1001,MATCH(ROWS($N$2:N225),$N$2:$N$1001,0),MATCH(COLUMNS($U$1006:Z1006),$U$1006:$AC$1006,0)), HYPERLINK("#",""), HYPERLINK(CONCATENATE("#metadata!", ADDRESS(INDEX($P$2:$P$1001,MATCH(ROWS($N$2:N225),$N$2:$N$1001,0),0), INDEX($U$1004:$AC$1004,1,MATCH(COLUMNS($U$1006:Z1006),$U$1006:$AC$1006,0)))),"Fix")))</f>
        <v>0</v>
      </c>
      <c r="H225" s="3">
        <f>IF(OR(INDEX($O$2:$O$1001,MATCH(ROWS($N$2:N225),$N$2:$N$1001,0),1)&gt;=100000,INDEX($U$1005:$AC$1005,1,MATCH(COLUMNS($U$1006:AA1006),$U$1006:$AC$1006,0))&gt;=100000), " ",IF(INDEX($U$2:$AC$1001,MATCH(ROWS($N$2:N225),$N$2:$N$1001,0),MATCH(COLUMNS($U$1006:AA1006),$U$1006:$AC$1006,0)), HYPERLINK("#",""), HYPERLINK(CONCATENATE("#metadata!", ADDRESS(INDEX($P$2:$P$1001,MATCH(ROWS($N$2:N225),$N$2:$N$1001,0),0), INDEX($U$1004:$AC$1004,1,MATCH(COLUMNS($U$1006:AA1006),$U$1006:$AC$1006,0)))),"Fix")))</f>
        <v>0</v>
      </c>
      <c r="I225" s="3">
        <f>IF(OR(INDEX($O$2:$O$1001,MATCH(ROWS($N$2:N225),$N$2:$N$1001,0),1)&gt;=100000,INDEX($U$1005:$AC$1005,1,MATCH(COLUMNS($U$1006:AB1006),$U$1006:$AC$1006,0))&gt;=100000), " ",IF(INDEX($U$2:$AC$1001,MATCH(ROWS($N$2:N225),$N$2:$N$1001,0),MATCH(COLUMNS($U$1006:AB1006),$U$1006:$AC$1006,0)), HYPERLINK("#",""), HYPERLINK(CONCATENATE("#metadata!", ADDRESS(INDEX($P$2:$P$1001,MATCH(ROWS($N$2:N225),$N$2:$N$1001,0),0), INDEX($U$1004:$AC$1004,1,MATCH(COLUMNS($U$1006:AB1006),$U$1006:$AC$1006,0)))),"Fix")))</f>
        <v>0</v>
      </c>
      <c r="J225" s="3">
        <f>IF(OR(INDEX($O$2:$O$1001,MATCH(ROWS($N$2:N225),$N$2:$N$1001,0),1)&gt;=100000,INDEX($U$1005:$AC$1005,1,MATCH(COLUMNS($U$1006:AC1006),$U$1006:$AC$1006,0))&gt;=100000), " ",IF(INDEX($U$2:$AC$1001,MATCH(ROWS($N$2:N225),$N$2:$N$1001,0),MATCH(COLUMNS($U$1006:AC1006),$U$1006:$AC$1006,0)), HYPERLINK("#",""), HYPERLINK(CONCATENATE("#metadata!", ADDRESS(INDEX($P$2:$P$1001,MATCH(ROWS($N$2:N225),$N$2:$N$1001,0),0), INDEX($U$1004:$AC$1004,1,MATCH(COLUMNS($U$1006:AC1006),$U$1006:$AC$1006,0)))),"Fix")))</f>
        <v>0</v>
      </c>
      <c r="N225">
        <v>0</v>
      </c>
      <c r="O225">
        <v>0</v>
      </c>
      <c r="P225">
        <v>0</v>
      </c>
      <c r="Q225">
        <f>IF(R225,TRUE,AND(U225:AC225))</f>
        <v>0</v>
      </c>
      <c r="R225">
        <f>COUNTBLANK(metadata!B225:J225)=COLUMNS(metadata!B225:J225)</f>
        <v>0</v>
      </c>
      <c r="S225">
        <v>0</v>
      </c>
      <c r="U225">
        <f>AND(IF(metadata!B225="",FALSE,TRUE),COUNTIF(metadata!B:B, metadata!B225) = 1,NOT(ISERROR(SUMPRODUCT(SEARCH(MID(metadata!B225,ROW(INDIRECT("1:"&amp;LEN(metadata!B225))), 1),"0123456789abcdefghijklmnopqrstuvwxyzABCDEFGHIJKLMNOPQRSTUVWXYZ.")))))</f>
        <v>0</v>
      </c>
      <c r="V225">
        <f>AND(IF(metadata!C225="",FALSE,TRUE),exact(metadata!C225,"UBERON:genitourinary"))</f>
        <v>0</v>
      </c>
      <c r="W225">
        <f>AND(IF(metadata!D225="",FALSE,TRUE),exact(metadata!D225,"UBERON:urine"))</f>
        <v>0</v>
      </c>
      <c r="X225">
        <f>AND(IF(metadata!E225="",FALSE,TRUE),exact(metadata!E225,"UBERON:kidney"))</f>
        <v>0</v>
      </c>
      <c r="Y225">
        <f>AND(IF(metadata!F225="",FALSE,TRUE),exact(metadata!F225,"animal corpus"))</f>
        <v>0</v>
      </c>
      <c r="Z225">
        <f>AND(IF(metadata!G225="",FALSE,TRUE),exact(metadata!G225,"urine"))</f>
        <v>0</v>
      </c>
      <c r="AA225">
        <f>AND(IF(metadata!H225="",FALSE,TRUE),exact(metadata!H225,"urine"))</f>
        <v>0</v>
      </c>
      <c r="AB225">
        <f>AND(IF(metadata!I225="",FALSE,TRUE),exact(metadata!I225,"urine metagenome"))</f>
        <v>0</v>
      </c>
      <c r="AC225">
        <f>AND(IF(metadata!J225="",FALSE,TRUE),exact(metadata!J225,"1346744"))</f>
        <v>0</v>
      </c>
    </row>
    <row r="226" spans="1:29">
      <c r="A226" s="4">
        <f>IF(B226=" "," ",HYPERLINK(CONCATENATE("#metadata!",ADDRESS(INDEX($P$2:$P$1001,MATCH(ROWS($N$2:N226),$N$2:$N$1001,0),0),1)),INDEX($S$2:$S$1001,MATCH(ROWS($N$2:N226),$N$2:$N$1001,0),0)))</f>
        <v>0</v>
      </c>
      <c r="B226" s="3">
        <f>IF(OR(INDEX($O$2:$O$1001,MATCH(ROWS($N$2:N226),$N$2:$N$1001,0),1)&gt;=100000,INDEX($U$1005:$AC$1005,1,MATCH(COLUMNS($U$1006:U1006),$U$1006:$AC$1006,0))&gt;=100000), " ",IF(INDEX($U$2:$AC$1001,MATCH(ROWS($N$2:N226),$N$2:$N$1001,0),MATCH(COLUMNS($U$1006:U1006),$U$1006:$AC$1006,0)), HYPERLINK("#",""), HYPERLINK(CONCATENATE("#metadata!", ADDRESS(INDEX($P$2:$P$1001,MATCH(ROWS($N$2:N226),$N$2:$N$1001,0),0), INDEX($U$1004:$AC$1004,1,MATCH(COLUMNS($U$1006:U1006),$U$1006:$AC$1006,0)))),"Fix")))</f>
        <v>0</v>
      </c>
      <c r="C226" s="3">
        <f>IF(OR(INDEX($O$2:$O$1001,MATCH(ROWS($N$2:N226),$N$2:$N$1001,0),1)&gt;=100000,INDEX($U$1005:$AC$1005,1,MATCH(COLUMNS($U$1006:V1006),$U$1006:$AC$1006,0))&gt;=100000), " ",IF(INDEX($U$2:$AC$1001,MATCH(ROWS($N$2:N226),$N$2:$N$1001,0),MATCH(COLUMNS($U$1006:V1006),$U$1006:$AC$1006,0)), HYPERLINK("#",""), HYPERLINK(CONCATENATE("#metadata!", ADDRESS(INDEX($P$2:$P$1001,MATCH(ROWS($N$2:N226),$N$2:$N$1001,0),0), INDEX($U$1004:$AC$1004,1,MATCH(COLUMNS($U$1006:V1006),$U$1006:$AC$1006,0)))),"Fix")))</f>
        <v>0</v>
      </c>
      <c r="D226" s="3">
        <f>IF(OR(INDEX($O$2:$O$1001,MATCH(ROWS($N$2:N226),$N$2:$N$1001,0),1)&gt;=100000,INDEX($U$1005:$AC$1005,1,MATCH(COLUMNS($U$1006:W1006),$U$1006:$AC$1006,0))&gt;=100000), " ",IF(INDEX($U$2:$AC$1001,MATCH(ROWS($N$2:N226),$N$2:$N$1001,0),MATCH(COLUMNS($U$1006:W1006),$U$1006:$AC$1006,0)), HYPERLINK("#",""), HYPERLINK(CONCATENATE("#metadata!", ADDRESS(INDEX($P$2:$P$1001,MATCH(ROWS($N$2:N226),$N$2:$N$1001,0),0), INDEX($U$1004:$AC$1004,1,MATCH(COLUMNS($U$1006:W1006),$U$1006:$AC$1006,0)))),"Fix")))</f>
        <v>0</v>
      </c>
      <c r="E226" s="3">
        <f>IF(OR(INDEX($O$2:$O$1001,MATCH(ROWS($N$2:N226),$N$2:$N$1001,0),1)&gt;=100000,INDEX($U$1005:$AC$1005,1,MATCH(COLUMNS($U$1006:X1006),$U$1006:$AC$1006,0))&gt;=100000), " ",IF(INDEX($U$2:$AC$1001,MATCH(ROWS($N$2:N226),$N$2:$N$1001,0),MATCH(COLUMNS($U$1006:X1006),$U$1006:$AC$1006,0)), HYPERLINK("#",""), HYPERLINK(CONCATENATE("#metadata!", ADDRESS(INDEX($P$2:$P$1001,MATCH(ROWS($N$2:N226),$N$2:$N$1001,0),0), INDEX($U$1004:$AC$1004,1,MATCH(COLUMNS($U$1006:X1006),$U$1006:$AC$1006,0)))),"Fix")))</f>
        <v>0</v>
      </c>
      <c r="F226" s="3">
        <f>IF(OR(INDEX($O$2:$O$1001,MATCH(ROWS($N$2:N226),$N$2:$N$1001,0),1)&gt;=100000,INDEX($U$1005:$AC$1005,1,MATCH(COLUMNS($U$1006:Y1006),$U$1006:$AC$1006,0))&gt;=100000), " ",IF(INDEX($U$2:$AC$1001,MATCH(ROWS($N$2:N226),$N$2:$N$1001,0),MATCH(COLUMNS($U$1006:Y1006),$U$1006:$AC$1006,0)), HYPERLINK("#",""), HYPERLINK(CONCATENATE("#metadata!", ADDRESS(INDEX($P$2:$P$1001,MATCH(ROWS($N$2:N226),$N$2:$N$1001,0),0), INDEX($U$1004:$AC$1004,1,MATCH(COLUMNS($U$1006:Y1006),$U$1006:$AC$1006,0)))),"Fix")))</f>
        <v>0</v>
      </c>
      <c r="G226" s="3">
        <f>IF(OR(INDEX($O$2:$O$1001,MATCH(ROWS($N$2:N226),$N$2:$N$1001,0),1)&gt;=100000,INDEX($U$1005:$AC$1005,1,MATCH(COLUMNS($U$1006:Z1006),$U$1006:$AC$1006,0))&gt;=100000), " ",IF(INDEX($U$2:$AC$1001,MATCH(ROWS($N$2:N226),$N$2:$N$1001,0),MATCH(COLUMNS($U$1006:Z1006),$U$1006:$AC$1006,0)), HYPERLINK("#",""), HYPERLINK(CONCATENATE("#metadata!", ADDRESS(INDEX($P$2:$P$1001,MATCH(ROWS($N$2:N226),$N$2:$N$1001,0),0), INDEX($U$1004:$AC$1004,1,MATCH(COLUMNS($U$1006:Z1006),$U$1006:$AC$1006,0)))),"Fix")))</f>
        <v>0</v>
      </c>
      <c r="H226" s="3">
        <f>IF(OR(INDEX($O$2:$O$1001,MATCH(ROWS($N$2:N226),$N$2:$N$1001,0),1)&gt;=100000,INDEX($U$1005:$AC$1005,1,MATCH(COLUMNS($U$1006:AA1006),$U$1006:$AC$1006,0))&gt;=100000), " ",IF(INDEX($U$2:$AC$1001,MATCH(ROWS($N$2:N226),$N$2:$N$1001,0),MATCH(COLUMNS($U$1006:AA1006),$U$1006:$AC$1006,0)), HYPERLINK("#",""), HYPERLINK(CONCATENATE("#metadata!", ADDRESS(INDEX($P$2:$P$1001,MATCH(ROWS($N$2:N226),$N$2:$N$1001,0),0), INDEX($U$1004:$AC$1004,1,MATCH(COLUMNS($U$1006:AA1006),$U$1006:$AC$1006,0)))),"Fix")))</f>
        <v>0</v>
      </c>
      <c r="I226" s="3">
        <f>IF(OR(INDEX($O$2:$O$1001,MATCH(ROWS($N$2:N226),$N$2:$N$1001,0),1)&gt;=100000,INDEX($U$1005:$AC$1005,1,MATCH(COLUMNS($U$1006:AB1006),$U$1006:$AC$1006,0))&gt;=100000), " ",IF(INDEX($U$2:$AC$1001,MATCH(ROWS($N$2:N226),$N$2:$N$1001,0),MATCH(COLUMNS($U$1006:AB1006),$U$1006:$AC$1006,0)), HYPERLINK("#",""), HYPERLINK(CONCATENATE("#metadata!", ADDRESS(INDEX($P$2:$P$1001,MATCH(ROWS($N$2:N226),$N$2:$N$1001,0),0), INDEX($U$1004:$AC$1004,1,MATCH(COLUMNS($U$1006:AB1006),$U$1006:$AC$1006,0)))),"Fix")))</f>
        <v>0</v>
      </c>
      <c r="J226" s="3">
        <f>IF(OR(INDEX($O$2:$O$1001,MATCH(ROWS($N$2:N226),$N$2:$N$1001,0),1)&gt;=100000,INDEX($U$1005:$AC$1005,1,MATCH(COLUMNS($U$1006:AC1006),$U$1006:$AC$1006,0))&gt;=100000), " ",IF(INDEX($U$2:$AC$1001,MATCH(ROWS($N$2:N226),$N$2:$N$1001,0),MATCH(COLUMNS($U$1006:AC1006),$U$1006:$AC$1006,0)), HYPERLINK("#",""), HYPERLINK(CONCATENATE("#metadata!", ADDRESS(INDEX($P$2:$P$1001,MATCH(ROWS($N$2:N226),$N$2:$N$1001,0),0), INDEX($U$1004:$AC$1004,1,MATCH(COLUMNS($U$1006:AC1006),$U$1006:$AC$1006,0)))),"Fix")))</f>
        <v>0</v>
      </c>
      <c r="N226">
        <v>0</v>
      </c>
      <c r="O226">
        <v>0</v>
      </c>
      <c r="P226">
        <v>0</v>
      </c>
      <c r="Q226">
        <f>IF(R226,TRUE,AND(U226:AC226))</f>
        <v>0</v>
      </c>
      <c r="R226">
        <f>COUNTBLANK(metadata!B226:J226)=COLUMNS(metadata!B226:J226)</f>
        <v>0</v>
      </c>
      <c r="S226">
        <v>0</v>
      </c>
      <c r="U226">
        <f>AND(IF(metadata!B226="",FALSE,TRUE),COUNTIF(metadata!B:B, metadata!B226) = 1,NOT(ISERROR(SUMPRODUCT(SEARCH(MID(metadata!B226,ROW(INDIRECT("1:"&amp;LEN(metadata!B226))), 1),"0123456789abcdefghijklmnopqrstuvwxyzABCDEFGHIJKLMNOPQRSTUVWXYZ.")))))</f>
        <v>0</v>
      </c>
      <c r="V226">
        <f>AND(IF(metadata!C226="",FALSE,TRUE),exact(metadata!C226,"UBERON:genitourinary"))</f>
        <v>0</v>
      </c>
      <c r="W226">
        <f>AND(IF(metadata!D226="",FALSE,TRUE),exact(metadata!D226,"UBERON:urine"))</f>
        <v>0</v>
      </c>
      <c r="X226">
        <f>AND(IF(metadata!E226="",FALSE,TRUE),exact(metadata!E226,"UBERON:kidney"))</f>
        <v>0</v>
      </c>
      <c r="Y226">
        <f>AND(IF(metadata!F226="",FALSE,TRUE),exact(metadata!F226,"animal corpus"))</f>
        <v>0</v>
      </c>
      <c r="Z226">
        <f>AND(IF(metadata!G226="",FALSE,TRUE),exact(metadata!G226,"urine"))</f>
        <v>0</v>
      </c>
      <c r="AA226">
        <f>AND(IF(metadata!H226="",FALSE,TRUE),exact(metadata!H226,"urine"))</f>
        <v>0</v>
      </c>
      <c r="AB226">
        <f>AND(IF(metadata!I226="",FALSE,TRUE),exact(metadata!I226,"urine metagenome"))</f>
        <v>0</v>
      </c>
      <c r="AC226">
        <f>AND(IF(metadata!J226="",FALSE,TRUE),exact(metadata!J226,"1346744"))</f>
        <v>0</v>
      </c>
    </row>
    <row r="227" spans="1:29">
      <c r="A227" s="4">
        <f>IF(B227=" "," ",HYPERLINK(CONCATENATE("#metadata!",ADDRESS(INDEX($P$2:$P$1001,MATCH(ROWS($N$2:N227),$N$2:$N$1001,0),0),1)),INDEX($S$2:$S$1001,MATCH(ROWS($N$2:N227),$N$2:$N$1001,0),0)))</f>
        <v>0</v>
      </c>
      <c r="B227" s="3">
        <f>IF(OR(INDEX($O$2:$O$1001,MATCH(ROWS($N$2:N227),$N$2:$N$1001,0),1)&gt;=100000,INDEX($U$1005:$AC$1005,1,MATCH(COLUMNS($U$1006:U1006),$U$1006:$AC$1006,0))&gt;=100000), " ",IF(INDEX($U$2:$AC$1001,MATCH(ROWS($N$2:N227),$N$2:$N$1001,0),MATCH(COLUMNS($U$1006:U1006),$U$1006:$AC$1006,0)), HYPERLINK("#",""), HYPERLINK(CONCATENATE("#metadata!", ADDRESS(INDEX($P$2:$P$1001,MATCH(ROWS($N$2:N227),$N$2:$N$1001,0),0), INDEX($U$1004:$AC$1004,1,MATCH(COLUMNS($U$1006:U1006),$U$1006:$AC$1006,0)))),"Fix")))</f>
        <v>0</v>
      </c>
      <c r="C227" s="3">
        <f>IF(OR(INDEX($O$2:$O$1001,MATCH(ROWS($N$2:N227),$N$2:$N$1001,0),1)&gt;=100000,INDEX($U$1005:$AC$1005,1,MATCH(COLUMNS($U$1006:V1006),$U$1006:$AC$1006,0))&gt;=100000), " ",IF(INDEX($U$2:$AC$1001,MATCH(ROWS($N$2:N227),$N$2:$N$1001,0),MATCH(COLUMNS($U$1006:V1006),$U$1006:$AC$1006,0)), HYPERLINK("#",""), HYPERLINK(CONCATENATE("#metadata!", ADDRESS(INDEX($P$2:$P$1001,MATCH(ROWS($N$2:N227),$N$2:$N$1001,0),0), INDEX($U$1004:$AC$1004,1,MATCH(COLUMNS($U$1006:V1006),$U$1006:$AC$1006,0)))),"Fix")))</f>
        <v>0</v>
      </c>
      <c r="D227" s="3">
        <f>IF(OR(INDEX($O$2:$O$1001,MATCH(ROWS($N$2:N227),$N$2:$N$1001,0),1)&gt;=100000,INDEX($U$1005:$AC$1005,1,MATCH(COLUMNS($U$1006:W1006),$U$1006:$AC$1006,0))&gt;=100000), " ",IF(INDEX($U$2:$AC$1001,MATCH(ROWS($N$2:N227),$N$2:$N$1001,0),MATCH(COLUMNS($U$1006:W1006),$U$1006:$AC$1006,0)), HYPERLINK("#",""), HYPERLINK(CONCATENATE("#metadata!", ADDRESS(INDEX($P$2:$P$1001,MATCH(ROWS($N$2:N227),$N$2:$N$1001,0),0), INDEX($U$1004:$AC$1004,1,MATCH(COLUMNS($U$1006:W1006),$U$1006:$AC$1006,0)))),"Fix")))</f>
        <v>0</v>
      </c>
      <c r="E227" s="3">
        <f>IF(OR(INDEX($O$2:$O$1001,MATCH(ROWS($N$2:N227),$N$2:$N$1001,0),1)&gt;=100000,INDEX($U$1005:$AC$1005,1,MATCH(COLUMNS($U$1006:X1006),$U$1006:$AC$1006,0))&gt;=100000), " ",IF(INDEX($U$2:$AC$1001,MATCH(ROWS($N$2:N227),$N$2:$N$1001,0),MATCH(COLUMNS($U$1006:X1006),$U$1006:$AC$1006,0)), HYPERLINK("#",""), HYPERLINK(CONCATENATE("#metadata!", ADDRESS(INDEX($P$2:$P$1001,MATCH(ROWS($N$2:N227),$N$2:$N$1001,0),0), INDEX($U$1004:$AC$1004,1,MATCH(COLUMNS($U$1006:X1006),$U$1006:$AC$1006,0)))),"Fix")))</f>
        <v>0</v>
      </c>
      <c r="F227" s="3">
        <f>IF(OR(INDEX($O$2:$O$1001,MATCH(ROWS($N$2:N227),$N$2:$N$1001,0),1)&gt;=100000,INDEX($U$1005:$AC$1005,1,MATCH(COLUMNS($U$1006:Y1006),$U$1006:$AC$1006,0))&gt;=100000), " ",IF(INDEX($U$2:$AC$1001,MATCH(ROWS($N$2:N227),$N$2:$N$1001,0),MATCH(COLUMNS($U$1006:Y1006),$U$1006:$AC$1006,0)), HYPERLINK("#",""), HYPERLINK(CONCATENATE("#metadata!", ADDRESS(INDEX($P$2:$P$1001,MATCH(ROWS($N$2:N227),$N$2:$N$1001,0),0), INDEX($U$1004:$AC$1004,1,MATCH(COLUMNS($U$1006:Y1006),$U$1006:$AC$1006,0)))),"Fix")))</f>
        <v>0</v>
      </c>
      <c r="G227" s="3">
        <f>IF(OR(INDEX($O$2:$O$1001,MATCH(ROWS($N$2:N227),$N$2:$N$1001,0),1)&gt;=100000,INDEX($U$1005:$AC$1005,1,MATCH(COLUMNS($U$1006:Z1006),$U$1006:$AC$1006,0))&gt;=100000), " ",IF(INDEX($U$2:$AC$1001,MATCH(ROWS($N$2:N227),$N$2:$N$1001,0),MATCH(COLUMNS($U$1006:Z1006),$U$1006:$AC$1006,0)), HYPERLINK("#",""), HYPERLINK(CONCATENATE("#metadata!", ADDRESS(INDEX($P$2:$P$1001,MATCH(ROWS($N$2:N227),$N$2:$N$1001,0),0), INDEX($U$1004:$AC$1004,1,MATCH(COLUMNS($U$1006:Z1006),$U$1006:$AC$1006,0)))),"Fix")))</f>
        <v>0</v>
      </c>
      <c r="H227" s="3">
        <f>IF(OR(INDEX($O$2:$O$1001,MATCH(ROWS($N$2:N227),$N$2:$N$1001,0),1)&gt;=100000,INDEX($U$1005:$AC$1005,1,MATCH(COLUMNS($U$1006:AA1006),$U$1006:$AC$1006,0))&gt;=100000), " ",IF(INDEX($U$2:$AC$1001,MATCH(ROWS($N$2:N227),$N$2:$N$1001,0),MATCH(COLUMNS($U$1006:AA1006),$U$1006:$AC$1006,0)), HYPERLINK("#",""), HYPERLINK(CONCATENATE("#metadata!", ADDRESS(INDEX($P$2:$P$1001,MATCH(ROWS($N$2:N227),$N$2:$N$1001,0),0), INDEX($U$1004:$AC$1004,1,MATCH(COLUMNS($U$1006:AA1006),$U$1006:$AC$1006,0)))),"Fix")))</f>
        <v>0</v>
      </c>
      <c r="I227" s="3">
        <f>IF(OR(INDEX($O$2:$O$1001,MATCH(ROWS($N$2:N227),$N$2:$N$1001,0),1)&gt;=100000,INDEX($U$1005:$AC$1005,1,MATCH(COLUMNS($U$1006:AB1006),$U$1006:$AC$1006,0))&gt;=100000), " ",IF(INDEX($U$2:$AC$1001,MATCH(ROWS($N$2:N227),$N$2:$N$1001,0),MATCH(COLUMNS($U$1006:AB1006),$U$1006:$AC$1006,0)), HYPERLINK("#",""), HYPERLINK(CONCATENATE("#metadata!", ADDRESS(INDEX($P$2:$P$1001,MATCH(ROWS($N$2:N227),$N$2:$N$1001,0),0), INDEX($U$1004:$AC$1004,1,MATCH(COLUMNS($U$1006:AB1006),$U$1006:$AC$1006,0)))),"Fix")))</f>
        <v>0</v>
      </c>
      <c r="J227" s="3">
        <f>IF(OR(INDEX($O$2:$O$1001,MATCH(ROWS($N$2:N227),$N$2:$N$1001,0),1)&gt;=100000,INDEX($U$1005:$AC$1005,1,MATCH(COLUMNS($U$1006:AC1006),$U$1006:$AC$1006,0))&gt;=100000), " ",IF(INDEX($U$2:$AC$1001,MATCH(ROWS($N$2:N227),$N$2:$N$1001,0),MATCH(COLUMNS($U$1006:AC1006),$U$1006:$AC$1006,0)), HYPERLINK("#",""), HYPERLINK(CONCATENATE("#metadata!", ADDRESS(INDEX($P$2:$P$1001,MATCH(ROWS($N$2:N227),$N$2:$N$1001,0),0), INDEX($U$1004:$AC$1004,1,MATCH(COLUMNS($U$1006:AC1006),$U$1006:$AC$1006,0)))),"Fix")))</f>
        <v>0</v>
      </c>
      <c r="N227">
        <v>0</v>
      </c>
      <c r="O227">
        <v>0</v>
      </c>
      <c r="P227">
        <v>0</v>
      </c>
      <c r="Q227">
        <f>IF(R227,TRUE,AND(U227:AC227))</f>
        <v>0</v>
      </c>
      <c r="R227">
        <f>COUNTBLANK(metadata!B227:J227)=COLUMNS(metadata!B227:J227)</f>
        <v>0</v>
      </c>
      <c r="S227">
        <v>0</v>
      </c>
      <c r="U227">
        <f>AND(IF(metadata!B227="",FALSE,TRUE),COUNTIF(metadata!B:B, metadata!B227) = 1,NOT(ISERROR(SUMPRODUCT(SEARCH(MID(metadata!B227,ROW(INDIRECT("1:"&amp;LEN(metadata!B227))), 1),"0123456789abcdefghijklmnopqrstuvwxyzABCDEFGHIJKLMNOPQRSTUVWXYZ.")))))</f>
        <v>0</v>
      </c>
      <c r="V227">
        <f>AND(IF(metadata!C227="",FALSE,TRUE),exact(metadata!C227,"UBERON:genitourinary"))</f>
        <v>0</v>
      </c>
      <c r="W227">
        <f>AND(IF(metadata!D227="",FALSE,TRUE),exact(metadata!D227,"UBERON:urine"))</f>
        <v>0</v>
      </c>
      <c r="X227">
        <f>AND(IF(metadata!E227="",FALSE,TRUE),exact(metadata!E227,"UBERON:kidney"))</f>
        <v>0</v>
      </c>
      <c r="Y227">
        <f>AND(IF(metadata!F227="",FALSE,TRUE),exact(metadata!F227,"animal corpus"))</f>
        <v>0</v>
      </c>
      <c r="Z227">
        <f>AND(IF(metadata!G227="",FALSE,TRUE),exact(metadata!G227,"urine"))</f>
        <v>0</v>
      </c>
      <c r="AA227">
        <f>AND(IF(metadata!H227="",FALSE,TRUE),exact(metadata!H227,"urine"))</f>
        <v>0</v>
      </c>
      <c r="AB227">
        <f>AND(IF(metadata!I227="",FALSE,TRUE),exact(metadata!I227,"urine metagenome"))</f>
        <v>0</v>
      </c>
      <c r="AC227">
        <f>AND(IF(metadata!J227="",FALSE,TRUE),exact(metadata!J227,"1346744"))</f>
        <v>0</v>
      </c>
    </row>
    <row r="228" spans="1:29">
      <c r="A228" s="4">
        <f>IF(B228=" "," ",HYPERLINK(CONCATENATE("#metadata!",ADDRESS(INDEX($P$2:$P$1001,MATCH(ROWS($N$2:N228),$N$2:$N$1001,0),0),1)),INDEX($S$2:$S$1001,MATCH(ROWS($N$2:N228),$N$2:$N$1001,0),0)))</f>
        <v>0</v>
      </c>
      <c r="B228" s="3">
        <f>IF(OR(INDEX($O$2:$O$1001,MATCH(ROWS($N$2:N228),$N$2:$N$1001,0),1)&gt;=100000,INDEX($U$1005:$AC$1005,1,MATCH(COLUMNS($U$1006:U1006),$U$1006:$AC$1006,0))&gt;=100000), " ",IF(INDEX($U$2:$AC$1001,MATCH(ROWS($N$2:N228),$N$2:$N$1001,0),MATCH(COLUMNS($U$1006:U1006),$U$1006:$AC$1006,0)), HYPERLINK("#",""), HYPERLINK(CONCATENATE("#metadata!", ADDRESS(INDEX($P$2:$P$1001,MATCH(ROWS($N$2:N228),$N$2:$N$1001,0),0), INDEX($U$1004:$AC$1004,1,MATCH(COLUMNS($U$1006:U1006),$U$1006:$AC$1006,0)))),"Fix")))</f>
        <v>0</v>
      </c>
      <c r="C228" s="3">
        <f>IF(OR(INDEX($O$2:$O$1001,MATCH(ROWS($N$2:N228),$N$2:$N$1001,0),1)&gt;=100000,INDEX($U$1005:$AC$1005,1,MATCH(COLUMNS($U$1006:V1006),$U$1006:$AC$1006,0))&gt;=100000), " ",IF(INDEX($U$2:$AC$1001,MATCH(ROWS($N$2:N228),$N$2:$N$1001,0),MATCH(COLUMNS($U$1006:V1006),$U$1006:$AC$1006,0)), HYPERLINK("#",""), HYPERLINK(CONCATENATE("#metadata!", ADDRESS(INDEX($P$2:$P$1001,MATCH(ROWS($N$2:N228),$N$2:$N$1001,0),0), INDEX($U$1004:$AC$1004,1,MATCH(COLUMNS($U$1006:V1006),$U$1006:$AC$1006,0)))),"Fix")))</f>
        <v>0</v>
      </c>
      <c r="D228" s="3">
        <f>IF(OR(INDEX($O$2:$O$1001,MATCH(ROWS($N$2:N228),$N$2:$N$1001,0),1)&gt;=100000,INDEX($U$1005:$AC$1005,1,MATCH(COLUMNS($U$1006:W1006),$U$1006:$AC$1006,0))&gt;=100000), " ",IF(INDEX($U$2:$AC$1001,MATCH(ROWS($N$2:N228),$N$2:$N$1001,0),MATCH(COLUMNS($U$1006:W1006),$U$1006:$AC$1006,0)), HYPERLINK("#",""), HYPERLINK(CONCATENATE("#metadata!", ADDRESS(INDEX($P$2:$P$1001,MATCH(ROWS($N$2:N228),$N$2:$N$1001,0),0), INDEX($U$1004:$AC$1004,1,MATCH(COLUMNS($U$1006:W1006),$U$1006:$AC$1006,0)))),"Fix")))</f>
        <v>0</v>
      </c>
      <c r="E228" s="3">
        <f>IF(OR(INDEX($O$2:$O$1001,MATCH(ROWS($N$2:N228),$N$2:$N$1001,0),1)&gt;=100000,INDEX($U$1005:$AC$1005,1,MATCH(COLUMNS($U$1006:X1006),$U$1006:$AC$1006,0))&gt;=100000), " ",IF(INDEX($U$2:$AC$1001,MATCH(ROWS($N$2:N228),$N$2:$N$1001,0),MATCH(COLUMNS($U$1006:X1006),$U$1006:$AC$1006,0)), HYPERLINK("#",""), HYPERLINK(CONCATENATE("#metadata!", ADDRESS(INDEX($P$2:$P$1001,MATCH(ROWS($N$2:N228),$N$2:$N$1001,0),0), INDEX($U$1004:$AC$1004,1,MATCH(COLUMNS($U$1006:X1006),$U$1006:$AC$1006,0)))),"Fix")))</f>
        <v>0</v>
      </c>
      <c r="F228" s="3">
        <f>IF(OR(INDEX($O$2:$O$1001,MATCH(ROWS($N$2:N228),$N$2:$N$1001,0),1)&gt;=100000,INDEX($U$1005:$AC$1005,1,MATCH(COLUMNS($U$1006:Y1006),$U$1006:$AC$1006,0))&gt;=100000), " ",IF(INDEX($U$2:$AC$1001,MATCH(ROWS($N$2:N228),$N$2:$N$1001,0),MATCH(COLUMNS($U$1006:Y1006),$U$1006:$AC$1006,0)), HYPERLINK("#",""), HYPERLINK(CONCATENATE("#metadata!", ADDRESS(INDEX($P$2:$P$1001,MATCH(ROWS($N$2:N228),$N$2:$N$1001,0),0), INDEX($U$1004:$AC$1004,1,MATCH(COLUMNS($U$1006:Y1006),$U$1006:$AC$1006,0)))),"Fix")))</f>
        <v>0</v>
      </c>
      <c r="G228" s="3">
        <f>IF(OR(INDEX($O$2:$O$1001,MATCH(ROWS($N$2:N228),$N$2:$N$1001,0),1)&gt;=100000,INDEX($U$1005:$AC$1005,1,MATCH(COLUMNS($U$1006:Z1006),$U$1006:$AC$1006,0))&gt;=100000), " ",IF(INDEX($U$2:$AC$1001,MATCH(ROWS($N$2:N228),$N$2:$N$1001,0),MATCH(COLUMNS($U$1006:Z1006),$U$1006:$AC$1006,0)), HYPERLINK("#",""), HYPERLINK(CONCATENATE("#metadata!", ADDRESS(INDEX($P$2:$P$1001,MATCH(ROWS($N$2:N228),$N$2:$N$1001,0),0), INDEX($U$1004:$AC$1004,1,MATCH(COLUMNS($U$1006:Z1006),$U$1006:$AC$1006,0)))),"Fix")))</f>
        <v>0</v>
      </c>
      <c r="H228" s="3">
        <f>IF(OR(INDEX($O$2:$O$1001,MATCH(ROWS($N$2:N228),$N$2:$N$1001,0),1)&gt;=100000,INDEX($U$1005:$AC$1005,1,MATCH(COLUMNS($U$1006:AA1006),$U$1006:$AC$1006,0))&gt;=100000), " ",IF(INDEX($U$2:$AC$1001,MATCH(ROWS($N$2:N228),$N$2:$N$1001,0),MATCH(COLUMNS($U$1006:AA1006),$U$1006:$AC$1006,0)), HYPERLINK("#",""), HYPERLINK(CONCATENATE("#metadata!", ADDRESS(INDEX($P$2:$P$1001,MATCH(ROWS($N$2:N228),$N$2:$N$1001,0),0), INDEX($U$1004:$AC$1004,1,MATCH(COLUMNS($U$1006:AA1006),$U$1006:$AC$1006,0)))),"Fix")))</f>
        <v>0</v>
      </c>
      <c r="I228" s="3">
        <f>IF(OR(INDEX($O$2:$O$1001,MATCH(ROWS($N$2:N228),$N$2:$N$1001,0),1)&gt;=100000,INDEX($U$1005:$AC$1005,1,MATCH(COLUMNS($U$1006:AB1006),$U$1006:$AC$1006,0))&gt;=100000), " ",IF(INDEX($U$2:$AC$1001,MATCH(ROWS($N$2:N228),$N$2:$N$1001,0),MATCH(COLUMNS($U$1006:AB1006),$U$1006:$AC$1006,0)), HYPERLINK("#",""), HYPERLINK(CONCATENATE("#metadata!", ADDRESS(INDEX($P$2:$P$1001,MATCH(ROWS($N$2:N228),$N$2:$N$1001,0),0), INDEX($U$1004:$AC$1004,1,MATCH(COLUMNS($U$1006:AB1006),$U$1006:$AC$1006,0)))),"Fix")))</f>
        <v>0</v>
      </c>
      <c r="J228" s="3">
        <f>IF(OR(INDEX($O$2:$O$1001,MATCH(ROWS($N$2:N228),$N$2:$N$1001,0),1)&gt;=100000,INDEX($U$1005:$AC$1005,1,MATCH(COLUMNS($U$1006:AC1006),$U$1006:$AC$1006,0))&gt;=100000), " ",IF(INDEX($U$2:$AC$1001,MATCH(ROWS($N$2:N228),$N$2:$N$1001,0),MATCH(COLUMNS($U$1006:AC1006),$U$1006:$AC$1006,0)), HYPERLINK("#",""), HYPERLINK(CONCATENATE("#metadata!", ADDRESS(INDEX($P$2:$P$1001,MATCH(ROWS($N$2:N228),$N$2:$N$1001,0),0), INDEX($U$1004:$AC$1004,1,MATCH(COLUMNS($U$1006:AC1006),$U$1006:$AC$1006,0)))),"Fix")))</f>
        <v>0</v>
      </c>
      <c r="N228">
        <v>0</v>
      </c>
      <c r="O228">
        <v>0</v>
      </c>
      <c r="P228">
        <v>0</v>
      </c>
      <c r="Q228">
        <f>IF(R228,TRUE,AND(U228:AC228))</f>
        <v>0</v>
      </c>
      <c r="R228">
        <f>COUNTBLANK(metadata!B228:J228)=COLUMNS(metadata!B228:J228)</f>
        <v>0</v>
      </c>
      <c r="S228">
        <v>0</v>
      </c>
      <c r="U228">
        <f>AND(IF(metadata!B228="",FALSE,TRUE),COUNTIF(metadata!B:B, metadata!B228) = 1,NOT(ISERROR(SUMPRODUCT(SEARCH(MID(metadata!B228,ROW(INDIRECT("1:"&amp;LEN(metadata!B228))), 1),"0123456789abcdefghijklmnopqrstuvwxyzABCDEFGHIJKLMNOPQRSTUVWXYZ.")))))</f>
        <v>0</v>
      </c>
      <c r="V228">
        <f>AND(IF(metadata!C228="",FALSE,TRUE),exact(metadata!C228,"UBERON:genitourinary"))</f>
        <v>0</v>
      </c>
      <c r="W228">
        <f>AND(IF(metadata!D228="",FALSE,TRUE),exact(metadata!D228,"UBERON:urine"))</f>
        <v>0</v>
      </c>
      <c r="X228">
        <f>AND(IF(metadata!E228="",FALSE,TRUE),exact(metadata!E228,"UBERON:kidney"))</f>
        <v>0</v>
      </c>
      <c r="Y228">
        <f>AND(IF(metadata!F228="",FALSE,TRUE),exact(metadata!F228,"animal corpus"))</f>
        <v>0</v>
      </c>
      <c r="Z228">
        <f>AND(IF(metadata!G228="",FALSE,TRUE),exact(metadata!G228,"urine"))</f>
        <v>0</v>
      </c>
      <c r="AA228">
        <f>AND(IF(metadata!H228="",FALSE,TRUE),exact(metadata!H228,"urine"))</f>
        <v>0</v>
      </c>
      <c r="AB228">
        <f>AND(IF(metadata!I228="",FALSE,TRUE),exact(metadata!I228,"urine metagenome"))</f>
        <v>0</v>
      </c>
      <c r="AC228">
        <f>AND(IF(metadata!J228="",FALSE,TRUE),exact(metadata!J228,"1346744"))</f>
        <v>0</v>
      </c>
    </row>
    <row r="229" spans="1:29">
      <c r="A229" s="4">
        <f>IF(B229=" "," ",HYPERLINK(CONCATENATE("#metadata!",ADDRESS(INDEX($P$2:$P$1001,MATCH(ROWS($N$2:N229),$N$2:$N$1001,0),0),1)),INDEX($S$2:$S$1001,MATCH(ROWS($N$2:N229),$N$2:$N$1001,0),0)))</f>
        <v>0</v>
      </c>
      <c r="B229" s="3">
        <f>IF(OR(INDEX($O$2:$O$1001,MATCH(ROWS($N$2:N229),$N$2:$N$1001,0),1)&gt;=100000,INDEX($U$1005:$AC$1005,1,MATCH(COLUMNS($U$1006:U1006),$U$1006:$AC$1006,0))&gt;=100000), " ",IF(INDEX($U$2:$AC$1001,MATCH(ROWS($N$2:N229),$N$2:$N$1001,0),MATCH(COLUMNS($U$1006:U1006),$U$1006:$AC$1006,0)), HYPERLINK("#",""), HYPERLINK(CONCATENATE("#metadata!", ADDRESS(INDEX($P$2:$P$1001,MATCH(ROWS($N$2:N229),$N$2:$N$1001,0),0), INDEX($U$1004:$AC$1004,1,MATCH(COLUMNS($U$1006:U1006),$U$1006:$AC$1006,0)))),"Fix")))</f>
        <v>0</v>
      </c>
      <c r="C229" s="3">
        <f>IF(OR(INDEX($O$2:$O$1001,MATCH(ROWS($N$2:N229),$N$2:$N$1001,0),1)&gt;=100000,INDEX($U$1005:$AC$1005,1,MATCH(COLUMNS($U$1006:V1006),$U$1006:$AC$1006,0))&gt;=100000), " ",IF(INDEX($U$2:$AC$1001,MATCH(ROWS($N$2:N229),$N$2:$N$1001,0),MATCH(COLUMNS($U$1006:V1006),$U$1006:$AC$1006,0)), HYPERLINK("#",""), HYPERLINK(CONCATENATE("#metadata!", ADDRESS(INDEX($P$2:$P$1001,MATCH(ROWS($N$2:N229),$N$2:$N$1001,0),0), INDEX($U$1004:$AC$1004,1,MATCH(COLUMNS($U$1006:V1006),$U$1006:$AC$1006,0)))),"Fix")))</f>
        <v>0</v>
      </c>
      <c r="D229" s="3">
        <f>IF(OR(INDEX($O$2:$O$1001,MATCH(ROWS($N$2:N229),$N$2:$N$1001,0),1)&gt;=100000,INDEX($U$1005:$AC$1005,1,MATCH(COLUMNS($U$1006:W1006),$U$1006:$AC$1006,0))&gt;=100000), " ",IF(INDEX($U$2:$AC$1001,MATCH(ROWS($N$2:N229),$N$2:$N$1001,0),MATCH(COLUMNS($U$1006:W1006),$U$1006:$AC$1006,0)), HYPERLINK("#",""), HYPERLINK(CONCATENATE("#metadata!", ADDRESS(INDEX($P$2:$P$1001,MATCH(ROWS($N$2:N229),$N$2:$N$1001,0),0), INDEX($U$1004:$AC$1004,1,MATCH(COLUMNS($U$1006:W1006),$U$1006:$AC$1006,0)))),"Fix")))</f>
        <v>0</v>
      </c>
      <c r="E229" s="3">
        <f>IF(OR(INDEX($O$2:$O$1001,MATCH(ROWS($N$2:N229),$N$2:$N$1001,0),1)&gt;=100000,INDEX($U$1005:$AC$1005,1,MATCH(COLUMNS($U$1006:X1006),$U$1006:$AC$1006,0))&gt;=100000), " ",IF(INDEX($U$2:$AC$1001,MATCH(ROWS($N$2:N229),$N$2:$N$1001,0),MATCH(COLUMNS($U$1006:X1006),$U$1006:$AC$1006,0)), HYPERLINK("#",""), HYPERLINK(CONCATENATE("#metadata!", ADDRESS(INDEX($P$2:$P$1001,MATCH(ROWS($N$2:N229),$N$2:$N$1001,0),0), INDEX($U$1004:$AC$1004,1,MATCH(COLUMNS($U$1006:X1006),$U$1006:$AC$1006,0)))),"Fix")))</f>
        <v>0</v>
      </c>
      <c r="F229" s="3">
        <f>IF(OR(INDEX($O$2:$O$1001,MATCH(ROWS($N$2:N229),$N$2:$N$1001,0),1)&gt;=100000,INDEX($U$1005:$AC$1005,1,MATCH(COLUMNS($U$1006:Y1006),$U$1006:$AC$1006,0))&gt;=100000), " ",IF(INDEX($U$2:$AC$1001,MATCH(ROWS($N$2:N229),$N$2:$N$1001,0),MATCH(COLUMNS($U$1006:Y1006),$U$1006:$AC$1006,0)), HYPERLINK("#",""), HYPERLINK(CONCATENATE("#metadata!", ADDRESS(INDEX($P$2:$P$1001,MATCH(ROWS($N$2:N229),$N$2:$N$1001,0),0), INDEX($U$1004:$AC$1004,1,MATCH(COLUMNS($U$1006:Y1006),$U$1006:$AC$1006,0)))),"Fix")))</f>
        <v>0</v>
      </c>
      <c r="G229" s="3">
        <f>IF(OR(INDEX($O$2:$O$1001,MATCH(ROWS($N$2:N229),$N$2:$N$1001,0),1)&gt;=100000,INDEX($U$1005:$AC$1005,1,MATCH(COLUMNS($U$1006:Z1006),$U$1006:$AC$1006,0))&gt;=100000), " ",IF(INDEX($U$2:$AC$1001,MATCH(ROWS($N$2:N229),$N$2:$N$1001,0),MATCH(COLUMNS($U$1006:Z1006),$U$1006:$AC$1006,0)), HYPERLINK("#",""), HYPERLINK(CONCATENATE("#metadata!", ADDRESS(INDEX($P$2:$P$1001,MATCH(ROWS($N$2:N229),$N$2:$N$1001,0),0), INDEX($U$1004:$AC$1004,1,MATCH(COLUMNS($U$1006:Z1006),$U$1006:$AC$1006,0)))),"Fix")))</f>
        <v>0</v>
      </c>
      <c r="H229" s="3">
        <f>IF(OR(INDEX($O$2:$O$1001,MATCH(ROWS($N$2:N229),$N$2:$N$1001,0),1)&gt;=100000,INDEX($U$1005:$AC$1005,1,MATCH(COLUMNS($U$1006:AA1006),$U$1006:$AC$1006,0))&gt;=100000), " ",IF(INDEX($U$2:$AC$1001,MATCH(ROWS($N$2:N229),$N$2:$N$1001,0),MATCH(COLUMNS($U$1006:AA1006),$U$1006:$AC$1006,0)), HYPERLINK("#",""), HYPERLINK(CONCATENATE("#metadata!", ADDRESS(INDEX($P$2:$P$1001,MATCH(ROWS($N$2:N229),$N$2:$N$1001,0),0), INDEX($U$1004:$AC$1004,1,MATCH(COLUMNS($U$1006:AA1006),$U$1006:$AC$1006,0)))),"Fix")))</f>
        <v>0</v>
      </c>
      <c r="I229" s="3">
        <f>IF(OR(INDEX($O$2:$O$1001,MATCH(ROWS($N$2:N229),$N$2:$N$1001,0),1)&gt;=100000,INDEX($U$1005:$AC$1005,1,MATCH(COLUMNS($U$1006:AB1006),$U$1006:$AC$1006,0))&gt;=100000), " ",IF(INDEX($U$2:$AC$1001,MATCH(ROWS($N$2:N229),$N$2:$N$1001,0),MATCH(COLUMNS($U$1006:AB1006),$U$1006:$AC$1006,0)), HYPERLINK("#",""), HYPERLINK(CONCATENATE("#metadata!", ADDRESS(INDEX($P$2:$P$1001,MATCH(ROWS($N$2:N229),$N$2:$N$1001,0),0), INDEX($U$1004:$AC$1004,1,MATCH(COLUMNS($U$1006:AB1006),$U$1006:$AC$1006,0)))),"Fix")))</f>
        <v>0</v>
      </c>
      <c r="J229" s="3">
        <f>IF(OR(INDEX($O$2:$O$1001,MATCH(ROWS($N$2:N229),$N$2:$N$1001,0),1)&gt;=100000,INDEX($U$1005:$AC$1005,1,MATCH(COLUMNS($U$1006:AC1006),$U$1006:$AC$1006,0))&gt;=100000), " ",IF(INDEX($U$2:$AC$1001,MATCH(ROWS($N$2:N229),$N$2:$N$1001,0),MATCH(COLUMNS($U$1006:AC1006),$U$1006:$AC$1006,0)), HYPERLINK("#",""), HYPERLINK(CONCATENATE("#metadata!", ADDRESS(INDEX($P$2:$P$1001,MATCH(ROWS($N$2:N229),$N$2:$N$1001,0),0), INDEX($U$1004:$AC$1004,1,MATCH(COLUMNS($U$1006:AC1006),$U$1006:$AC$1006,0)))),"Fix")))</f>
        <v>0</v>
      </c>
      <c r="N229">
        <v>0</v>
      </c>
      <c r="O229">
        <v>0</v>
      </c>
      <c r="P229">
        <v>0</v>
      </c>
      <c r="Q229">
        <f>IF(R229,TRUE,AND(U229:AC229))</f>
        <v>0</v>
      </c>
      <c r="R229">
        <f>COUNTBLANK(metadata!B229:J229)=COLUMNS(metadata!B229:J229)</f>
        <v>0</v>
      </c>
      <c r="S229">
        <v>0</v>
      </c>
      <c r="U229">
        <f>AND(IF(metadata!B229="",FALSE,TRUE),COUNTIF(metadata!B:B, metadata!B229) = 1,NOT(ISERROR(SUMPRODUCT(SEARCH(MID(metadata!B229,ROW(INDIRECT("1:"&amp;LEN(metadata!B229))), 1),"0123456789abcdefghijklmnopqrstuvwxyzABCDEFGHIJKLMNOPQRSTUVWXYZ.")))))</f>
        <v>0</v>
      </c>
      <c r="V229">
        <f>AND(IF(metadata!C229="",FALSE,TRUE),exact(metadata!C229,"UBERON:genitourinary"))</f>
        <v>0</v>
      </c>
      <c r="W229">
        <f>AND(IF(metadata!D229="",FALSE,TRUE),exact(metadata!D229,"UBERON:urine"))</f>
        <v>0</v>
      </c>
      <c r="X229">
        <f>AND(IF(metadata!E229="",FALSE,TRUE),exact(metadata!E229,"UBERON:kidney"))</f>
        <v>0</v>
      </c>
      <c r="Y229">
        <f>AND(IF(metadata!F229="",FALSE,TRUE),exact(metadata!F229,"animal corpus"))</f>
        <v>0</v>
      </c>
      <c r="Z229">
        <f>AND(IF(metadata!G229="",FALSE,TRUE),exact(metadata!G229,"urine"))</f>
        <v>0</v>
      </c>
      <c r="AA229">
        <f>AND(IF(metadata!H229="",FALSE,TRUE),exact(metadata!H229,"urine"))</f>
        <v>0</v>
      </c>
      <c r="AB229">
        <f>AND(IF(metadata!I229="",FALSE,TRUE),exact(metadata!I229,"urine metagenome"))</f>
        <v>0</v>
      </c>
      <c r="AC229">
        <f>AND(IF(metadata!J229="",FALSE,TRUE),exact(metadata!J229,"1346744"))</f>
        <v>0</v>
      </c>
    </row>
    <row r="230" spans="1:29">
      <c r="A230" s="4">
        <f>IF(B230=" "," ",HYPERLINK(CONCATENATE("#metadata!",ADDRESS(INDEX($P$2:$P$1001,MATCH(ROWS($N$2:N230),$N$2:$N$1001,0),0),1)),INDEX($S$2:$S$1001,MATCH(ROWS($N$2:N230),$N$2:$N$1001,0),0)))</f>
        <v>0</v>
      </c>
      <c r="B230" s="3">
        <f>IF(OR(INDEX($O$2:$O$1001,MATCH(ROWS($N$2:N230),$N$2:$N$1001,0),1)&gt;=100000,INDEX($U$1005:$AC$1005,1,MATCH(COLUMNS($U$1006:U1006),$U$1006:$AC$1006,0))&gt;=100000), " ",IF(INDEX($U$2:$AC$1001,MATCH(ROWS($N$2:N230),$N$2:$N$1001,0),MATCH(COLUMNS($U$1006:U1006),$U$1006:$AC$1006,0)), HYPERLINK("#",""), HYPERLINK(CONCATENATE("#metadata!", ADDRESS(INDEX($P$2:$P$1001,MATCH(ROWS($N$2:N230),$N$2:$N$1001,0),0), INDEX($U$1004:$AC$1004,1,MATCH(COLUMNS($U$1006:U1006),$U$1006:$AC$1006,0)))),"Fix")))</f>
        <v>0</v>
      </c>
      <c r="C230" s="3">
        <f>IF(OR(INDEX($O$2:$O$1001,MATCH(ROWS($N$2:N230),$N$2:$N$1001,0),1)&gt;=100000,INDEX($U$1005:$AC$1005,1,MATCH(COLUMNS($U$1006:V1006),$U$1006:$AC$1006,0))&gt;=100000), " ",IF(INDEX($U$2:$AC$1001,MATCH(ROWS($N$2:N230),$N$2:$N$1001,0),MATCH(COLUMNS($U$1006:V1006),$U$1006:$AC$1006,0)), HYPERLINK("#",""), HYPERLINK(CONCATENATE("#metadata!", ADDRESS(INDEX($P$2:$P$1001,MATCH(ROWS($N$2:N230),$N$2:$N$1001,0),0), INDEX($U$1004:$AC$1004,1,MATCH(COLUMNS($U$1006:V1006),$U$1006:$AC$1006,0)))),"Fix")))</f>
        <v>0</v>
      </c>
      <c r="D230" s="3">
        <f>IF(OR(INDEX($O$2:$O$1001,MATCH(ROWS($N$2:N230),$N$2:$N$1001,0),1)&gt;=100000,INDEX($U$1005:$AC$1005,1,MATCH(COLUMNS($U$1006:W1006),$U$1006:$AC$1006,0))&gt;=100000), " ",IF(INDEX($U$2:$AC$1001,MATCH(ROWS($N$2:N230),$N$2:$N$1001,0),MATCH(COLUMNS($U$1006:W1006),$U$1006:$AC$1006,0)), HYPERLINK("#",""), HYPERLINK(CONCATENATE("#metadata!", ADDRESS(INDEX($P$2:$P$1001,MATCH(ROWS($N$2:N230),$N$2:$N$1001,0),0), INDEX($U$1004:$AC$1004,1,MATCH(COLUMNS($U$1006:W1006),$U$1006:$AC$1006,0)))),"Fix")))</f>
        <v>0</v>
      </c>
      <c r="E230" s="3">
        <f>IF(OR(INDEX($O$2:$O$1001,MATCH(ROWS($N$2:N230),$N$2:$N$1001,0),1)&gt;=100000,INDEX($U$1005:$AC$1005,1,MATCH(COLUMNS($U$1006:X1006),$U$1006:$AC$1006,0))&gt;=100000), " ",IF(INDEX($U$2:$AC$1001,MATCH(ROWS($N$2:N230),$N$2:$N$1001,0),MATCH(COLUMNS($U$1006:X1006),$U$1006:$AC$1006,0)), HYPERLINK("#",""), HYPERLINK(CONCATENATE("#metadata!", ADDRESS(INDEX($P$2:$P$1001,MATCH(ROWS($N$2:N230),$N$2:$N$1001,0),0), INDEX($U$1004:$AC$1004,1,MATCH(COLUMNS($U$1006:X1006),$U$1006:$AC$1006,0)))),"Fix")))</f>
        <v>0</v>
      </c>
      <c r="F230" s="3">
        <f>IF(OR(INDEX($O$2:$O$1001,MATCH(ROWS($N$2:N230),$N$2:$N$1001,0),1)&gt;=100000,INDEX($U$1005:$AC$1005,1,MATCH(COLUMNS($U$1006:Y1006),$U$1006:$AC$1006,0))&gt;=100000), " ",IF(INDEX($U$2:$AC$1001,MATCH(ROWS($N$2:N230),$N$2:$N$1001,0),MATCH(COLUMNS($U$1006:Y1006),$U$1006:$AC$1006,0)), HYPERLINK("#",""), HYPERLINK(CONCATENATE("#metadata!", ADDRESS(INDEX($P$2:$P$1001,MATCH(ROWS($N$2:N230),$N$2:$N$1001,0),0), INDEX($U$1004:$AC$1004,1,MATCH(COLUMNS($U$1006:Y1006),$U$1006:$AC$1006,0)))),"Fix")))</f>
        <v>0</v>
      </c>
      <c r="G230" s="3">
        <f>IF(OR(INDEX($O$2:$O$1001,MATCH(ROWS($N$2:N230),$N$2:$N$1001,0),1)&gt;=100000,INDEX($U$1005:$AC$1005,1,MATCH(COLUMNS($U$1006:Z1006),$U$1006:$AC$1006,0))&gt;=100000), " ",IF(INDEX($U$2:$AC$1001,MATCH(ROWS($N$2:N230),$N$2:$N$1001,0),MATCH(COLUMNS($U$1006:Z1006),$U$1006:$AC$1006,0)), HYPERLINK("#",""), HYPERLINK(CONCATENATE("#metadata!", ADDRESS(INDEX($P$2:$P$1001,MATCH(ROWS($N$2:N230),$N$2:$N$1001,0),0), INDEX($U$1004:$AC$1004,1,MATCH(COLUMNS($U$1006:Z1006),$U$1006:$AC$1006,0)))),"Fix")))</f>
        <v>0</v>
      </c>
      <c r="H230" s="3">
        <f>IF(OR(INDEX($O$2:$O$1001,MATCH(ROWS($N$2:N230),$N$2:$N$1001,0),1)&gt;=100000,INDEX($U$1005:$AC$1005,1,MATCH(COLUMNS($U$1006:AA1006),$U$1006:$AC$1006,0))&gt;=100000), " ",IF(INDEX($U$2:$AC$1001,MATCH(ROWS($N$2:N230),$N$2:$N$1001,0),MATCH(COLUMNS($U$1006:AA1006),$U$1006:$AC$1006,0)), HYPERLINK("#",""), HYPERLINK(CONCATENATE("#metadata!", ADDRESS(INDEX($P$2:$P$1001,MATCH(ROWS($N$2:N230),$N$2:$N$1001,0),0), INDEX($U$1004:$AC$1004,1,MATCH(COLUMNS($U$1006:AA1006),$U$1006:$AC$1006,0)))),"Fix")))</f>
        <v>0</v>
      </c>
      <c r="I230" s="3">
        <f>IF(OR(INDEX($O$2:$O$1001,MATCH(ROWS($N$2:N230),$N$2:$N$1001,0),1)&gt;=100000,INDEX($U$1005:$AC$1005,1,MATCH(COLUMNS($U$1006:AB1006),$U$1006:$AC$1006,0))&gt;=100000), " ",IF(INDEX($U$2:$AC$1001,MATCH(ROWS($N$2:N230),$N$2:$N$1001,0),MATCH(COLUMNS($U$1006:AB1006),$U$1006:$AC$1006,0)), HYPERLINK("#",""), HYPERLINK(CONCATENATE("#metadata!", ADDRESS(INDEX($P$2:$P$1001,MATCH(ROWS($N$2:N230),$N$2:$N$1001,0),0), INDEX($U$1004:$AC$1004,1,MATCH(COLUMNS($U$1006:AB1006),$U$1006:$AC$1006,0)))),"Fix")))</f>
        <v>0</v>
      </c>
      <c r="J230" s="3">
        <f>IF(OR(INDEX($O$2:$O$1001,MATCH(ROWS($N$2:N230),$N$2:$N$1001,0),1)&gt;=100000,INDEX($U$1005:$AC$1005,1,MATCH(COLUMNS($U$1006:AC1006),$U$1006:$AC$1006,0))&gt;=100000), " ",IF(INDEX($U$2:$AC$1001,MATCH(ROWS($N$2:N230),$N$2:$N$1001,0),MATCH(COLUMNS($U$1006:AC1006),$U$1006:$AC$1006,0)), HYPERLINK("#",""), HYPERLINK(CONCATENATE("#metadata!", ADDRESS(INDEX($P$2:$P$1001,MATCH(ROWS($N$2:N230),$N$2:$N$1001,0),0), INDEX($U$1004:$AC$1004,1,MATCH(COLUMNS($U$1006:AC1006),$U$1006:$AC$1006,0)))),"Fix")))</f>
        <v>0</v>
      </c>
      <c r="N230">
        <v>0</v>
      </c>
      <c r="O230">
        <v>0</v>
      </c>
      <c r="P230">
        <v>0</v>
      </c>
      <c r="Q230">
        <f>IF(R230,TRUE,AND(U230:AC230))</f>
        <v>0</v>
      </c>
      <c r="R230">
        <f>COUNTBLANK(metadata!B230:J230)=COLUMNS(metadata!B230:J230)</f>
        <v>0</v>
      </c>
      <c r="S230">
        <v>0</v>
      </c>
      <c r="U230">
        <f>AND(IF(metadata!B230="",FALSE,TRUE),COUNTIF(metadata!B:B, metadata!B230) = 1,NOT(ISERROR(SUMPRODUCT(SEARCH(MID(metadata!B230,ROW(INDIRECT("1:"&amp;LEN(metadata!B230))), 1),"0123456789abcdefghijklmnopqrstuvwxyzABCDEFGHIJKLMNOPQRSTUVWXYZ.")))))</f>
        <v>0</v>
      </c>
      <c r="V230">
        <f>AND(IF(metadata!C230="",FALSE,TRUE),exact(metadata!C230,"UBERON:genitourinary"))</f>
        <v>0</v>
      </c>
      <c r="W230">
        <f>AND(IF(metadata!D230="",FALSE,TRUE),exact(metadata!D230,"UBERON:urine"))</f>
        <v>0</v>
      </c>
      <c r="X230">
        <f>AND(IF(metadata!E230="",FALSE,TRUE),exact(metadata!E230,"UBERON:kidney"))</f>
        <v>0</v>
      </c>
      <c r="Y230">
        <f>AND(IF(metadata!F230="",FALSE,TRUE),exact(metadata!F230,"animal corpus"))</f>
        <v>0</v>
      </c>
      <c r="Z230">
        <f>AND(IF(metadata!G230="",FALSE,TRUE),exact(metadata!G230,"urine"))</f>
        <v>0</v>
      </c>
      <c r="AA230">
        <f>AND(IF(metadata!H230="",FALSE,TRUE),exact(metadata!H230,"urine"))</f>
        <v>0</v>
      </c>
      <c r="AB230">
        <f>AND(IF(metadata!I230="",FALSE,TRUE),exact(metadata!I230,"urine metagenome"))</f>
        <v>0</v>
      </c>
      <c r="AC230">
        <f>AND(IF(metadata!J230="",FALSE,TRUE),exact(metadata!J230,"1346744"))</f>
        <v>0</v>
      </c>
    </row>
    <row r="231" spans="1:29">
      <c r="A231" s="4">
        <f>IF(B231=" "," ",HYPERLINK(CONCATENATE("#metadata!",ADDRESS(INDEX($P$2:$P$1001,MATCH(ROWS($N$2:N231),$N$2:$N$1001,0),0),1)),INDEX($S$2:$S$1001,MATCH(ROWS($N$2:N231),$N$2:$N$1001,0),0)))</f>
        <v>0</v>
      </c>
      <c r="B231" s="3">
        <f>IF(OR(INDEX($O$2:$O$1001,MATCH(ROWS($N$2:N231),$N$2:$N$1001,0),1)&gt;=100000,INDEX($U$1005:$AC$1005,1,MATCH(COLUMNS($U$1006:U1006),$U$1006:$AC$1006,0))&gt;=100000), " ",IF(INDEX($U$2:$AC$1001,MATCH(ROWS($N$2:N231),$N$2:$N$1001,0),MATCH(COLUMNS($U$1006:U1006),$U$1006:$AC$1006,0)), HYPERLINK("#",""), HYPERLINK(CONCATENATE("#metadata!", ADDRESS(INDEX($P$2:$P$1001,MATCH(ROWS($N$2:N231),$N$2:$N$1001,0),0), INDEX($U$1004:$AC$1004,1,MATCH(COLUMNS($U$1006:U1006),$U$1006:$AC$1006,0)))),"Fix")))</f>
        <v>0</v>
      </c>
      <c r="C231" s="3">
        <f>IF(OR(INDEX($O$2:$O$1001,MATCH(ROWS($N$2:N231),$N$2:$N$1001,0),1)&gt;=100000,INDEX($U$1005:$AC$1005,1,MATCH(COLUMNS($U$1006:V1006),$U$1006:$AC$1006,0))&gt;=100000), " ",IF(INDEX($U$2:$AC$1001,MATCH(ROWS($N$2:N231),$N$2:$N$1001,0),MATCH(COLUMNS($U$1006:V1006),$U$1006:$AC$1006,0)), HYPERLINK("#",""), HYPERLINK(CONCATENATE("#metadata!", ADDRESS(INDEX($P$2:$P$1001,MATCH(ROWS($N$2:N231),$N$2:$N$1001,0),0), INDEX($U$1004:$AC$1004,1,MATCH(COLUMNS($U$1006:V1006),$U$1006:$AC$1006,0)))),"Fix")))</f>
        <v>0</v>
      </c>
      <c r="D231" s="3">
        <f>IF(OR(INDEX($O$2:$O$1001,MATCH(ROWS($N$2:N231),$N$2:$N$1001,0),1)&gt;=100000,INDEX($U$1005:$AC$1005,1,MATCH(COLUMNS($U$1006:W1006),$U$1006:$AC$1006,0))&gt;=100000), " ",IF(INDEX($U$2:$AC$1001,MATCH(ROWS($N$2:N231),$N$2:$N$1001,0),MATCH(COLUMNS($U$1006:W1006),$U$1006:$AC$1006,0)), HYPERLINK("#",""), HYPERLINK(CONCATENATE("#metadata!", ADDRESS(INDEX($P$2:$P$1001,MATCH(ROWS($N$2:N231),$N$2:$N$1001,0),0), INDEX($U$1004:$AC$1004,1,MATCH(COLUMNS($U$1006:W1006),$U$1006:$AC$1006,0)))),"Fix")))</f>
        <v>0</v>
      </c>
      <c r="E231" s="3">
        <f>IF(OR(INDEX($O$2:$O$1001,MATCH(ROWS($N$2:N231),$N$2:$N$1001,0),1)&gt;=100000,INDEX($U$1005:$AC$1005,1,MATCH(COLUMNS($U$1006:X1006),$U$1006:$AC$1006,0))&gt;=100000), " ",IF(INDEX($U$2:$AC$1001,MATCH(ROWS($N$2:N231),$N$2:$N$1001,0),MATCH(COLUMNS($U$1006:X1006),$U$1006:$AC$1006,0)), HYPERLINK("#",""), HYPERLINK(CONCATENATE("#metadata!", ADDRESS(INDEX($P$2:$P$1001,MATCH(ROWS($N$2:N231),$N$2:$N$1001,0),0), INDEX($U$1004:$AC$1004,1,MATCH(COLUMNS($U$1006:X1006),$U$1006:$AC$1006,0)))),"Fix")))</f>
        <v>0</v>
      </c>
      <c r="F231" s="3">
        <f>IF(OR(INDEX($O$2:$O$1001,MATCH(ROWS($N$2:N231),$N$2:$N$1001,0),1)&gt;=100000,INDEX($U$1005:$AC$1005,1,MATCH(COLUMNS($U$1006:Y1006),$U$1006:$AC$1006,0))&gt;=100000), " ",IF(INDEX($U$2:$AC$1001,MATCH(ROWS($N$2:N231),$N$2:$N$1001,0),MATCH(COLUMNS($U$1006:Y1006),$U$1006:$AC$1006,0)), HYPERLINK("#",""), HYPERLINK(CONCATENATE("#metadata!", ADDRESS(INDEX($P$2:$P$1001,MATCH(ROWS($N$2:N231),$N$2:$N$1001,0),0), INDEX($U$1004:$AC$1004,1,MATCH(COLUMNS($U$1006:Y1006),$U$1006:$AC$1006,0)))),"Fix")))</f>
        <v>0</v>
      </c>
      <c r="G231" s="3">
        <f>IF(OR(INDEX($O$2:$O$1001,MATCH(ROWS($N$2:N231),$N$2:$N$1001,0),1)&gt;=100000,INDEX($U$1005:$AC$1005,1,MATCH(COLUMNS($U$1006:Z1006),$U$1006:$AC$1006,0))&gt;=100000), " ",IF(INDEX($U$2:$AC$1001,MATCH(ROWS($N$2:N231),$N$2:$N$1001,0),MATCH(COLUMNS($U$1006:Z1006),$U$1006:$AC$1006,0)), HYPERLINK("#",""), HYPERLINK(CONCATENATE("#metadata!", ADDRESS(INDEX($P$2:$P$1001,MATCH(ROWS($N$2:N231),$N$2:$N$1001,0),0), INDEX($U$1004:$AC$1004,1,MATCH(COLUMNS($U$1006:Z1006),$U$1006:$AC$1006,0)))),"Fix")))</f>
        <v>0</v>
      </c>
      <c r="H231" s="3">
        <f>IF(OR(INDEX($O$2:$O$1001,MATCH(ROWS($N$2:N231),$N$2:$N$1001,0),1)&gt;=100000,INDEX($U$1005:$AC$1005,1,MATCH(COLUMNS($U$1006:AA1006),$U$1006:$AC$1006,0))&gt;=100000), " ",IF(INDEX($U$2:$AC$1001,MATCH(ROWS($N$2:N231),$N$2:$N$1001,0),MATCH(COLUMNS($U$1006:AA1006),$U$1006:$AC$1006,0)), HYPERLINK("#",""), HYPERLINK(CONCATENATE("#metadata!", ADDRESS(INDEX($P$2:$P$1001,MATCH(ROWS($N$2:N231),$N$2:$N$1001,0),0), INDEX($U$1004:$AC$1004,1,MATCH(COLUMNS($U$1006:AA1006),$U$1006:$AC$1006,0)))),"Fix")))</f>
        <v>0</v>
      </c>
      <c r="I231" s="3">
        <f>IF(OR(INDEX($O$2:$O$1001,MATCH(ROWS($N$2:N231),$N$2:$N$1001,0),1)&gt;=100000,INDEX($U$1005:$AC$1005,1,MATCH(COLUMNS($U$1006:AB1006),$U$1006:$AC$1006,0))&gt;=100000), " ",IF(INDEX($U$2:$AC$1001,MATCH(ROWS($N$2:N231),$N$2:$N$1001,0),MATCH(COLUMNS($U$1006:AB1006),$U$1006:$AC$1006,0)), HYPERLINK("#",""), HYPERLINK(CONCATENATE("#metadata!", ADDRESS(INDEX($P$2:$P$1001,MATCH(ROWS($N$2:N231),$N$2:$N$1001,0),0), INDEX($U$1004:$AC$1004,1,MATCH(COLUMNS($U$1006:AB1006),$U$1006:$AC$1006,0)))),"Fix")))</f>
        <v>0</v>
      </c>
      <c r="J231" s="3">
        <f>IF(OR(INDEX($O$2:$O$1001,MATCH(ROWS($N$2:N231),$N$2:$N$1001,0),1)&gt;=100000,INDEX($U$1005:$AC$1005,1,MATCH(COLUMNS($U$1006:AC1006),$U$1006:$AC$1006,0))&gt;=100000), " ",IF(INDEX($U$2:$AC$1001,MATCH(ROWS($N$2:N231),$N$2:$N$1001,0),MATCH(COLUMNS($U$1006:AC1006),$U$1006:$AC$1006,0)), HYPERLINK("#",""), HYPERLINK(CONCATENATE("#metadata!", ADDRESS(INDEX($P$2:$P$1001,MATCH(ROWS($N$2:N231),$N$2:$N$1001,0),0), INDEX($U$1004:$AC$1004,1,MATCH(COLUMNS($U$1006:AC1006),$U$1006:$AC$1006,0)))),"Fix")))</f>
        <v>0</v>
      </c>
      <c r="N231">
        <v>0</v>
      </c>
      <c r="O231">
        <v>0</v>
      </c>
      <c r="P231">
        <v>0</v>
      </c>
      <c r="Q231">
        <f>IF(R231,TRUE,AND(U231:AC231))</f>
        <v>0</v>
      </c>
      <c r="R231">
        <f>COUNTBLANK(metadata!B231:J231)=COLUMNS(metadata!B231:J231)</f>
        <v>0</v>
      </c>
      <c r="S231">
        <v>0</v>
      </c>
      <c r="U231">
        <f>AND(IF(metadata!B231="",FALSE,TRUE),COUNTIF(metadata!B:B, metadata!B231) = 1,NOT(ISERROR(SUMPRODUCT(SEARCH(MID(metadata!B231,ROW(INDIRECT("1:"&amp;LEN(metadata!B231))), 1),"0123456789abcdefghijklmnopqrstuvwxyzABCDEFGHIJKLMNOPQRSTUVWXYZ.")))))</f>
        <v>0</v>
      </c>
      <c r="V231">
        <f>AND(IF(metadata!C231="",FALSE,TRUE),exact(metadata!C231,"UBERON:genitourinary"))</f>
        <v>0</v>
      </c>
      <c r="W231">
        <f>AND(IF(metadata!D231="",FALSE,TRUE),exact(metadata!D231,"UBERON:urine"))</f>
        <v>0</v>
      </c>
      <c r="X231">
        <f>AND(IF(metadata!E231="",FALSE,TRUE),exact(metadata!E231,"UBERON:kidney"))</f>
        <v>0</v>
      </c>
      <c r="Y231">
        <f>AND(IF(metadata!F231="",FALSE,TRUE),exact(metadata!F231,"animal corpus"))</f>
        <v>0</v>
      </c>
      <c r="Z231">
        <f>AND(IF(metadata!G231="",FALSE,TRUE),exact(metadata!G231,"urine"))</f>
        <v>0</v>
      </c>
      <c r="AA231">
        <f>AND(IF(metadata!H231="",FALSE,TRUE),exact(metadata!H231,"urine"))</f>
        <v>0</v>
      </c>
      <c r="AB231">
        <f>AND(IF(metadata!I231="",FALSE,TRUE),exact(metadata!I231,"urine metagenome"))</f>
        <v>0</v>
      </c>
      <c r="AC231">
        <f>AND(IF(metadata!J231="",FALSE,TRUE),exact(metadata!J231,"1346744"))</f>
        <v>0</v>
      </c>
    </row>
    <row r="232" spans="1:29">
      <c r="A232" s="4">
        <f>IF(B232=" "," ",HYPERLINK(CONCATENATE("#metadata!",ADDRESS(INDEX($P$2:$P$1001,MATCH(ROWS($N$2:N232),$N$2:$N$1001,0),0),1)),INDEX($S$2:$S$1001,MATCH(ROWS($N$2:N232),$N$2:$N$1001,0),0)))</f>
        <v>0</v>
      </c>
      <c r="B232" s="3">
        <f>IF(OR(INDEX($O$2:$O$1001,MATCH(ROWS($N$2:N232),$N$2:$N$1001,0),1)&gt;=100000,INDEX($U$1005:$AC$1005,1,MATCH(COLUMNS($U$1006:U1006),$U$1006:$AC$1006,0))&gt;=100000), " ",IF(INDEX($U$2:$AC$1001,MATCH(ROWS($N$2:N232),$N$2:$N$1001,0),MATCH(COLUMNS($U$1006:U1006),$U$1006:$AC$1006,0)), HYPERLINK("#",""), HYPERLINK(CONCATENATE("#metadata!", ADDRESS(INDEX($P$2:$P$1001,MATCH(ROWS($N$2:N232),$N$2:$N$1001,0),0), INDEX($U$1004:$AC$1004,1,MATCH(COLUMNS($U$1006:U1006),$U$1006:$AC$1006,0)))),"Fix")))</f>
        <v>0</v>
      </c>
      <c r="C232" s="3">
        <f>IF(OR(INDEX($O$2:$O$1001,MATCH(ROWS($N$2:N232),$N$2:$N$1001,0),1)&gt;=100000,INDEX($U$1005:$AC$1005,1,MATCH(COLUMNS($U$1006:V1006),$U$1006:$AC$1006,0))&gt;=100000), " ",IF(INDEX($U$2:$AC$1001,MATCH(ROWS($N$2:N232),$N$2:$N$1001,0),MATCH(COLUMNS($U$1006:V1006),$U$1006:$AC$1006,0)), HYPERLINK("#",""), HYPERLINK(CONCATENATE("#metadata!", ADDRESS(INDEX($P$2:$P$1001,MATCH(ROWS($N$2:N232),$N$2:$N$1001,0),0), INDEX($U$1004:$AC$1004,1,MATCH(COLUMNS($U$1006:V1006),$U$1006:$AC$1006,0)))),"Fix")))</f>
        <v>0</v>
      </c>
      <c r="D232" s="3">
        <f>IF(OR(INDEX($O$2:$O$1001,MATCH(ROWS($N$2:N232),$N$2:$N$1001,0),1)&gt;=100000,INDEX($U$1005:$AC$1005,1,MATCH(COLUMNS($U$1006:W1006),$U$1006:$AC$1006,0))&gt;=100000), " ",IF(INDEX($U$2:$AC$1001,MATCH(ROWS($N$2:N232),$N$2:$N$1001,0),MATCH(COLUMNS($U$1006:W1006),$U$1006:$AC$1006,0)), HYPERLINK("#",""), HYPERLINK(CONCATENATE("#metadata!", ADDRESS(INDEX($P$2:$P$1001,MATCH(ROWS($N$2:N232),$N$2:$N$1001,0),0), INDEX($U$1004:$AC$1004,1,MATCH(COLUMNS($U$1006:W1006),$U$1006:$AC$1006,0)))),"Fix")))</f>
        <v>0</v>
      </c>
      <c r="E232" s="3">
        <f>IF(OR(INDEX($O$2:$O$1001,MATCH(ROWS($N$2:N232),$N$2:$N$1001,0),1)&gt;=100000,INDEX($U$1005:$AC$1005,1,MATCH(COLUMNS($U$1006:X1006),$U$1006:$AC$1006,0))&gt;=100000), " ",IF(INDEX($U$2:$AC$1001,MATCH(ROWS($N$2:N232),$N$2:$N$1001,0),MATCH(COLUMNS($U$1006:X1006),$U$1006:$AC$1006,0)), HYPERLINK("#",""), HYPERLINK(CONCATENATE("#metadata!", ADDRESS(INDEX($P$2:$P$1001,MATCH(ROWS($N$2:N232),$N$2:$N$1001,0),0), INDEX($U$1004:$AC$1004,1,MATCH(COLUMNS($U$1006:X1006),$U$1006:$AC$1006,0)))),"Fix")))</f>
        <v>0</v>
      </c>
      <c r="F232" s="3">
        <f>IF(OR(INDEX($O$2:$O$1001,MATCH(ROWS($N$2:N232),$N$2:$N$1001,0),1)&gt;=100000,INDEX($U$1005:$AC$1005,1,MATCH(COLUMNS($U$1006:Y1006),$U$1006:$AC$1006,0))&gt;=100000), " ",IF(INDEX($U$2:$AC$1001,MATCH(ROWS($N$2:N232),$N$2:$N$1001,0),MATCH(COLUMNS($U$1006:Y1006),$U$1006:$AC$1006,0)), HYPERLINK("#",""), HYPERLINK(CONCATENATE("#metadata!", ADDRESS(INDEX($P$2:$P$1001,MATCH(ROWS($N$2:N232),$N$2:$N$1001,0),0), INDEX($U$1004:$AC$1004,1,MATCH(COLUMNS($U$1006:Y1006),$U$1006:$AC$1006,0)))),"Fix")))</f>
        <v>0</v>
      </c>
      <c r="G232" s="3">
        <f>IF(OR(INDEX($O$2:$O$1001,MATCH(ROWS($N$2:N232),$N$2:$N$1001,0),1)&gt;=100000,INDEX($U$1005:$AC$1005,1,MATCH(COLUMNS($U$1006:Z1006),$U$1006:$AC$1006,0))&gt;=100000), " ",IF(INDEX($U$2:$AC$1001,MATCH(ROWS($N$2:N232),$N$2:$N$1001,0),MATCH(COLUMNS($U$1006:Z1006),$U$1006:$AC$1006,0)), HYPERLINK("#",""), HYPERLINK(CONCATENATE("#metadata!", ADDRESS(INDEX($P$2:$P$1001,MATCH(ROWS($N$2:N232),$N$2:$N$1001,0),0), INDEX($U$1004:$AC$1004,1,MATCH(COLUMNS($U$1006:Z1006),$U$1006:$AC$1006,0)))),"Fix")))</f>
        <v>0</v>
      </c>
      <c r="H232" s="3">
        <f>IF(OR(INDEX($O$2:$O$1001,MATCH(ROWS($N$2:N232),$N$2:$N$1001,0),1)&gt;=100000,INDEX($U$1005:$AC$1005,1,MATCH(COLUMNS($U$1006:AA1006),$U$1006:$AC$1006,0))&gt;=100000), " ",IF(INDEX($U$2:$AC$1001,MATCH(ROWS($N$2:N232),$N$2:$N$1001,0),MATCH(COLUMNS($U$1006:AA1006),$U$1006:$AC$1006,0)), HYPERLINK("#",""), HYPERLINK(CONCATENATE("#metadata!", ADDRESS(INDEX($P$2:$P$1001,MATCH(ROWS($N$2:N232),$N$2:$N$1001,0),0), INDEX($U$1004:$AC$1004,1,MATCH(COLUMNS($U$1006:AA1006),$U$1006:$AC$1006,0)))),"Fix")))</f>
        <v>0</v>
      </c>
      <c r="I232" s="3">
        <f>IF(OR(INDEX($O$2:$O$1001,MATCH(ROWS($N$2:N232),$N$2:$N$1001,0),1)&gt;=100000,INDEX($U$1005:$AC$1005,1,MATCH(COLUMNS($U$1006:AB1006),$U$1006:$AC$1006,0))&gt;=100000), " ",IF(INDEX($U$2:$AC$1001,MATCH(ROWS($N$2:N232),$N$2:$N$1001,0),MATCH(COLUMNS($U$1006:AB1006),$U$1006:$AC$1006,0)), HYPERLINK("#",""), HYPERLINK(CONCATENATE("#metadata!", ADDRESS(INDEX($P$2:$P$1001,MATCH(ROWS($N$2:N232),$N$2:$N$1001,0),0), INDEX($U$1004:$AC$1004,1,MATCH(COLUMNS($U$1006:AB1006),$U$1006:$AC$1006,0)))),"Fix")))</f>
        <v>0</v>
      </c>
      <c r="J232" s="3">
        <f>IF(OR(INDEX($O$2:$O$1001,MATCH(ROWS($N$2:N232),$N$2:$N$1001,0),1)&gt;=100000,INDEX($U$1005:$AC$1005,1,MATCH(COLUMNS($U$1006:AC1006),$U$1006:$AC$1006,0))&gt;=100000), " ",IF(INDEX($U$2:$AC$1001,MATCH(ROWS($N$2:N232),$N$2:$N$1001,0),MATCH(COLUMNS($U$1006:AC1006),$U$1006:$AC$1006,0)), HYPERLINK("#",""), HYPERLINK(CONCATENATE("#metadata!", ADDRESS(INDEX($P$2:$P$1001,MATCH(ROWS($N$2:N232),$N$2:$N$1001,0),0), INDEX($U$1004:$AC$1004,1,MATCH(COLUMNS($U$1006:AC1006),$U$1006:$AC$1006,0)))),"Fix")))</f>
        <v>0</v>
      </c>
      <c r="N232">
        <v>0</v>
      </c>
      <c r="O232">
        <v>0</v>
      </c>
      <c r="P232">
        <v>0</v>
      </c>
      <c r="Q232">
        <f>IF(R232,TRUE,AND(U232:AC232))</f>
        <v>0</v>
      </c>
      <c r="R232">
        <f>COUNTBLANK(metadata!B232:J232)=COLUMNS(metadata!B232:J232)</f>
        <v>0</v>
      </c>
      <c r="S232">
        <v>0</v>
      </c>
      <c r="U232">
        <f>AND(IF(metadata!B232="",FALSE,TRUE),COUNTIF(metadata!B:B, metadata!B232) = 1,NOT(ISERROR(SUMPRODUCT(SEARCH(MID(metadata!B232,ROW(INDIRECT("1:"&amp;LEN(metadata!B232))), 1),"0123456789abcdefghijklmnopqrstuvwxyzABCDEFGHIJKLMNOPQRSTUVWXYZ.")))))</f>
        <v>0</v>
      </c>
      <c r="V232">
        <f>AND(IF(metadata!C232="",FALSE,TRUE),exact(metadata!C232,"UBERON:genitourinary"))</f>
        <v>0</v>
      </c>
      <c r="W232">
        <f>AND(IF(metadata!D232="",FALSE,TRUE),exact(metadata!D232,"UBERON:urine"))</f>
        <v>0</v>
      </c>
      <c r="X232">
        <f>AND(IF(metadata!E232="",FALSE,TRUE),exact(metadata!E232,"UBERON:kidney"))</f>
        <v>0</v>
      </c>
      <c r="Y232">
        <f>AND(IF(metadata!F232="",FALSE,TRUE),exact(metadata!F232,"animal corpus"))</f>
        <v>0</v>
      </c>
      <c r="Z232">
        <f>AND(IF(metadata!G232="",FALSE,TRUE),exact(metadata!G232,"urine"))</f>
        <v>0</v>
      </c>
      <c r="AA232">
        <f>AND(IF(metadata!H232="",FALSE,TRUE),exact(metadata!H232,"urine"))</f>
        <v>0</v>
      </c>
      <c r="AB232">
        <f>AND(IF(metadata!I232="",FALSE,TRUE),exact(metadata!I232,"urine metagenome"))</f>
        <v>0</v>
      </c>
      <c r="AC232">
        <f>AND(IF(metadata!J232="",FALSE,TRUE),exact(metadata!J232,"1346744"))</f>
        <v>0</v>
      </c>
    </row>
    <row r="233" spans="1:29">
      <c r="A233" s="4">
        <f>IF(B233=" "," ",HYPERLINK(CONCATENATE("#metadata!",ADDRESS(INDEX($P$2:$P$1001,MATCH(ROWS($N$2:N233),$N$2:$N$1001,0),0),1)),INDEX($S$2:$S$1001,MATCH(ROWS($N$2:N233),$N$2:$N$1001,0),0)))</f>
        <v>0</v>
      </c>
      <c r="B233" s="3">
        <f>IF(OR(INDEX($O$2:$O$1001,MATCH(ROWS($N$2:N233),$N$2:$N$1001,0),1)&gt;=100000,INDEX($U$1005:$AC$1005,1,MATCH(COLUMNS($U$1006:U1006),$U$1006:$AC$1006,0))&gt;=100000), " ",IF(INDEX($U$2:$AC$1001,MATCH(ROWS($N$2:N233),$N$2:$N$1001,0),MATCH(COLUMNS($U$1006:U1006),$U$1006:$AC$1006,0)), HYPERLINK("#",""), HYPERLINK(CONCATENATE("#metadata!", ADDRESS(INDEX($P$2:$P$1001,MATCH(ROWS($N$2:N233),$N$2:$N$1001,0),0), INDEX($U$1004:$AC$1004,1,MATCH(COLUMNS($U$1006:U1006),$U$1006:$AC$1006,0)))),"Fix")))</f>
        <v>0</v>
      </c>
      <c r="C233" s="3">
        <f>IF(OR(INDEX($O$2:$O$1001,MATCH(ROWS($N$2:N233),$N$2:$N$1001,0),1)&gt;=100000,INDEX($U$1005:$AC$1005,1,MATCH(COLUMNS($U$1006:V1006),$U$1006:$AC$1006,0))&gt;=100000), " ",IF(INDEX($U$2:$AC$1001,MATCH(ROWS($N$2:N233),$N$2:$N$1001,0),MATCH(COLUMNS($U$1006:V1006),$U$1006:$AC$1006,0)), HYPERLINK("#",""), HYPERLINK(CONCATENATE("#metadata!", ADDRESS(INDEX($P$2:$P$1001,MATCH(ROWS($N$2:N233),$N$2:$N$1001,0),0), INDEX($U$1004:$AC$1004,1,MATCH(COLUMNS($U$1006:V1006),$U$1006:$AC$1006,0)))),"Fix")))</f>
        <v>0</v>
      </c>
      <c r="D233" s="3">
        <f>IF(OR(INDEX($O$2:$O$1001,MATCH(ROWS($N$2:N233),$N$2:$N$1001,0),1)&gt;=100000,INDEX($U$1005:$AC$1005,1,MATCH(COLUMNS($U$1006:W1006),$U$1006:$AC$1006,0))&gt;=100000), " ",IF(INDEX($U$2:$AC$1001,MATCH(ROWS($N$2:N233),$N$2:$N$1001,0),MATCH(COLUMNS($U$1006:W1006),$U$1006:$AC$1006,0)), HYPERLINK("#",""), HYPERLINK(CONCATENATE("#metadata!", ADDRESS(INDEX($P$2:$P$1001,MATCH(ROWS($N$2:N233),$N$2:$N$1001,0),0), INDEX($U$1004:$AC$1004,1,MATCH(COLUMNS($U$1006:W1006),$U$1006:$AC$1006,0)))),"Fix")))</f>
        <v>0</v>
      </c>
      <c r="E233" s="3">
        <f>IF(OR(INDEX($O$2:$O$1001,MATCH(ROWS($N$2:N233),$N$2:$N$1001,0),1)&gt;=100000,INDEX($U$1005:$AC$1005,1,MATCH(COLUMNS($U$1006:X1006),$U$1006:$AC$1006,0))&gt;=100000), " ",IF(INDEX($U$2:$AC$1001,MATCH(ROWS($N$2:N233),$N$2:$N$1001,0),MATCH(COLUMNS($U$1006:X1006),$U$1006:$AC$1006,0)), HYPERLINK("#",""), HYPERLINK(CONCATENATE("#metadata!", ADDRESS(INDEX($P$2:$P$1001,MATCH(ROWS($N$2:N233),$N$2:$N$1001,0),0), INDEX($U$1004:$AC$1004,1,MATCH(COLUMNS($U$1006:X1006),$U$1006:$AC$1006,0)))),"Fix")))</f>
        <v>0</v>
      </c>
      <c r="F233" s="3">
        <f>IF(OR(INDEX($O$2:$O$1001,MATCH(ROWS($N$2:N233),$N$2:$N$1001,0),1)&gt;=100000,INDEX($U$1005:$AC$1005,1,MATCH(COLUMNS($U$1006:Y1006),$U$1006:$AC$1006,0))&gt;=100000), " ",IF(INDEX($U$2:$AC$1001,MATCH(ROWS($N$2:N233),$N$2:$N$1001,0),MATCH(COLUMNS($U$1006:Y1006),$U$1006:$AC$1006,0)), HYPERLINK("#",""), HYPERLINK(CONCATENATE("#metadata!", ADDRESS(INDEX($P$2:$P$1001,MATCH(ROWS($N$2:N233),$N$2:$N$1001,0),0), INDEX($U$1004:$AC$1004,1,MATCH(COLUMNS($U$1006:Y1006),$U$1006:$AC$1006,0)))),"Fix")))</f>
        <v>0</v>
      </c>
      <c r="G233" s="3">
        <f>IF(OR(INDEX($O$2:$O$1001,MATCH(ROWS($N$2:N233),$N$2:$N$1001,0),1)&gt;=100000,INDEX($U$1005:$AC$1005,1,MATCH(COLUMNS($U$1006:Z1006),$U$1006:$AC$1006,0))&gt;=100000), " ",IF(INDEX($U$2:$AC$1001,MATCH(ROWS($N$2:N233),$N$2:$N$1001,0),MATCH(COLUMNS($U$1006:Z1006),$U$1006:$AC$1006,0)), HYPERLINK("#",""), HYPERLINK(CONCATENATE("#metadata!", ADDRESS(INDEX($P$2:$P$1001,MATCH(ROWS($N$2:N233),$N$2:$N$1001,0),0), INDEX($U$1004:$AC$1004,1,MATCH(COLUMNS($U$1006:Z1006),$U$1006:$AC$1006,0)))),"Fix")))</f>
        <v>0</v>
      </c>
      <c r="H233" s="3">
        <f>IF(OR(INDEX($O$2:$O$1001,MATCH(ROWS($N$2:N233),$N$2:$N$1001,0),1)&gt;=100000,INDEX($U$1005:$AC$1005,1,MATCH(COLUMNS($U$1006:AA1006),$U$1006:$AC$1006,0))&gt;=100000), " ",IF(INDEX($U$2:$AC$1001,MATCH(ROWS($N$2:N233),$N$2:$N$1001,0),MATCH(COLUMNS($U$1006:AA1006),$U$1006:$AC$1006,0)), HYPERLINK("#",""), HYPERLINK(CONCATENATE("#metadata!", ADDRESS(INDEX($P$2:$P$1001,MATCH(ROWS($N$2:N233),$N$2:$N$1001,0),0), INDEX($U$1004:$AC$1004,1,MATCH(COLUMNS($U$1006:AA1006),$U$1006:$AC$1006,0)))),"Fix")))</f>
        <v>0</v>
      </c>
      <c r="I233" s="3">
        <f>IF(OR(INDEX($O$2:$O$1001,MATCH(ROWS($N$2:N233),$N$2:$N$1001,0),1)&gt;=100000,INDEX($U$1005:$AC$1005,1,MATCH(COLUMNS($U$1006:AB1006),$U$1006:$AC$1006,0))&gt;=100000), " ",IF(INDEX($U$2:$AC$1001,MATCH(ROWS($N$2:N233),$N$2:$N$1001,0),MATCH(COLUMNS($U$1006:AB1006),$U$1006:$AC$1006,0)), HYPERLINK("#",""), HYPERLINK(CONCATENATE("#metadata!", ADDRESS(INDEX($P$2:$P$1001,MATCH(ROWS($N$2:N233),$N$2:$N$1001,0),0), INDEX($U$1004:$AC$1004,1,MATCH(COLUMNS($U$1006:AB1006),$U$1006:$AC$1006,0)))),"Fix")))</f>
        <v>0</v>
      </c>
      <c r="J233" s="3">
        <f>IF(OR(INDEX($O$2:$O$1001,MATCH(ROWS($N$2:N233),$N$2:$N$1001,0),1)&gt;=100000,INDEX($U$1005:$AC$1005,1,MATCH(COLUMNS($U$1006:AC1006),$U$1006:$AC$1006,0))&gt;=100000), " ",IF(INDEX($U$2:$AC$1001,MATCH(ROWS($N$2:N233),$N$2:$N$1001,0),MATCH(COLUMNS($U$1006:AC1006),$U$1006:$AC$1006,0)), HYPERLINK("#",""), HYPERLINK(CONCATENATE("#metadata!", ADDRESS(INDEX($P$2:$P$1001,MATCH(ROWS($N$2:N233),$N$2:$N$1001,0),0), INDEX($U$1004:$AC$1004,1,MATCH(COLUMNS($U$1006:AC1006),$U$1006:$AC$1006,0)))),"Fix")))</f>
        <v>0</v>
      </c>
      <c r="N233">
        <v>0</v>
      </c>
      <c r="O233">
        <v>0</v>
      </c>
      <c r="P233">
        <v>0</v>
      </c>
      <c r="Q233">
        <f>IF(R233,TRUE,AND(U233:AC233))</f>
        <v>0</v>
      </c>
      <c r="R233">
        <f>COUNTBLANK(metadata!B233:J233)=COLUMNS(metadata!B233:J233)</f>
        <v>0</v>
      </c>
      <c r="S233">
        <v>0</v>
      </c>
      <c r="U233">
        <f>AND(IF(metadata!B233="",FALSE,TRUE),COUNTIF(metadata!B:B, metadata!B233) = 1,NOT(ISERROR(SUMPRODUCT(SEARCH(MID(metadata!B233,ROW(INDIRECT("1:"&amp;LEN(metadata!B233))), 1),"0123456789abcdefghijklmnopqrstuvwxyzABCDEFGHIJKLMNOPQRSTUVWXYZ.")))))</f>
        <v>0</v>
      </c>
      <c r="V233">
        <f>AND(IF(metadata!C233="",FALSE,TRUE),exact(metadata!C233,"UBERON:genitourinary"))</f>
        <v>0</v>
      </c>
      <c r="W233">
        <f>AND(IF(metadata!D233="",FALSE,TRUE),exact(metadata!D233,"UBERON:urine"))</f>
        <v>0</v>
      </c>
      <c r="X233">
        <f>AND(IF(metadata!E233="",FALSE,TRUE),exact(metadata!E233,"UBERON:kidney"))</f>
        <v>0</v>
      </c>
      <c r="Y233">
        <f>AND(IF(metadata!F233="",FALSE,TRUE),exact(metadata!F233,"animal corpus"))</f>
        <v>0</v>
      </c>
      <c r="Z233">
        <f>AND(IF(metadata!G233="",FALSE,TRUE),exact(metadata!G233,"urine"))</f>
        <v>0</v>
      </c>
      <c r="AA233">
        <f>AND(IF(metadata!H233="",FALSE,TRUE),exact(metadata!H233,"urine"))</f>
        <v>0</v>
      </c>
      <c r="AB233">
        <f>AND(IF(metadata!I233="",FALSE,TRUE),exact(metadata!I233,"urine metagenome"))</f>
        <v>0</v>
      </c>
      <c r="AC233">
        <f>AND(IF(metadata!J233="",FALSE,TRUE),exact(metadata!J233,"1346744"))</f>
        <v>0</v>
      </c>
    </row>
    <row r="234" spans="1:29">
      <c r="A234" s="4">
        <f>IF(B234=" "," ",HYPERLINK(CONCATENATE("#metadata!",ADDRESS(INDEX($P$2:$P$1001,MATCH(ROWS($N$2:N234),$N$2:$N$1001,0),0),1)),INDEX($S$2:$S$1001,MATCH(ROWS($N$2:N234),$N$2:$N$1001,0),0)))</f>
        <v>0</v>
      </c>
      <c r="B234" s="3">
        <f>IF(OR(INDEX($O$2:$O$1001,MATCH(ROWS($N$2:N234),$N$2:$N$1001,0),1)&gt;=100000,INDEX($U$1005:$AC$1005,1,MATCH(COLUMNS($U$1006:U1006),$U$1006:$AC$1006,0))&gt;=100000), " ",IF(INDEX($U$2:$AC$1001,MATCH(ROWS($N$2:N234),$N$2:$N$1001,0),MATCH(COLUMNS($U$1006:U1006),$U$1006:$AC$1006,0)), HYPERLINK("#",""), HYPERLINK(CONCATENATE("#metadata!", ADDRESS(INDEX($P$2:$P$1001,MATCH(ROWS($N$2:N234),$N$2:$N$1001,0),0), INDEX($U$1004:$AC$1004,1,MATCH(COLUMNS($U$1006:U1006),$U$1006:$AC$1006,0)))),"Fix")))</f>
        <v>0</v>
      </c>
      <c r="C234" s="3">
        <f>IF(OR(INDEX($O$2:$O$1001,MATCH(ROWS($N$2:N234),$N$2:$N$1001,0),1)&gt;=100000,INDEX($U$1005:$AC$1005,1,MATCH(COLUMNS($U$1006:V1006),$U$1006:$AC$1006,0))&gt;=100000), " ",IF(INDEX($U$2:$AC$1001,MATCH(ROWS($N$2:N234),$N$2:$N$1001,0),MATCH(COLUMNS($U$1006:V1006),$U$1006:$AC$1006,0)), HYPERLINK("#",""), HYPERLINK(CONCATENATE("#metadata!", ADDRESS(INDEX($P$2:$P$1001,MATCH(ROWS($N$2:N234),$N$2:$N$1001,0),0), INDEX($U$1004:$AC$1004,1,MATCH(COLUMNS($U$1006:V1006),$U$1006:$AC$1006,0)))),"Fix")))</f>
        <v>0</v>
      </c>
      <c r="D234" s="3">
        <f>IF(OR(INDEX($O$2:$O$1001,MATCH(ROWS($N$2:N234),$N$2:$N$1001,0),1)&gt;=100000,INDEX($U$1005:$AC$1005,1,MATCH(COLUMNS($U$1006:W1006),$U$1006:$AC$1006,0))&gt;=100000), " ",IF(INDEX($U$2:$AC$1001,MATCH(ROWS($N$2:N234),$N$2:$N$1001,0),MATCH(COLUMNS($U$1006:W1006),$U$1006:$AC$1006,0)), HYPERLINK("#",""), HYPERLINK(CONCATENATE("#metadata!", ADDRESS(INDEX($P$2:$P$1001,MATCH(ROWS($N$2:N234),$N$2:$N$1001,0),0), INDEX($U$1004:$AC$1004,1,MATCH(COLUMNS($U$1006:W1006),$U$1006:$AC$1006,0)))),"Fix")))</f>
        <v>0</v>
      </c>
      <c r="E234" s="3">
        <f>IF(OR(INDEX($O$2:$O$1001,MATCH(ROWS($N$2:N234),$N$2:$N$1001,0),1)&gt;=100000,INDEX($U$1005:$AC$1005,1,MATCH(COLUMNS($U$1006:X1006),$U$1006:$AC$1006,0))&gt;=100000), " ",IF(INDEX($U$2:$AC$1001,MATCH(ROWS($N$2:N234),$N$2:$N$1001,0),MATCH(COLUMNS($U$1006:X1006),$U$1006:$AC$1006,0)), HYPERLINK("#",""), HYPERLINK(CONCATENATE("#metadata!", ADDRESS(INDEX($P$2:$P$1001,MATCH(ROWS($N$2:N234),$N$2:$N$1001,0),0), INDEX($U$1004:$AC$1004,1,MATCH(COLUMNS($U$1006:X1006),$U$1006:$AC$1006,0)))),"Fix")))</f>
        <v>0</v>
      </c>
      <c r="F234" s="3">
        <f>IF(OR(INDEX($O$2:$O$1001,MATCH(ROWS($N$2:N234),$N$2:$N$1001,0),1)&gt;=100000,INDEX($U$1005:$AC$1005,1,MATCH(COLUMNS($U$1006:Y1006),$U$1006:$AC$1006,0))&gt;=100000), " ",IF(INDEX($U$2:$AC$1001,MATCH(ROWS($N$2:N234),$N$2:$N$1001,0),MATCH(COLUMNS($U$1006:Y1006),$U$1006:$AC$1006,0)), HYPERLINK("#",""), HYPERLINK(CONCATENATE("#metadata!", ADDRESS(INDEX($P$2:$P$1001,MATCH(ROWS($N$2:N234),$N$2:$N$1001,0),0), INDEX($U$1004:$AC$1004,1,MATCH(COLUMNS($U$1006:Y1006),$U$1006:$AC$1006,0)))),"Fix")))</f>
        <v>0</v>
      </c>
      <c r="G234" s="3">
        <f>IF(OR(INDEX($O$2:$O$1001,MATCH(ROWS($N$2:N234),$N$2:$N$1001,0),1)&gt;=100000,INDEX($U$1005:$AC$1005,1,MATCH(COLUMNS($U$1006:Z1006),$U$1006:$AC$1006,0))&gt;=100000), " ",IF(INDEX($U$2:$AC$1001,MATCH(ROWS($N$2:N234),$N$2:$N$1001,0),MATCH(COLUMNS($U$1006:Z1006),$U$1006:$AC$1006,0)), HYPERLINK("#",""), HYPERLINK(CONCATENATE("#metadata!", ADDRESS(INDEX($P$2:$P$1001,MATCH(ROWS($N$2:N234),$N$2:$N$1001,0),0), INDEX($U$1004:$AC$1004,1,MATCH(COLUMNS($U$1006:Z1006),$U$1006:$AC$1006,0)))),"Fix")))</f>
        <v>0</v>
      </c>
      <c r="H234" s="3">
        <f>IF(OR(INDEX($O$2:$O$1001,MATCH(ROWS($N$2:N234),$N$2:$N$1001,0),1)&gt;=100000,INDEX($U$1005:$AC$1005,1,MATCH(COLUMNS($U$1006:AA1006),$U$1006:$AC$1006,0))&gt;=100000), " ",IF(INDEX($U$2:$AC$1001,MATCH(ROWS($N$2:N234),$N$2:$N$1001,0),MATCH(COLUMNS($U$1006:AA1006),$U$1006:$AC$1006,0)), HYPERLINK("#",""), HYPERLINK(CONCATENATE("#metadata!", ADDRESS(INDEX($P$2:$P$1001,MATCH(ROWS($N$2:N234),$N$2:$N$1001,0),0), INDEX($U$1004:$AC$1004,1,MATCH(COLUMNS($U$1006:AA1006),$U$1006:$AC$1006,0)))),"Fix")))</f>
        <v>0</v>
      </c>
      <c r="I234" s="3">
        <f>IF(OR(INDEX($O$2:$O$1001,MATCH(ROWS($N$2:N234),$N$2:$N$1001,0),1)&gt;=100000,INDEX($U$1005:$AC$1005,1,MATCH(COLUMNS($U$1006:AB1006),$U$1006:$AC$1006,0))&gt;=100000), " ",IF(INDEX($U$2:$AC$1001,MATCH(ROWS($N$2:N234),$N$2:$N$1001,0),MATCH(COLUMNS($U$1006:AB1006),$U$1006:$AC$1006,0)), HYPERLINK("#",""), HYPERLINK(CONCATENATE("#metadata!", ADDRESS(INDEX($P$2:$P$1001,MATCH(ROWS($N$2:N234),$N$2:$N$1001,0),0), INDEX($U$1004:$AC$1004,1,MATCH(COLUMNS($U$1006:AB1006),$U$1006:$AC$1006,0)))),"Fix")))</f>
        <v>0</v>
      </c>
      <c r="J234" s="3">
        <f>IF(OR(INDEX($O$2:$O$1001,MATCH(ROWS($N$2:N234),$N$2:$N$1001,0),1)&gt;=100000,INDEX($U$1005:$AC$1005,1,MATCH(COLUMNS($U$1006:AC1006),$U$1006:$AC$1006,0))&gt;=100000), " ",IF(INDEX($U$2:$AC$1001,MATCH(ROWS($N$2:N234),$N$2:$N$1001,0),MATCH(COLUMNS($U$1006:AC1006),$U$1006:$AC$1006,0)), HYPERLINK("#",""), HYPERLINK(CONCATENATE("#metadata!", ADDRESS(INDEX($P$2:$P$1001,MATCH(ROWS($N$2:N234),$N$2:$N$1001,0),0), INDEX($U$1004:$AC$1004,1,MATCH(COLUMNS($U$1006:AC1006),$U$1006:$AC$1006,0)))),"Fix")))</f>
        <v>0</v>
      </c>
      <c r="N234">
        <v>0</v>
      </c>
      <c r="O234">
        <v>0</v>
      </c>
      <c r="P234">
        <v>0</v>
      </c>
      <c r="Q234">
        <f>IF(R234,TRUE,AND(U234:AC234))</f>
        <v>0</v>
      </c>
      <c r="R234">
        <f>COUNTBLANK(metadata!B234:J234)=COLUMNS(metadata!B234:J234)</f>
        <v>0</v>
      </c>
      <c r="S234">
        <v>0</v>
      </c>
      <c r="U234">
        <f>AND(IF(metadata!B234="",FALSE,TRUE),COUNTIF(metadata!B:B, metadata!B234) = 1,NOT(ISERROR(SUMPRODUCT(SEARCH(MID(metadata!B234,ROW(INDIRECT("1:"&amp;LEN(metadata!B234))), 1),"0123456789abcdefghijklmnopqrstuvwxyzABCDEFGHIJKLMNOPQRSTUVWXYZ.")))))</f>
        <v>0</v>
      </c>
      <c r="V234">
        <f>AND(IF(metadata!C234="",FALSE,TRUE),exact(metadata!C234,"UBERON:genitourinary"))</f>
        <v>0</v>
      </c>
      <c r="W234">
        <f>AND(IF(metadata!D234="",FALSE,TRUE),exact(metadata!D234,"UBERON:urine"))</f>
        <v>0</v>
      </c>
      <c r="X234">
        <f>AND(IF(metadata!E234="",FALSE,TRUE),exact(metadata!E234,"UBERON:kidney"))</f>
        <v>0</v>
      </c>
      <c r="Y234">
        <f>AND(IF(metadata!F234="",FALSE,TRUE),exact(metadata!F234,"animal corpus"))</f>
        <v>0</v>
      </c>
      <c r="Z234">
        <f>AND(IF(metadata!G234="",FALSE,TRUE),exact(metadata!G234,"urine"))</f>
        <v>0</v>
      </c>
      <c r="AA234">
        <f>AND(IF(metadata!H234="",FALSE,TRUE),exact(metadata!H234,"urine"))</f>
        <v>0</v>
      </c>
      <c r="AB234">
        <f>AND(IF(metadata!I234="",FALSE,TRUE),exact(metadata!I234,"urine metagenome"))</f>
        <v>0</v>
      </c>
      <c r="AC234">
        <f>AND(IF(metadata!J234="",FALSE,TRUE),exact(metadata!J234,"1346744"))</f>
        <v>0</v>
      </c>
    </row>
    <row r="235" spans="1:29">
      <c r="A235" s="4">
        <f>IF(B235=" "," ",HYPERLINK(CONCATENATE("#metadata!",ADDRESS(INDEX($P$2:$P$1001,MATCH(ROWS($N$2:N235),$N$2:$N$1001,0),0),1)),INDEX($S$2:$S$1001,MATCH(ROWS($N$2:N235),$N$2:$N$1001,0),0)))</f>
        <v>0</v>
      </c>
      <c r="B235" s="3">
        <f>IF(OR(INDEX($O$2:$O$1001,MATCH(ROWS($N$2:N235),$N$2:$N$1001,0),1)&gt;=100000,INDEX($U$1005:$AC$1005,1,MATCH(COLUMNS($U$1006:U1006),$U$1006:$AC$1006,0))&gt;=100000), " ",IF(INDEX($U$2:$AC$1001,MATCH(ROWS($N$2:N235),$N$2:$N$1001,0),MATCH(COLUMNS($U$1006:U1006),$U$1006:$AC$1006,0)), HYPERLINK("#",""), HYPERLINK(CONCATENATE("#metadata!", ADDRESS(INDEX($P$2:$P$1001,MATCH(ROWS($N$2:N235),$N$2:$N$1001,0),0), INDEX($U$1004:$AC$1004,1,MATCH(COLUMNS($U$1006:U1006),$U$1006:$AC$1006,0)))),"Fix")))</f>
        <v>0</v>
      </c>
      <c r="C235" s="3">
        <f>IF(OR(INDEX($O$2:$O$1001,MATCH(ROWS($N$2:N235),$N$2:$N$1001,0),1)&gt;=100000,INDEX($U$1005:$AC$1005,1,MATCH(COLUMNS($U$1006:V1006),$U$1006:$AC$1006,0))&gt;=100000), " ",IF(INDEX($U$2:$AC$1001,MATCH(ROWS($N$2:N235),$N$2:$N$1001,0),MATCH(COLUMNS($U$1006:V1006),$U$1006:$AC$1006,0)), HYPERLINK("#",""), HYPERLINK(CONCATENATE("#metadata!", ADDRESS(INDEX($P$2:$P$1001,MATCH(ROWS($N$2:N235),$N$2:$N$1001,0),0), INDEX($U$1004:$AC$1004,1,MATCH(COLUMNS($U$1006:V1006),$U$1006:$AC$1006,0)))),"Fix")))</f>
        <v>0</v>
      </c>
      <c r="D235" s="3">
        <f>IF(OR(INDEX($O$2:$O$1001,MATCH(ROWS($N$2:N235),$N$2:$N$1001,0),1)&gt;=100000,INDEX($U$1005:$AC$1005,1,MATCH(COLUMNS($U$1006:W1006),$U$1006:$AC$1006,0))&gt;=100000), " ",IF(INDEX($U$2:$AC$1001,MATCH(ROWS($N$2:N235),$N$2:$N$1001,0),MATCH(COLUMNS($U$1006:W1006),$U$1006:$AC$1006,0)), HYPERLINK("#",""), HYPERLINK(CONCATENATE("#metadata!", ADDRESS(INDEX($P$2:$P$1001,MATCH(ROWS($N$2:N235),$N$2:$N$1001,0),0), INDEX($U$1004:$AC$1004,1,MATCH(COLUMNS($U$1006:W1006),$U$1006:$AC$1006,0)))),"Fix")))</f>
        <v>0</v>
      </c>
      <c r="E235" s="3">
        <f>IF(OR(INDEX($O$2:$O$1001,MATCH(ROWS($N$2:N235),$N$2:$N$1001,0),1)&gt;=100000,INDEX($U$1005:$AC$1005,1,MATCH(COLUMNS($U$1006:X1006),$U$1006:$AC$1006,0))&gt;=100000), " ",IF(INDEX($U$2:$AC$1001,MATCH(ROWS($N$2:N235),$N$2:$N$1001,0),MATCH(COLUMNS($U$1006:X1006),$U$1006:$AC$1006,0)), HYPERLINK("#",""), HYPERLINK(CONCATENATE("#metadata!", ADDRESS(INDEX($P$2:$P$1001,MATCH(ROWS($N$2:N235),$N$2:$N$1001,0),0), INDEX($U$1004:$AC$1004,1,MATCH(COLUMNS($U$1006:X1006),$U$1006:$AC$1006,0)))),"Fix")))</f>
        <v>0</v>
      </c>
      <c r="F235" s="3">
        <f>IF(OR(INDEX($O$2:$O$1001,MATCH(ROWS($N$2:N235),$N$2:$N$1001,0),1)&gt;=100000,INDEX($U$1005:$AC$1005,1,MATCH(COLUMNS($U$1006:Y1006),$U$1006:$AC$1006,0))&gt;=100000), " ",IF(INDEX($U$2:$AC$1001,MATCH(ROWS($N$2:N235),$N$2:$N$1001,0),MATCH(COLUMNS($U$1006:Y1006),$U$1006:$AC$1006,0)), HYPERLINK("#",""), HYPERLINK(CONCATENATE("#metadata!", ADDRESS(INDEX($P$2:$P$1001,MATCH(ROWS($N$2:N235),$N$2:$N$1001,0),0), INDEX($U$1004:$AC$1004,1,MATCH(COLUMNS($U$1006:Y1006),$U$1006:$AC$1006,0)))),"Fix")))</f>
        <v>0</v>
      </c>
      <c r="G235" s="3">
        <f>IF(OR(INDEX($O$2:$O$1001,MATCH(ROWS($N$2:N235),$N$2:$N$1001,0),1)&gt;=100000,INDEX($U$1005:$AC$1005,1,MATCH(COLUMNS($U$1006:Z1006),$U$1006:$AC$1006,0))&gt;=100000), " ",IF(INDEX($U$2:$AC$1001,MATCH(ROWS($N$2:N235),$N$2:$N$1001,0),MATCH(COLUMNS($U$1006:Z1006),$U$1006:$AC$1006,0)), HYPERLINK("#",""), HYPERLINK(CONCATENATE("#metadata!", ADDRESS(INDEX($P$2:$P$1001,MATCH(ROWS($N$2:N235),$N$2:$N$1001,0),0), INDEX($U$1004:$AC$1004,1,MATCH(COLUMNS($U$1006:Z1006),$U$1006:$AC$1006,0)))),"Fix")))</f>
        <v>0</v>
      </c>
      <c r="H235" s="3">
        <f>IF(OR(INDEX($O$2:$O$1001,MATCH(ROWS($N$2:N235),$N$2:$N$1001,0),1)&gt;=100000,INDEX($U$1005:$AC$1005,1,MATCH(COLUMNS($U$1006:AA1006),$U$1006:$AC$1006,0))&gt;=100000), " ",IF(INDEX($U$2:$AC$1001,MATCH(ROWS($N$2:N235),$N$2:$N$1001,0),MATCH(COLUMNS($U$1006:AA1006),$U$1006:$AC$1006,0)), HYPERLINK("#",""), HYPERLINK(CONCATENATE("#metadata!", ADDRESS(INDEX($P$2:$P$1001,MATCH(ROWS($N$2:N235),$N$2:$N$1001,0),0), INDEX($U$1004:$AC$1004,1,MATCH(COLUMNS($U$1006:AA1006),$U$1006:$AC$1006,0)))),"Fix")))</f>
        <v>0</v>
      </c>
      <c r="I235" s="3">
        <f>IF(OR(INDEX($O$2:$O$1001,MATCH(ROWS($N$2:N235),$N$2:$N$1001,0),1)&gt;=100000,INDEX($U$1005:$AC$1005,1,MATCH(COLUMNS($U$1006:AB1006),$U$1006:$AC$1006,0))&gt;=100000), " ",IF(INDEX($U$2:$AC$1001,MATCH(ROWS($N$2:N235),$N$2:$N$1001,0),MATCH(COLUMNS($U$1006:AB1006),$U$1006:$AC$1006,0)), HYPERLINK("#",""), HYPERLINK(CONCATENATE("#metadata!", ADDRESS(INDEX($P$2:$P$1001,MATCH(ROWS($N$2:N235),$N$2:$N$1001,0),0), INDEX($U$1004:$AC$1004,1,MATCH(COLUMNS($U$1006:AB1006),$U$1006:$AC$1006,0)))),"Fix")))</f>
        <v>0</v>
      </c>
      <c r="J235" s="3">
        <f>IF(OR(INDEX($O$2:$O$1001,MATCH(ROWS($N$2:N235),$N$2:$N$1001,0),1)&gt;=100000,INDEX($U$1005:$AC$1005,1,MATCH(COLUMNS($U$1006:AC1006),$U$1006:$AC$1006,0))&gt;=100000), " ",IF(INDEX($U$2:$AC$1001,MATCH(ROWS($N$2:N235),$N$2:$N$1001,0),MATCH(COLUMNS($U$1006:AC1006),$U$1006:$AC$1006,0)), HYPERLINK("#",""), HYPERLINK(CONCATENATE("#metadata!", ADDRESS(INDEX($P$2:$P$1001,MATCH(ROWS($N$2:N235),$N$2:$N$1001,0),0), INDEX($U$1004:$AC$1004,1,MATCH(COLUMNS($U$1006:AC1006),$U$1006:$AC$1006,0)))),"Fix")))</f>
        <v>0</v>
      </c>
      <c r="N235">
        <v>0</v>
      </c>
      <c r="O235">
        <v>0</v>
      </c>
      <c r="P235">
        <v>0</v>
      </c>
      <c r="Q235">
        <f>IF(R235,TRUE,AND(U235:AC235))</f>
        <v>0</v>
      </c>
      <c r="R235">
        <f>COUNTBLANK(metadata!B235:J235)=COLUMNS(metadata!B235:J235)</f>
        <v>0</v>
      </c>
      <c r="S235">
        <v>0</v>
      </c>
      <c r="U235">
        <f>AND(IF(metadata!B235="",FALSE,TRUE),COUNTIF(metadata!B:B, metadata!B235) = 1,NOT(ISERROR(SUMPRODUCT(SEARCH(MID(metadata!B235,ROW(INDIRECT("1:"&amp;LEN(metadata!B235))), 1),"0123456789abcdefghijklmnopqrstuvwxyzABCDEFGHIJKLMNOPQRSTUVWXYZ.")))))</f>
        <v>0</v>
      </c>
      <c r="V235">
        <f>AND(IF(metadata!C235="",FALSE,TRUE),exact(metadata!C235,"UBERON:genitourinary"))</f>
        <v>0</v>
      </c>
      <c r="W235">
        <f>AND(IF(metadata!D235="",FALSE,TRUE),exact(metadata!D235,"UBERON:urine"))</f>
        <v>0</v>
      </c>
      <c r="X235">
        <f>AND(IF(metadata!E235="",FALSE,TRUE),exact(metadata!E235,"UBERON:kidney"))</f>
        <v>0</v>
      </c>
      <c r="Y235">
        <f>AND(IF(metadata!F235="",FALSE,TRUE),exact(metadata!F235,"animal corpus"))</f>
        <v>0</v>
      </c>
      <c r="Z235">
        <f>AND(IF(metadata!G235="",FALSE,TRUE),exact(metadata!G235,"urine"))</f>
        <v>0</v>
      </c>
      <c r="AA235">
        <f>AND(IF(metadata!H235="",FALSE,TRUE),exact(metadata!H235,"urine"))</f>
        <v>0</v>
      </c>
      <c r="AB235">
        <f>AND(IF(metadata!I235="",FALSE,TRUE),exact(metadata!I235,"urine metagenome"))</f>
        <v>0</v>
      </c>
      <c r="AC235">
        <f>AND(IF(metadata!J235="",FALSE,TRUE),exact(metadata!J235,"1346744"))</f>
        <v>0</v>
      </c>
    </row>
    <row r="236" spans="1:29">
      <c r="A236" s="4">
        <f>IF(B236=" "," ",HYPERLINK(CONCATENATE("#metadata!",ADDRESS(INDEX($P$2:$P$1001,MATCH(ROWS($N$2:N236),$N$2:$N$1001,0),0),1)),INDEX($S$2:$S$1001,MATCH(ROWS($N$2:N236),$N$2:$N$1001,0),0)))</f>
        <v>0</v>
      </c>
      <c r="B236" s="3">
        <f>IF(OR(INDEX($O$2:$O$1001,MATCH(ROWS($N$2:N236),$N$2:$N$1001,0),1)&gt;=100000,INDEX($U$1005:$AC$1005,1,MATCH(COLUMNS($U$1006:U1006),$U$1006:$AC$1006,0))&gt;=100000), " ",IF(INDEX($U$2:$AC$1001,MATCH(ROWS($N$2:N236),$N$2:$N$1001,0),MATCH(COLUMNS($U$1006:U1006),$U$1006:$AC$1006,0)), HYPERLINK("#",""), HYPERLINK(CONCATENATE("#metadata!", ADDRESS(INDEX($P$2:$P$1001,MATCH(ROWS($N$2:N236),$N$2:$N$1001,0),0), INDEX($U$1004:$AC$1004,1,MATCH(COLUMNS($U$1006:U1006),$U$1006:$AC$1006,0)))),"Fix")))</f>
        <v>0</v>
      </c>
      <c r="C236" s="3">
        <f>IF(OR(INDEX($O$2:$O$1001,MATCH(ROWS($N$2:N236),$N$2:$N$1001,0),1)&gt;=100000,INDEX($U$1005:$AC$1005,1,MATCH(COLUMNS($U$1006:V1006),$U$1006:$AC$1006,0))&gt;=100000), " ",IF(INDEX($U$2:$AC$1001,MATCH(ROWS($N$2:N236),$N$2:$N$1001,0),MATCH(COLUMNS($U$1006:V1006),$U$1006:$AC$1006,0)), HYPERLINK("#",""), HYPERLINK(CONCATENATE("#metadata!", ADDRESS(INDEX($P$2:$P$1001,MATCH(ROWS($N$2:N236),$N$2:$N$1001,0),0), INDEX($U$1004:$AC$1004,1,MATCH(COLUMNS($U$1006:V1006),$U$1006:$AC$1006,0)))),"Fix")))</f>
        <v>0</v>
      </c>
      <c r="D236" s="3">
        <f>IF(OR(INDEX($O$2:$O$1001,MATCH(ROWS($N$2:N236),$N$2:$N$1001,0),1)&gt;=100000,INDEX($U$1005:$AC$1005,1,MATCH(COLUMNS($U$1006:W1006),$U$1006:$AC$1006,0))&gt;=100000), " ",IF(INDEX($U$2:$AC$1001,MATCH(ROWS($N$2:N236),$N$2:$N$1001,0),MATCH(COLUMNS($U$1006:W1006),$U$1006:$AC$1006,0)), HYPERLINK("#",""), HYPERLINK(CONCATENATE("#metadata!", ADDRESS(INDEX($P$2:$P$1001,MATCH(ROWS($N$2:N236),$N$2:$N$1001,0),0), INDEX($U$1004:$AC$1004,1,MATCH(COLUMNS($U$1006:W1006),$U$1006:$AC$1006,0)))),"Fix")))</f>
        <v>0</v>
      </c>
      <c r="E236" s="3">
        <f>IF(OR(INDEX($O$2:$O$1001,MATCH(ROWS($N$2:N236),$N$2:$N$1001,0),1)&gt;=100000,INDEX($U$1005:$AC$1005,1,MATCH(COLUMNS($U$1006:X1006),$U$1006:$AC$1006,0))&gt;=100000), " ",IF(INDEX($U$2:$AC$1001,MATCH(ROWS($N$2:N236),$N$2:$N$1001,0),MATCH(COLUMNS($U$1006:X1006),$U$1006:$AC$1006,0)), HYPERLINK("#",""), HYPERLINK(CONCATENATE("#metadata!", ADDRESS(INDEX($P$2:$P$1001,MATCH(ROWS($N$2:N236),$N$2:$N$1001,0),0), INDEX($U$1004:$AC$1004,1,MATCH(COLUMNS($U$1006:X1006),$U$1006:$AC$1006,0)))),"Fix")))</f>
        <v>0</v>
      </c>
      <c r="F236" s="3">
        <f>IF(OR(INDEX($O$2:$O$1001,MATCH(ROWS($N$2:N236),$N$2:$N$1001,0),1)&gt;=100000,INDEX($U$1005:$AC$1005,1,MATCH(COLUMNS($U$1006:Y1006),$U$1006:$AC$1006,0))&gt;=100000), " ",IF(INDEX($U$2:$AC$1001,MATCH(ROWS($N$2:N236),$N$2:$N$1001,0),MATCH(COLUMNS($U$1006:Y1006),$U$1006:$AC$1006,0)), HYPERLINK("#",""), HYPERLINK(CONCATENATE("#metadata!", ADDRESS(INDEX($P$2:$P$1001,MATCH(ROWS($N$2:N236),$N$2:$N$1001,0),0), INDEX($U$1004:$AC$1004,1,MATCH(COLUMNS($U$1006:Y1006),$U$1006:$AC$1006,0)))),"Fix")))</f>
        <v>0</v>
      </c>
      <c r="G236" s="3">
        <f>IF(OR(INDEX($O$2:$O$1001,MATCH(ROWS($N$2:N236),$N$2:$N$1001,0),1)&gt;=100000,INDEX($U$1005:$AC$1005,1,MATCH(COLUMNS($U$1006:Z1006),$U$1006:$AC$1006,0))&gt;=100000), " ",IF(INDEX($U$2:$AC$1001,MATCH(ROWS($N$2:N236),$N$2:$N$1001,0),MATCH(COLUMNS($U$1006:Z1006),$U$1006:$AC$1006,0)), HYPERLINK("#",""), HYPERLINK(CONCATENATE("#metadata!", ADDRESS(INDEX($P$2:$P$1001,MATCH(ROWS($N$2:N236),$N$2:$N$1001,0),0), INDEX($U$1004:$AC$1004,1,MATCH(COLUMNS($U$1006:Z1006),$U$1006:$AC$1006,0)))),"Fix")))</f>
        <v>0</v>
      </c>
      <c r="H236" s="3">
        <f>IF(OR(INDEX($O$2:$O$1001,MATCH(ROWS($N$2:N236),$N$2:$N$1001,0),1)&gt;=100000,INDEX($U$1005:$AC$1005,1,MATCH(COLUMNS($U$1006:AA1006),$U$1006:$AC$1006,0))&gt;=100000), " ",IF(INDEX($U$2:$AC$1001,MATCH(ROWS($N$2:N236),$N$2:$N$1001,0),MATCH(COLUMNS($U$1006:AA1006),$U$1006:$AC$1006,0)), HYPERLINK("#",""), HYPERLINK(CONCATENATE("#metadata!", ADDRESS(INDEX($P$2:$P$1001,MATCH(ROWS($N$2:N236),$N$2:$N$1001,0),0), INDEX($U$1004:$AC$1004,1,MATCH(COLUMNS($U$1006:AA1006),$U$1006:$AC$1006,0)))),"Fix")))</f>
        <v>0</v>
      </c>
      <c r="I236" s="3">
        <f>IF(OR(INDEX($O$2:$O$1001,MATCH(ROWS($N$2:N236),$N$2:$N$1001,0),1)&gt;=100000,INDEX($U$1005:$AC$1005,1,MATCH(COLUMNS($U$1006:AB1006),$U$1006:$AC$1006,0))&gt;=100000), " ",IF(INDEX($U$2:$AC$1001,MATCH(ROWS($N$2:N236),$N$2:$N$1001,0),MATCH(COLUMNS($U$1006:AB1006),$U$1006:$AC$1006,0)), HYPERLINK("#",""), HYPERLINK(CONCATENATE("#metadata!", ADDRESS(INDEX($P$2:$P$1001,MATCH(ROWS($N$2:N236),$N$2:$N$1001,0),0), INDEX($U$1004:$AC$1004,1,MATCH(COLUMNS($U$1006:AB1006),$U$1006:$AC$1006,0)))),"Fix")))</f>
        <v>0</v>
      </c>
      <c r="J236" s="3">
        <f>IF(OR(INDEX($O$2:$O$1001,MATCH(ROWS($N$2:N236),$N$2:$N$1001,0),1)&gt;=100000,INDEX($U$1005:$AC$1005,1,MATCH(COLUMNS($U$1006:AC1006),$U$1006:$AC$1006,0))&gt;=100000), " ",IF(INDEX($U$2:$AC$1001,MATCH(ROWS($N$2:N236),$N$2:$N$1001,0),MATCH(COLUMNS($U$1006:AC1006),$U$1006:$AC$1006,0)), HYPERLINK("#",""), HYPERLINK(CONCATENATE("#metadata!", ADDRESS(INDEX($P$2:$P$1001,MATCH(ROWS($N$2:N236),$N$2:$N$1001,0),0), INDEX($U$1004:$AC$1004,1,MATCH(COLUMNS($U$1006:AC1006),$U$1006:$AC$1006,0)))),"Fix")))</f>
        <v>0</v>
      </c>
      <c r="N236">
        <v>0</v>
      </c>
      <c r="O236">
        <v>0</v>
      </c>
      <c r="P236">
        <v>0</v>
      </c>
      <c r="Q236">
        <f>IF(R236,TRUE,AND(U236:AC236))</f>
        <v>0</v>
      </c>
      <c r="R236">
        <f>COUNTBLANK(metadata!B236:J236)=COLUMNS(metadata!B236:J236)</f>
        <v>0</v>
      </c>
      <c r="S236">
        <v>0</v>
      </c>
      <c r="U236">
        <f>AND(IF(metadata!B236="",FALSE,TRUE),COUNTIF(metadata!B:B, metadata!B236) = 1,NOT(ISERROR(SUMPRODUCT(SEARCH(MID(metadata!B236,ROW(INDIRECT("1:"&amp;LEN(metadata!B236))), 1),"0123456789abcdefghijklmnopqrstuvwxyzABCDEFGHIJKLMNOPQRSTUVWXYZ.")))))</f>
        <v>0</v>
      </c>
      <c r="V236">
        <f>AND(IF(metadata!C236="",FALSE,TRUE),exact(metadata!C236,"UBERON:genitourinary"))</f>
        <v>0</v>
      </c>
      <c r="W236">
        <f>AND(IF(metadata!D236="",FALSE,TRUE),exact(metadata!D236,"UBERON:urine"))</f>
        <v>0</v>
      </c>
      <c r="X236">
        <f>AND(IF(metadata!E236="",FALSE,TRUE),exact(metadata!E236,"UBERON:kidney"))</f>
        <v>0</v>
      </c>
      <c r="Y236">
        <f>AND(IF(metadata!F236="",FALSE,TRUE),exact(metadata!F236,"animal corpus"))</f>
        <v>0</v>
      </c>
      <c r="Z236">
        <f>AND(IF(metadata!G236="",FALSE,TRUE),exact(metadata!G236,"urine"))</f>
        <v>0</v>
      </c>
      <c r="AA236">
        <f>AND(IF(metadata!H236="",FALSE,TRUE),exact(metadata!H236,"urine"))</f>
        <v>0</v>
      </c>
      <c r="AB236">
        <f>AND(IF(metadata!I236="",FALSE,TRUE),exact(metadata!I236,"urine metagenome"))</f>
        <v>0</v>
      </c>
      <c r="AC236">
        <f>AND(IF(metadata!J236="",FALSE,TRUE),exact(metadata!J236,"1346744"))</f>
        <v>0</v>
      </c>
    </row>
    <row r="237" spans="1:29">
      <c r="A237" s="4">
        <f>IF(B237=" "," ",HYPERLINK(CONCATENATE("#metadata!",ADDRESS(INDEX($P$2:$P$1001,MATCH(ROWS($N$2:N237),$N$2:$N$1001,0),0),1)),INDEX($S$2:$S$1001,MATCH(ROWS($N$2:N237),$N$2:$N$1001,0),0)))</f>
        <v>0</v>
      </c>
      <c r="B237" s="3">
        <f>IF(OR(INDEX($O$2:$O$1001,MATCH(ROWS($N$2:N237),$N$2:$N$1001,0),1)&gt;=100000,INDEX($U$1005:$AC$1005,1,MATCH(COLUMNS($U$1006:U1006),$U$1006:$AC$1006,0))&gt;=100000), " ",IF(INDEX($U$2:$AC$1001,MATCH(ROWS($N$2:N237),$N$2:$N$1001,0),MATCH(COLUMNS($U$1006:U1006),$U$1006:$AC$1006,0)), HYPERLINK("#",""), HYPERLINK(CONCATENATE("#metadata!", ADDRESS(INDEX($P$2:$P$1001,MATCH(ROWS($N$2:N237),$N$2:$N$1001,0),0), INDEX($U$1004:$AC$1004,1,MATCH(COLUMNS($U$1006:U1006),$U$1006:$AC$1006,0)))),"Fix")))</f>
        <v>0</v>
      </c>
      <c r="C237" s="3">
        <f>IF(OR(INDEX($O$2:$O$1001,MATCH(ROWS($N$2:N237),$N$2:$N$1001,0),1)&gt;=100000,INDEX($U$1005:$AC$1005,1,MATCH(COLUMNS($U$1006:V1006),$U$1006:$AC$1006,0))&gt;=100000), " ",IF(INDEX($U$2:$AC$1001,MATCH(ROWS($N$2:N237),$N$2:$N$1001,0),MATCH(COLUMNS($U$1006:V1006),$U$1006:$AC$1006,0)), HYPERLINK("#",""), HYPERLINK(CONCATENATE("#metadata!", ADDRESS(INDEX($P$2:$P$1001,MATCH(ROWS($N$2:N237),$N$2:$N$1001,0),0), INDEX($U$1004:$AC$1004,1,MATCH(COLUMNS($U$1006:V1006),$U$1006:$AC$1006,0)))),"Fix")))</f>
        <v>0</v>
      </c>
      <c r="D237" s="3">
        <f>IF(OR(INDEX($O$2:$O$1001,MATCH(ROWS($N$2:N237),$N$2:$N$1001,0),1)&gt;=100000,INDEX($U$1005:$AC$1005,1,MATCH(COLUMNS($U$1006:W1006),$U$1006:$AC$1006,0))&gt;=100000), " ",IF(INDEX($U$2:$AC$1001,MATCH(ROWS($N$2:N237),$N$2:$N$1001,0),MATCH(COLUMNS($U$1006:W1006),$U$1006:$AC$1006,0)), HYPERLINK("#",""), HYPERLINK(CONCATENATE("#metadata!", ADDRESS(INDEX($P$2:$P$1001,MATCH(ROWS($N$2:N237),$N$2:$N$1001,0),0), INDEX($U$1004:$AC$1004,1,MATCH(COLUMNS($U$1006:W1006),$U$1006:$AC$1006,0)))),"Fix")))</f>
        <v>0</v>
      </c>
      <c r="E237" s="3">
        <f>IF(OR(INDEX($O$2:$O$1001,MATCH(ROWS($N$2:N237),$N$2:$N$1001,0),1)&gt;=100000,INDEX($U$1005:$AC$1005,1,MATCH(COLUMNS($U$1006:X1006),$U$1006:$AC$1006,0))&gt;=100000), " ",IF(INDEX($U$2:$AC$1001,MATCH(ROWS($N$2:N237),$N$2:$N$1001,0),MATCH(COLUMNS($U$1006:X1006),$U$1006:$AC$1006,0)), HYPERLINK("#",""), HYPERLINK(CONCATENATE("#metadata!", ADDRESS(INDEX($P$2:$P$1001,MATCH(ROWS($N$2:N237),$N$2:$N$1001,0),0), INDEX($U$1004:$AC$1004,1,MATCH(COLUMNS($U$1006:X1006),$U$1006:$AC$1006,0)))),"Fix")))</f>
        <v>0</v>
      </c>
      <c r="F237" s="3">
        <f>IF(OR(INDEX($O$2:$O$1001,MATCH(ROWS($N$2:N237),$N$2:$N$1001,0),1)&gt;=100000,INDEX($U$1005:$AC$1005,1,MATCH(COLUMNS($U$1006:Y1006),$U$1006:$AC$1006,0))&gt;=100000), " ",IF(INDEX($U$2:$AC$1001,MATCH(ROWS($N$2:N237),$N$2:$N$1001,0),MATCH(COLUMNS($U$1006:Y1006),$U$1006:$AC$1006,0)), HYPERLINK("#",""), HYPERLINK(CONCATENATE("#metadata!", ADDRESS(INDEX($P$2:$P$1001,MATCH(ROWS($N$2:N237),$N$2:$N$1001,0),0), INDEX($U$1004:$AC$1004,1,MATCH(COLUMNS($U$1006:Y1006),$U$1006:$AC$1006,0)))),"Fix")))</f>
        <v>0</v>
      </c>
      <c r="G237" s="3">
        <f>IF(OR(INDEX($O$2:$O$1001,MATCH(ROWS($N$2:N237),$N$2:$N$1001,0),1)&gt;=100000,INDEX($U$1005:$AC$1005,1,MATCH(COLUMNS($U$1006:Z1006),$U$1006:$AC$1006,0))&gt;=100000), " ",IF(INDEX($U$2:$AC$1001,MATCH(ROWS($N$2:N237),$N$2:$N$1001,0),MATCH(COLUMNS($U$1006:Z1006),$U$1006:$AC$1006,0)), HYPERLINK("#",""), HYPERLINK(CONCATENATE("#metadata!", ADDRESS(INDEX($P$2:$P$1001,MATCH(ROWS($N$2:N237),$N$2:$N$1001,0),0), INDEX($U$1004:$AC$1004,1,MATCH(COLUMNS($U$1006:Z1006),$U$1006:$AC$1006,0)))),"Fix")))</f>
        <v>0</v>
      </c>
      <c r="H237" s="3">
        <f>IF(OR(INDEX($O$2:$O$1001,MATCH(ROWS($N$2:N237),$N$2:$N$1001,0),1)&gt;=100000,INDEX($U$1005:$AC$1005,1,MATCH(COLUMNS($U$1006:AA1006),$U$1006:$AC$1006,0))&gt;=100000), " ",IF(INDEX($U$2:$AC$1001,MATCH(ROWS($N$2:N237),$N$2:$N$1001,0),MATCH(COLUMNS($U$1006:AA1006),$U$1006:$AC$1006,0)), HYPERLINK("#",""), HYPERLINK(CONCATENATE("#metadata!", ADDRESS(INDEX($P$2:$P$1001,MATCH(ROWS($N$2:N237),$N$2:$N$1001,0),0), INDEX($U$1004:$AC$1004,1,MATCH(COLUMNS($U$1006:AA1006),$U$1006:$AC$1006,0)))),"Fix")))</f>
        <v>0</v>
      </c>
      <c r="I237" s="3">
        <f>IF(OR(INDEX($O$2:$O$1001,MATCH(ROWS($N$2:N237),$N$2:$N$1001,0),1)&gt;=100000,INDEX($U$1005:$AC$1005,1,MATCH(COLUMNS($U$1006:AB1006),$U$1006:$AC$1006,0))&gt;=100000), " ",IF(INDEX($U$2:$AC$1001,MATCH(ROWS($N$2:N237),$N$2:$N$1001,0),MATCH(COLUMNS($U$1006:AB1006),$U$1006:$AC$1006,0)), HYPERLINK("#",""), HYPERLINK(CONCATENATE("#metadata!", ADDRESS(INDEX($P$2:$P$1001,MATCH(ROWS($N$2:N237),$N$2:$N$1001,0),0), INDEX($U$1004:$AC$1004,1,MATCH(COLUMNS($U$1006:AB1006),$U$1006:$AC$1006,0)))),"Fix")))</f>
        <v>0</v>
      </c>
      <c r="J237" s="3">
        <f>IF(OR(INDEX($O$2:$O$1001,MATCH(ROWS($N$2:N237),$N$2:$N$1001,0),1)&gt;=100000,INDEX($U$1005:$AC$1005,1,MATCH(COLUMNS($U$1006:AC1006),$U$1006:$AC$1006,0))&gt;=100000), " ",IF(INDEX($U$2:$AC$1001,MATCH(ROWS($N$2:N237),$N$2:$N$1001,0),MATCH(COLUMNS($U$1006:AC1006),$U$1006:$AC$1006,0)), HYPERLINK("#",""), HYPERLINK(CONCATENATE("#metadata!", ADDRESS(INDEX($P$2:$P$1001,MATCH(ROWS($N$2:N237),$N$2:$N$1001,0),0), INDEX($U$1004:$AC$1004,1,MATCH(COLUMNS($U$1006:AC1006),$U$1006:$AC$1006,0)))),"Fix")))</f>
        <v>0</v>
      </c>
      <c r="N237">
        <v>0</v>
      </c>
      <c r="O237">
        <v>0</v>
      </c>
      <c r="P237">
        <v>0</v>
      </c>
      <c r="Q237">
        <f>IF(R237,TRUE,AND(U237:AC237))</f>
        <v>0</v>
      </c>
      <c r="R237">
        <f>COUNTBLANK(metadata!B237:J237)=COLUMNS(metadata!B237:J237)</f>
        <v>0</v>
      </c>
      <c r="S237">
        <v>0</v>
      </c>
      <c r="U237">
        <f>AND(IF(metadata!B237="",FALSE,TRUE),COUNTIF(metadata!B:B, metadata!B237) = 1,NOT(ISERROR(SUMPRODUCT(SEARCH(MID(metadata!B237,ROW(INDIRECT("1:"&amp;LEN(metadata!B237))), 1),"0123456789abcdefghijklmnopqrstuvwxyzABCDEFGHIJKLMNOPQRSTUVWXYZ.")))))</f>
        <v>0</v>
      </c>
      <c r="V237">
        <f>AND(IF(metadata!C237="",FALSE,TRUE),exact(metadata!C237,"UBERON:genitourinary"))</f>
        <v>0</v>
      </c>
      <c r="W237">
        <f>AND(IF(metadata!D237="",FALSE,TRUE),exact(metadata!D237,"UBERON:urine"))</f>
        <v>0</v>
      </c>
      <c r="X237">
        <f>AND(IF(metadata!E237="",FALSE,TRUE),exact(metadata!E237,"UBERON:kidney"))</f>
        <v>0</v>
      </c>
      <c r="Y237">
        <f>AND(IF(metadata!F237="",FALSE,TRUE),exact(metadata!F237,"animal corpus"))</f>
        <v>0</v>
      </c>
      <c r="Z237">
        <f>AND(IF(metadata!G237="",FALSE,TRUE),exact(metadata!G237,"urine"))</f>
        <v>0</v>
      </c>
      <c r="AA237">
        <f>AND(IF(metadata!H237="",FALSE,TRUE),exact(metadata!H237,"urine"))</f>
        <v>0</v>
      </c>
      <c r="AB237">
        <f>AND(IF(metadata!I237="",FALSE,TRUE),exact(metadata!I237,"urine metagenome"))</f>
        <v>0</v>
      </c>
      <c r="AC237">
        <f>AND(IF(metadata!J237="",FALSE,TRUE),exact(metadata!J237,"1346744"))</f>
        <v>0</v>
      </c>
    </row>
    <row r="238" spans="1:29">
      <c r="A238" s="4">
        <f>IF(B238=" "," ",HYPERLINK(CONCATENATE("#metadata!",ADDRESS(INDEX($P$2:$P$1001,MATCH(ROWS($N$2:N238),$N$2:$N$1001,0),0),1)),INDEX($S$2:$S$1001,MATCH(ROWS($N$2:N238),$N$2:$N$1001,0),0)))</f>
        <v>0</v>
      </c>
      <c r="B238" s="3">
        <f>IF(OR(INDEX($O$2:$O$1001,MATCH(ROWS($N$2:N238),$N$2:$N$1001,0),1)&gt;=100000,INDEX($U$1005:$AC$1005,1,MATCH(COLUMNS($U$1006:U1006),$U$1006:$AC$1006,0))&gt;=100000), " ",IF(INDEX($U$2:$AC$1001,MATCH(ROWS($N$2:N238),$N$2:$N$1001,0),MATCH(COLUMNS($U$1006:U1006),$U$1006:$AC$1006,0)), HYPERLINK("#",""), HYPERLINK(CONCATENATE("#metadata!", ADDRESS(INDEX($P$2:$P$1001,MATCH(ROWS($N$2:N238),$N$2:$N$1001,0),0), INDEX($U$1004:$AC$1004,1,MATCH(COLUMNS($U$1006:U1006),$U$1006:$AC$1006,0)))),"Fix")))</f>
        <v>0</v>
      </c>
      <c r="C238" s="3">
        <f>IF(OR(INDEX($O$2:$O$1001,MATCH(ROWS($N$2:N238),$N$2:$N$1001,0),1)&gt;=100000,INDEX($U$1005:$AC$1005,1,MATCH(COLUMNS($U$1006:V1006),$U$1006:$AC$1006,0))&gt;=100000), " ",IF(INDEX($U$2:$AC$1001,MATCH(ROWS($N$2:N238),$N$2:$N$1001,0),MATCH(COLUMNS($U$1006:V1006),$U$1006:$AC$1006,0)), HYPERLINK("#",""), HYPERLINK(CONCATENATE("#metadata!", ADDRESS(INDEX($P$2:$P$1001,MATCH(ROWS($N$2:N238),$N$2:$N$1001,0),0), INDEX($U$1004:$AC$1004,1,MATCH(COLUMNS($U$1006:V1006),$U$1006:$AC$1006,0)))),"Fix")))</f>
        <v>0</v>
      </c>
      <c r="D238" s="3">
        <f>IF(OR(INDEX($O$2:$O$1001,MATCH(ROWS($N$2:N238),$N$2:$N$1001,0),1)&gt;=100000,INDEX($U$1005:$AC$1005,1,MATCH(COLUMNS($U$1006:W1006),$U$1006:$AC$1006,0))&gt;=100000), " ",IF(INDEX($U$2:$AC$1001,MATCH(ROWS($N$2:N238),$N$2:$N$1001,0),MATCH(COLUMNS($U$1006:W1006),$U$1006:$AC$1006,0)), HYPERLINK("#",""), HYPERLINK(CONCATENATE("#metadata!", ADDRESS(INDEX($P$2:$P$1001,MATCH(ROWS($N$2:N238),$N$2:$N$1001,0),0), INDEX($U$1004:$AC$1004,1,MATCH(COLUMNS($U$1006:W1006),$U$1006:$AC$1006,0)))),"Fix")))</f>
        <v>0</v>
      </c>
      <c r="E238" s="3">
        <f>IF(OR(INDEX($O$2:$O$1001,MATCH(ROWS($N$2:N238),$N$2:$N$1001,0),1)&gt;=100000,INDEX($U$1005:$AC$1005,1,MATCH(COLUMNS($U$1006:X1006),$U$1006:$AC$1006,0))&gt;=100000), " ",IF(INDEX($U$2:$AC$1001,MATCH(ROWS($N$2:N238),$N$2:$N$1001,0),MATCH(COLUMNS($U$1006:X1006),$U$1006:$AC$1006,0)), HYPERLINK("#",""), HYPERLINK(CONCATENATE("#metadata!", ADDRESS(INDEX($P$2:$P$1001,MATCH(ROWS($N$2:N238),$N$2:$N$1001,0),0), INDEX($U$1004:$AC$1004,1,MATCH(COLUMNS($U$1006:X1006),$U$1006:$AC$1006,0)))),"Fix")))</f>
        <v>0</v>
      </c>
      <c r="F238" s="3">
        <f>IF(OR(INDEX($O$2:$O$1001,MATCH(ROWS($N$2:N238),$N$2:$N$1001,0),1)&gt;=100000,INDEX($U$1005:$AC$1005,1,MATCH(COLUMNS($U$1006:Y1006),$U$1006:$AC$1006,0))&gt;=100000), " ",IF(INDEX($U$2:$AC$1001,MATCH(ROWS($N$2:N238),$N$2:$N$1001,0),MATCH(COLUMNS($U$1006:Y1006),$U$1006:$AC$1006,0)), HYPERLINK("#",""), HYPERLINK(CONCATENATE("#metadata!", ADDRESS(INDEX($P$2:$P$1001,MATCH(ROWS($N$2:N238),$N$2:$N$1001,0),0), INDEX($U$1004:$AC$1004,1,MATCH(COLUMNS($U$1006:Y1006),$U$1006:$AC$1006,0)))),"Fix")))</f>
        <v>0</v>
      </c>
      <c r="G238" s="3">
        <f>IF(OR(INDEX($O$2:$O$1001,MATCH(ROWS($N$2:N238),$N$2:$N$1001,0),1)&gt;=100000,INDEX($U$1005:$AC$1005,1,MATCH(COLUMNS($U$1006:Z1006),$U$1006:$AC$1006,0))&gt;=100000), " ",IF(INDEX($U$2:$AC$1001,MATCH(ROWS($N$2:N238),$N$2:$N$1001,0),MATCH(COLUMNS($U$1006:Z1006),$U$1006:$AC$1006,0)), HYPERLINK("#",""), HYPERLINK(CONCATENATE("#metadata!", ADDRESS(INDEX($P$2:$P$1001,MATCH(ROWS($N$2:N238),$N$2:$N$1001,0),0), INDEX($U$1004:$AC$1004,1,MATCH(COLUMNS($U$1006:Z1006),$U$1006:$AC$1006,0)))),"Fix")))</f>
        <v>0</v>
      </c>
      <c r="H238" s="3">
        <f>IF(OR(INDEX($O$2:$O$1001,MATCH(ROWS($N$2:N238),$N$2:$N$1001,0),1)&gt;=100000,INDEX($U$1005:$AC$1005,1,MATCH(COLUMNS($U$1006:AA1006),$U$1006:$AC$1006,0))&gt;=100000), " ",IF(INDEX($U$2:$AC$1001,MATCH(ROWS($N$2:N238),$N$2:$N$1001,0),MATCH(COLUMNS($U$1006:AA1006),$U$1006:$AC$1006,0)), HYPERLINK("#",""), HYPERLINK(CONCATENATE("#metadata!", ADDRESS(INDEX($P$2:$P$1001,MATCH(ROWS($N$2:N238),$N$2:$N$1001,0),0), INDEX($U$1004:$AC$1004,1,MATCH(COLUMNS($U$1006:AA1006),$U$1006:$AC$1006,0)))),"Fix")))</f>
        <v>0</v>
      </c>
      <c r="I238" s="3">
        <f>IF(OR(INDEX($O$2:$O$1001,MATCH(ROWS($N$2:N238),$N$2:$N$1001,0),1)&gt;=100000,INDEX($U$1005:$AC$1005,1,MATCH(COLUMNS($U$1006:AB1006),$U$1006:$AC$1006,0))&gt;=100000), " ",IF(INDEX($U$2:$AC$1001,MATCH(ROWS($N$2:N238),$N$2:$N$1001,0),MATCH(COLUMNS($U$1006:AB1006),$U$1006:$AC$1006,0)), HYPERLINK("#",""), HYPERLINK(CONCATENATE("#metadata!", ADDRESS(INDEX($P$2:$P$1001,MATCH(ROWS($N$2:N238),$N$2:$N$1001,0),0), INDEX($U$1004:$AC$1004,1,MATCH(COLUMNS($U$1006:AB1006),$U$1006:$AC$1006,0)))),"Fix")))</f>
        <v>0</v>
      </c>
      <c r="J238" s="3">
        <f>IF(OR(INDEX($O$2:$O$1001,MATCH(ROWS($N$2:N238),$N$2:$N$1001,0),1)&gt;=100000,INDEX($U$1005:$AC$1005,1,MATCH(COLUMNS($U$1006:AC1006),$U$1006:$AC$1006,0))&gt;=100000), " ",IF(INDEX($U$2:$AC$1001,MATCH(ROWS($N$2:N238),$N$2:$N$1001,0),MATCH(COLUMNS($U$1006:AC1006),$U$1006:$AC$1006,0)), HYPERLINK("#",""), HYPERLINK(CONCATENATE("#metadata!", ADDRESS(INDEX($P$2:$P$1001,MATCH(ROWS($N$2:N238),$N$2:$N$1001,0),0), INDEX($U$1004:$AC$1004,1,MATCH(COLUMNS($U$1006:AC1006),$U$1006:$AC$1006,0)))),"Fix")))</f>
        <v>0</v>
      </c>
      <c r="N238">
        <v>0</v>
      </c>
      <c r="O238">
        <v>0</v>
      </c>
      <c r="P238">
        <v>0</v>
      </c>
      <c r="Q238">
        <f>IF(R238,TRUE,AND(U238:AC238))</f>
        <v>0</v>
      </c>
      <c r="R238">
        <f>COUNTBLANK(metadata!B238:J238)=COLUMNS(metadata!B238:J238)</f>
        <v>0</v>
      </c>
      <c r="S238">
        <v>0</v>
      </c>
      <c r="U238">
        <f>AND(IF(metadata!B238="",FALSE,TRUE),COUNTIF(metadata!B:B, metadata!B238) = 1,NOT(ISERROR(SUMPRODUCT(SEARCH(MID(metadata!B238,ROW(INDIRECT("1:"&amp;LEN(metadata!B238))), 1),"0123456789abcdefghijklmnopqrstuvwxyzABCDEFGHIJKLMNOPQRSTUVWXYZ.")))))</f>
        <v>0</v>
      </c>
      <c r="V238">
        <f>AND(IF(metadata!C238="",FALSE,TRUE),exact(metadata!C238,"UBERON:genitourinary"))</f>
        <v>0</v>
      </c>
      <c r="W238">
        <f>AND(IF(metadata!D238="",FALSE,TRUE),exact(metadata!D238,"UBERON:urine"))</f>
        <v>0</v>
      </c>
      <c r="X238">
        <f>AND(IF(metadata!E238="",FALSE,TRUE),exact(metadata!E238,"UBERON:kidney"))</f>
        <v>0</v>
      </c>
      <c r="Y238">
        <f>AND(IF(metadata!F238="",FALSE,TRUE),exact(metadata!F238,"animal corpus"))</f>
        <v>0</v>
      </c>
      <c r="Z238">
        <f>AND(IF(metadata!G238="",FALSE,TRUE),exact(metadata!G238,"urine"))</f>
        <v>0</v>
      </c>
      <c r="AA238">
        <f>AND(IF(metadata!H238="",FALSE,TRUE),exact(metadata!H238,"urine"))</f>
        <v>0</v>
      </c>
      <c r="AB238">
        <f>AND(IF(metadata!I238="",FALSE,TRUE),exact(metadata!I238,"urine metagenome"))</f>
        <v>0</v>
      </c>
      <c r="AC238">
        <f>AND(IF(metadata!J238="",FALSE,TRUE),exact(metadata!J238,"1346744"))</f>
        <v>0</v>
      </c>
    </row>
    <row r="239" spans="1:29">
      <c r="A239" s="4">
        <f>IF(B239=" "," ",HYPERLINK(CONCATENATE("#metadata!",ADDRESS(INDEX($P$2:$P$1001,MATCH(ROWS($N$2:N239),$N$2:$N$1001,0),0),1)),INDEX($S$2:$S$1001,MATCH(ROWS($N$2:N239),$N$2:$N$1001,0),0)))</f>
        <v>0</v>
      </c>
      <c r="B239" s="3">
        <f>IF(OR(INDEX($O$2:$O$1001,MATCH(ROWS($N$2:N239),$N$2:$N$1001,0),1)&gt;=100000,INDEX($U$1005:$AC$1005,1,MATCH(COLUMNS($U$1006:U1006),$U$1006:$AC$1006,0))&gt;=100000), " ",IF(INDEX($U$2:$AC$1001,MATCH(ROWS($N$2:N239),$N$2:$N$1001,0),MATCH(COLUMNS($U$1006:U1006),$U$1006:$AC$1006,0)), HYPERLINK("#",""), HYPERLINK(CONCATENATE("#metadata!", ADDRESS(INDEX($P$2:$P$1001,MATCH(ROWS($N$2:N239),$N$2:$N$1001,0),0), INDEX($U$1004:$AC$1004,1,MATCH(COLUMNS($U$1006:U1006),$U$1006:$AC$1006,0)))),"Fix")))</f>
        <v>0</v>
      </c>
      <c r="C239" s="3">
        <f>IF(OR(INDEX($O$2:$O$1001,MATCH(ROWS($N$2:N239),$N$2:$N$1001,0),1)&gt;=100000,INDEX($U$1005:$AC$1005,1,MATCH(COLUMNS($U$1006:V1006),$U$1006:$AC$1006,0))&gt;=100000), " ",IF(INDEX($U$2:$AC$1001,MATCH(ROWS($N$2:N239),$N$2:$N$1001,0),MATCH(COLUMNS($U$1006:V1006),$U$1006:$AC$1006,0)), HYPERLINK("#",""), HYPERLINK(CONCATENATE("#metadata!", ADDRESS(INDEX($P$2:$P$1001,MATCH(ROWS($N$2:N239),$N$2:$N$1001,0),0), INDEX($U$1004:$AC$1004,1,MATCH(COLUMNS($U$1006:V1006),$U$1006:$AC$1006,0)))),"Fix")))</f>
        <v>0</v>
      </c>
      <c r="D239" s="3">
        <f>IF(OR(INDEX($O$2:$O$1001,MATCH(ROWS($N$2:N239),$N$2:$N$1001,0),1)&gt;=100000,INDEX($U$1005:$AC$1005,1,MATCH(COLUMNS($U$1006:W1006),$U$1006:$AC$1006,0))&gt;=100000), " ",IF(INDEX($U$2:$AC$1001,MATCH(ROWS($N$2:N239),$N$2:$N$1001,0),MATCH(COLUMNS($U$1006:W1006),$U$1006:$AC$1006,0)), HYPERLINK("#",""), HYPERLINK(CONCATENATE("#metadata!", ADDRESS(INDEX($P$2:$P$1001,MATCH(ROWS($N$2:N239),$N$2:$N$1001,0),0), INDEX($U$1004:$AC$1004,1,MATCH(COLUMNS($U$1006:W1006),$U$1006:$AC$1006,0)))),"Fix")))</f>
        <v>0</v>
      </c>
      <c r="E239" s="3">
        <f>IF(OR(INDEX($O$2:$O$1001,MATCH(ROWS($N$2:N239),$N$2:$N$1001,0),1)&gt;=100000,INDEX($U$1005:$AC$1005,1,MATCH(COLUMNS($U$1006:X1006),$U$1006:$AC$1006,0))&gt;=100000), " ",IF(INDEX($U$2:$AC$1001,MATCH(ROWS($N$2:N239),$N$2:$N$1001,0),MATCH(COLUMNS($U$1006:X1006),$U$1006:$AC$1006,0)), HYPERLINK("#",""), HYPERLINK(CONCATENATE("#metadata!", ADDRESS(INDEX($P$2:$P$1001,MATCH(ROWS($N$2:N239),$N$2:$N$1001,0),0), INDEX($U$1004:$AC$1004,1,MATCH(COLUMNS($U$1006:X1006),$U$1006:$AC$1006,0)))),"Fix")))</f>
        <v>0</v>
      </c>
      <c r="F239" s="3">
        <f>IF(OR(INDEX($O$2:$O$1001,MATCH(ROWS($N$2:N239),$N$2:$N$1001,0),1)&gt;=100000,INDEX($U$1005:$AC$1005,1,MATCH(COLUMNS($U$1006:Y1006),$U$1006:$AC$1006,0))&gt;=100000), " ",IF(INDEX($U$2:$AC$1001,MATCH(ROWS($N$2:N239),$N$2:$N$1001,0),MATCH(COLUMNS($U$1006:Y1006),$U$1006:$AC$1006,0)), HYPERLINK("#",""), HYPERLINK(CONCATENATE("#metadata!", ADDRESS(INDEX($P$2:$P$1001,MATCH(ROWS($N$2:N239),$N$2:$N$1001,0),0), INDEX($U$1004:$AC$1004,1,MATCH(COLUMNS($U$1006:Y1006),$U$1006:$AC$1006,0)))),"Fix")))</f>
        <v>0</v>
      </c>
      <c r="G239" s="3">
        <f>IF(OR(INDEX($O$2:$O$1001,MATCH(ROWS($N$2:N239),$N$2:$N$1001,0),1)&gt;=100000,INDEX($U$1005:$AC$1005,1,MATCH(COLUMNS($U$1006:Z1006),$U$1006:$AC$1006,0))&gt;=100000), " ",IF(INDEX($U$2:$AC$1001,MATCH(ROWS($N$2:N239),$N$2:$N$1001,0),MATCH(COLUMNS($U$1006:Z1006),$U$1006:$AC$1006,0)), HYPERLINK("#",""), HYPERLINK(CONCATENATE("#metadata!", ADDRESS(INDEX($P$2:$P$1001,MATCH(ROWS($N$2:N239),$N$2:$N$1001,0),0), INDEX($U$1004:$AC$1004,1,MATCH(COLUMNS($U$1006:Z1006),$U$1006:$AC$1006,0)))),"Fix")))</f>
        <v>0</v>
      </c>
      <c r="H239" s="3">
        <f>IF(OR(INDEX($O$2:$O$1001,MATCH(ROWS($N$2:N239),$N$2:$N$1001,0),1)&gt;=100000,INDEX($U$1005:$AC$1005,1,MATCH(COLUMNS($U$1006:AA1006),$U$1006:$AC$1006,0))&gt;=100000), " ",IF(INDEX($U$2:$AC$1001,MATCH(ROWS($N$2:N239),$N$2:$N$1001,0),MATCH(COLUMNS($U$1006:AA1006),$U$1006:$AC$1006,0)), HYPERLINK("#",""), HYPERLINK(CONCATENATE("#metadata!", ADDRESS(INDEX($P$2:$P$1001,MATCH(ROWS($N$2:N239),$N$2:$N$1001,0),0), INDEX($U$1004:$AC$1004,1,MATCH(COLUMNS($U$1006:AA1006),$U$1006:$AC$1006,0)))),"Fix")))</f>
        <v>0</v>
      </c>
      <c r="I239" s="3">
        <f>IF(OR(INDEX($O$2:$O$1001,MATCH(ROWS($N$2:N239),$N$2:$N$1001,0),1)&gt;=100000,INDEX($U$1005:$AC$1005,1,MATCH(COLUMNS($U$1006:AB1006),$U$1006:$AC$1006,0))&gt;=100000), " ",IF(INDEX($U$2:$AC$1001,MATCH(ROWS($N$2:N239),$N$2:$N$1001,0),MATCH(COLUMNS($U$1006:AB1006),$U$1006:$AC$1006,0)), HYPERLINK("#",""), HYPERLINK(CONCATENATE("#metadata!", ADDRESS(INDEX($P$2:$P$1001,MATCH(ROWS($N$2:N239),$N$2:$N$1001,0),0), INDEX($U$1004:$AC$1004,1,MATCH(COLUMNS($U$1006:AB1006),$U$1006:$AC$1006,0)))),"Fix")))</f>
        <v>0</v>
      </c>
      <c r="J239" s="3">
        <f>IF(OR(INDEX($O$2:$O$1001,MATCH(ROWS($N$2:N239),$N$2:$N$1001,0),1)&gt;=100000,INDEX($U$1005:$AC$1005,1,MATCH(COLUMNS($U$1006:AC1006),$U$1006:$AC$1006,0))&gt;=100000), " ",IF(INDEX($U$2:$AC$1001,MATCH(ROWS($N$2:N239),$N$2:$N$1001,0),MATCH(COLUMNS($U$1006:AC1006),$U$1006:$AC$1006,0)), HYPERLINK("#",""), HYPERLINK(CONCATENATE("#metadata!", ADDRESS(INDEX($P$2:$P$1001,MATCH(ROWS($N$2:N239),$N$2:$N$1001,0),0), INDEX($U$1004:$AC$1004,1,MATCH(COLUMNS($U$1006:AC1006),$U$1006:$AC$1006,0)))),"Fix")))</f>
        <v>0</v>
      </c>
      <c r="N239">
        <v>0</v>
      </c>
      <c r="O239">
        <v>0</v>
      </c>
      <c r="P239">
        <v>0</v>
      </c>
      <c r="Q239">
        <f>IF(R239,TRUE,AND(U239:AC239))</f>
        <v>0</v>
      </c>
      <c r="R239">
        <f>COUNTBLANK(metadata!B239:J239)=COLUMNS(metadata!B239:J239)</f>
        <v>0</v>
      </c>
      <c r="S239">
        <v>0</v>
      </c>
      <c r="U239">
        <f>AND(IF(metadata!B239="",FALSE,TRUE),COUNTIF(metadata!B:B, metadata!B239) = 1,NOT(ISERROR(SUMPRODUCT(SEARCH(MID(metadata!B239,ROW(INDIRECT("1:"&amp;LEN(metadata!B239))), 1),"0123456789abcdefghijklmnopqrstuvwxyzABCDEFGHIJKLMNOPQRSTUVWXYZ.")))))</f>
        <v>0</v>
      </c>
      <c r="V239">
        <f>AND(IF(metadata!C239="",FALSE,TRUE),exact(metadata!C239,"UBERON:genitourinary"))</f>
        <v>0</v>
      </c>
      <c r="W239">
        <f>AND(IF(metadata!D239="",FALSE,TRUE),exact(metadata!D239,"UBERON:urine"))</f>
        <v>0</v>
      </c>
      <c r="X239">
        <f>AND(IF(metadata!E239="",FALSE,TRUE),exact(metadata!E239,"UBERON:kidney"))</f>
        <v>0</v>
      </c>
      <c r="Y239">
        <f>AND(IF(metadata!F239="",FALSE,TRUE),exact(metadata!F239,"animal corpus"))</f>
        <v>0</v>
      </c>
      <c r="Z239">
        <f>AND(IF(metadata!G239="",FALSE,TRUE),exact(metadata!G239,"urine"))</f>
        <v>0</v>
      </c>
      <c r="AA239">
        <f>AND(IF(metadata!H239="",FALSE,TRUE),exact(metadata!H239,"urine"))</f>
        <v>0</v>
      </c>
      <c r="AB239">
        <f>AND(IF(metadata!I239="",FALSE,TRUE),exact(metadata!I239,"urine metagenome"))</f>
        <v>0</v>
      </c>
      <c r="AC239">
        <f>AND(IF(metadata!J239="",FALSE,TRUE),exact(metadata!J239,"1346744"))</f>
        <v>0</v>
      </c>
    </row>
    <row r="240" spans="1:29">
      <c r="A240" s="4">
        <f>IF(B240=" "," ",HYPERLINK(CONCATENATE("#metadata!",ADDRESS(INDEX($P$2:$P$1001,MATCH(ROWS($N$2:N240),$N$2:$N$1001,0),0),1)),INDEX($S$2:$S$1001,MATCH(ROWS($N$2:N240),$N$2:$N$1001,0),0)))</f>
        <v>0</v>
      </c>
      <c r="B240" s="3">
        <f>IF(OR(INDEX($O$2:$O$1001,MATCH(ROWS($N$2:N240),$N$2:$N$1001,0),1)&gt;=100000,INDEX($U$1005:$AC$1005,1,MATCH(COLUMNS($U$1006:U1006),$U$1006:$AC$1006,0))&gt;=100000), " ",IF(INDEX($U$2:$AC$1001,MATCH(ROWS($N$2:N240),$N$2:$N$1001,0),MATCH(COLUMNS($U$1006:U1006),$U$1006:$AC$1006,0)), HYPERLINK("#",""), HYPERLINK(CONCATENATE("#metadata!", ADDRESS(INDEX($P$2:$P$1001,MATCH(ROWS($N$2:N240),$N$2:$N$1001,0),0), INDEX($U$1004:$AC$1004,1,MATCH(COLUMNS($U$1006:U1006),$U$1006:$AC$1006,0)))),"Fix")))</f>
        <v>0</v>
      </c>
      <c r="C240" s="3">
        <f>IF(OR(INDEX($O$2:$O$1001,MATCH(ROWS($N$2:N240),$N$2:$N$1001,0),1)&gt;=100000,INDEX($U$1005:$AC$1005,1,MATCH(COLUMNS($U$1006:V1006),$U$1006:$AC$1006,0))&gt;=100000), " ",IF(INDEX($U$2:$AC$1001,MATCH(ROWS($N$2:N240),$N$2:$N$1001,0),MATCH(COLUMNS($U$1006:V1006),$U$1006:$AC$1006,0)), HYPERLINK("#",""), HYPERLINK(CONCATENATE("#metadata!", ADDRESS(INDEX($P$2:$P$1001,MATCH(ROWS($N$2:N240),$N$2:$N$1001,0),0), INDEX($U$1004:$AC$1004,1,MATCH(COLUMNS($U$1006:V1006),$U$1006:$AC$1006,0)))),"Fix")))</f>
        <v>0</v>
      </c>
      <c r="D240" s="3">
        <f>IF(OR(INDEX($O$2:$O$1001,MATCH(ROWS($N$2:N240),$N$2:$N$1001,0),1)&gt;=100000,INDEX($U$1005:$AC$1005,1,MATCH(COLUMNS($U$1006:W1006),$U$1006:$AC$1006,0))&gt;=100000), " ",IF(INDEX($U$2:$AC$1001,MATCH(ROWS($N$2:N240),$N$2:$N$1001,0),MATCH(COLUMNS($U$1006:W1006),$U$1006:$AC$1006,0)), HYPERLINK("#",""), HYPERLINK(CONCATENATE("#metadata!", ADDRESS(INDEX($P$2:$P$1001,MATCH(ROWS($N$2:N240),$N$2:$N$1001,0),0), INDEX($U$1004:$AC$1004,1,MATCH(COLUMNS($U$1006:W1006),$U$1006:$AC$1006,0)))),"Fix")))</f>
        <v>0</v>
      </c>
      <c r="E240" s="3">
        <f>IF(OR(INDEX($O$2:$O$1001,MATCH(ROWS($N$2:N240),$N$2:$N$1001,0),1)&gt;=100000,INDEX($U$1005:$AC$1005,1,MATCH(COLUMNS($U$1006:X1006),$U$1006:$AC$1006,0))&gt;=100000), " ",IF(INDEX($U$2:$AC$1001,MATCH(ROWS($N$2:N240),$N$2:$N$1001,0),MATCH(COLUMNS($U$1006:X1006),$U$1006:$AC$1006,0)), HYPERLINK("#",""), HYPERLINK(CONCATENATE("#metadata!", ADDRESS(INDEX($P$2:$P$1001,MATCH(ROWS($N$2:N240),$N$2:$N$1001,0),0), INDEX($U$1004:$AC$1004,1,MATCH(COLUMNS($U$1006:X1006),$U$1006:$AC$1006,0)))),"Fix")))</f>
        <v>0</v>
      </c>
      <c r="F240" s="3">
        <f>IF(OR(INDEX($O$2:$O$1001,MATCH(ROWS($N$2:N240),$N$2:$N$1001,0),1)&gt;=100000,INDEX($U$1005:$AC$1005,1,MATCH(COLUMNS($U$1006:Y1006),$U$1006:$AC$1006,0))&gt;=100000), " ",IF(INDEX($U$2:$AC$1001,MATCH(ROWS($N$2:N240),$N$2:$N$1001,0),MATCH(COLUMNS($U$1006:Y1006),$U$1006:$AC$1006,0)), HYPERLINK("#",""), HYPERLINK(CONCATENATE("#metadata!", ADDRESS(INDEX($P$2:$P$1001,MATCH(ROWS($N$2:N240),$N$2:$N$1001,0),0), INDEX($U$1004:$AC$1004,1,MATCH(COLUMNS($U$1006:Y1006),$U$1006:$AC$1006,0)))),"Fix")))</f>
        <v>0</v>
      </c>
      <c r="G240" s="3">
        <f>IF(OR(INDEX($O$2:$O$1001,MATCH(ROWS($N$2:N240),$N$2:$N$1001,0),1)&gt;=100000,INDEX($U$1005:$AC$1005,1,MATCH(COLUMNS($U$1006:Z1006),$U$1006:$AC$1006,0))&gt;=100000), " ",IF(INDEX($U$2:$AC$1001,MATCH(ROWS($N$2:N240),$N$2:$N$1001,0),MATCH(COLUMNS($U$1006:Z1006),$U$1006:$AC$1006,0)), HYPERLINK("#",""), HYPERLINK(CONCATENATE("#metadata!", ADDRESS(INDEX($P$2:$P$1001,MATCH(ROWS($N$2:N240),$N$2:$N$1001,0),0), INDEX($U$1004:$AC$1004,1,MATCH(COLUMNS($U$1006:Z1006),$U$1006:$AC$1006,0)))),"Fix")))</f>
        <v>0</v>
      </c>
      <c r="H240" s="3">
        <f>IF(OR(INDEX($O$2:$O$1001,MATCH(ROWS($N$2:N240),$N$2:$N$1001,0),1)&gt;=100000,INDEX($U$1005:$AC$1005,1,MATCH(COLUMNS($U$1006:AA1006),$U$1006:$AC$1006,0))&gt;=100000), " ",IF(INDEX($U$2:$AC$1001,MATCH(ROWS($N$2:N240),$N$2:$N$1001,0),MATCH(COLUMNS($U$1006:AA1006),$U$1006:$AC$1006,0)), HYPERLINK("#",""), HYPERLINK(CONCATENATE("#metadata!", ADDRESS(INDEX($P$2:$P$1001,MATCH(ROWS($N$2:N240),$N$2:$N$1001,0),0), INDEX($U$1004:$AC$1004,1,MATCH(COLUMNS($U$1006:AA1006),$U$1006:$AC$1006,0)))),"Fix")))</f>
        <v>0</v>
      </c>
      <c r="I240" s="3">
        <f>IF(OR(INDEX($O$2:$O$1001,MATCH(ROWS($N$2:N240),$N$2:$N$1001,0),1)&gt;=100000,INDEX($U$1005:$AC$1005,1,MATCH(COLUMNS($U$1006:AB1006),$U$1006:$AC$1006,0))&gt;=100000), " ",IF(INDEX($U$2:$AC$1001,MATCH(ROWS($N$2:N240),$N$2:$N$1001,0),MATCH(COLUMNS($U$1006:AB1006),$U$1006:$AC$1006,0)), HYPERLINK("#",""), HYPERLINK(CONCATENATE("#metadata!", ADDRESS(INDEX($P$2:$P$1001,MATCH(ROWS($N$2:N240),$N$2:$N$1001,0),0), INDEX($U$1004:$AC$1004,1,MATCH(COLUMNS($U$1006:AB1006),$U$1006:$AC$1006,0)))),"Fix")))</f>
        <v>0</v>
      </c>
      <c r="J240" s="3">
        <f>IF(OR(INDEX($O$2:$O$1001,MATCH(ROWS($N$2:N240),$N$2:$N$1001,0),1)&gt;=100000,INDEX($U$1005:$AC$1005,1,MATCH(COLUMNS($U$1006:AC1006),$U$1006:$AC$1006,0))&gt;=100000), " ",IF(INDEX($U$2:$AC$1001,MATCH(ROWS($N$2:N240),$N$2:$N$1001,0),MATCH(COLUMNS($U$1006:AC1006),$U$1006:$AC$1006,0)), HYPERLINK("#",""), HYPERLINK(CONCATENATE("#metadata!", ADDRESS(INDEX($P$2:$P$1001,MATCH(ROWS($N$2:N240),$N$2:$N$1001,0),0), INDEX($U$1004:$AC$1004,1,MATCH(COLUMNS($U$1006:AC1006),$U$1006:$AC$1006,0)))),"Fix")))</f>
        <v>0</v>
      </c>
      <c r="N240">
        <v>0</v>
      </c>
      <c r="O240">
        <v>0</v>
      </c>
      <c r="P240">
        <v>0</v>
      </c>
      <c r="Q240">
        <f>IF(R240,TRUE,AND(U240:AC240))</f>
        <v>0</v>
      </c>
      <c r="R240">
        <f>COUNTBLANK(metadata!B240:J240)=COLUMNS(metadata!B240:J240)</f>
        <v>0</v>
      </c>
      <c r="S240">
        <v>0</v>
      </c>
      <c r="U240">
        <f>AND(IF(metadata!B240="",FALSE,TRUE),COUNTIF(metadata!B:B, metadata!B240) = 1,NOT(ISERROR(SUMPRODUCT(SEARCH(MID(metadata!B240,ROW(INDIRECT("1:"&amp;LEN(metadata!B240))), 1),"0123456789abcdefghijklmnopqrstuvwxyzABCDEFGHIJKLMNOPQRSTUVWXYZ.")))))</f>
        <v>0</v>
      </c>
      <c r="V240">
        <f>AND(IF(metadata!C240="",FALSE,TRUE),exact(metadata!C240,"UBERON:genitourinary"))</f>
        <v>0</v>
      </c>
      <c r="W240">
        <f>AND(IF(metadata!D240="",FALSE,TRUE),exact(metadata!D240,"UBERON:urine"))</f>
        <v>0</v>
      </c>
      <c r="X240">
        <f>AND(IF(metadata!E240="",FALSE,TRUE),exact(metadata!E240,"UBERON:kidney"))</f>
        <v>0</v>
      </c>
      <c r="Y240">
        <f>AND(IF(metadata!F240="",FALSE,TRUE),exact(metadata!F240,"animal corpus"))</f>
        <v>0</v>
      </c>
      <c r="Z240">
        <f>AND(IF(metadata!G240="",FALSE,TRUE),exact(metadata!G240,"urine"))</f>
        <v>0</v>
      </c>
      <c r="AA240">
        <f>AND(IF(metadata!H240="",FALSE,TRUE),exact(metadata!H240,"urine"))</f>
        <v>0</v>
      </c>
      <c r="AB240">
        <f>AND(IF(metadata!I240="",FALSE,TRUE),exact(metadata!I240,"urine metagenome"))</f>
        <v>0</v>
      </c>
      <c r="AC240">
        <f>AND(IF(metadata!J240="",FALSE,TRUE),exact(metadata!J240,"1346744"))</f>
        <v>0</v>
      </c>
    </row>
    <row r="241" spans="1:29">
      <c r="A241" s="4">
        <f>IF(B241=" "," ",HYPERLINK(CONCATENATE("#metadata!",ADDRESS(INDEX($P$2:$P$1001,MATCH(ROWS($N$2:N241),$N$2:$N$1001,0),0),1)),INDEX($S$2:$S$1001,MATCH(ROWS($N$2:N241),$N$2:$N$1001,0),0)))</f>
        <v>0</v>
      </c>
      <c r="B241" s="3">
        <f>IF(OR(INDEX($O$2:$O$1001,MATCH(ROWS($N$2:N241),$N$2:$N$1001,0),1)&gt;=100000,INDEX($U$1005:$AC$1005,1,MATCH(COLUMNS($U$1006:U1006),$U$1006:$AC$1006,0))&gt;=100000), " ",IF(INDEX($U$2:$AC$1001,MATCH(ROWS($N$2:N241),$N$2:$N$1001,0),MATCH(COLUMNS($U$1006:U1006),$U$1006:$AC$1006,0)), HYPERLINK("#",""), HYPERLINK(CONCATENATE("#metadata!", ADDRESS(INDEX($P$2:$P$1001,MATCH(ROWS($N$2:N241),$N$2:$N$1001,0),0), INDEX($U$1004:$AC$1004,1,MATCH(COLUMNS($U$1006:U1006),$U$1006:$AC$1006,0)))),"Fix")))</f>
        <v>0</v>
      </c>
      <c r="C241" s="3">
        <f>IF(OR(INDEX($O$2:$O$1001,MATCH(ROWS($N$2:N241),$N$2:$N$1001,0),1)&gt;=100000,INDEX($U$1005:$AC$1005,1,MATCH(COLUMNS($U$1006:V1006),$U$1006:$AC$1006,0))&gt;=100000), " ",IF(INDEX($U$2:$AC$1001,MATCH(ROWS($N$2:N241),$N$2:$N$1001,0),MATCH(COLUMNS($U$1006:V1006),$U$1006:$AC$1006,0)), HYPERLINK("#",""), HYPERLINK(CONCATENATE("#metadata!", ADDRESS(INDEX($P$2:$P$1001,MATCH(ROWS($N$2:N241),$N$2:$N$1001,0),0), INDEX($U$1004:$AC$1004,1,MATCH(COLUMNS($U$1006:V1006),$U$1006:$AC$1006,0)))),"Fix")))</f>
        <v>0</v>
      </c>
      <c r="D241" s="3">
        <f>IF(OR(INDEX($O$2:$O$1001,MATCH(ROWS($N$2:N241),$N$2:$N$1001,0),1)&gt;=100000,INDEX($U$1005:$AC$1005,1,MATCH(COLUMNS($U$1006:W1006),$U$1006:$AC$1006,0))&gt;=100000), " ",IF(INDEX($U$2:$AC$1001,MATCH(ROWS($N$2:N241),$N$2:$N$1001,0),MATCH(COLUMNS($U$1006:W1006),$U$1006:$AC$1006,0)), HYPERLINK("#",""), HYPERLINK(CONCATENATE("#metadata!", ADDRESS(INDEX($P$2:$P$1001,MATCH(ROWS($N$2:N241),$N$2:$N$1001,0),0), INDEX($U$1004:$AC$1004,1,MATCH(COLUMNS($U$1006:W1006),$U$1006:$AC$1006,0)))),"Fix")))</f>
        <v>0</v>
      </c>
      <c r="E241" s="3">
        <f>IF(OR(INDEX($O$2:$O$1001,MATCH(ROWS($N$2:N241),$N$2:$N$1001,0),1)&gt;=100000,INDEX($U$1005:$AC$1005,1,MATCH(COLUMNS($U$1006:X1006),$U$1006:$AC$1006,0))&gt;=100000), " ",IF(INDEX($U$2:$AC$1001,MATCH(ROWS($N$2:N241),$N$2:$N$1001,0),MATCH(COLUMNS($U$1006:X1006),$U$1006:$AC$1006,0)), HYPERLINK("#",""), HYPERLINK(CONCATENATE("#metadata!", ADDRESS(INDEX($P$2:$P$1001,MATCH(ROWS($N$2:N241),$N$2:$N$1001,0),0), INDEX($U$1004:$AC$1004,1,MATCH(COLUMNS($U$1006:X1006),$U$1006:$AC$1006,0)))),"Fix")))</f>
        <v>0</v>
      </c>
      <c r="F241" s="3">
        <f>IF(OR(INDEX($O$2:$O$1001,MATCH(ROWS($N$2:N241),$N$2:$N$1001,0),1)&gt;=100000,INDEX($U$1005:$AC$1005,1,MATCH(COLUMNS($U$1006:Y1006),$U$1006:$AC$1006,0))&gt;=100000), " ",IF(INDEX($U$2:$AC$1001,MATCH(ROWS($N$2:N241),$N$2:$N$1001,0),MATCH(COLUMNS($U$1006:Y1006),$U$1006:$AC$1006,0)), HYPERLINK("#",""), HYPERLINK(CONCATENATE("#metadata!", ADDRESS(INDEX($P$2:$P$1001,MATCH(ROWS($N$2:N241),$N$2:$N$1001,0),0), INDEX($U$1004:$AC$1004,1,MATCH(COLUMNS($U$1006:Y1006),$U$1006:$AC$1006,0)))),"Fix")))</f>
        <v>0</v>
      </c>
      <c r="G241" s="3">
        <f>IF(OR(INDEX($O$2:$O$1001,MATCH(ROWS($N$2:N241),$N$2:$N$1001,0),1)&gt;=100000,INDEX($U$1005:$AC$1005,1,MATCH(COLUMNS($U$1006:Z1006),$U$1006:$AC$1006,0))&gt;=100000), " ",IF(INDEX($U$2:$AC$1001,MATCH(ROWS($N$2:N241),$N$2:$N$1001,0),MATCH(COLUMNS($U$1006:Z1006),$U$1006:$AC$1006,0)), HYPERLINK("#",""), HYPERLINK(CONCATENATE("#metadata!", ADDRESS(INDEX($P$2:$P$1001,MATCH(ROWS($N$2:N241),$N$2:$N$1001,0),0), INDEX($U$1004:$AC$1004,1,MATCH(COLUMNS($U$1006:Z1006),$U$1006:$AC$1006,0)))),"Fix")))</f>
        <v>0</v>
      </c>
      <c r="H241" s="3">
        <f>IF(OR(INDEX($O$2:$O$1001,MATCH(ROWS($N$2:N241),$N$2:$N$1001,0),1)&gt;=100000,INDEX($U$1005:$AC$1005,1,MATCH(COLUMNS($U$1006:AA1006),$U$1006:$AC$1006,0))&gt;=100000), " ",IF(INDEX($U$2:$AC$1001,MATCH(ROWS($N$2:N241),$N$2:$N$1001,0),MATCH(COLUMNS($U$1006:AA1006),$U$1006:$AC$1006,0)), HYPERLINK("#",""), HYPERLINK(CONCATENATE("#metadata!", ADDRESS(INDEX($P$2:$P$1001,MATCH(ROWS($N$2:N241),$N$2:$N$1001,0),0), INDEX($U$1004:$AC$1004,1,MATCH(COLUMNS($U$1006:AA1006),$U$1006:$AC$1006,0)))),"Fix")))</f>
        <v>0</v>
      </c>
      <c r="I241" s="3">
        <f>IF(OR(INDEX($O$2:$O$1001,MATCH(ROWS($N$2:N241),$N$2:$N$1001,0),1)&gt;=100000,INDEX($U$1005:$AC$1005,1,MATCH(COLUMNS($U$1006:AB1006),$U$1006:$AC$1006,0))&gt;=100000), " ",IF(INDEX($U$2:$AC$1001,MATCH(ROWS($N$2:N241),$N$2:$N$1001,0),MATCH(COLUMNS($U$1006:AB1006),$U$1006:$AC$1006,0)), HYPERLINK("#",""), HYPERLINK(CONCATENATE("#metadata!", ADDRESS(INDEX($P$2:$P$1001,MATCH(ROWS($N$2:N241),$N$2:$N$1001,0),0), INDEX($U$1004:$AC$1004,1,MATCH(COLUMNS($U$1006:AB1006),$U$1006:$AC$1006,0)))),"Fix")))</f>
        <v>0</v>
      </c>
      <c r="J241" s="3">
        <f>IF(OR(INDEX($O$2:$O$1001,MATCH(ROWS($N$2:N241),$N$2:$N$1001,0),1)&gt;=100000,INDEX($U$1005:$AC$1005,1,MATCH(COLUMNS($U$1006:AC1006),$U$1006:$AC$1006,0))&gt;=100000), " ",IF(INDEX($U$2:$AC$1001,MATCH(ROWS($N$2:N241),$N$2:$N$1001,0),MATCH(COLUMNS($U$1006:AC1006),$U$1006:$AC$1006,0)), HYPERLINK("#",""), HYPERLINK(CONCATENATE("#metadata!", ADDRESS(INDEX($P$2:$P$1001,MATCH(ROWS($N$2:N241),$N$2:$N$1001,0),0), INDEX($U$1004:$AC$1004,1,MATCH(COLUMNS($U$1006:AC1006),$U$1006:$AC$1006,0)))),"Fix")))</f>
        <v>0</v>
      </c>
      <c r="N241">
        <v>0</v>
      </c>
      <c r="O241">
        <v>0</v>
      </c>
      <c r="P241">
        <v>0</v>
      </c>
      <c r="Q241">
        <f>IF(R241,TRUE,AND(U241:AC241))</f>
        <v>0</v>
      </c>
      <c r="R241">
        <f>COUNTBLANK(metadata!B241:J241)=COLUMNS(metadata!B241:J241)</f>
        <v>0</v>
      </c>
      <c r="S241">
        <v>0</v>
      </c>
      <c r="U241">
        <f>AND(IF(metadata!B241="",FALSE,TRUE),COUNTIF(metadata!B:B, metadata!B241) = 1,NOT(ISERROR(SUMPRODUCT(SEARCH(MID(metadata!B241,ROW(INDIRECT("1:"&amp;LEN(metadata!B241))), 1),"0123456789abcdefghijklmnopqrstuvwxyzABCDEFGHIJKLMNOPQRSTUVWXYZ.")))))</f>
        <v>0</v>
      </c>
      <c r="V241">
        <f>AND(IF(metadata!C241="",FALSE,TRUE),exact(metadata!C241,"UBERON:genitourinary"))</f>
        <v>0</v>
      </c>
      <c r="W241">
        <f>AND(IF(metadata!D241="",FALSE,TRUE),exact(metadata!D241,"UBERON:urine"))</f>
        <v>0</v>
      </c>
      <c r="X241">
        <f>AND(IF(metadata!E241="",FALSE,TRUE),exact(metadata!E241,"UBERON:kidney"))</f>
        <v>0</v>
      </c>
      <c r="Y241">
        <f>AND(IF(metadata!F241="",FALSE,TRUE),exact(metadata!F241,"animal corpus"))</f>
        <v>0</v>
      </c>
      <c r="Z241">
        <f>AND(IF(metadata!G241="",FALSE,TRUE),exact(metadata!G241,"urine"))</f>
        <v>0</v>
      </c>
      <c r="AA241">
        <f>AND(IF(metadata!H241="",FALSE,TRUE),exact(metadata!H241,"urine"))</f>
        <v>0</v>
      </c>
      <c r="AB241">
        <f>AND(IF(metadata!I241="",FALSE,TRUE),exact(metadata!I241,"urine metagenome"))</f>
        <v>0</v>
      </c>
      <c r="AC241">
        <f>AND(IF(metadata!J241="",FALSE,TRUE),exact(metadata!J241,"1346744"))</f>
        <v>0</v>
      </c>
    </row>
    <row r="242" spans="1:29">
      <c r="A242" s="4">
        <f>IF(B242=" "," ",HYPERLINK(CONCATENATE("#metadata!",ADDRESS(INDEX($P$2:$P$1001,MATCH(ROWS($N$2:N242),$N$2:$N$1001,0),0),1)),INDEX($S$2:$S$1001,MATCH(ROWS($N$2:N242),$N$2:$N$1001,0),0)))</f>
        <v>0</v>
      </c>
      <c r="B242" s="3">
        <f>IF(OR(INDEX($O$2:$O$1001,MATCH(ROWS($N$2:N242),$N$2:$N$1001,0),1)&gt;=100000,INDEX($U$1005:$AC$1005,1,MATCH(COLUMNS($U$1006:U1006),$U$1006:$AC$1006,0))&gt;=100000), " ",IF(INDEX($U$2:$AC$1001,MATCH(ROWS($N$2:N242),$N$2:$N$1001,0),MATCH(COLUMNS($U$1006:U1006),$U$1006:$AC$1006,0)), HYPERLINK("#",""), HYPERLINK(CONCATENATE("#metadata!", ADDRESS(INDEX($P$2:$P$1001,MATCH(ROWS($N$2:N242),$N$2:$N$1001,0),0), INDEX($U$1004:$AC$1004,1,MATCH(COLUMNS($U$1006:U1006),$U$1006:$AC$1006,0)))),"Fix")))</f>
        <v>0</v>
      </c>
      <c r="C242" s="3">
        <f>IF(OR(INDEX($O$2:$O$1001,MATCH(ROWS($N$2:N242),$N$2:$N$1001,0),1)&gt;=100000,INDEX($U$1005:$AC$1005,1,MATCH(COLUMNS($U$1006:V1006),$U$1006:$AC$1006,0))&gt;=100000), " ",IF(INDEX($U$2:$AC$1001,MATCH(ROWS($N$2:N242),$N$2:$N$1001,0),MATCH(COLUMNS($U$1006:V1006),$U$1006:$AC$1006,0)), HYPERLINK("#",""), HYPERLINK(CONCATENATE("#metadata!", ADDRESS(INDEX($P$2:$P$1001,MATCH(ROWS($N$2:N242),$N$2:$N$1001,0),0), INDEX($U$1004:$AC$1004,1,MATCH(COLUMNS($U$1006:V1006),$U$1006:$AC$1006,0)))),"Fix")))</f>
        <v>0</v>
      </c>
      <c r="D242" s="3">
        <f>IF(OR(INDEX($O$2:$O$1001,MATCH(ROWS($N$2:N242),$N$2:$N$1001,0),1)&gt;=100000,INDEX($U$1005:$AC$1005,1,MATCH(COLUMNS($U$1006:W1006),$U$1006:$AC$1006,0))&gt;=100000), " ",IF(INDEX($U$2:$AC$1001,MATCH(ROWS($N$2:N242),$N$2:$N$1001,0),MATCH(COLUMNS($U$1006:W1006),$U$1006:$AC$1006,0)), HYPERLINK("#",""), HYPERLINK(CONCATENATE("#metadata!", ADDRESS(INDEX($P$2:$P$1001,MATCH(ROWS($N$2:N242),$N$2:$N$1001,0),0), INDEX($U$1004:$AC$1004,1,MATCH(COLUMNS($U$1006:W1006),$U$1006:$AC$1006,0)))),"Fix")))</f>
        <v>0</v>
      </c>
      <c r="E242" s="3">
        <f>IF(OR(INDEX($O$2:$O$1001,MATCH(ROWS($N$2:N242),$N$2:$N$1001,0),1)&gt;=100000,INDEX($U$1005:$AC$1005,1,MATCH(COLUMNS($U$1006:X1006),$U$1006:$AC$1006,0))&gt;=100000), " ",IF(INDEX($U$2:$AC$1001,MATCH(ROWS($N$2:N242),$N$2:$N$1001,0),MATCH(COLUMNS($U$1006:X1006),$U$1006:$AC$1006,0)), HYPERLINK("#",""), HYPERLINK(CONCATENATE("#metadata!", ADDRESS(INDEX($P$2:$P$1001,MATCH(ROWS($N$2:N242),$N$2:$N$1001,0),0), INDEX($U$1004:$AC$1004,1,MATCH(COLUMNS($U$1006:X1006),$U$1006:$AC$1006,0)))),"Fix")))</f>
        <v>0</v>
      </c>
      <c r="F242" s="3">
        <f>IF(OR(INDEX($O$2:$O$1001,MATCH(ROWS($N$2:N242),$N$2:$N$1001,0),1)&gt;=100000,INDEX($U$1005:$AC$1005,1,MATCH(COLUMNS($U$1006:Y1006),$U$1006:$AC$1006,0))&gt;=100000), " ",IF(INDEX($U$2:$AC$1001,MATCH(ROWS($N$2:N242),$N$2:$N$1001,0),MATCH(COLUMNS($U$1006:Y1006),$U$1006:$AC$1006,0)), HYPERLINK("#",""), HYPERLINK(CONCATENATE("#metadata!", ADDRESS(INDEX($P$2:$P$1001,MATCH(ROWS($N$2:N242),$N$2:$N$1001,0),0), INDEX($U$1004:$AC$1004,1,MATCH(COLUMNS($U$1006:Y1006),$U$1006:$AC$1006,0)))),"Fix")))</f>
        <v>0</v>
      </c>
      <c r="G242" s="3">
        <f>IF(OR(INDEX($O$2:$O$1001,MATCH(ROWS($N$2:N242),$N$2:$N$1001,0),1)&gt;=100000,INDEX($U$1005:$AC$1005,1,MATCH(COLUMNS($U$1006:Z1006),$U$1006:$AC$1006,0))&gt;=100000), " ",IF(INDEX($U$2:$AC$1001,MATCH(ROWS($N$2:N242),$N$2:$N$1001,0),MATCH(COLUMNS($U$1006:Z1006),$U$1006:$AC$1006,0)), HYPERLINK("#",""), HYPERLINK(CONCATENATE("#metadata!", ADDRESS(INDEX($P$2:$P$1001,MATCH(ROWS($N$2:N242),$N$2:$N$1001,0),0), INDEX($U$1004:$AC$1004,1,MATCH(COLUMNS($U$1006:Z1006),$U$1006:$AC$1006,0)))),"Fix")))</f>
        <v>0</v>
      </c>
      <c r="H242" s="3">
        <f>IF(OR(INDEX($O$2:$O$1001,MATCH(ROWS($N$2:N242),$N$2:$N$1001,0),1)&gt;=100000,INDEX($U$1005:$AC$1005,1,MATCH(COLUMNS($U$1006:AA1006),$U$1006:$AC$1006,0))&gt;=100000), " ",IF(INDEX($U$2:$AC$1001,MATCH(ROWS($N$2:N242),$N$2:$N$1001,0),MATCH(COLUMNS($U$1006:AA1006),$U$1006:$AC$1006,0)), HYPERLINK("#",""), HYPERLINK(CONCATENATE("#metadata!", ADDRESS(INDEX($P$2:$P$1001,MATCH(ROWS($N$2:N242),$N$2:$N$1001,0),0), INDEX($U$1004:$AC$1004,1,MATCH(COLUMNS($U$1006:AA1006),$U$1006:$AC$1006,0)))),"Fix")))</f>
        <v>0</v>
      </c>
      <c r="I242" s="3">
        <f>IF(OR(INDEX($O$2:$O$1001,MATCH(ROWS($N$2:N242),$N$2:$N$1001,0),1)&gt;=100000,INDEX($U$1005:$AC$1005,1,MATCH(COLUMNS($U$1006:AB1006),$U$1006:$AC$1006,0))&gt;=100000), " ",IF(INDEX($U$2:$AC$1001,MATCH(ROWS($N$2:N242),$N$2:$N$1001,0),MATCH(COLUMNS($U$1006:AB1006),$U$1006:$AC$1006,0)), HYPERLINK("#",""), HYPERLINK(CONCATENATE("#metadata!", ADDRESS(INDEX($P$2:$P$1001,MATCH(ROWS($N$2:N242),$N$2:$N$1001,0),0), INDEX($U$1004:$AC$1004,1,MATCH(COLUMNS($U$1006:AB1006),$U$1006:$AC$1006,0)))),"Fix")))</f>
        <v>0</v>
      </c>
      <c r="J242" s="3">
        <f>IF(OR(INDEX($O$2:$O$1001,MATCH(ROWS($N$2:N242),$N$2:$N$1001,0),1)&gt;=100000,INDEX($U$1005:$AC$1005,1,MATCH(COLUMNS($U$1006:AC1006),$U$1006:$AC$1006,0))&gt;=100000), " ",IF(INDEX($U$2:$AC$1001,MATCH(ROWS($N$2:N242),$N$2:$N$1001,0),MATCH(COLUMNS($U$1006:AC1006),$U$1006:$AC$1006,0)), HYPERLINK("#",""), HYPERLINK(CONCATENATE("#metadata!", ADDRESS(INDEX($P$2:$P$1001,MATCH(ROWS($N$2:N242),$N$2:$N$1001,0),0), INDEX($U$1004:$AC$1004,1,MATCH(COLUMNS($U$1006:AC1006),$U$1006:$AC$1006,0)))),"Fix")))</f>
        <v>0</v>
      </c>
      <c r="N242">
        <v>0</v>
      </c>
      <c r="O242">
        <v>0</v>
      </c>
      <c r="P242">
        <v>0</v>
      </c>
      <c r="Q242">
        <f>IF(R242,TRUE,AND(U242:AC242))</f>
        <v>0</v>
      </c>
      <c r="R242">
        <f>COUNTBLANK(metadata!B242:J242)=COLUMNS(metadata!B242:J242)</f>
        <v>0</v>
      </c>
      <c r="S242">
        <v>0</v>
      </c>
      <c r="U242">
        <f>AND(IF(metadata!B242="",FALSE,TRUE),COUNTIF(metadata!B:B, metadata!B242) = 1,NOT(ISERROR(SUMPRODUCT(SEARCH(MID(metadata!B242,ROW(INDIRECT("1:"&amp;LEN(metadata!B242))), 1),"0123456789abcdefghijklmnopqrstuvwxyzABCDEFGHIJKLMNOPQRSTUVWXYZ.")))))</f>
        <v>0</v>
      </c>
      <c r="V242">
        <f>AND(IF(metadata!C242="",FALSE,TRUE),exact(metadata!C242,"UBERON:genitourinary"))</f>
        <v>0</v>
      </c>
      <c r="W242">
        <f>AND(IF(metadata!D242="",FALSE,TRUE),exact(metadata!D242,"UBERON:urine"))</f>
        <v>0</v>
      </c>
      <c r="X242">
        <f>AND(IF(metadata!E242="",FALSE,TRUE),exact(metadata!E242,"UBERON:kidney"))</f>
        <v>0</v>
      </c>
      <c r="Y242">
        <f>AND(IF(metadata!F242="",FALSE,TRUE),exact(metadata!F242,"animal corpus"))</f>
        <v>0</v>
      </c>
      <c r="Z242">
        <f>AND(IF(metadata!G242="",FALSE,TRUE),exact(metadata!G242,"urine"))</f>
        <v>0</v>
      </c>
      <c r="AA242">
        <f>AND(IF(metadata!H242="",FALSE,TRUE),exact(metadata!H242,"urine"))</f>
        <v>0</v>
      </c>
      <c r="AB242">
        <f>AND(IF(metadata!I242="",FALSE,TRUE),exact(metadata!I242,"urine metagenome"))</f>
        <v>0</v>
      </c>
      <c r="AC242">
        <f>AND(IF(metadata!J242="",FALSE,TRUE),exact(metadata!J242,"1346744"))</f>
        <v>0</v>
      </c>
    </row>
    <row r="243" spans="1:29">
      <c r="A243" s="4">
        <f>IF(B243=" "," ",HYPERLINK(CONCATENATE("#metadata!",ADDRESS(INDEX($P$2:$P$1001,MATCH(ROWS($N$2:N243),$N$2:$N$1001,0),0),1)),INDEX($S$2:$S$1001,MATCH(ROWS($N$2:N243),$N$2:$N$1001,0),0)))</f>
        <v>0</v>
      </c>
      <c r="B243" s="3">
        <f>IF(OR(INDEX($O$2:$O$1001,MATCH(ROWS($N$2:N243),$N$2:$N$1001,0),1)&gt;=100000,INDEX($U$1005:$AC$1005,1,MATCH(COLUMNS($U$1006:U1006),$U$1006:$AC$1006,0))&gt;=100000), " ",IF(INDEX($U$2:$AC$1001,MATCH(ROWS($N$2:N243),$N$2:$N$1001,0),MATCH(COLUMNS($U$1006:U1006),$U$1006:$AC$1006,0)), HYPERLINK("#",""), HYPERLINK(CONCATENATE("#metadata!", ADDRESS(INDEX($P$2:$P$1001,MATCH(ROWS($N$2:N243),$N$2:$N$1001,0),0), INDEX($U$1004:$AC$1004,1,MATCH(COLUMNS($U$1006:U1006),$U$1006:$AC$1006,0)))),"Fix")))</f>
        <v>0</v>
      </c>
      <c r="C243" s="3">
        <f>IF(OR(INDEX($O$2:$O$1001,MATCH(ROWS($N$2:N243),$N$2:$N$1001,0),1)&gt;=100000,INDEX($U$1005:$AC$1005,1,MATCH(COLUMNS($U$1006:V1006),$U$1006:$AC$1006,0))&gt;=100000), " ",IF(INDEX($U$2:$AC$1001,MATCH(ROWS($N$2:N243),$N$2:$N$1001,0),MATCH(COLUMNS($U$1006:V1006),$U$1006:$AC$1006,0)), HYPERLINK("#",""), HYPERLINK(CONCATENATE("#metadata!", ADDRESS(INDEX($P$2:$P$1001,MATCH(ROWS($N$2:N243),$N$2:$N$1001,0),0), INDEX($U$1004:$AC$1004,1,MATCH(COLUMNS($U$1006:V1006),$U$1006:$AC$1006,0)))),"Fix")))</f>
        <v>0</v>
      </c>
      <c r="D243" s="3">
        <f>IF(OR(INDEX($O$2:$O$1001,MATCH(ROWS($N$2:N243),$N$2:$N$1001,0),1)&gt;=100000,INDEX($U$1005:$AC$1005,1,MATCH(COLUMNS($U$1006:W1006),$U$1006:$AC$1006,0))&gt;=100000), " ",IF(INDEX($U$2:$AC$1001,MATCH(ROWS($N$2:N243),$N$2:$N$1001,0),MATCH(COLUMNS($U$1006:W1006),$U$1006:$AC$1006,0)), HYPERLINK("#",""), HYPERLINK(CONCATENATE("#metadata!", ADDRESS(INDEX($P$2:$P$1001,MATCH(ROWS($N$2:N243),$N$2:$N$1001,0),0), INDEX($U$1004:$AC$1004,1,MATCH(COLUMNS($U$1006:W1006),$U$1006:$AC$1006,0)))),"Fix")))</f>
        <v>0</v>
      </c>
      <c r="E243" s="3">
        <f>IF(OR(INDEX($O$2:$O$1001,MATCH(ROWS($N$2:N243),$N$2:$N$1001,0),1)&gt;=100000,INDEX($U$1005:$AC$1005,1,MATCH(COLUMNS($U$1006:X1006),$U$1006:$AC$1006,0))&gt;=100000), " ",IF(INDEX($U$2:$AC$1001,MATCH(ROWS($N$2:N243),$N$2:$N$1001,0),MATCH(COLUMNS($U$1006:X1006),$U$1006:$AC$1006,0)), HYPERLINK("#",""), HYPERLINK(CONCATENATE("#metadata!", ADDRESS(INDEX($P$2:$P$1001,MATCH(ROWS($N$2:N243),$N$2:$N$1001,0),0), INDEX($U$1004:$AC$1004,1,MATCH(COLUMNS($U$1006:X1006),$U$1006:$AC$1006,0)))),"Fix")))</f>
        <v>0</v>
      </c>
      <c r="F243" s="3">
        <f>IF(OR(INDEX($O$2:$O$1001,MATCH(ROWS($N$2:N243),$N$2:$N$1001,0),1)&gt;=100000,INDEX($U$1005:$AC$1005,1,MATCH(COLUMNS($U$1006:Y1006),$U$1006:$AC$1006,0))&gt;=100000), " ",IF(INDEX($U$2:$AC$1001,MATCH(ROWS($N$2:N243),$N$2:$N$1001,0),MATCH(COLUMNS($U$1006:Y1006),$U$1006:$AC$1006,0)), HYPERLINK("#",""), HYPERLINK(CONCATENATE("#metadata!", ADDRESS(INDEX($P$2:$P$1001,MATCH(ROWS($N$2:N243),$N$2:$N$1001,0),0), INDEX($U$1004:$AC$1004,1,MATCH(COLUMNS($U$1006:Y1006),$U$1006:$AC$1006,0)))),"Fix")))</f>
        <v>0</v>
      </c>
      <c r="G243" s="3">
        <f>IF(OR(INDEX($O$2:$O$1001,MATCH(ROWS($N$2:N243),$N$2:$N$1001,0),1)&gt;=100000,INDEX($U$1005:$AC$1005,1,MATCH(COLUMNS($U$1006:Z1006),$U$1006:$AC$1006,0))&gt;=100000), " ",IF(INDEX($U$2:$AC$1001,MATCH(ROWS($N$2:N243),$N$2:$N$1001,0),MATCH(COLUMNS($U$1006:Z1006),$U$1006:$AC$1006,0)), HYPERLINK("#",""), HYPERLINK(CONCATENATE("#metadata!", ADDRESS(INDEX($P$2:$P$1001,MATCH(ROWS($N$2:N243),$N$2:$N$1001,0),0), INDEX($U$1004:$AC$1004,1,MATCH(COLUMNS($U$1006:Z1006),$U$1006:$AC$1006,0)))),"Fix")))</f>
        <v>0</v>
      </c>
      <c r="H243" s="3">
        <f>IF(OR(INDEX($O$2:$O$1001,MATCH(ROWS($N$2:N243),$N$2:$N$1001,0),1)&gt;=100000,INDEX($U$1005:$AC$1005,1,MATCH(COLUMNS($U$1006:AA1006),$U$1006:$AC$1006,0))&gt;=100000), " ",IF(INDEX($U$2:$AC$1001,MATCH(ROWS($N$2:N243),$N$2:$N$1001,0),MATCH(COLUMNS($U$1006:AA1006),$U$1006:$AC$1006,0)), HYPERLINK("#",""), HYPERLINK(CONCATENATE("#metadata!", ADDRESS(INDEX($P$2:$P$1001,MATCH(ROWS($N$2:N243),$N$2:$N$1001,0),0), INDEX($U$1004:$AC$1004,1,MATCH(COLUMNS($U$1006:AA1006),$U$1006:$AC$1006,0)))),"Fix")))</f>
        <v>0</v>
      </c>
      <c r="I243" s="3">
        <f>IF(OR(INDEX($O$2:$O$1001,MATCH(ROWS($N$2:N243),$N$2:$N$1001,0),1)&gt;=100000,INDEX($U$1005:$AC$1005,1,MATCH(COLUMNS($U$1006:AB1006),$U$1006:$AC$1006,0))&gt;=100000), " ",IF(INDEX($U$2:$AC$1001,MATCH(ROWS($N$2:N243),$N$2:$N$1001,0),MATCH(COLUMNS($U$1006:AB1006),$U$1006:$AC$1006,0)), HYPERLINK("#",""), HYPERLINK(CONCATENATE("#metadata!", ADDRESS(INDEX($P$2:$P$1001,MATCH(ROWS($N$2:N243),$N$2:$N$1001,0),0), INDEX($U$1004:$AC$1004,1,MATCH(COLUMNS($U$1006:AB1006),$U$1006:$AC$1006,0)))),"Fix")))</f>
        <v>0</v>
      </c>
      <c r="J243" s="3">
        <f>IF(OR(INDEX($O$2:$O$1001,MATCH(ROWS($N$2:N243),$N$2:$N$1001,0),1)&gt;=100000,INDEX($U$1005:$AC$1005,1,MATCH(COLUMNS($U$1006:AC1006),$U$1006:$AC$1006,0))&gt;=100000), " ",IF(INDEX($U$2:$AC$1001,MATCH(ROWS($N$2:N243),$N$2:$N$1001,0),MATCH(COLUMNS($U$1006:AC1006),$U$1006:$AC$1006,0)), HYPERLINK("#",""), HYPERLINK(CONCATENATE("#metadata!", ADDRESS(INDEX($P$2:$P$1001,MATCH(ROWS($N$2:N243),$N$2:$N$1001,0),0), INDEX($U$1004:$AC$1004,1,MATCH(COLUMNS($U$1006:AC1006),$U$1006:$AC$1006,0)))),"Fix")))</f>
        <v>0</v>
      </c>
      <c r="N243">
        <v>0</v>
      </c>
      <c r="O243">
        <v>0</v>
      </c>
      <c r="P243">
        <v>0</v>
      </c>
      <c r="Q243">
        <f>IF(R243,TRUE,AND(U243:AC243))</f>
        <v>0</v>
      </c>
      <c r="R243">
        <f>COUNTBLANK(metadata!B243:J243)=COLUMNS(metadata!B243:J243)</f>
        <v>0</v>
      </c>
      <c r="S243">
        <v>0</v>
      </c>
      <c r="U243">
        <f>AND(IF(metadata!B243="",FALSE,TRUE),COUNTIF(metadata!B:B, metadata!B243) = 1,NOT(ISERROR(SUMPRODUCT(SEARCH(MID(metadata!B243,ROW(INDIRECT("1:"&amp;LEN(metadata!B243))), 1),"0123456789abcdefghijklmnopqrstuvwxyzABCDEFGHIJKLMNOPQRSTUVWXYZ.")))))</f>
        <v>0</v>
      </c>
      <c r="V243">
        <f>AND(IF(metadata!C243="",FALSE,TRUE),exact(metadata!C243,"UBERON:genitourinary"))</f>
        <v>0</v>
      </c>
      <c r="W243">
        <f>AND(IF(metadata!D243="",FALSE,TRUE),exact(metadata!D243,"UBERON:urine"))</f>
        <v>0</v>
      </c>
      <c r="X243">
        <f>AND(IF(metadata!E243="",FALSE,TRUE),exact(metadata!E243,"UBERON:kidney"))</f>
        <v>0</v>
      </c>
      <c r="Y243">
        <f>AND(IF(metadata!F243="",FALSE,TRUE),exact(metadata!F243,"animal corpus"))</f>
        <v>0</v>
      </c>
      <c r="Z243">
        <f>AND(IF(metadata!G243="",FALSE,TRUE),exact(metadata!G243,"urine"))</f>
        <v>0</v>
      </c>
      <c r="AA243">
        <f>AND(IF(metadata!H243="",FALSE,TRUE),exact(metadata!H243,"urine"))</f>
        <v>0</v>
      </c>
      <c r="AB243">
        <f>AND(IF(metadata!I243="",FALSE,TRUE),exact(metadata!I243,"urine metagenome"))</f>
        <v>0</v>
      </c>
      <c r="AC243">
        <f>AND(IF(metadata!J243="",FALSE,TRUE),exact(metadata!J243,"1346744"))</f>
        <v>0</v>
      </c>
    </row>
    <row r="244" spans="1:29">
      <c r="A244" s="4">
        <f>IF(B244=" "," ",HYPERLINK(CONCATENATE("#metadata!",ADDRESS(INDEX($P$2:$P$1001,MATCH(ROWS($N$2:N244),$N$2:$N$1001,0),0),1)),INDEX($S$2:$S$1001,MATCH(ROWS($N$2:N244),$N$2:$N$1001,0),0)))</f>
        <v>0</v>
      </c>
      <c r="B244" s="3">
        <f>IF(OR(INDEX($O$2:$O$1001,MATCH(ROWS($N$2:N244),$N$2:$N$1001,0),1)&gt;=100000,INDEX($U$1005:$AC$1005,1,MATCH(COLUMNS($U$1006:U1006),$U$1006:$AC$1006,0))&gt;=100000), " ",IF(INDEX($U$2:$AC$1001,MATCH(ROWS($N$2:N244),$N$2:$N$1001,0),MATCH(COLUMNS($U$1006:U1006),$U$1006:$AC$1006,0)), HYPERLINK("#",""), HYPERLINK(CONCATENATE("#metadata!", ADDRESS(INDEX($P$2:$P$1001,MATCH(ROWS($N$2:N244),$N$2:$N$1001,0),0), INDEX($U$1004:$AC$1004,1,MATCH(COLUMNS($U$1006:U1006),$U$1006:$AC$1006,0)))),"Fix")))</f>
        <v>0</v>
      </c>
      <c r="C244" s="3">
        <f>IF(OR(INDEX($O$2:$O$1001,MATCH(ROWS($N$2:N244),$N$2:$N$1001,0),1)&gt;=100000,INDEX($U$1005:$AC$1005,1,MATCH(COLUMNS($U$1006:V1006),$U$1006:$AC$1006,0))&gt;=100000), " ",IF(INDEX($U$2:$AC$1001,MATCH(ROWS($N$2:N244),$N$2:$N$1001,0),MATCH(COLUMNS($U$1006:V1006),$U$1006:$AC$1006,0)), HYPERLINK("#",""), HYPERLINK(CONCATENATE("#metadata!", ADDRESS(INDEX($P$2:$P$1001,MATCH(ROWS($N$2:N244),$N$2:$N$1001,0),0), INDEX($U$1004:$AC$1004,1,MATCH(COLUMNS($U$1006:V1006),$U$1006:$AC$1006,0)))),"Fix")))</f>
        <v>0</v>
      </c>
      <c r="D244" s="3">
        <f>IF(OR(INDEX($O$2:$O$1001,MATCH(ROWS($N$2:N244),$N$2:$N$1001,0),1)&gt;=100000,INDEX($U$1005:$AC$1005,1,MATCH(COLUMNS($U$1006:W1006),$U$1006:$AC$1006,0))&gt;=100000), " ",IF(INDEX($U$2:$AC$1001,MATCH(ROWS($N$2:N244),$N$2:$N$1001,0),MATCH(COLUMNS($U$1006:W1006),$U$1006:$AC$1006,0)), HYPERLINK("#",""), HYPERLINK(CONCATENATE("#metadata!", ADDRESS(INDEX($P$2:$P$1001,MATCH(ROWS($N$2:N244),$N$2:$N$1001,0),0), INDEX($U$1004:$AC$1004,1,MATCH(COLUMNS($U$1006:W1006),$U$1006:$AC$1006,0)))),"Fix")))</f>
        <v>0</v>
      </c>
      <c r="E244" s="3">
        <f>IF(OR(INDEX($O$2:$O$1001,MATCH(ROWS($N$2:N244),$N$2:$N$1001,0),1)&gt;=100000,INDEX($U$1005:$AC$1005,1,MATCH(COLUMNS($U$1006:X1006),$U$1006:$AC$1006,0))&gt;=100000), " ",IF(INDEX($U$2:$AC$1001,MATCH(ROWS($N$2:N244),$N$2:$N$1001,0),MATCH(COLUMNS($U$1006:X1006),$U$1006:$AC$1006,0)), HYPERLINK("#",""), HYPERLINK(CONCATENATE("#metadata!", ADDRESS(INDEX($P$2:$P$1001,MATCH(ROWS($N$2:N244),$N$2:$N$1001,0),0), INDEX($U$1004:$AC$1004,1,MATCH(COLUMNS($U$1006:X1006),$U$1006:$AC$1006,0)))),"Fix")))</f>
        <v>0</v>
      </c>
      <c r="F244" s="3">
        <f>IF(OR(INDEX($O$2:$O$1001,MATCH(ROWS($N$2:N244),$N$2:$N$1001,0),1)&gt;=100000,INDEX($U$1005:$AC$1005,1,MATCH(COLUMNS($U$1006:Y1006),$U$1006:$AC$1006,0))&gt;=100000), " ",IF(INDEX($U$2:$AC$1001,MATCH(ROWS($N$2:N244),$N$2:$N$1001,0),MATCH(COLUMNS($U$1006:Y1006),$U$1006:$AC$1006,0)), HYPERLINK("#",""), HYPERLINK(CONCATENATE("#metadata!", ADDRESS(INDEX($P$2:$P$1001,MATCH(ROWS($N$2:N244),$N$2:$N$1001,0),0), INDEX($U$1004:$AC$1004,1,MATCH(COLUMNS($U$1006:Y1006),$U$1006:$AC$1006,0)))),"Fix")))</f>
        <v>0</v>
      </c>
      <c r="G244" s="3">
        <f>IF(OR(INDEX($O$2:$O$1001,MATCH(ROWS($N$2:N244),$N$2:$N$1001,0),1)&gt;=100000,INDEX($U$1005:$AC$1005,1,MATCH(COLUMNS($U$1006:Z1006),$U$1006:$AC$1006,0))&gt;=100000), " ",IF(INDEX($U$2:$AC$1001,MATCH(ROWS($N$2:N244),$N$2:$N$1001,0),MATCH(COLUMNS($U$1006:Z1006),$U$1006:$AC$1006,0)), HYPERLINK("#",""), HYPERLINK(CONCATENATE("#metadata!", ADDRESS(INDEX($P$2:$P$1001,MATCH(ROWS($N$2:N244),$N$2:$N$1001,0),0), INDEX($U$1004:$AC$1004,1,MATCH(COLUMNS($U$1006:Z1006),$U$1006:$AC$1006,0)))),"Fix")))</f>
        <v>0</v>
      </c>
      <c r="H244" s="3">
        <f>IF(OR(INDEX($O$2:$O$1001,MATCH(ROWS($N$2:N244),$N$2:$N$1001,0),1)&gt;=100000,INDEX($U$1005:$AC$1005,1,MATCH(COLUMNS($U$1006:AA1006),$U$1006:$AC$1006,0))&gt;=100000), " ",IF(INDEX($U$2:$AC$1001,MATCH(ROWS($N$2:N244),$N$2:$N$1001,0),MATCH(COLUMNS($U$1006:AA1006),$U$1006:$AC$1006,0)), HYPERLINK("#",""), HYPERLINK(CONCATENATE("#metadata!", ADDRESS(INDEX($P$2:$P$1001,MATCH(ROWS($N$2:N244),$N$2:$N$1001,0),0), INDEX($U$1004:$AC$1004,1,MATCH(COLUMNS($U$1006:AA1006),$U$1006:$AC$1006,0)))),"Fix")))</f>
        <v>0</v>
      </c>
      <c r="I244" s="3">
        <f>IF(OR(INDEX($O$2:$O$1001,MATCH(ROWS($N$2:N244),$N$2:$N$1001,0),1)&gt;=100000,INDEX($U$1005:$AC$1005,1,MATCH(COLUMNS($U$1006:AB1006),$U$1006:$AC$1006,0))&gt;=100000), " ",IF(INDEX($U$2:$AC$1001,MATCH(ROWS($N$2:N244),$N$2:$N$1001,0),MATCH(COLUMNS($U$1006:AB1006),$U$1006:$AC$1006,0)), HYPERLINK("#",""), HYPERLINK(CONCATENATE("#metadata!", ADDRESS(INDEX($P$2:$P$1001,MATCH(ROWS($N$2:N244),$N$2:$N$1001,0),0), INDEX($U$1004:$AC$1004,1,MATCH(COLUMNS($U$1006:AB1006),$U$1006:$AC$1006,0)))),"Fix")))</f>
        <v>0</v>
      </c>
      <c r="J244" s="3">
        <f>IF(OR(INDEX($O$2:$O$1001,MATCH(ROWS($N$2:N244),$N$2:$N$1001,0),1)&gt;=100000,INDEX($U$1005:$AC$1005,1,MATCH(COLUMNS($U$1006:AC1006),$U$1006:$AC$1006,0))&gt;=100000), " ",IF(INDEX($U$2:$AC$1001,MATCH(ROWS($N$2:N244),$N$2:$N$1001,0),MATCH(COLUMNS($U$1006:AC1006),$U$1006:$AC$1006,0)), HYPERLINK("#",""), HYPERLINK(CONCATENATE("#metadata!", ADDRESS(INDEX($P$2:$P$1001,MATCH(ROWS($N$2:N244),$N$2:$N$1001,0),0), INDEX($U$1004:$AC$1004,1,MATCH(COLUMNS($U$1006:AC1006),$U$1006:$AC$1006,0)))),"Fix")))</f>
        <v>0</v>
      </c>
      <c r="N244">
        <v>0</v>
      </c>
      <c r="O244">
        <v>0</v>
      </c>
      <c r="P244">
        <v>0</v>
      </c>
      <c r="Q244">
        <f>IF(R244,TRUE,AND(U244:AC244))</f>
        <v>0</v>
      </c>
      <c r="R244">
        <f>COUNTBLANK(metadata!B244:J244)=COLUMNS(metadata!B244:J244)</f>
        <v>0</v>
      </c>
      <c r="S244">
        <v>0</v>
      </c>
      <c r="U244">
        <f>AND(IF(metadata!B244="",FALSE,TRUE),COUNTIF(metadata!B:B, metadata!B244) = 1,NOT(ISERROR(SUMPRODUCT(SEARCH(MID(metadata!B244,ROW(INDIRECT("1:"&amp;LEN(metadata!B244))), 1),"0123456789abcdefghijklmnopqrstuvwxyzABCDEFGHIJKLMNOPQRSTUVWXYZ.")))))</f>
        <v>0</v>
      </c>
      <c r="V244">
        <f>AND(IF(metadata!C244="",FALSE,TRUE),exact(metadata!C244,"UBERON:genitourinary"))</f>
        <v>0</v>
      </c>
      <c r="W244">
        <f>AND(IF(metadata!D244="",FALSE,TRUE),exact(metadata!D244,"UBERON:urine"))</f>
        <v>0</v>
      </c>
      <c r="X244">
        <f>AND(IF(metadata!E244="",FALSE,TRUE),exact(metadata!E244,"UBERON:kidney"))</f>
        <v>0</v>
      </c>
      <c r="Y244">
        <f>AND(IF(metadata!F244="",FALSE,TRUE),exact(metadata!F244,"animal corpus"))</f>
        <v>0</v>
      </c>
      <c r="Z244">
        <f>AND(IF(metadata!G244="",FALSE,TRUE),exact(metadata!G244,"urine"))</f>
        <v>0</v>
      </c>
      <c r="AA244">
        <f>AND(IF(metadata!H244="",FALSE,TRUE),exact(metadata!H244,"urine"))</f>
        <v>0</v>
      </c>
      <c r="AB244">
        <f>AND(IF(metadata!I244="",FALSE,TRUE),exact(metadata!I244,"urine metagenome"))</f>
        <v>0</v>
      </c>
      <c r="AC244">
        <f>AND(IF(metadata!J244="",FALSE,TRUE),exact(metadata!J244,"1346744"))</f>
        <v>0</v>
      </c>
    </row>
    <row r="245" spans="1:29">
      <c r="A245" s="4">
        <f>IF(B245=" "," ",HYPERLINK(CONCATENATE("#metadata!",ADDRESS(INDEX($P$2:$P$1001,MATCH(ROWS($N$2:N245),$N$2:$N$1001,0),0),1)),INDEX($S$2:$S$1001,MATCH(ROWS($N$2:N245),$N$2:$N$1001,0),0)))</f>
        <v>0</v>
      </c>
      <c r="B245" s="3">
        <f>IF(OR(INDEX($O$2:$O$1001,MATCH(ROWS($N$2:N245),$N$2:$N$1001,0),1)&gt;=100000,INDEX($U$1005:$AC$1005,1,MATCH(COLUMNS($U$1006:U1006),$U$1006:$AC$1006,0))&gt;=100000), " ",IF(INDEX($U$2:$AC$1001,MATCH(ROWS($N$2:N245),$N$2:$N$1001,0),MATCH(COLUMNS($U$1006:U1006),$U$1006:$AC$1006,0)), HYPERLINK("#",""), HYPERLINK(CONCATENATE("#metadata!", ADDRESS(INDEX($P$2:$P$1001,MATCH(ROWS($N$2:N245),$N$2:$N$1001,0),0), INDEX($U$1004:$AC$1004,1,MATCH(COLUMNS($U$1006:U1006),$U$1006:$AC$1006,0)))),"Fix")))</f>
        <v>0</v>
      </c>
      <c r="C245" s="3">
        <f>IF(OR(INDEX($O$2:$O$1001,MATCH(ROWS($N$2:N245),$N$2:$N$1001,0),1)&gt;=100000,INDEX($U$1005:$AC$1005,1,MATCH(COLUMNS($U$1006:V1006),$U$1006:$AC$1006,0))&gt;=100000), " ",IF(INDEX($U$2:$AC$1001,MATCH(ROWS($N$2:N245),$N$2:$N$1001,0),MATCH(COLUMNS($U$1006:V1006),$U$1006:$AC$1006,0)), HYPERLINK("#",""), HYPERLINK(CONCATENATE("#metadata!", ADDRESS(INDEX($P$2:$P$1001,MATCH(ROWS($N$2:N245),$N$2:$N$1001,0),0), INDEX($U$1004:$AC$1004,1,MATCH(COLUMNS($U$1006:V1006),$U$1006:$AC$1006,0)))),"Fix")))</f>
        <v>0</v>
      </c>
      <c r="D245" s="3">
        <f>IF(OR(INDEX($O$2:$O$1001,MATCH(ROWS($N$2:N245),$N$2:$N$1001,0),1)&gt;=100000,INDEX($U$1005:$AC$1005,1,MATCH(COLUMNS($U$1006:W1006),$U$1006:$AC$1006,0))&gt;=100000), " ",IF(INDEX($U$2:$AC$1001,MATCH(ROWS($N$2:N245),$N$2:$N$1001,0),MATCH(COLUMNS($U$1006:W1006),$U$1006:$AC$1006,0)), HYPERLINK("#",""), HYPERLINK(CONCATENATE("#metadata!", ADDRESS(INDEX($P$2:$P$1001,MATCH(ROWS($N$2:N245),$N$2:$N$1001,0),0), INDEX($U$1004:$AC$1004,1,MATCH(COLUMNS($U$1006:W1006),$U$1006:$AC$1006,0)))),"Fix")))</f>
        <v>0</v>
      </c>
      <c r="E245" s="3">
        <f>IF(OR(INDEX($O$2:$O$1001,MATCH(ROWS($N$2:N245),$N$2:$N$1001,0),1)&gt;=100000,INDEX($U$1005:$AC$1005,1,MATCH(COLUMNS($U$1006:X1006),$U$1006:$AC$1006,0))&gt;=100000), " ",IF(INDEX($U$2:$AC$1001,MATCH(ROWS($N$2:N245),$N$2:$N$1001,0),MATCH(COLUMNS($U$1006:X1006),$U$1006:$AC$1006,0)), HYPERLINK("#",""), HYPERLINK(CONCATENATE("#metadata!", ADDRESS(INDEX($P$2:$P$1001,MATCH(ROWS($N$2:N245),$N$2:$N$1001,0),0), INDEX($U$1004:$AC$1004,1,MATCH(COLUMNS($U$1006:X1006),$U$1006:$AC$1006,0)))),"Fix")))</f>
        <v>0</v>
      </c>
      <c r="F245" s="3">
        <f>IF(OR(INDEX($O$2:$O$1001,MATCH(ROWS($N$2:N245),$N$2:$N$1001,0),1)&gt;=100000,INDEX($U$1005:$AC$1005,1,MATCH(COLUMNS($U$1006:Y1006),$U$1006:$AC$1006,0))&gt;=100000), " ",IF(INDEX($U$2:$AC$1001,MATCH(ROWS($N$2:N245),$N$2:$N$1001,0),MATCH(COLUMNS($U$1006:Y1006),$U$1006:$AC$1006,0)), HYPERLINK("#",""), HYPERLINK(CONCATENATE("#metadata!", ADDRESS(INDEX($P$2:$P$1001,MATCH(ROWS($N$2:N245),$N$2:$N$1001,0),0), INDEX($U$1004:$AC$1004,1,MATCH(COLUMNS($U$1006:Y1006),$U$1006:$AC$1006,0)))),"Fix")))</f>
        <v>0</v>
      </c>
      <c r="G245" s="3">
        <f>IF(OR(INDEX($O$2:$O$1001,MATCH(ROWS($N$2:N245),$N$2:$N$1001,0),1)&gt;=100000,INDEX($U$1005:$AC$1005,1,MATCH(COLUMNS($U$1006:Z1006),$U$1006:$AC$1006,0))&gt;=100000), " ",IF(INDEX($U$2:$AC$1001,MATCH(ROWS($N$2:N245),$N$2:$N$1001,0),MATCH(COLUMNS($U$1006:Z1006),$U$1006:$AC$1006,0)), HYPERLINK("#",""), HYPERLINK(CONCATENATE("#metadata!", ADDRESS(INDEX($P$2:$P$1001,MATCH(ROWS($N$2:N245),$N$2:$N$1001,0),0), INDEX($U$1004:$AC$1004,1,MATCH(COLUMNS($U$1006:Z1006),$U$1006:$AC$1006,0)))),"Fix")))</f>
        <v>0</v>
      </c>
      <c r="H245" s="3">
        <f>IF(OR(INDEX($O$2:$O$1001,MATCH(ROWS($N$2:N245),$N$2:$N$1001,0),1)&gt;=100000,INDEX($U$1005:$AC$1005,1,MATCH(COLUMNS($U$1006:AA1006),$U$1006:$AC$1006,0))&gt;=100000), " ",IF(INDEX($U$2:$AC$1001,MATCH(ROWS($N$2:N245),$N$2:$N$1001,0),MATCH(COLUMNS($U$1006:AA1006),$U$1006:$AC$1006,0)), HYPERLINK("#",""), HYPERLINK(CONCATENATE("#metadata!", ADDRESS(INDEX($P$2:$P$1001,MATCH(ROWS($N$2:N245),$N$2:$N$1001,0),0), INDEX($U$1004:$AC$1004,1,MATCH(COLUMNS($U$1006:AA1006),$U$1006:$AC$1006,0)))),"Fix")))</f>
        <v>0</v>
      </c>
      <c r="I245" s="3">
        <f>IF(OR(INDEX($O$2:$O$1001,MATCH(ROWS($N$2:N245),$N$2:$N$1001,0),1)&gt;=100000,INDEX($U$1005:$AC$1005,1,MATCH(COLUMNS($U$1006:AB1006),$U$1006:$AC$1006,0))&gt;=100000), " ",IF(INDEX($U$2:$AC$1001,MATCH(ROWS($N$2:N245),$N$2:$N$1001,0),MATCH(COLUMNS($U$1006:AB1006),$U$1006:$AC$1006,0)), HYPERLINK("#",""), HYPERLINK(CONCATENATE("#metadata!", ADDRESS(INDEX($P$2:$P$1001,MATCH(ROWS($N$2:N245),$N$2:$N$1001,0),0), INDEX($U$1004:$AC$1004,1,MATCH(COLUMNS($U$1006:AB1006),$U$1006:$AC$1006,0)))),"Fix")))</f>
        <v>0</v>
      </c>
      <c r="J245" s="3">
        <f>IF(OR(INDEX($O$2:$O$1001,MATCH(ROWS($N$2:N245),$N$2:$N$1001,0),1)&gt;=100000,INDEX($U$1005:$AC$1005,1,MATCH(COLUMNS($U$1006:AC1006),$U$1006:$AC$1006,0))&gt;=100000), " ",IF(INDEX($U$2:$AC$1001,MATCH(ROWS($N$2:N245),$N$2:$N$1001,0),MATCH(COLUMNS($U$1006:AC1006),$U$1006:$AC$1006,0)), HYPERLINK("#",""), HYPERLINK(CONCATENATE("#metadata!", ADDRESS(INDEX($P$2:$P$1001,MATCH(ROWS($N$2:N245),$N$2:$N$1001,0),0), INDEX($U$1004:$AC$1004,1,MATCH(COLUMNS($U$1006:AC1006),$U$1006:$AC$1006,0)))),"Fix")))</f>
        <v>0</v>
      </c>
      <c r="N245">
        <v>0</v>
      </c>
      <c r="O245">
        <v>0</v>
      </c>
      <c r="P245">
        <v>0</v>
      </c>
      <c r="Q245">
        <f>IF(R245,TRUE,AND(U245:AC245))</f>
        <v>0</v>
      </c>
      <c r="R245">
        <f>COUNTBLANK(metadata!B245:J245)=COLUMNS(metadata!B245:J245)</f>
        <v>0</v>
      </c>
      <c r="S245">
        <v>0</v>
      </c>
      <c r="U245">
        <f>AND(IF(metadata!B245="",FALSE,TRUE),COUNTIF(metadata!B:B, metadata!B245) = 1,NOT(ISERROR(SUMPRODUCT(SEARCH(MID(metadata!B245,ROW(INDIRECT("1:"&amp;LEN(metadata!B245))), 1),"0123456789abcdefghijklmnopqrstuvwxyzABCDEFGHIJKLMNOPQRSTUVWXYZ.")))))</f>
        <v>0</v>
      </c>
      <c r="V245">
        <f>AND(IF(metadata!C245="",FALSE,TRUE),exact(metadata!C245,"UBERON:genitourinary"))</f>
        <v>0</v>
      </c>
      <c r="W245">
        <f>AND(IF(metadata!D245="",FALSE,TRUE),exact(metadata!D245,"UBERON:urine"))</f>
        <v>0</v>
      </c>
      <c r="X245">
        <f>AND(IF(metadata!E245="",FALSE,TRUE),exact(metadata!E245,"UBERON:kidney"))</f>
        <v>0</v>
      </c>
      <c r="Y245">
        <f>AND(IF(metadata!F245="",FALSE,TRUE),exact(metadata!F245,"animal corpus"))</f>
        <v>0</v>
      </c>
      <c r="Z245">
        <f>AND(IF(metadata!G245="",FALSE,TRUE),exact(metadata!G245,"urine"))</f>
        <v>0</v>
      </c>
      <c r="AA245">
        <f>AND(IF(metadata!H245="",FALSE,TRUE),exact(metadata!H245,"urine"))</f>
        <v>0</v>
      </c>
      <c r="AB245">
        <f>AND(IF(metadata!I245="",FALSE,TRUE),exact(metadata!I245,"urine metagenome"))</f>
        <v>0</v>
      </c>
      <c r="AC245">
        <f>AND(IF(metadata!J245="",FALSE,TRUE),exact(metadata!J245,"1346744"))</f>
        <v>0</v>
      </c>
    </row>
    <row r="246" spans="1:29">
      <c r="A246" s="4">
        <f>IF(B246=" "," ",HYPERLINK(CONCATENATE("#metadata!",ADDRESS(INDEX($P$2:$P$1001,MATCH(ROWS($N$2:N246),$N$2:$N$1001,0),0),1)),INDEX($S$2:$S$1001,MATCH(ROWS($N$2:N246),$N$2:$N$1001,0),0)))</f>
        <v>0</v>
      </c>
      <c r="B246" s="3">
        <f>IF(OR(INDEX($O$2:$O$1001,MATCH(ROWS($N$2:N246),$N$2:$N$1001,0),1)&gt;=100000,INDEX($U$1005:$AC$1005,1,MATCH(COLUMNS($U$1006:U1006),$U$1006:$AC$1006,0))&gt;=100000), " ",IF(INDEX($U$2:$AC$1001,MATCH(ROWS($N$2:N246),$N$2:$N$1001,0),MATCH(COLUMNS($U$1006:U1006),$U$1006:$AC$1006,0)), HYPERLINK("#",""), HYPERLINK(CONCATENATE("#metadata!", ADDRESS(INDEX($P$2:$P$1001,MATCH(ROWS($N$2:N246),$N$2:$N$1001,0),0), INDEX($U$1004:$AC$1004,1,MATCH(COLUMNS($U$1006:U1006),$U$1006:$AC$1006,0)))),"Fix")))</f>
        <v>0</v>
      </c>
      <c r="C246" s="3">
        <f>IF(OR(INDEX($O$2:$O$1001,MATCH(ROWS($N$2:N246),$N$2:$N$1001,0),1)&gt;=100000,INDEX($U$1005:$AC$1005,1,MATCH(COLUMNS($U$1006:V1006),$U$1006:$AC$1006,0))&gt;=100000), " ",IF(INDEX($U$2:$AC$1001,MATCH(ROWS($N$2:N246),$N$2:$N$1001,0),MATCH(COLUMNS($U$1006:V1006),$U$1006:$AC$1006,0)), HYPERLINK("#",""), HYPERLINK(CONCATENATE("#metadata!", ADDRESS(INDEX($P$2:$P$1001,MATCH(ROWS($N$2:N246),$N$2:$N$1001,0),0), INDEX($U$1004:$AC$1004,1,MATCH(COLUMNS($U$1006:V1006),$U$1006:$AC$1006,0)))),"Fix")))</f>
        <v>0</v>
      </c>
      <c r="D246" s="3">
        <f>IF(OR(INDEX($O$2:$O$1001,MATCH(ROWS($N$2:N246),$N$2:$N$1001,0),1)&gt;=100000,INDEX($U$1005:$AC$1005,1,MATCH(COLUMNS($U$1006:W1006),$U$1006:$AC$1006,0))&gt;=100000), " ",IF(INDEX($U$2:$AC$1001,MATCH(ROWS($N$2:N246),$N$2:$N$1001,0),MATCH(COLUMNS($U$1006:W1006),$U$1006:$AC$1006,0)), HYPERLINK("#",""), HYPERLINK(CONCATENATE("#metadata!", ADDRESS(INDEX($P$2:$P$1001,MATCH(ROWS($N$2:N246),$N$2:$N$1001,0),0), INDEX($U$1004:$AC$1004,1,MATCH(COLUMNS($U$1006:W1006),$U$1006:$AC$1006,0)))),"Fix")))</f>
        <v>0</v>
      </c>
      <c r="E246" s="3">
        <f>IF(OR(INDEX($O$2:$O$1001,MATCH(ROWS($N$2:N246),$N$2:$N$1001,0),1)&gt;=100000,INDEX($U$1005:$AC$1005,1,MATCH(COLUMNS($U$1006:X1006),$U$1006:$AC$1006,0))&gt;=100000), " ",IF(INDEX($U$2:$AC$1001,MATCH(ROWS($N$2:N246),$N$2:$N$1001,0),MATCH(COLUMNS($U$1006:X1006),$U$1006:$AC$1006,0)), HYPERLINK("#",""), HYPERLINK(CONCATENATE("#metadata!", ADDRESS(INDEX($P$2:$P$1001,MATCH(ROWS($N$2:N246),$N$2:$N$1001,0),0), INDEX($U$1004:$AC$1004,1,MATCH(COLUMNS($U$1006:X1006),$U$1006:$AC$1006,0)))),"Fix")))</f>
        <v>0</v>
      </c>
      <c r="F246" s="3">
        <f>IF(OR(INDEX($O$2:$O$1001,MATCH(ROWS($N$2:N246),$N$2:$N$1001,0),1)&gt;=100000,INDEX($U$1005:$AC$1005,1,MATCH(COLUMNS($U$1006:Y1006),$U$1006:$AC$1006,0))&gt;=100000), " ",IF(INDEX($U$2:$AC$1001,MATCH(ROWS($N$2:N246),$N$2:$N$1001,0),MATCH(COLUMNS($U$1006:Y1006),$U$1006:$AC$1006,0)), HYPERLINK("#",""), HYPERLINK(CONCATENATE("#metadata!", ADDRESS(INDEX($P$2:$P$1001,MATCH(ROWS($N$2:N246),$N$2:$N$1001,0),0), INDEX($U$1004:$AC$1004,1,MATCH(COLUMNS($U$1006:Y1006),$U$1006:$AC$1006,0)))),"Fix")))</f>
        <v>0</v>
      </c>
      <c r="G246" s="3">
        <f>IF(OR(INDEX($O$2:$O$1001,MATCH(ROWS($N$2:N246),$N$2:$N$1001,0),1)&gt;=100000,INDEX($U$1005:$AC$1005,1,MATCH(COLUMNS($U$1006:Z1006),$U$1006:$AC$1006,0))&gt;=100000), " ",IF(INDEX($U$2:$AC$1001,MATCH(ROWS($N$2:N246),$N$2:$N$1001,0),MATCH(COLUMNS($U$1006:Z1006),$U$1006:$AC$1006,0)), HYPERLINK("#",""), HYPERLINK(CONCATENATE("#metadata!", ADDRESS(INDEX($P$2:$P$1001,MATCH(ROWS($N$2:N246),$N$2:$N$1001,0),0), INDEX($U$1004:$AC$1004,1,MATCH(COLUMNS($U$1006:Z1006),$U$1006:$AC$1006,0)))),"Fix")))</f>
        <v>0</v>
      </c>
      <c r="H246" s="3">
        <f>IF(OR(INDEX($O$2:$O$1001,MATCH(ROWS($N$2:N246),$N$2:$N$1001,0),1)&gt;=100000,INDEX($U$1005:$AC$1005,1,MATCH(COLUMNS($U$1006:AA1006),$U$1006:$AC$1006,0))&gt;=100000), " ",IF(INDEX($U$2:$AC$1001,MATCH(ROWS($N$2:N246),$N$2:$N$1001,0),MATCH(COLUMNS($U$1006:AA1006),$U$1006:$AC$1006,0)), HYPERLINK("#",""), HYPERLINK(CONCATENATE("#metadata!", ADDRESS(INDEX($P$2:$P$1001,MATCH(ROWS($N$2:N246),$N$2:$N$1001,0),0), INDEX($U$1004:$AC$1004,1,MATCH(COLUMNS($U$1006:AA1006),$U$1006:$AC$1006,0)))),"Fix")))</f>
        <v>0</v>
      </c>
      <c r="I246" s="3">
        <f>IF(OR(INDEX($O$2:$O$1001,MATCH(ROWS($N$2:N246),$N$2:$N$1001,0),1)&gt;=100000,INDEX($U$1005:$AC$1005,1,MATCH(COLUMNS($U$1006:AB1006),$U$1006:$AC$1006,0))&gt;=100000), " ",IF(INDEX($U$2:$AC$1001,MATCH(ROWS($N$2:N246),$N$2:$N$1001,0),MATCH(COLUMNS($U$1006:AB1006),$U$1006:$AC$1006,0)), HYPERLINK("#",""), HYPERLINK(CONCATENATE("#metadata!", ADDRESS(INDEX($P$2:$P$1001,MATCH(ROWS($N$2:N246),$N$2:$N$1001,0),0), INDEX($U$1004:$AC$1004,1,MATCH(COLUMNS($U$1006:AB1006),$U$1006:$AC$1006,0)))),"Fix")))</f>
        <v>0</v>
      </c>
      <c r="J246" s="3">
        <f>IF(OR(INDEX($O$2:$O$1001,MATCH(ROWS($N$2:N246),$N$2:$N$1001,0),1)&gt;=100000,INDEX($U$1005:$AC$1005,1,MATCH(COLUMNS($U$1006:AC1006),$U$1006:$AC$1006,0))&gt;=100000), " ",IF(INDEX($U$2:$AC$1001,MATCH(ROWS($N$2:N246),$N$2:$N$1001,0),MATCH(COLUMNS($U$1006:AC1006),$U$1006:$AC$1006,0)), HYPERLINK("#",""), HYPERLINK(CONCATENATE("#metadata!", ADDRESS(INDEX($P$2:$P$1001,MATCH(ROWS($N$2:N246),$N$2:$N$1001,0),0), INDEX($U$1004:$AC$1004,1,MATCH(COLUMNS($U$1006:AC1006),$U$1006:$AC$1006,0)))),"Fix")))</f>
        <v>0</v>
      </c>
      <c r="N246">
        <v>0</v>
      </c>
      <c r="O246">
        <v>0</v>
      </c>
      <c r="P246">
        <v>0</v>
      </c>
      <c r="Q246">
        <f>IF(R246,TRUE,AND(U246:AC246))</f>
        <v>0</v>
      </c>
      <c r="R246">
        <f>COUNTBLANK(metadata!B246:J246)=COLUMNS(metadata!B246:J246)</f>
        <v>0</v>
      </c>
      <c r="S246">
        <v>0</v>
      </c>
      <c r="U246">
        <f>AND(IF(metadata!B246="",FALSE,TRUE),COUNTIF(metadata!B:B, metadata!B246) = 1,NOT(ISERROR(SUMPRODUCT(SEARCH(MID(metadata!B246,ROW(INDIRECT("1:"&amp;LEN(metadata!B246))), 1),"0123456789abcdefghijklmnopqrstuvwxyzABCDEFGHIJKLMNOPQRSTUVWXYZ.")))))</f>
        <v>0</v>
      </c>
      <c r="V246">
        <f>AND(IF(metadata!C246="",FALSE,TRUE),exact(metadata!C246,"UBERON:genitourinary"))</f>
        <v>0</v>
      </c>
      <c r="W246">
        <f>AND(IF(metadata!D246="",FALSE,TRUE),exact(metadata!D246,"UBERON:urine"))</f>
        <v>0</v>
      </c>
      <c r="X246">
        <f>AND(IF(metadata!E246="",FALSE,TRUE),exact(metadata!E246,"UBERON:kidney"))</f>
        <v>0</v>
      </c>
      <c r="Y246">
        <f>AND(IF(metadata!F246="",FALSE,TRUE),exact(metadata!F246,"animal corpus"))</f>
        <v>0</v>
      </c>
      <c r="Z246">
        <f>AND(IF(metadata!G246="",FALSE,TRUE),exact(metadata!G246,"urine"))</f>
        <v>0</v>
      </c>
      <c r="AA246">
        <f>AND(IF(metadata!H246="",FALSE,TRUE),exact(metadata!H246,"urine"))</f>
        <v>0</v>
      </c>
      <c r="AB246">
        <f>AND(IF(metadata!I246="",FALSE,TRUE),exact(metadata!I246,"urine metagenome"))</f>
        <v>0</v>
      </c>
      <c r="AC246">
        <f>AND(IF(metadata!J246="",FALSE,TRUE),exact(metadata!J246,"1346744"))</f>
        <v>0</v>
      </c>
    </row>
    <row r="247" spans="1:29">
      <c r="A247" s="4">
        <f>IF(B247=" "," ",HYPERLINK(CONCATENATE("#metadata!",ADDRESS(INDEX($P$2:$P$1001,MATCH(ROWS($N$2:N247),$N$2:$N$1001,0),0),1)),INDEX($S$2:$S$1001,MATCH(ROWS($N$2:N247),$N$2:$N$1001,0),0)))</f>
        <v>0</v>
      </c>
      <c r="B247" s="3">
        <f>IF(OR(INDEX($O$2:$O$1001,MATCH(ROWS($N$2:N247),$N$2:$N$1001,0),1)&gt;=100000,INDEX($U$1005:$AC$1005,1,MATCH(COLUMNS($U$1006:U1006),$U$1006:$AC$1006,0))&gt;=100000), " ",IF(INDEX($U$2:$AC$1001,MATCH(ROWS($N$2:N247),$N$2:$N$1001,0),MATCH(COLUMNS($U$1006:U1006),$U$1006:$AC$1006,0)), HYPERLINK("#",""), HYPERLINK(CONCATENATE("#metadata!", ADDRESS(INDEX($P$2:$P$1001,MATCH(ROWS($N$2:N247),$N$2:$N$1001,0),0), INDEX($U$1004:$AC$1004,1,MATCH(COLUMNS($U$1006:U1006),$U$1006:$AC$1006,0)))),"Fix")))</f>
        <v>0</v>
      </c>
      <c r="C247" s="3">
        <f>IF(OR(INDEX($O$2:$O$1001,MATCH(ROWS($N$2:N247),$N$2:$N$1001,0),1)&gt;=100000,INDEX($U$1005:$AC$1005,1,MATCH(COLUMNS($U$1006:V1006),$U$1006:$AC$1006,0))&gt;=100000), " ",IF(INDEX($U$2:$AC$1001,MATCH(ROWS($N$2:N247),$N$2:$N$1001,0),MATCH(COLUMNS($U$1006:V1006),$U$1006:$AC$1006,0)), HYPERLINK("#",""), HYPERLINK(CONCATENATE("#metadata!", ADDRESS(INDEX($P$2:$P$1001,MATCH(ROWS($N$2:N247),$N$2:$N$1001,0),0), INDEX($U$1004:$AC$1004,1,MATCH(COLUMNS($U$1006:V1006),$U$1006:$AC$1006,0)))),"Fix")))</f>
        <v>0</v>
      </c>
      <c r="D247" s="3">
        <f>IF(OR(INDEX($O$2:$O$1001,MATCH(ROWS($N$2:N247),$N$2:$N$1001,0),1)&gt;=100000,INDEX($U$1005:$AC$1005,1,MATCH(COLUMNS($U$1006:W1006),$U$1006:$AC$1006,0))&gt;=100000), " ",IF(INDEX($U$2:$AC$1001,MATCH(ROWS($N$2:N247),$N$2:$N$1001,0),MATCH(COLUMNS($U$1006:W1006),$U$1006:$AC$1006,0)), HYPERLINK("#",""), HYPERLINK(CONCATENATE("#metadata!", ADDRESS(INDEX($P$2:$P$1001,MATCH(ROWS($N$2:N247),$N$2:$N$1001,0),0), INDEX($U$1004:$AC$1004,1,MATCH(COLUMNS($U$1006:W1006),$U$1006:$AC$1006,0)))),"Fix")))</f>
        <v>0</v>
      </c>
      <c r="E247" s="3">
        <f>IF(OR(INDEX($O$2:$O$1001,MATCH(ROWS($N$2:N247),$N$2:$N$1001,0),1)&gt;=100000,INDEX($U$1005:$AC$1005,1,MATCH(COLUMNS($U$1006:X1006),$U$1006:$AC$1006,0))&gt;=100000), " ",IF(INDEX($U$2:$AC$1001,MATCH(ROWS($N$2:N247),$N$2:$N$1001,0),MATCH(COLUMNS($U$1006:X1006),$U$1006:$AC$1006,0)), HYPERLINK("#",""), HYPERLINK(CONCATENATE("#metadata!", ADDRESS(INDEX($P$2:$P$1001,MATCH(ROWS($N$2:N247),$N$2:$N$1001,0),0), INDEX($U$1004:$AC$1004,1,MATCH(COLUMNS($U$1006:X1006),$U$1006:$AC$1006,0)))),"Fix")))</f>
        <v>0</v>
      </c>
      <c r="F247" s="3">
        <f>IF(OR(INDEX($O$2:$O$1001,MATCH(ROWS($N$2:N247),$N$2:$N$1001,0),1)&gt;=100000,INDEX($U$1005:$AC$1005,1,MATCH(COLUMNS($U$1006:Y1006),$U$1006:$AC$1006,0))&gt;=100000), " ",IF(INDEX($U$2:$AC$1001,MATCH(ROWS($N$2:N247),$N$2:$N$1001,0),MATCH(COLUMNS($U$1006:Y1006),$U$1006:$AC$1006,0)), HYPERLINK("#",""), HYPERLINK(CONCATENATE("#metadata!", ADDRESS(INDEX($P$2:$P$1001,MATCH(ROWS($N$2:N247),$N$2:$N$1001,0),0), INDEX($U$1004:$AC$1004,1,MATCH(COLUMNS($U$1006:Y1006),$U$1006:$AC$1006,0)))),"Fix")))</f>
        <v>0</v>
      </c>
      <c r="G247" s="3">
        <f>IF(OR(INDEX($O$2:$O$1001,MATCH(ROWS($N$2:N247),$N$2:$N$1001,0),1)&gt;=100000,INDEX($U$1005:$AC$1005,1,MATCH(COLUMNS($U$1006:Z1006),$U$1006:$AC$1006,0))&gt;=100000), " ",IF(INDEX($U$2:$AC$1001,MATCH(ROWS($N$2:N247),$N$2:$N$1001,0),MATCH(COLUMNS($U$1006:Z1006),$U$1006:$AC$1006,0)), HYPERLINK("#",""), HYPERLINK(CONCATENATE("#metadata!", ADDRESS(INDEX($P$2:$P$1001,MATCH(ROWS($N$2:N247),$N$2:$N$1001,0),0), INDEX($U$1004:$AC$1004,1,MATCH(COLUMNS($U$1006:Z1006),$U$1006:$AC$1006,0)))),"Fix")))</f>
        <v>0</v>
      </c>
      <c r="H247" s="3">
        <f>IF(OR(INDEX($O$2:$O$1001,MATCH(ROWS($N$2:N247),$N$2:$N$1001,0),1)&gt;=100000,INDEX($U$1005:$AC$1005,1,MATCH(COLUMNS($U$1006:AA1006),$U$1006:$AC$1006,0))&gt;=100000), " ",IF(INDEX($U$2:$AC$1001,MATCH(ROWS($N$2:N247),$N$2:$N$1001,0),MATCH(COLUMNS($U$1006:AA1006),$U$1006:$AC$1006,0)), HYPERLINK("#",""), HYPERLINK(CONCATENATE("#metadata!", ADDRESS(INDEX($P$2:$P$1001,MATCH(ROWS($N$2:N247),$N$2:$N$1001,0),0), INDEX($U$1004:$AC$1004,1,MATCH(COLUMNS($U$1006:AA1006),$U$1006:$AC$1006,0)))),"Fix")))</f>
        <v>0</v>
      </c>
      <c r="I247" s="3">
        <f>IF(OR(INDEX($O$2:$O$1001,MATCH(ROWS($N$2:N247),$N$2:$N$1001,0),1)&gt;=100000,INDEX($U$1005:$AC$1005,1,MATCH(COLUMNS($U$1006:AB1006),$U$1006:$AC$1006,0))&gt;=100000), " ",IF(INDEX($U$2:$AC$1001,MATCH(ROWS($N$2:N247),$N$2:$N$1001,0),MATCH(COLUMNS($U$1006:AB1006),$U$1006:$AC$1006,0)), HYPERLINK("#",""), HYPERLINK(CONCATENATE("#metadata!", ADDRESS(INDEX($P$2:$P$1001,MATCH(ROWS($N$2:N247),$N$2:$N$1001,0),0), INDEX($U$1004:$AC$1004,1,MATCH(COLUMNS($U$1006:AB1006),$U$1006:$AC$1006,0)))),"Fix")))</f>
        <v>0</v>
      </c>
      <c r="J247" s="3">
        <f>IF(OR(INDEX($O$2:$O$1001,MATCH(ROWS($N$2:N247),$N$2:$N$1001,0),1)&gt;=100000,INDEX($U$1005:$AC$1005,1,MATCH(COLUMNS($U$1006:AC1006),$U$1006:$AC$1006,0))&gt;=100000), " ",IF(INDEX($U$2:$AC$1001,MATCH(ROWS($N$2:N247),$N$2:$N$1001,0),MATCH(COLUMNS($U$1006:AC1006),$U$1006:$AC$1006,0)), HYPERLINK("#",""), HYPERLINK(CONCATENATE("#metadata!", ADDRESS(INDEX($P$2:$P$1001,MATCH(ROWS($N$2:N247),$N$2:$N$1001,0),0), INDEX($U$1004:$AC$1004,1,MATCH(COLUMNS($U$1006:AC1006),$U$1006:$AC$1006,0)))),"Fix")))</f>
        <v>0</v>
      </c>
      <c r="N247">
        <v>0</v>
      </c>
      <c r="O247">
        <v>0</v>
      </c>
      <c r="P247">
        <v>0</v>
      </c>
      <c r="Q247">
        <f>IF(R247,TRUE,AND(U247:AC247))</f>
        <v>0</v>
      </c>
      <c r="R247">
        <f>COUNTBLANK(metadata!B247:J247)=COLUMNS(metadata!B247:J247)</f>
        <v>0</v>
      </c>
      <c r="S247">
        <v>0</v>
      </c>
      <c r="U247">
        <f>AND(IF(metadata!B247="",FALSE,TRUE),COUNTIF(metadata!B:B, metadata!B247) = 1,NOT(ISERROR(SUMPRODUCT(SEARCH(MID(metadata!B247,ROW(INDIRECT("1:"&amp;LEN(metadata!B247))), 1),"0123456789abcdefghijklmnopqrstuvwxyzABCDEFGHIJKLMNOPQRSTUVWXYZ.")))))</f>
        <v>0</v>
      </c>
      <c r="V247">
        <f>AND(IF(metadata!C247="",FALSE,TRUE),exact(metadata!C247,"UBERON:genitourinary"))</f>
        <v>0</v>
      </c>
      <c r="W247">
        <f>AND(IF(metadata!D247="",FALSE,TRUE),exact(metadata!D247,"UBERON:urine"))</f>
        <v>0</v>
      </c>
      <c r="X247">
        <f>AND(IF(metadata!E247="",FALSE,TRUE),exact(metadata!E247,"UBERON:kidney"))</f>
        <v>0</v>
      </c>
      <c r="Y247">
        <f>AND(IF(metadata!F247="",FALSE,TRUE),exact(metadata!F247,"animal corpus"))</f>
        <v>0</v>
      </c>
      <c r="Z247">
        <f>AND(IF(metadata!G247="",FALSE,TRUE),exact(metadata!G247,"urine"))</f>
        <v>0</v>
      </c>
      <c r="AA247">
        <f>AND(IF(metadata!H247="",FALSE,TRUE),exact(metadata!H247,"urine"))</f>
        <v>0</v>
      </c>
      <c r="AB247">
        <f>AND(IF(metadata!I247="",FALSE,TRUE),exact(metadata!I247,"urine metagenome"))</f>
        <v>0</v>
      </c>
      <c r="AC247">
        <f>AND(IF(metadata!J247="",FALSE,TRUE),exact(metadata!J247,"1346744"))</f>
        <v>0</v>
      </c>
    </row>
    <row r="248" spans="1:29">
      <c r="A248" s="4">
        <f>IF(B248=" "," ",HYPERLINK(CONCATENATE("#metadata!",ADDRESS(INDEX($P$2:$P$1001,MATCH(ROWS($N$2:N248),$N$2:$N$1001,0),0),1)),INDEX($S$2:$S$1001,MATCH(ROWS($N$2:N248),$N$2:$N$1001,0),0)))</f>
        <v>0</v>
      </c>
      <c r="B248" s="3">
        <f>IF(OR(INDEX($O$2:$O$1001,MATCH(ROWS($N$2:N248),$N$2:$N$1001,0),1)&gt;=100000,INDEX($U$1005:$AC$1005,1,MATCH(COLUMNS($U$1006:U1006),$U$1006:$AC$1006,0))&gt;=100000), " ",IF(INDEX($U$2:$AC$1001,MATCH(ROWS($N$2:N248),$N$2:$N$1001,0),MATCH(COLUMNS($U$1006:U1006),$U$1006:$AC$1006,0)), HYPERLINK("#",""), HYPERLINK(CONCATENATE("#metadata!", ADDRESS(INDEX($P$2:$P$1001,MATCH(ROWS($N$2:N248),$N$2:$N$1001,0),0), INDEX($U$1004:$AC$1004,1,MATCH(COLUMNS($U$1006:U1006),$U$1006:$AC$1006,0)))),"Fix")))</f>
        <v>0</v>
      </c>
      <c r="C248" s="3">
        <f>IF(OR(INDEX($O$2:$O$1001,MATCH(ROWS($N$2:N248),$N$2:$N$1001,0),1)&gt;=100000,INDEX($U$1005:$AC$1005,1,MATCH(COLUMNS($U$1006:V1006),$U$1006:$AC$1006,0))&gt;=100000), " ",IF(INDEX($U$2:$AC$1001,MATCH(ROWS($N$2:N248),$N$2:$N$1001,0),MATCH(COLUMNS($U$1006:V1006),$U$1006:$AC$1006,0)), HYPERLINK("#",""), HYPERLINK(CONCATENATE("#metadata!", ADDRESS(INDEX($P$2:$P$1001,MATCH(ROWS($N$2:N248),$N$2:$N$1001,0),0), INDEX($U$1004:$AC$1004,1,MATCH(COLUMNS($U$1006:V1006),$U$1006:$AC$1006,0)))),"Fix")))</f>
        <v>0</v>
      </c>
      <c r="D248" s="3">
        <f>IF(OR(INDEX($O$2:$O$1001,MATCH(ROWS($N$2:N248),$N$2:$N$1001,0),1)&gt;=100000,INDEX($U$1005:$AC$1005,1,MATCH(COLUMNS($U$1006:W1006),$U$1006:$AC$1006,0))&gt;=100000), " ",IF(INDEX($U$2:$AC$1001,MATCH(ROWS($N$2:N248),$N$2:$N$1001,0),MATCH(COLUMNS($U$1006:W1006),$U$1006:$AC$1006,0)), HYPERLINK("#",""), HYPERLINK(CONCATENATE("#metadata!", ADDRESS(INDEX($P$2:$P$1001,MATCH(ROWS($N$2:N248),$N$2:$N$1001,0),0), INDEX($U$1004:$AC$1004,1,MATCH(COLUMNS($U$1006:W1006),$U$1006:$AC$1006,0)))),"Fix")))</f>
        <v>0</v>
      </c>
      <c r="E248" s="3">
        <f>IF(OR(INDEX($O$2:$O$1001,MATCH(ROWS($N$2:N248),$N$2:$N$1001,0),1)&gt;=100000,INDEX($U$1005:$AC$1005,1,MATCH(COLUMNS($U$1006:X1006),$U$1006:$AC$1006,0))&gt;=100000), " ",IF(INDEX($U$2:$AC$1001,MATCH(ROWS($N$2:N248),$N$2:$N$1001,0),MATCH(COLUMNS($U$1006:X1006),$U$1006:$AC$1006,0)), HYPERLINK("#",""), HYPERLINK(CONCATENATE("#metadata!", ADDRESS(INDEX($P$2:$P$1001,MATCH(ROWS($N$2:N248),$N$2:$N$1001,0),0), INDEX($U$1004:$AC$1004,1,MATCH(COLUMNS($U$1006:X1006),$U$1006:$AC$1006,0)))),"Fix")))</f>
        <v>0</v>
      </c>
      <c r="F248" s="3">
        <f>IF(OR(INDEX($O$2:$O$1001,MATCH(ROWS($N$2:N248),$N$2:$N$1001,0),1)&gt;=100000,INDEX($U$1005:$AC$1005,1,MATCH(COLUMNS($U$1006:Y1006),$U$1006:$AC$1006,0))&gt;=100000), " ",IF(INDEX($U$2:$AC$1001,MATCH(ROWS($N$2:N248),$N$2:$N$1001,0),MATCH(COLUMNS($U$1006:Y1006),$U$1006:$AC$1006,0)), HYPERLINK("#",""), HYPERLINK(CONCATENATE("#metadata!", ADDRESS(INDEX($P$2:$P$1001,MATCH(ROWS($N$2:N248),$N$2:$N$1001,0),0), INDEX($U$1004:$AC$1004,1,MATCH(COLUMNS($U$1006:Y1006),$U$1006:$AC$1006,0)))),"Fix")))</f>
        <v>0</v>
      </c>
      <c r="G248" s="3">
        <f>IF(OR(INDEX($O$2:$O$1001,MATCH(ROWS($N$2:N248),$N$2:$N$1001,0),1)&gt;=100000,INDEX($U$1005:$AC$1005,1,MATCH(COLUMNS($U$1006:Z1006),$U$1006:$AC$1006,0))&gt;=100000), " ",IF(INDEX($U$2:$AC$1001,MATCH(ROWS($N$2:N248),$N$2:$N$1001,0),MATCH(COLUMNS($U$1006:Z1006),$U$1006:$AC$1006,0)), HYPERLINK("#",""), HYPERLINK(CONCATENATE("#metadata!", ADDRESS(INDEX($P$2:$P$1001,MATCH(ROWS($N$2:N248),$N$2:$N$1001,0),0), INDEX($U$1004:$AC$1004,1,MATCH(COLUMNS($U$1006:Z1006),$U$1006:$AC$1006,0)))),"Fix")))</f>
        <v>0</v>
      </c>
      <c r="H248" s="3">
        <f>IF(OR(INDEX($O$2:$O$1001,MATCH(ROWS($N$2:N248),$N$2:$N$1001,0),1)&gt;=100000,INDEX($U$1005:$AC$1005,1,MATCH(COLUMNS($U$1006:AA1006),$U$1006:$AC$1006,0))&gt;=100000), " ",IF(INDEX($U$2:$AC$1001,MATCH(ROWS($N$2:N248),$N$2:$N$1001,0),MATCH(COLUMNS($U$1006:AA1006),$U$1006:$AC$1006,0)), HYPERLINK("#",""), HYPERLINK(CONCATENATE("#metadata!", ADDRESS(INDEX($P$2:$P$1001,MATCH(ROWS($N$2:N248),$N$2:$N$1001,0),0), INDEX($U$1004:$AC$1004,1,MATCH(COLUMNS($U$1006:AA1006),$U$1006:$AC$1006,0)))),"Fix")))</f>
        <v>0</v>
      </c>
      <c r="I248" s="3">
        <f>IF(OR(INDEX($O$2:$O$1001,MATCH(ROWS($N$2:N248),$N$2:$N$1001,0),1)&gt;=100000,INDEX($U$1005:$AC$1005,1,MATCH(COLUMNS($U$1006:AB1006),$U$1006:$AC$1006,0))&gt;=100000), " ",IF(INDEX($U$2:$AC$1001,MATCH(ROWS($N$2:N248),$N$2:$N$1001,0),MATCH(COLUMNS($U$1006:AB1006),$U$1006:$AC$1006,0)), HYPERLINK("#",""), HYPERLINK(CONCATENATE("#metadata!", ADDRESS(INDEX($P$2:$P$1001,MATCH(ROWS($N$2:N248),$N$2:$N$1001,0),0), INDEX($U$1004:$AC$1004,1,MATCH(COLUMNS($U$1006:AB1006),$U$1006:$AC$1006,0)))),"Fix")))</f>
        <v>0</v>
      </c>
      <c r="J248" s="3">
        <f>IF(OR(INDEX($O$2:$O$1001,MATCH(ROWS($N$2:N248),$N$2:$N$1001,0),1)&gt;=100000,INDEX($U$1005:$AC$1005,1,MATCH(COLUMNS($U$1006:AC1006),$U$1006:$AC$1006,0))&gt;=100000), " ",IF(INDEX($U$2:$AC$1001,MATCH(ROWS($N$2:N248),$N$2:$N$1001,0),MATCH(COLUMNS($U$1006:AC1006),$U$1006:$AC$1006,0)), HYPERLINK("#",""), HYPERLINK(CONCATENATE("#metadata!", ADDRESS(INDEX($P$2:$P$1001,MATCH(ROWS($N$2:N248),$N$2:$N$1001,0),0), INDEX($U$1004:$AC$1004,1,MATCH(COLUMNS($U$1006:AC1006),$U$1006:$AC$1006,0)))),"Fix")))</f>
        <v>0</v>
      </c>
      <c r="N248">
        <v>0</v>
      </c>
      <c r="O248">
        <v>0</v>
      </c>
      <c r="P248">
        <v>0</v>
      </c>
      <c r="Q248">
        <f>IF(R248,TRUE,AND(U248:AC248))</f>
        <v>0</v>
      </c>
      <c r="R248">
        <f>COUNTBLANK(metadata!B248:J248)=COLUMNS(metadata!B248:J248)</f>
        <v>0</v>
      </c>
      <c r="S248">
        <v>0</v>
      </c>
      <c r="U248">
        <f>AND(IF(metadata!B248="",FALSE,TRUE),COUNTIF(metadata!B:B, metadata!B248) = 1,NOT(ISERROR(SUMPRODUCT(SEARCH(MID(metadata!B248,ROW(INDIRECT("1:"&amp;LEN(metadata!B248))), 1),"0123456789abcdefghijklmnopqrstuvwxyzABCDEFGHIJKLMNOPQRSTUVWXYZ.")))))</f>
        <v>0</v>
      </c>
      <c r="V248">
        <f>AND(IF(metadata!C248="",FALSE,TRUE),exact(metadata!C248,"UBERON:genitourinary"))</f>
        <v>0</v>
      </c>
      <c r="W248">
        <f>AND(IF(metadata!D248="",FALSE,TRUE),exact(metadata!D248,"UBERON:urine"))</f>
        <v>0</v>
      </c>
      <c r="X248">
        <f>AND(IF(metadata!E248="",FALSE,TRUE),exact(metadata!E248,"UBERON:kidney"))</f>
        <v>0</v>
      </c>
      <c r="Y248">
        <f>AND(IF(metadata!F248="",FALSE,TRUE),exact(metadata!F248,"animal corpus"))</f>
        <v>0</v>
      </c>
      <c r="Z248">
        <f>AND(IF(metadata!G248="",FALSE,TRUE),exact(metadata!G248,"urine"))</f>
        <v>0</v>
      </c>
      <c r="AA248">
        <f>AND(IF(metadata!H248="",FALSE,TRUE),exact(metadata!H248,"urine"))</f>
        <v>0</v>
      </c>
      <c r="AB248">
        <f>AND(IF(metadata!I248="",FALSE,TRUE),exact(metadata!I248,"urine metagenome"))</f>
        <v>0</v>
      </c>
      <c r="AC248">
        <f>AND(IF(metadata!J248="",FALSE,TRUE),exact(metadata!J248,"1346744"))</f>
        <v>0</v>
      </c>
    </row>
    <row r="249" spans="1:29">
      <c r="A249" s="4">
        <f>IF(B249=" "," ",HYPERLINK(CONCATENATE("#metadata!",ADDRESS(INDEX($P$2:$P$1001,MATCH(ROWS($N$2:N249),$N$2:$N$1001,0),0),1)),INDEX($S$2:$S$1001,MATCH(ROWS($N$2:N249),$N$2:$N$1001,0),0)))</f>
        <v>0</v>
      </c>
      <c r="B249" s="3">
        <f>IF(OR(INDEX($O$2:$O$1001,MATCH(ROWS($N$2:N249),$N$2:$N$1001,0),1)&gt;=100000,INDEX($U$1005:$AC$1005,1,MATCH(COLUMNS($U$1006:U1006),$U$1006:$AC$1006,0))&gt;=100000), " ",IF(INDEX($U$2:$AC$1001,MATCH(ROWS($N$2:N249),$N$2:$N$1001,0),MATCH(COLUMNS($U$1006:U1006),$U$1006:$AC$1006,0)), HYPERLINK("#",""), HYPERLINK(CONCATENATE("#metadata!", ADDRESS(INDEX($P$2:$P$1001,MATCH(ROWS($N$2:N249),$N$2:$N$1001,0),0), INDEX($U$1004:$AC$1004,1,MATCH(COLUMNS($U$1006:U1006),$U$1006:$AC$1006,0)))),"Fix")))</f>
        <v>0</v>
      </c>
      <c r="C249" s="3">
        <f>IF(OR(INDEX($O$2:$O$1001,MATCH(ROWS($N$2:N249),$N$2:$N$1001,0),1)&gt;=100000,INDEX($U$1005:$AC$1005,1,MATCH(COLUMNS($U$1006:V1006),$U$1006:$AC$1006,0))&gt;=100000), " ",IF(INDEX($U$2:$AC$1001,MATCH(ROWS($N$2:N249),$N$2:$N$1001,0),MATCH(COLUMNS($U$1006:V1006),$U$1006:$AC$1006,0)), HYPERLINK("#",""), HYPERLINK(CONCATENATE("#metadata!", ADDRESS(INDEX($P$2:$P$1001,MATCH(ROWS($N$2:N249),$N$2:$N$1001,0),0), INDEX($U$1004:$AC$1004,1,MATCH(COLUMNS($U$1006:V1006),$U$1006:$AC$1006,0)))),"Fix")))</f>
        <v>0</v>
      </c>
      <c r="D249" s="3">
        <f>IF(OR(INDEX($O$2:$O$1001,MATCH(ROWS($N$2:N249),$N$2:$N$1001,0),1)&gt;=100000,INDEX($U$1005:$AC$1005,1,MATCH(COLUMNS($U$1006:W1006),$U$1006:$AC$1006,0))&gt;=100000), " ",IF(INDEX($U$2:$AC$1001,MATCH(ROWS($N$2:N249),$N$2:$N$1001,0),MATCH(COLUMNS($U$1006:W1006),$U$1006:$AC$1006,0)), HYPERLINK("#",""), HYPERLINK(CONCATENATE("#metadata!", ADDRESS(INDEX($P$2:$P$1001,MATCH(ROWS($N$2:N249),$N$2:$N$1001,0),0), INDEX($U$1004:$AC$1004,1,MATCH(COLUMNS($U$1006:W1006),$U$1006:$AC$1006,0)))),"Fix")))</f>
        <v>0</v>
      </c>
      <c r="E249" s="3">
        <f>IF(OR(INDEX($O$2:$O$1001,MATCH(ROWS($N$2:N249),$N$2:$N$1001,0),1)&gt;=100000,INDEX($U$1005:$AC$1005,1,MATCH(COLUMNS($U$1006:X1006),$U$1006:$AC$1006,0))&gt;=100000), " ",IF(INDEX($U$2:$AC$1001,MATCH(ROWS($N$2:N249),$N$2:$N$1001,0),MATCH(COLUMNS($U$1006:X1006),$U$1006:$AC$1006,0)), HYPERLINK("#",""), HYPERLINK(CONCATENATE("#metadata!", ADDRESS(INDEX($P$2:$P$1001,MATCH(ROWS($N$2:N249),$N$2:$N$1001,0),0), INDEX($U$1004:$AC$1004,1,MATCH(COLUMNS($U$1006:X1006),$U$1006:$AC$1006,0)))),"Fix")))</f>
        <v>0</v>
      </c>
      <c r="F249" s="3">
        <f>IF(OR(INDEX($O$2:$O$1001,MATCH(ROWS($N$2:N249),$N$2:$N$1001,0),1)&gt;=100000,INDEX($U$1005:$AC$1005,1,MATCH(COLUMNS($U$1006:Y1006),$U$1006:$AC$1006,0))&gt;=100000), " ",IF(INDEX($U$2:$AC$1001,MATCH(ROWS($N$2:N249),$N$2:$N$1001,0),MATCH(COLUMNS($U$1006:Y1006),$U$1006:$AC$1006,0)), HYPERLINK("#",""), HYPERLINK(CONCATENATE("#metadata!", ADDRESS(INDEX($P$2:$P$1001,MATCH(ROWS($N$2:N249),$N$2:$N$1001,0),0), INDEX($U$1004:$AC$1004,1,MATCH(COLUMNS($U$1006:Y1006),$U$1006:$AC$1006,0)))),"Fix")))</f>
        <v>0</v>
      </c>
      <c r="G249" s="3">
        <f>IF(OR(INDEX($O$2:$O$1001,MATCH(ROWS($N$2:N249),$N$2:$N$1001,0),1)&gt;=100000,INDEX($U$1005:$AC$1005,1,MATCH(COLUMNS($U$1006:Z1006),$U$1006:$AC$1006,0))&gt;=100000), " ",IF(INDEX($U$2:$AC$1001,MATCH(ROWS($N$2:N249),$N$2:$N$1001,0),MATCH(COLUMNS($U$1006:Z1006),$U$1006:$AC$1006,0)), HYPERLINK("#",""), HYPERLINK(CONCATENATE("#metadata!", ADDRESS(INDEX($P$2:$P$1001,MATCH(ROWS($N$2:N249),$N$2:$N$1001,0),0), INDEX($U$1004:$AC$1004,1,MATCH(COLUMNS($U$1006:Z1006),$U$1006:$AC$1006,0)))),"Fix")))</f>
        <v>0</v>
      </c>
      <c r="H249" s="3">
        <f>IF(OR(INDEX($O$2:$O$1001,MATCH(ROWS($N$2:N249),$N$2:$N$1001,0),1)&gt;=100000,INDEX($U$1005:$AC$1005,1,MATCH(COLUMNS($U$1006:AA1006),$U$1006:$AC$1006,0))&gt;=100000), " ",IF(INDEX($U$2:$AC$1001,MATCH(ROWS($N$2:N249),$N$2:$N$1001,0),MATCH(COLUMNS($U$1006:AA1006),$U$1006:$AC$1006,0)), HYPERLINK("#",""), HYPERLINK(CONCATENATE("#metadata!", ADDRESS(INDEX($P$2:$P$1001,MATCH(ROWS($N$2:N249),$N$2:$N$1001,0),0), INDEX($U$1004:$AC$1004,1,MATCH(COLUMNS($U$1006:AA1006),$U$1006:$AC$1006,0)))),"Fix")))</f>
        <v>0</v>
      </c>
      <c r="I249" s="3">
        <f>IF(OR(INDEX($O$2:$O$1001,MATCH(ROWS($N$2:N249),$N$2:$N$1001,0),1)&gt;=100000,INDEX($U$1005:$AC$1005,1,MATCH(COLUMNS($U$1006:AB1006),$U$1006:$AC$1006,0))&gt;=100000), " ",IF(INDEX($U$2:$AC$1001,MATCH(ROWS($N$2:N249),$N$2:$N$1001,0),MATCH(COLUMNS($U$1006:AB1006),$U$1006:$AC$1006,0)), HYPERLINK("#",""), HYPERLINK(CONCATENATE("#metadata!", ADDRESS(INDEX($P$2:$P$1001,MATCH(ROWS($N$2:N249),$N$2:$N$1001,0),0), INDEX($U$1004:$AC$1004,1,MATCH(COLUMNS($U$1006:AB1006),$U$1006:$AC$1006,0)))),"Fix")))</f>
        <v>0</v>
      </c>
      <c r="J249" s="3">
        <f>IF(OR(INDEX($O$2:$O$1001,MATCH(ROWS($N$2:N249),$N$2:$N$1001,0),1)&gt;=100000,INDEX($U$1005:$AC$1005,1,MATCH(COLUMNS($U$1006:AC1006),$U$1006:$AC$1006,0))&gt;=100000), " ",IF(INDEX($U$2:$AC$1001,MATCH(ROWS($N$2:N249),$N$2:$N$1001,0),MATCH(COLUMNS($U$1006:AC1006),$U$1006:$AC$1006,0)), HYPERLINK("#",""), HYPERLINK(CONCATENATE("#metadata!", ADDRESS(INDEX($P$2:$P$1001,MATCH(ROWS($N$2:N249),$N$2:$N$1001,0),0), INDEX($U$1004:$AC$1004,1,MATCH(COLUMNS($U$1006:AC1006),$U$1006:$AC$1006,0)))),"Fix")))</f>
        <v>0</v>
      </c>
      <c r="N249">
        <v>0</v>
      </c>
      <c r="O249">
        <v>0</v>
      </c>
      <c r="P249">
        <v>0</v>
      </c>
      <c r="Q249">
        <f>IF(R249,TRUE,AND(U249:AC249))</f>
        <v>0</v>
      </c>
      <c r="R249">
        <f>COUNTBLANK(metadata!B249:J249)=COLUMNS(metadata!B249:J249)</f>
        <v>0</v>
      </c>
      <c r="S249">
        <v>0</v>
      </c>
      <c r="U249">
        <f>AND(IF(metadata!B249="",FALSE,TRUE),COUNTIF(metadata!B:B, metadata!B249) = 1,NOT(ISERROR(SUMPRODUCT(SEARCH(MID(metadata!B249,ROW(INDIRECT("1:"&amp;LEN(metadata!B249))), 1),"0123456789abcdefghijklmnopqrstuvwxyzABCDEFGHIJKLMNOPQRSTUVWXYZ.")))))</f>
        <v>0</v>
      </c>
      <c r="V249">
        <f>AND(IF(metadata!C249="",FALSE,TRUE),exact(metadata!C249,"UBERON:genitourinary"))</f>
        <v>0</v>
      </c>
      <c r="W249">
        <f>AND(IF(metadata!D249="",FALSE,TRUE),exact(metadata!D249,"UBERON:urine"))</f>
        <v>0</v>
      </c>
      <c r="X249">
        <f>AND(IF(metadata!E249="",FALSE,TRUE),exact(metadata!E249,"UBERON:kidney"))</f>
        <v>0</v>
      </c>
      <c r="Y249">
        <f>AND(IF(metadata!F249="",FALSE,TRUE),exact(metadata!F249,"animal corpus"))</f>
        <v>0</v>
      </c>
      <c r="Z249">
        <f>AND(IF(metadata!G249="",FALSE,TRUE),exact(metadata!G249,"urine"))</f>
        <v>0</v>
      </c>
      <c r="AA249">
        <f>AND(IF(metadata!H249="",FALSE,TRUE),exact(metadata!H249,"urine"))</f>
        <v>0</v>
      </c>
      <c r="AB249">
        <f>AND(IF(metadata!I249="",FALSE,TRUE),exact(metadata!I249,"urine metagenome"))</f>
        <v>0</v>
      </c>
      <c r="AC249">
        <f>AND(IF(metadata!J249="",FALSE,TRUE),exact(metadata!J249,"1346744"))</f>
        <v>0</v>
      </c>
    </row>
    <row r="250" spans="1:29">
      <c r="A250" s="4">
        <f>IF(B250=" "," ",HYPERLINK(CONCATENATE("#metadata!",ADDRESS(INDEX($P$2:$P$1001,MATCH(ROWS($N$2:N250),$N$2:$N$1001,0),0),1)),INDEX($S$2:$S$1001,MATCH(ROWS($N$2:N250),$N$2:$N$1001,0),0)))</f>
        <v>0</v>
      </c>
      <c r="B250" s="3">
        <f>IF(OR(INDEX($O$2:$O$1001,MATCH(ROWS($N$2:N250),$N$2:$N$1001,0),1)&gt;=100000,INDEX($U$1005:$AC$1005,1,MATCH(COLUMNS($U$1006:U1006),$U$1006:$AC$1006,0))&gt;=100000), " ",IF(INDEX($U$2:$AC$1001,MATCH(ROWS($N$2:N250),$N$2:$N$1001,0),MATCH(COLUMNS($U$1006:U1006),$U$1006:$AC$1006,0)), HYPERLINK("#",""), HYPERLINK(CONCATENATE("#metadata!", ADDRESS(INDEX($P$2:$P$1001,MATCH(ROWS($N$2:N250),$N$2:$N$1001,0),0), INDEX($U$1004:$AC$1004,1,MATCH(COLUMNS($U$1006:U1006),$U$1006:$AC$1006,0)))),"Fix")))</f>
        <v>0</v>
      </c>
      <c r="C250" s="3">
        <f>IF(OR(INDEX($O$2:$O$1001,MATCH(ROWS($N$2:N250),$N$2:$N$1001,0),1)&gt;=100000,INDEX($U$1005:$AC$1005,1,MATCH(COLUMNS($U$1006:V1006),$U$1006:$AC$1006,0))&gt;=100000), " ",IF(INDEX($U$2:$AC$1001,MATCH(ROWS($N$2:N250),$N$2:$N$1001,0),MATCH(COLUMNS($U$1006:V1006),$U$1006:$AC$1006,0)), HYPERLINK("#",""), HYPERLINK(CONCATENATE("#metadata!", ADDRESS(INDEX($P$2:$P$1001,MATCH(ROWS($N$2:N250),$N$2:$N$1001,0),0), INDEX($U$1004:$AC$1004,1,MATCH(COLUMNS($U$1006:V1006),$U$1006:$AC$1006,0)))),"Fix")))</f>
        <v>0</v>
      </c>
      <c r="D250" s="3">
        <f>IF(OR(INDEX($O$2:$O$1001,MATCH(ROWS($N$2:N250),$N$2:$N$1001,0),1)&gt;=100000,INDEX($U$1005:$AC$1005,1,MATCH(COLUMNS($U$1006:W1006),$U$1006:$AC$1006,0))&gt;=100000), " ",IF(INDEX($U$2:$AC$1001,MATCH(ROWS($N$2:N250),$N$2:$N$1001,0),MATCH(COLUMNS($U$1006:W1006),$U$1006:$AC$1006,0)), HYPERLINK("#",""), HYPERLINK(CONCATENATE("#metadata!", ADDRESS(INDEX($P$2:$P$1001,MATCH(ROWS($N$2:N250),$N$2:$N$1001,0),0), INDEX($U$1004:$AC$1004,1,MATCH(COLUMNS($U$1006:W1006),$U$1006:$AC$1006,0)))),"Fix")))</f>
        <v>0</v>
      </c>
      <c r="E250" s="3">
        <f>IF(OR(INDEX($O$2:$O$1001,MATCH(ROWS($N$2:N250),$N$2:$N$1001,0),1)&gt;=100000,INDEX($U$1005:$AC$1005,1,MATCH(COLUMNS($U$1006:X1006),$U$1006:$AC$1006,0))&gt;=100000), " ",IF(INDEX($U$2:$AC$1001,MATCH(ROWS($N$2:N250),$N$2:$N$1001,0),MATCH(COLUMNS($U$1006:X1006),$U$1006:$AC$1006,0)), HYPERLINK("#",""), HYPERLINK(CONCATENATE("#metadata!", ADDRESS(INDEX($P$2:$P$1001,MATCH(ROWS($N$2:N250),$N$2:$N$1001,0),0), INDEX($U$1004:$AC$1004,1,MATCH(COLUMNS($U$1006:X1006),$U$1006:$AC$1006,0)))),"Fix")))</f>
        <v>0</v>
      </c>
      <c r="F250" s="3">
        <f>IF(OR(INDEX($O$2:$O$1001,MATCH(ROWS($N$2:N250),$N$2:$N$1001,0),1)&gt;=100000,INDEX($U$1005:$AC$1005,1,MATCH(COLUMNS($U$1006:Y1006),$U$1006:$AC$1006,0))&gt;=100000), " ",IF(INDEX($U$2:$AC$1001,MATCH(ROWS($N$2:N250),$N$2:$N$1001,0),MATCH(COLUMNS($U$1006:Y1006),$U$1006:$AC$1006,0)), HYPERLINK("#",""), HYPERLINK(CONCATENATE("#metadata!", ADDRESS(INDEX($P$2:$P$1001,MATCH(ROWS($N$2:N250),$N$2:$N$1001,0),0), INDEX($U$1004:$AC$1004,1,MATCH(COLUMNS($U$1006:Y1006),$U$1006:$AC$1006,0)))),"Fix")))</f>
        <v>0</v>
      </c>
      <c r="G250" s="3">
        <f>IF(OR(INDEX($O$2:$O$1001,MATCH(ROWS($N$2:N250),$N$2:$N$1001,0),1)&gt;=100000,INDEX($U$1005:$AC$1005,1,MATCH(COLUMNS($U$1006:Z1006),$U$1006:$AC$1006,0))&gt;=100000), " ",IF(INDEX($U$2:$AC$1001,MATCH(ROWS($N$2:N250),$N$2:$N$1001,0),MATCH(COLUMNS($U$1006:Z1006),$U$1006:$AC$1006,0)), HYPERLINK("#",""), HYPERLINK(CONCATENATE("#metadata!", ADDRESS(INDEX($P$2:$P$1001,MATCH(ROWS($N$2:N250),$N$2:$N$1001,0),0), INDEX($U$1004:$AC$1004,1,MATCH(COLUMNS($U$1006:Z1006),$U$1006:$AC$1006,0)))),"Fix")))</f>
        <v>0</v>
      </c>
      <c r="H250" s="3">
        <f>IF(OR(INDEX($O$2:$O$1001,MATCH(ROWS($N$2:N250),$N$2:$N$1001,0),1)&gt;=100000,INDEX($U$1005:$AC$1005,1,MATCH(COLUMNS($U$1006:AA1006),$U$1006:$AC$1006,0))&gt;=100000), " ",IF(INDEX($U$2:$AC$1001,MATCH(ROWS($N$2:N250),$N$2:$N$1001,0),MATCH(COLUMNS($U$1006:AA1006),$U$1006:$AC$1006,0)), HYPERLINK("#",""), HYPERLINK(CONCATENATE("#metadata!", ADDRESS(INDEX($P$2:$P$1001,MATCH(ROWS($N$2:N250),$N$2:$N$1001,0),0), INDEX($U$1004:$AC$1004,1,MATCH(COLUMNS($U$1006:AA1006),$U$1006:$AC$1006,0)))),"Fix")))</f>
        <v>0</v>
      </c>
      <c r="I250" s="3">
        <f>IF(OR(INDEX($O$2:$O$1001,MATCH(ROWS($N$2:N250),$N$2:$N$1001,0),1)&gt;=100000,INDEX($U$1005:$AC$1005,1,MATCH(COLUMNS($U$1006:AB1006),$U$1006:$AC$1006,0))&gt;=100000), " ",IF(INDEX($U$2:$AC$1001,MATCH(ROWS($N$2:N250),$N$2:$N$1001,0),MATCH(COLUMNS($U$1006:AB1006),$U$1006:$AC$1006,0)), HYPERLINK("#",""), HYPERLINK(CONCATENATE("#metadata!", ADDRESS(INDEX($P$2:$P$1001,MATCH(ROWS($N$2:N250),$N$2:$N$1001,0),0), INDEX($U$1004:$AC$1004,1,MATCH(COLUMNS($U$1006:AB1006),$U$1006:$AC$1006,0)))),"Fix")))</f>
        <v>0</v>
      </c>
      <c r="J250" s="3">
        <f>IF(OR(INDEX($O$2:$O$1001,MATCH(ROWS($N$2:N250),$N$2:$N$1001,0),1)&gt;=100000,INDEX($U$1005:$AC$1005,1,MATCH(COLUMNS($U$1006:AC1006),$U$1006:$AC$1006,0))&gt;=100000), " ",IF(INDEX($U$2:$AC$1001,MATCH(ROWS($N$2:N250),$N$2:$N$1001,0),MATCH(COLUMNS($U$1006:AC1006),$U$1006:$AC$1006,0)), HYPERLINK("#",""), HYPERLINK(CONCATENATE("#metadata!", ADDRESS(INDEX($P$2:$P$1001,MATCH(ROWS($N$2:N250),$N$2:$N$1001,0),0), INDEX($U$1004:$AC$1004,1,MATCH(COLUMNS($U$1006:AC1006),$U$1006:$AC$1006,0)))),"Fix")))</f>
        <v>0</v>
      </c>
      <c r="N250">
        <v>0</v>
      </c>
      <c r="O250">
        <v>0</v>
      </c>
      <c r="P250">
        <v>0</v>
      </c>
      <c r="Q250">
        <f>IF(R250,TRUE,AND(U250:AC250))</f>
        <v>0</v>
      </c>
      <c r="R250">
        <f>COUNTBLANK(metadata!B250:J250)=COLUMNS(metadata!B250:J250)</f>
        <v>0</v>
      </c>
      <c r="S250">
        <v>0</v>
      </c>
      <c r="U250">
        <f>AND(IF(metadata!B250="",FALSE,TRUE),COUNTIF(metadata!B:B, metadata!B250) = 1,NOT(ISERROR(SUMPRODUCT(SEARCH(MID(metadata!B250,ROW(INDIRECT("1:"&amp;LEN(metadata!B250))), 1),"0123456789abcdefghijklmnopqrstuvwxyzABCDEFGHIJKLMNOPQRSTUVWXYZ.")))))</f>
        <v>0</v>
      </c>
      <c r="V250">
        <f>AND(IF(metadata!C250="",FALSE,TRUE),exact(metadata!C250,"UBERON:genitourinary"))</f>
        <v>0</v>
      </c>
      <c r="W250">
        <f>AND(IF(metadata!D250="",FALSE,TRUE),exact(metadata!D250,"UBERON:urine"))</f>
        <v>0</v>
      </c>
      <c r="X250">
        <f>AND(IF(metadata!E250="",FALSE,TRUE),exact(metadata!E250,"UBERON:kidney"))</f>
        <v>0</v>
      </c>
      <c r="Y250">
        <f>AND(IF(metadata!F250="",FALSE,TRUE),exact(metadata!F250,"animal corpus"))</f>
        <v>0</v>
      </c>
      <c r="Z250">
        <f>AND(IF(metadata!G250="",FALSE,TRUE),exact(metadata!G250,"urine"))</f>
        <v>0</v>
      </c>
      <c r="AA250">
        <f>AND(IF(metadata!H250="",FALSE,TRUE),exact(metadata!H250,"urine"))</f>
        <v>0</v>
      </c>
      <c r="AB250">
        <f>AND(IF(metadata!I250="",FALSE,TRUE),exact(metadata!I250,"urine metagenome"))</f>
        <v>0</v>
      </c>
      <c r="AC250">
        <f>AND(IF(metadata!J250="",FALSE,TRUE),exact(metadata!J250,"1346744"))</f>
        <v>0</v>
      </c>
    </row>
    <row r="251" spans="1:29">
      <c r="A251" s="4">
        <f>IF(B251=" "," ",HYPERLINK(CONCATENATE("#metadata!",ADDRESS(INDEX($P$2:$P$1001,MATCH(ROWS($N$2:N251),$N$2:$N$1001,0),0),1)),INDEX($S$2:$S$1001,MATCH(ROWS($N$2:N251),$N$2:$N$1001,0),0)))</f>
        <v>0</v>
      </c>
      <c r="B251" s="3">
        <f>IF(OR(INDEX($O$2:$O$1001,MATCH(ROWS($N$2:N251),$N$2:$N$1001,0),1)&gt;=100000,INDEX($U$1005:$AC$1005,1,MATCH(COLUMNS($U$1006:U1006),$U$1006:$AC$1006,0))&gt;=100000), " ",IF(INDEX($U$2:$AC$1001,MATCH(ROWS($N$2:N251),$N$2:$N$1001,0),MATCH(COLUMNS($U$1006:U1006),$U$1006:$AC$1006,0)), HYPERLINK("#",""), HYPERLINK(CONCATENATE("#metadata!", ADDRESS(INDEX($P$2:$P$1001,MATCH(ROWS($N$2:N251),$N$2:$N$1001,0),0), INDEX($U$1004:$AC$1004,1,MATCH(COLUMNS($U$1006:U1006),$U$1006:$AC$1006,0)))),"Fix")))</f>
        <v>0</v>
      </c>
      <c r="C251" s="3">
        <f>IF(OR(INDEX($O$2:$O$1001,MATCH(ROWS($N$2:N251),$N$2:$N$1001,0),1)&gt;=100000,INDEX($U$1005:$AC$1005,1,MATCH(COLUMNS($U$1006:V1006),$U$1006:$AC$1006,0))&gt;=100000), " ",IF(INDEX($U$2:$AC$1001,MATCH(ROWS($N$2:N251),$N$2:$N$1001,0),MATCH(COLUMNS($U$1006:V1006),$U$1006:$AC$1006,0)), HYPERLINK("#",""), HYPERLINK(CONCATENATE("#metadata!", ADDRESS(INDEX($P$2:$P$1001,MATCH(ROWS($N$2:N251),$N$2:$N$1001,0),0), INDEX($U$1004:$AC$1004,1,MATCH(COLUMNS($U$1006:V1006),$U$1006:$AC$1006,0)))),"Fix")))</f>
        <v>0</v>
      </c>
      <c r="D251" s="3">
        <f>IF(OR(INDEX($O$2:$O$1001,MATCH(ROWS($N$2:N251),$N$2:$N$1001,0),1)&gt;=100000,INDEX($U$1005:$AC$1005,1,MATCH(COLUMNS($U$1006:W1006),$U$1006:$AC$1006,0))&gt;=100000), " ",IF(INDEX($U$2:$AC$1001,MATCH(ROWS($N$2:N251),$N$2:$N$1001,0),MATCH(COLUMNS($U$1006:W1006),$U$1006:$AC$1006,0)), HYPERLINK("#",""), HYPERLINK(CONCATENATE("#metadata!", ADDRESS(INDEX($P$2:$P$1001,MATCH(ROWS($N$2:N251),$N$2:$N$1001,0),0), INDEX($U$1004:$AC$1004,1,MATCH(COLUMNS($U$1006:W1006),$U$1006:$AC$1006,0)))),"Fix")))</f>
        <v>0</v>
      </c>
      <c r="E251" s="3">
        <f>IF(OR(INDEX($O$2:$O$1001,MATCH(ROWS($N$2:N251),$N$2:$N$1001,0),1)&gt;=100000,INDEX($U$1005:$AC$1005,1,MATCH(COLUMNS($U$1006:X1006),$U$1006:$AC$1006,0))&gt;=100000), " ",IF(INDEX($U$2:$AC$1001,MATCH(ROWS($N$2:N251),$N$2:$N$1001,0),MATCH(COLUMNS($U$1006:X1006),$U$1006:$AC$1006,0)), HYPERLINK("#",""), HYPERLINK(CONCATENATE("#metadata!", ADDRESS(INDEX($P$2:$P$1001,MATCH(ROWS($N$2:N251),$N$2:$N$1001,0),0), INDEX($U$1004:$AC$1004,1,MATCH(COLUMNS($U$1006:X1006),$U$1006:$AC$1006,0)))),"Fix")))</f>
        <v>0</v>
      </c>
      <c r="F251" s="3">
        <f>IF(OR(INDEX($O$2:$O$1001,MATCH(ROWS($N$2:N251),$N$2:$N$1001,0),1)&gt;=100000,INDEX($U$1005:$AC$1005,1,MATCH(COLUMNS($U$1006:Y1006),$U$1006:$AC$1006,0))&gt;=100000), " ",IF(INDEX($U$2:$AC$1001,MATCH(ROWS($N$2:N251),$N$2:$N$1001,0),MATCH(COLUMNS($U$1006:Y1006),$U$1006:$AC$1006,0)), HYPERLINK("#",""), HYPERLINK(CONCATENATE("#metadata!", ADDRESS(INDEX($P$2:$P$1001,MATCH(ROWS($N$2:N251),$N$2:$N$1001,0),0), INDEX($U$1004:$AC$1004,1,MATCH(COLUMNS($U$1006:Y1006),$U$1006:$AC$1006,0)))),"Fix")))</f>
        <v>0</v>
      </c>
      <c r="G251" s="3">
        <f>IF(OR(INDEX($O$2:$O$1001,MATCH(ROWS($N$2:N251),$N$2:$N$1001,0),1)&gt;=100000,INDEX($U$1005:$AC$1005,1,MATCH(COLUMNS($U$1006:Z1006),$U$1006:$AC$1006,0))&gt;=100000), " ",IF(INDEX($U$2:$AC$1001,MATCH(ROWS($N$2:N251),$N$2:$N$1001,0),MATCH(COLUMNS($U$1006:Z1006),$U$1006:$AC$1006,0)), HYPERLINK("#",""), HYPERLINK(CONCATENATE("#metadata!", ADDRESS(INDEX($P$2:$P$1001,MATCH(ROWS($N$2:N251),$N$2:$N$1001,0),0), INDEX($U$1004:$AC$1004,1,MATCH(COLUMNS($U$1006:Z1006),$U$1006:$AC$1006,0)))),"Fix")))</f>
        <v>0</v>
      </c>
      <c r="H251" s="3">
        <f>IF(OR(INDEX($O$2:$O$1001,MATCH(ROWS($N$2:N251),$N$2:$N$1001,0),1)&gt;=100000,INDEX($U$1005:$AC$1005,1,MATCH(COLUMNS($U$1006:AA1006),$U$1006:$AC$1006,0))&gt;=100000), " ",IF(INDEX($U$2:$AC$1001,MATCH(ROWS($N$2:N251),$N$2:$N$1001,0),MATCH(COLUMNS($U$1006:AA1006),$U$1006:$AC$1006,0)), HYPERLINK("#",""), HYPERLINK(CONCATENATE("#metadata!", ADDRESS(INDEX($P$2:$P$1001,MATCH(ROWS($N$2:N251),$N$2:$N$1001,0),0), INDEX($U$1004:$AC$1004,1,MATCH(COLUMNS($U$1006:AA1006),$U$1006:$AC$1006,0)))),"Fix")))</f>
        <v>0</v>
      </c>
      <c r="I251" s="3">
        <f>IF(OR(INDEX($O$2:$O$1001,MATCH(ROWS($N$2:N251),$N$2:$N$1001,0),1)&gt;=100000,INDEX($U$1005:$AC$1005,1,MATCH(COLUMNS($U$1006:AB1006),$U$1006:$AC$1006,0))&gt;=100000), " ",IF(INDEX($U$2:$AC$1001,MATCH(ROWS($N$2:N251),$N$2:$N$1001,0),MATCH(COLUMNS($U$1006:AB1006),$U$1006:$AC$1006,0)), HYPERLINK("#",""), HYPERLINK(CONCATENATE("#metadata!", ADDRESS(INDEX($P$2:$P$1001,MATCH(ROWS($N$2:N251),$N$2:$N$1001,0),0), INDEX($U$1004:$AC$1004,1,MATCH(COLUMNS($U$1006:AB1006),$U$1006:$AC$1006,0)))),"Fix")))</f>
        <v>0</v>
      </c>
      <c r="J251" s="3">
        <f>IF(OR(INDEX($O$2:$O$1001,MATCH(ROWS($N$2:N251),$N$2:$N$1001,0),1)&gt;=100000,INDEX($U$1005:$AC$1005,1,MATCH(COLUMNS($U$1006:AC1006),$U$1006:$AC$1006,0))&gt;=100000), " ",IF(INDEX($U$2:$AC$1001,MATCH(ROWS($N$2:N251),$N$2:$N$1001,0),MATCH(COLUMNS($U$1006:AC1006),$U$1006:$AC$1006,0)), HYPERLINK("#",""), HYPERLINK(CONCATENATE("#metadata!", ADDRESS(INDEX($P$2:$P$1001,MATCH(ROWS($N$2:N251),$N$2:$N$1001,0),0), INDEX($U$1004:$AC$1004,1,MATCH(COLUMNS($U$1006:AC1006),$U$1006:$AC$1006,0)))),"Fix")))</f>
        <v>0</v>
      </c>
      <c r="N251">
        <v>0</v>
      </c>
      <c r="O251">
        <v>0</v>
      </c>
      <c r="P251">
        <v>0</v>
      </c>
      <c r="Q251">
        <f>IF(R251,TRUE,AND(U251:AC251))</f>
        <v>0</v>
      </c>
      <c r="R251">
        <f>COUNTBLANK(metadata!B251:J251)=COLUMNS(metadata!B251:J251)</f>
        <v>0</v>
      </c>
      <c r="S251">
        <v>0</v>
      </c>
      <c r="U251">
        <f>AND(IF(metadata!B251="",FALSE,TRUE),COUNTIF(metadata!B:B, metadata!B251) = 1,NOT(ISERROR(SUMPRODUCT(SEARCH(MID(metadata!B251,ROW(INDIRECT("1:"&amp;LEN(metadata!B251))), 1),"0123456789abcdefghijklmnopqrstuvwxyzABCDEFGHIJKLMNOPQRSTUVWXYZ.")))))</f>
        <v>0</v>
      </c>
      <c r="V251">
        <f>AND(IF(metadata!C251="",FALSE,TRUE),exact(metadata!C251,"UBERON:genitourinary"))</f>
        <v>0</v>
      </c>
      <c r="W251">
        <f>AND(IF(metadata!D251="",FALSE,TRUE),exact(metadata!D251,"UBERON:urine"))</f>
        <v>0</v>
      </c>
      <c r="X251">
        <f>AND(IF(metadata!E251="",FALSE,TRUE),exact(metadata!E251,"UBERON:kidney"))</f>
        <v>0</v>
      </c>
      <c r="Y251">
        <f>AND(IF(metadata!F251="",FALSE,TRUE),exact(metadata!F251,"animal corpus"))</f>
        <v>0</v>
      </c>
      <c r="Z251">
        <f>AND(IF(metadata!G251="",FALSE,TRUE),exact(metadata!G251,"urine"))</f>
        <v>0</v>
      </c>
      <c r="AA251">
        <f>AND(IF(metadata!H251="",FALSE,TRUE),exact(metadata!H251,"urine"))</f>
        <v>0</v>
      </c>
      <c r="AB251">
        <f>AND(IF(metadata!I251="",FALSE,TRUE),exact(metadata!I251,"urine metagenome"))</f>
        <v>0</v>
      </c>
      <c r="AC251">
        <f>AND(IF(metadata!J251="",FALSE,TRUE),exact(metadata!J251,"1346744"))</f>
        <v>0</v>
      </c>
    </row>
    <row r="252" spans="1:29">
      <c r="A252" s="4">
        <f>IF(B252=" "," ",HYPERLINK(CONCATENATE("#metadata!",ADDRESS(INDEX($P$2:$P$1001,MATCH(ROWS($N$2:N252),$N$2:$N$1001,0),0),1)),INDEX($S$2:$S$1001,MATCH(ROWS($N$2:N252),$N$2:$N$1001,0),0)))</f>
        <v>0</v>
      </c>
      <c r="B252" s="3">
        <f>IF(OR(INDEX($O$2:$O$1001,MATCH(ROWS($N$2:N252),$N$2:$N$1001,0),1)&gt;=100000,INDEX($U$1005:$AC$1005,1,MATCH(COLUMNS($U$1006:U1006),$U$1006:$AC$1006,0))&gt;=100000), " ",IF(INDEX($U$2:$AC$1001,MATCH(ROWS($N$2:N252),$N$2:$N$1001,0),MATCH(COLUMNS($U$1006:U1006),$U$1006:$AC$1006,0)), HYPERLINK("#",""), HYPERLINK(CONCATENATE("#metadata!", ADDRESS(INDEX($P$2:$P$1001,MATCH(ROWS($N$2:N252),$N$2:$N$1001,0),0), INDEX($U$1004:$AC$1004,1,MATCH(COLUMNS($U$1006:U1006),$U$1006:$AC$1006,0)))),"Fix")))</f>
        <v>0</v>
      </c>
      <c r="C252" s="3">
        <f>IF(OR(INDEX($O$2:$O$1001,MATCH(ROWS($N$2:N252),$N$2:$N$1001,0),1)&gt;=100000,INDEX($U$1005:$AC$1005,1,MATCH(COLUMNS($U$1006:V1006),$U$1006:$AC$1006,0))&gt;=100000), " ",IF(INDEX($U$2:$AC$1001,MATCH(ROWS($N$2:N252),$N$2:$N$1001,0),MATCH(COLUMNS($U$1006:V1006),$U$1006:$AC$1006,0)), HYPERLINK("#",""), HYPERLINK(CONCATENATE("#metadata!", ADDRESS(INDEX($P$2:$P$1001,MATCH(ROWS($N$2:N252),$N$2:$N$1001,0),0), INDEX($U$1004:$AC$1004,1,MATCH(COLUMNS($U$1006:V1006),$U$1006:$AC$1006,0)))),"Fix")))</f>
        <v>0</v>
      </c>
      <c r="D252" s="3">
        <f>IF(OR(INDEX($O$2:$O$1001,MATCH(ROWS($N$2:N252),$N$2:$N$1001,0),1)&gt;=100000,INDEX($U$1005:$AC$1005,1,MATCH(COLUMNS($U$1006:W1006),$U$1006:$AC$1006,0))&gt;=100000), " ",IF(INDEX($U$2:$AC$1001,MATCH(ROWS($N$2:N252),$N$2:$N$1001,0),MATCH(COLUMNS($U$1006:W1006),$U$1006:$AC$1006,0)), HYPERLINK("#",""), HYPERLINK(CONCATENATE("#metadata!", ADDRESS(INDEX($P$2:$P$1001,MATCH(ROWS($N$2:N252),$N$2:$N$1001,0),0), INDEX($U$1004:$AC$1004,1,MATCH(COLUMNS($U$1006:W1006),$U$1006:$AC$1006,0)))),"Fix")))</f>
        <v>0</v>
      </c>
      <c r="E252" s="3">
        <f>IF(OR(INDEX($O$2:$O$1001,MATCH(ROWS($N$2:N252),$N$2:$N$1001,0),1)&gt;=100000,INDEX($U$1005:$AC$1005,1,MATCH(COLUMNS($U$1006:X1006),$U$1006:$AC$1006,0))&gt;=100000), " ",IF(INDEX($U$2:$AC$1001,MATCH(ROWS($N$2:N252),$N$2:$N$1001,0),MATCH(COLUMNS($U$1006:X1006),$U$1006:$AC$1006,0)), HYPERLINK("#",""), HYPERLINK(CONCATENATE("#metadata!", ADDRESS(INDEX($P$2:$P$1001,MATCH(ROWS($N$2:N252),$N$2:$N$1001,0),0), INDEX($U$1004:$AC$1004,1,MATCH(COLUMNS($U$1006:X1006),$U$1006:$AC$1006,0)))),"Fix")))</f>
        <v>0</v>
      </c>
      <c r="F252" s="3">
        <f>IF(OR(INDEX($O$2:$O$1001,MATCH(ROWS($N$2:N252),$N$2:$N$1001,0),1)&gt;=100000,INDEX($U$1005:$AC$1005,1,MATCH(COLUMNS($U$1006:Y1006),$U$1006:$AC$1006,0))&gt;=100000), " ",IF(INDEX($U$2:$AC$1001,MATCH(ROWS($N$2:N252),$N$2:$N$1001,0),MATCH(COLUMNS($U$1006:Y1006),$U$1006:$AC$1006,0)), HYPERLINK("#",""), HYPERLINK(CONCATENATE("#metadata!", ADDRESS(INDEX($P$2:$P$1001,MATCH(ROWS($N$2:N252),$N$2:$N$1001,0),0), INDEX($U$1004:$AC$1004,1,MATCH(COLUMNS($U$1006:Y1006),$U$1006:$AC$1006,0)))),"Fix")))</f>
        <v>0</v>
      </c>
      <c r="G252" s="3">
        <f>IF(OR(INDEX($O$2:$O$1001,MATCH(ROWS($N$2:N252),$N$2:$N$1001,0),1)&gt;=100000,INDEX($U$1005:$AC$1005,1,MATCH(COLUMNS($U$1006:Z1006),$U$1006:$AC$1006,0))&gt;=100000), " ",IF(INDEX($U$2:$AC$1001,MATCH(ROWS($N$2:N252),$N$2:$N$1001,0),MATCH(COLUMNS($U$1006:Z1006),$U$1006:$AC$1006,0)), HYPERLINK("#",""), HYPERLINK(CONCATENATE("#metadata!", ADDRESS(INDEX($P$2:$P$1001,MATCH(ROWS($N$2:N252),$N$2:$N$1001,0),0), INDEX($U$1004:$AC$1004,1,MATCH(COLUMNS($U$1006:Z1006),$U$1006:$AC$1006,0)))),"Fix")))</f>
        <v>0</v>
      </c>
      <c r="H252" s="3">
        <f>IF(OR(INDEX($O$2:$O$1001,MATCH(ROWS($N$2:N252),$N$2:$N$1001,0),1)&gt;=100000,INDEX($U$1005:$AC$1005,1,MATCH(COLUMNS($U$1006:AA1006),$U$1006:$AC$1006,0))&gt;=100000), " ",IF(INDEX($U$2:$AC$1001,MATCH(ROWS($N$2:N252),$N$2:$N$1001,0),MATCH(COLUMNS($U$1006:AA1006),$U$1006:$AC$1006,0)), HYPERLINK("#",""), HYPERLINK(CONCATENATE("#metadata!", ADDRESS(INDEX($P$2:$P$1001,MATCH(ROWS($N$2:N252),$N$2:$N$1001,0),0), INDEX($U$1004:$AC$1004,1,MATCH(COLUMNS($U$1006:AA1006),$U$1006:$AC$1006,0)))),"Fix")))</f>
        <v>0</v>
      </c>
      <c r="I252" s="3">
        <f>IF(OR(INDEX($O$2:$O$1001,MATCH(ROWS($N$2:N252),$N$2:$N$1001,0),1)&gt;=100000,INDEX($U$1005:$AC$1005,1,MATCH(COLUMNS($U$1006:AB1006),$U$1006:$AC$1006,0))&gt;=100000), " ",IF(INDEX($U$2:$AC$1001,MATCH(ROWS($N$2:N252),$N$2:$N$1001,0),MATCH(COLUMNS($U$1006:AB1006),$U$1006:$AC$1006,0)), HYPERLINK("#",""), HYPERLINK(CONCATENATE("#metadata!", ADDRESS(INDEX($P$2:$P$1001,MATCH(ROWS($N$2:N252),$N$2:$N$1001,0),0), INDEX($U$1004:$AC$1004,1,MATCH(COLUMNS($U$1006:AB1006),$U$1006:$AC$1006,0)))),"Fix")))</f>
        <v>0</v>
      </c>
      <c r="J252" s="3">
        <f>IF(OR(INDEX($O$2:$O$1001,MATCH(ROWS($N$2:N252),$N$2:$N$1001,0),1)&gt;=100000,INDEX($U$1005:$AC$1005,1,MATCH(COLUMNS($U$1006:AC1006),$U$1006:$AC$1006,0))&gt;=100000), " ",IF(INDEX($U$2:$AC$1001,MATCH(ROWS($N$2:N252),$N$2:$N$1001,0),MATCH(COLUMNS($U$1006:AC1006),$U$1006:$AC$1006,0)), HYPERLINK("#",""), HYPERLINK(CONCATENATE("#metadata!", ADDRESS(INDEX($P$2:$P$1001,MATCH(ROWS($N$2:N252),$N$2:$N$1001,0),0), INDEX($U$1004:$AC$1004,1,MATCH(COLUMNS($U$1006:AC1006),$U$1006:$AC$1006,0)))),"Fix")))</f>
        <v>0</v>
      </c>
      <c r="N252">
        <v>0</v>
      </c>
      <c r="O252">
        <v>0</v>
      </c>
      <c r="P252">
        <v>0</v>
      </c>
      <c r="Q252">
        <f>IF(R252,TRUE,AND(U252:AC252))</f>
        <v>0</v>
      </c>
      <c r="R252">
        <f>COUNTBLANK(metadata!B252:J252)=COLUMNS(metadata!B252:J252)</f>
        <v>0</v>
      </c>
      <c r="S252">
        <v>0</v>
      </c>
      <c r="U252">
        <f>AND(IF(metadata!B252="",FALSE,TRUE),COUNTIF(metadata!B:B, metadata!B252) = 1,NOT(ISERROR(SUMPRODUCT(SEARCH(MID(metadata!B252,ROW(INDIRECT("1:"&amp;LEN(metadata!B252))), 1),"0123456789abcdefghijklmnopqrstuvwxyzABCDEFGHIJKLMNOPQRSTUVWXYZ.")))))</f>
        <v>0</v>
      </c>
      <c r="V252">
        <f>AND(IF(metadata!C252="",FALSE,TRUE),exact(metadata!C252,"UBERON:genitourinary"))</f>
        <v>0</v>
      </c>
      <c r="W252">
        <f>AND(IF(metadata!D252="",FALSE,TRUE),exact(metadata!D252,"UBERON:urine"))</f>
        <v>0</v>
      </c>
      <c r="X252">
        <f>AND(IF(metadata!E252="",FALSE,TRUE),exact(metadata!E252,"UBERON:kidney"))</f>
        <v>0</v>
      </c>
      <c r="Y252">
        <f>AND(IF(metadata!F252="",FALSE,TRUE),exact(metadata!F252,"animal corpus"))</f>
        <v>0</v>
      </c>
      <c r="Z252">
        <f>AND(IF(metadata!G252="",FALSE,TRUE),exact(metadata!G252,"urine"))</f>
        <v>0</v>
      </c>
      <c r="AA252">
        <f>AND(IF(metadata!H252="",FALSE,TRUE),exact(metadata!H252,"urine"))</f>
        <v>0</v>
      </c>
      <c r="AB252">
        <f>AND(IF(metadata!I252="",FALSE,TRUE),exact(metadata!I252,"urine metagenome"))</f>
        <v>0</v>
      </c>
      <c r="AC252">
        <f>AND(IF(metadata!J252="",FALSE,TRUE),exact(metadata!J252,"1346744"))</f>
        <v>0</v>
      </c>
    </row>
    <row r="253" spans="1:29">
      <c r="A253" s="4">
        <f>IF(B253=" "," ",HYPERLINK(CONCATENATE("#metadata!",ADDRESS(INDEX($P$2:$P$1001,MATCH(ROWS($N$2:N253),$N$2:$N$1001,0),0),1)),INDEX($S$2:$S$1001,MATCH(ROWS($N$2:N253),$N$2:$N$1001,0),0)))</f>
        <v>0</v>
      </c>
      <c r="B253" s="3">
        <f>IF(OR(INDEX($O$2:$O$1001,MATCH(ROWS($N$2:N253),$N$2:$N$1001,0),1)&gt;=100000,INDEX($U$1005:$AC$1005,1,MATCH(COLUMNS($U$1006:U1006),$U$1006:$AC$1006,0))&gt;=100000), " ",IF(INDEX($U$2:$AC$1001,MATCH(ROWS($N$2:N253),$N$2:$N$1001,0),MATCH(COLUMNS($U$1006:U1006),$U$1006:$AC$1006,0)), HYPERLINK("#",""), HYPERLINK(CONCATENATE("#metadata!", ADDRESS(INDEX($P$2:$P$1001,MATCH(ROWS($N$2:N253),$N$2:$N$1001,0),0), INDEX($U$1004:$AC$1004,1,MATCH(COLUMNS($U$1006:U1006),$U$1006:$AC$1006,0)))),"Fix")))</f>
        <v>0</v>
      </c>
      <c r="C253" s="3">
        <f>IF(OR(INDEX($O$2:$O$1001,MATCH(ROWS($N$2:N253),$N$2:$N$1001,0),1)&gt;=100000,INDEX($U$1005:$AC$1005,1,MATCH(COLUMNS($U$1006:V1006),$U$1006:$AC$1006,0))&gt;=100000), " ",IF(INDEX($U$2:$AC$1001,MATCH(ROWS($N$2:N253),$N$2:$N$1001,0),MATCH(COLUMNS($U$1006:V1006),$U$1006:$AC$1006,0)), HYPERLINK("#",""), HYPERLINK(CONCATENATE("#metadata!", ADDRESS(INDEX($P$2:$P$1001,MATCH(ROWS($N$2:N253),$N$2:$N$1001,0),0), INDEX($U$1004:$AC$1004,1,MATCH(COLUMNS($U$1006:V1006),$U$1006:$AC$1006,0)))),"Fix")))</f>
        <v>0</v>
      </c>
      <c r="D253" s="3">
        <f>IF(OR(INDEX($O$2:$O$1001,MATCH(ROWS($N$2:N253),$N$2:$N$1001,0),1)&gt;=100000,INDEX($U$1005:$AC$1005,1,MATCH(COLUMNS($U$1006:W1006),$U$1006:$AC$1006,0))&gt;=100000), " ",IF(INDEX($U$2:$AC$1001,MATCH(ROWS($N$2:N253),$N$2:$N$1001,0),MATCH(COLUMNS($U$1006:W1006),$U$1006:$AC$1006,0)), HYPERLINK("#",""), HYPERLINK(CONCATENATE("#metadata!", ADDRESS(INDEX($P$2:$P$1001,MATCH(ROWS($N$2:N253),$N$2:$N$1001,0),0), INDEX($U$1004:$AC$1004,1,MATCH(COLUMNS($U$1006:W1006),$U$1006:$AC$1006,0)))),"Fix")))</f>
        <v>0</v>
      </c>
      <c r="E253" s="3">
        <f>IF(OR(INDEX($O$2:$O$1001,MATCH(ROWS($N$2:N253),$N$2:$N$1001,0),1)&gt;=100000,INDEX($U$1005:$AC$1005,1,MATCH(COLUMNS($U$1006:X1006),$U$1006:$AC$1006,0))&gt;=100000), " ",IF(INDEX($U$2:$AC$1001,MATCH(ROWS($N$2:N253),$N$2:$N$1001,0),MATCH(COLUMNS($U$1006:X1006),$U$1006:$AC$1006,0)), HYPERLINK("#",""), HYPERLINK(CONCATENATE("#metadata!", ADDRESS(INDEX($P$2:$P$1001,MATCH(ROWS($N$2:N253),$N$2:$N$1001,0),0), INDEX($U$1004:$AC$1004,1,MATCH(COLUMNS($U$1006:X1006),$U$1006:$AC$1006,0)))),"Fix")))</f>
        <v>0</v>
      </c>
      <c r="F253" s="3">
        <f>IF(OR(INDEX($O$2:$O$1001,MATCH(ROWS($N$2:N253),$N$2:$N$1001,0),1)&gt;=100000,INDEX($U$1005:$AC$1005,1,MATCH(COLUMNS($U$1006:Y1006),$U$1006:$AC$1006,0))&gt;=100000), " ",IF(INDEX($U$2:$AC$1001,MATCH(ROWS($N$2:N253),$N$2:$N$1001,0),MATCH(COLUMNS($U$1006:Y1006),$U$1006:$AC$1006,0)), HYPERLINK("#",""), HYPERLINK(CONCATENATE("#metadata!", ADDRESS(INDEX($P$2:$P$1001,MATCH(ROWS($N$2:N253),$N$2:$N$1001,0),0), INDEX($U$1004:$AC$1004,1,MATCH(COLUMNS($U$1006:Y1006),$U$1006:$AC$1006,0)))),"Fix")))</f>
        <v>0</v>
      </c>
      <c r="G253" s="3">
        <f>IF(OR(INDEX($O$2:$O$1001,MATCH(ROWS($N$2:N253),$N$2:$N$1001,0),1)&gt;=100000,INDEX($U$1005:$AC$1005,1,MATCH(COLUMNS($U$1006:Z1006),$U$1006:$AC$1006,0))&gt;=100000), " ",IF(INDEX($U$2:$AC$1001,MATCH(ROWS($N$2:N253),$N$2:$N$1001,0),MATCH(COLUMNS($U$1006:Z1006),$U$1006:$AC$1006,0)), HYPERLINK("#",""), HYPERLINK(CONCATENATE("#metadata!", ADDRESS(INDEX($P$2:$P$1001,MATCH(ROWS($N$2:N253),$N$2:$N$1001,0),0), INDEX($U$1004:$AC$1004,1,MATCH(COLUMNS($U$1006:Z1006),$U$1006:$AC$1006,0)))),"Fix")))</f>
        <v>0</v>
      </c>
      <c r="H253" s="3">
        <f>IF(OR(INDEX($O$2:$O$1001,MATCH(ROWS($N$2:N253),$N$2:$N$1001,0),1)&gt;=100000,INDEX($U$1005:$AC$1005,1,MATCH(COLUMNS($U$1006:AA1006),$U$1006:$AC$1006,0))&gt;=100000), " ",IF(INDEX($U$2:$AC$1001,MATCH(ROWS($N$2:N253),$N$2:$N$1001,0),MATCH(COLUMNS($U$1006:AA1006),$U$1006:$AC$1006,0)), HYPERLINK("#",""), HYPERLINK(CONCATENATE("#metadata!", ADDRESS(INDEX($P$2:$P$1001,MATCH(ROWS($N$2:N253),$N$2:$N$1001,0),0), INDEX($U$1004:$AC$1004,1,MATCH(COLUMNS($U$1006:AA1006),$U$1006:$AC$1006,0)))),"Fix")))</f>
        <v>0</v>
      </c>
      <c r="I253" s="3">
        <f>IF(OR(INDEX($O$2:$O$1001,MATCH(ROWS($N$2:N253),$N$2:$N$1001,0),1)&gt;=100000,INDEX($U$1005:$AC$1005,1,MATCH(COLUMNS($U$1006:AB1006),$U$1006:$AC$1006,0))&gt;=100000), " ",IF(INDEX($U$2:$AC$1001,MATCH(ROWS($N$2:N253),$N$2:$N$1001,0),MATCH(COLUMNS($U$1006:AB1006),$U$1006:$AC$1006,0)), HYPERLINK("#",""), HYPERLINK(CONCATENATE("#metadata!", ADDRESS(INDEX($P$2:$P$1001,MATCH(ROWS($N$2:N253),$N$2:$N$1001,0),0), INDEX($U$1004:$AC$1004,1,MATCH(COLUMNS($U$1006:AB1006),$U$1006:$AC$1006,0)))),"Fix")))</f>
        <v>0</v>
      </c>
      <c r="J253" s="3">
        <f>IF(OR(INDEX($O$2:$O$1001,MATCH(ROWS($N$2:N253),$N$2:$N$1001,0),1)&gt;=100000,INDEX($U$1005:$AC$1005,1,MATCH(COLUMNS($U$1006:AC1006),$U$1006:$AC$1006,0))&gt;=100000), " ",IF(INDEX($U$2:$AC$1001,MATCH(ROWS($N$2:N253),$N$2:$N$1001,0),MATCH(COLUMNS($U$1006:AC1006),$U$1006:$AC$1006,0)), HYPERLINK("#",""), HYPERLINK(CONCATENATE("#metadata!", ADDRESS(INDEX($P$2:$P$1001,MATCH(ROWS($N$2:N253),$N$2:$N$1001,0),0), INDEX($U$1004:$AC$1004,1,MATCH(COLUMNS($U$1006:AC1006),$U$1006:$AC$1006,0)))),"Fix")))</f>
        <v>0</v>
      </c>
      <c r="N253">
        <v>0</v>
      </c>
      <c r="O253">
        <v>0</v>
      </c>
      <c r="P253">
        <v>0</v>
      </c>
      <c r="Q253">
        <f>IF(R253,TRUE,AND(U253:AC253))</f>
        <v>0</v>
      </c>
      <c r="R253">
        <f>COUNTBLANK(metadata!B253:J253)=COLUMNS(metadata!B253:J253)</f>
        <v>0</v>
      </c>
      <c r="S253">
        <v>0</v>
      </c>
      <c r="U253">
        <f>AND(IF(metadata!B253="",FALSE,TRUE),COUNTIF(metadata!B:B, metadata!B253) = 1,NOT(ISERROR(SUMPRODUCT(SEARCH(MID(metadata!B253,ROW(INDIRECT("1:"&amp;LEN(metadata!B253))), 1),"0123456789abcdefghijklmnopqrstuvwxyzABCDEFGHIJKLMNOPQRSTUVWXYZ.")))))</f>
        <v>0</v>
      </c>
      <c r="V253">
        <f>AND(IF(metadata!C253="",FALSE,TRUE),exact(metadata!C253,"UBERON:genitourinary"))</f>
        <v>0</v>
      </c>
      <c r="W253">
        <f>AND(IF(metadata!D253="",FALSE,TRUE),exact(metadata!D253,"UBERON:urine"))</f>
        <v>0</v>
      </c>
      <c r="X253">
        <f>AND(IF(metadata!E253="",FALSE,TRUE),exact(metadata!E253,"UBERON:kidney"))</f>
        <v>0</v>
      </c>
      <c r="Y253">
        <f>AND(IF(metadata!F253="",FALSE,TRUE),exact(metadata!F253,"animal corpus"))</f>
        <v>0</v>
      </c>
      <c r="Z253">
        <f>AND(IF(metadata!G253="",FALSE,TRUE),exact(metadata!G253,"urine"))</f>
        <v>0</v>
      </c>
      <c r="AA253">
        <f>AND(IF(metadata!H253="",FALSE,TRUE),exact(metadata!H253,"urine"))</f>
        <v>0</v>
      </c>
      <c r="AB253">
        <f>AND(IF(metadata!I253="",FALSE,TRUE),exact(metadata!I253,"urine metagenome"))</f>
        <v>0</v>
      </c>
      <c r="AC253">
        <f>AND(IF(metadata!J253="",FALSE,TRUE),exact(metadata!J253,"1346744"))</f>
        <v>0</v>
      </c>
    </row>
    <row r="254" spans="1:29">
      <c r="A254" s="4">
        <f>IF(B254=" "," ",HYPERLINK(CONCATENATE("#metadata!",ADDRESS(INDEX($P$2:$P$1001,MATCH(ROWS($N$2:N254),$N$2:$N$1001,0),0),1)),INDEX($S$2:$S$1001,MATCH(ROWS($N$2:N254),$N$2:$N$1001,0),0)))</f>
        <v>0</v>
      </c>
      <c r="B254" s="3">
        <f>IF(OR(INDEX($O$2:$O$1001,MATCH(ROWS($N$2:N254),$N$2:$N$1001,0),1)&gt;=100000,INDEX($U$1005:$AC$1005,1,MATCH(COLUMNS($U$1006:U1006),$U$1006:$AC$1006,0))&gt;=100000), " ",IF(INDEX($U$2:$AC$1001,MATCH(ROWS($N$2:N254),$N$2:$N$1001,0),MATCH(COLUMNS($U$1006:U1006),$U$1006:$AC$1006,0)), HYPERLINK("#",""), HYPERLINK(CONCATENATE("#metadata!", ADDRESS(INDEX($P$2:$P$1001,MATCH(ROWS($N$2:N254),$N$2:$N$1001,0),0), INDEX($U$1004:$AC$1004,1,MATCH(COLUMNS($U$1006:U1006),$U$1006:$AC$1006,0)))),"Fix")))</f>
        <v>0</v>
      </c>
      <c r="C254" s="3">
        <f>IF(OR(INDEX($O$2:$O$1001,MATCH(ROWS($N$2:N254),$N$2:$N$1001,0),1)&gt;=100000,INDEX($U$1005:$AC$1005,1,MATCH(COLUMNS($U$1006:V1006),$U$1006:$AC$1006,0))&gt;=100000), " ",IF(INDEX($U$2:$AC$1001,MATCH(ROWS($N$2:N254),$N$2:$N$1001,0),MATCH(COLUMNS($U$1006:V1006),$U$1006:$AC$1006,0)), HYPERLINK("#",""), HYPERLINK(CONCATENATE("#metadata!", ADDRESS(INDEX($P$2:$P$1001,MATCH(ROWS($N$2:N254),$N$2:$N$1001,0),0), INDEX($U$1004:$AC$1004,1,MATCH(COLUMNS($U$1006:V1006),$U$1006:$AC$1006,0)))),"Fix")))</f>
        <v>0</v>
      </c>
      <c r="D254" s="3">
        <f>IF(OR(INDEX($O$2:$O$1001,MATCH(ROWS($N$2:N254),$N$2:$N$1001,0),1)&gt;=100000,INDEX($U$1005:$AC$1005,1,MATCH(COLUMNS($U$1006:W1006),$U$1006:$AC$1006,0))&gt;=100000), " ",IF(INDEX($U$2:$AC$1001,MATCH(ROWS($N$2:N254),$N$2:$N$1001,0),MATCH(COLUMNS($U$1006:W1006),$U$1006:$AC$1006,0)), HYPERLINK("#",""), HYPERLINK(CONCATENATE("#metadata!", ADDRESS(INDEX($P$2:$P$1001,MATCH(ROWS($N$2:N254),$N$2:$N$1001,0),0), INDEX($U$1004:$AC$1004,1,MATCH(COLUMNS($U$1006:W1006),$U$1006:$AC$1006,0)))),"Fix")))</f>
        <v>0</v>
      </c>
      <c r="E254" s="3">
        <f>IF(OR(INDEX($O$2:$O$1001,MATCH(ROWS($N$2:N254),$N$2:$N$1001,0),1)&gt;=100000,INDEX($U$1005:$AC$1005,1,MATCH(COLUMNS($U$1006:X1006),$U$1006:$AC$1006,0))&gt;=100000), " ",IF(INDEX($U$2:$AC$1001,MATCH(ROWS($N$2:N254),$N$2:$N$1001,0),MATCH(COLUMNS($U$1006:X1006),$U$1006:$AC$1006,0)), HYPERLINK("#",""), HYPERLINK(CONCATENATE("#metadata!", ADDRESS(INDEX($P$2:$P$1001,MATCH(ROWS($N$2:N254),$N$2:$N$1001,0),0), INDEX($U$1004:$AC$1004,1,MATCH(COLUMNS($U$1006:X1006),$U$1006:$AC$1006,0)))),"Fix")))</f>
        <v>0</v>
      </c>
      <c r="F254" s="3">
        <f>IF(OR(INDEX($O$2:$O$1001,MATCH(ROWS($N$2:N254),$N$2:$N$1001,0),1)&gt;=100000,INDEX($U$1005:$AC$1005,1,MATCH(COLUMNS($U$1006:Y1006),$U$1006:$AC$1006,0))&gt;=100000), " ",IF(INDEX($U$2:$AC$1001,MATCH(ROWS($N$2:N254),$N$2:$N$1001,0),MATCH(COLUMNS($U$1006:Y1006),$U$1006:$AC$1006,0)), HYPERLINK("#",""), HYPERLINK(CONCATENATE("#metadata!", ADDRESS(INDEX($P$2:$P$1001,MATCH(ROWS($N$2:N254),$N$2:$N$1001,0),0), INDEX($U$1004:$AC$1004,1,MATCH(COLUMNS($U$1006:Y1006),$U$1006:$AC$1006,0)))),"Fix")))</f>
        <v>0</v>
      </c>
      <c r="G254" s="3">
        <f>IF(OR(INDEX($O$2:$O$1001,MATCH(ROWS($N$2:N254),$N$2:$N$1001,0),1)&gt;=100000,INDEX($U$1005:$AC$1005,1,MATCH(COLUMNS($U$1006:Z1006),$U$1006:$AC$1006,0))&gt;=100000), " ",IF(INDEX($U$2:$AC$1001,MATCH(ROWS($N$2:N254),$N$2:$N$1001,0),MATCH(COLUMNS($U$1006:Z1006),$U$1006:$AC$1006,0)), HYPERLINK("#",""), HYPERLINK(CONCATENATE("#metadata!", ADDRESS(INDEX($P$2:$P$1001,MATCH(ROWS($N$2:N254),$N$2:$N$1001,0),0), INDEX($U$1004:$AC$1004,1,MATCH(COLUMNS($U$1006:Z1006),$U$1006:$AC$1006,0)))),"Fix")))</f>
        <v>0</v>
      </c>
      <c r="H254" s="3">
        <f>IF(OR(INDEX($O$2:$O$1001,MATCH(ROWS($N$2:N254),$N$2:$N$1001,0),1)&gt;=100000,INDEX($U$1005:$AC$1005,1,MATCH(COLUMNS($U$1006:AA1006),$U$1006:$AC$1006,0))&gt;=100000), " ",IF(INDEX($U$2:$AC$1001,MATCH(ROWS($N$2:N254),$N$2:$N$1001,0),MATCH(COLUMNS($U$1006:AA1006),$U$1006:$AC$1006,0)), HYPERLINK("#",""), HYPERLINK(CONCATENATE("#metadata!", ADDRESS(INDEX($P$2:$P$1001,MATCH(ROWS($N$2:N254),$N$2:$N$1001,0),0), INDEX($U$1004:$AC$1004,1,MATCH(COLUMNS($U$1006:AA1006),$U$1006:$AC$1006,0)))),"Fix")))</f>
        <v>0</v>
      </c>
      <c r="I254" s="3">
        <f>IF(OR(INDEX($O$2:$O$1001,MATCH(ROWS($N$2:N254),$N$2:$N$1001,0),1)&gt;=100000,INDEX($U$1005:$AC$1005,1,MATCH(COLUMNS($U$1006:AB1006),$U$1006:$AC$1006,0))&gt;=100000), " ",IF(INDEX($U$2:$AC$1001,MATCH(ROWS($N$2:N254),$N$2:$N$1001,0),MATCH(COLUMNS($U$1006:AB1006),$U$1006:$AC$1006,0)), HYPERLINK("#",""), HYPERLINK(CONCATENATE("#metadata!", ADDRESS(INDEX($P$2:$P$1001,MATCH(ROWS($N$2:N254),$N$2:$N$1001,0),0), INDEX($U$1004:$AC$1004,1,MATCH(COLUMNS($U$1006:AB1006),$U$1006:$AC$1006,0)))),"Fix")))</f>
        <v>0</v>
      </c>
      <c r="J254" s="3">
        <f>IF(OR(INDEX($O$2:$O$1001,MATCH(ROWS($N$2:N254),$N$2:$N$1001,0),1)&gt;=100000,INDEX($U$1005:$AC$1005,1,MATCH(COLUMNS($U$1006:AC1006),$U$1006:$AC$1006,0))&gt;=100000), " ",IF(INDEX($U$2:$AC$1001,MATCH(ROWS($N$2:N254),$N$2:$N$1001,0),MATCH(COLUMNS($U$1006:AC1006),$U$1006:$AC$1006,0)), HYPERLINK("#",""), HYPERLINK(CONCATENATE("#metadata!", ADDRESS(INDEX($P$2:$P$1001,MATCH(ROWS($N$2:N254),$N$2:$N$1001,0),0), INDEX($U$1004:$AC$1004,1,MATCH(COLUMNS($U$1006:AC1006),$U$1006:$AC$1006,0)))),"Fix")))</f>
        <v>0</v>
      </c>
      <c r="N254">
        <v>0</v>
      </c>
      <c r="O254">
        <v>0</v>
      </c>
      <c r="P254">
        <v>0</v>
      </c>
      <c r="Q254">
        <f>IF(R254,TRUE,AND(U254:AC254))</f>
        <v>0</v>
      </c>
      <c r="R254">
        <f>COUNTBLANK(metadata!B254:J254)=COLUMNS(metadata!B254:J254)</f>
        <v>0</v>
      </c>
      <c r="S254">
        <v>0</v>
      </c>
      <c r="U254">
        <f>AND(IF(metadata!B254="",FALSE,TRUE),COUNTIF(metadata!B:B, metadata!B254) = 1,NOT(ISERROR(SUMPRODUCT(SEARCH(MID(metadata!B254,ROW(INDIRECT("1:"&amp;LEN(metadata!B254))), 1),"0123456789abcdefghijklmnopqrstuvwxyzABCDEFGHIJKLMNOPQRSTUVWXYZ.")))))</f>
        <v>0</v>
      </c>
      <c r="V254">
        <f>AND(IF(metadata!C254="",FALSE,TRUE),exact(metadata!C254,"UBERON:genitourinary"))</f>
        <v>0</v>
      </c>
      <c r="W254">
        <f>AND(IF(metadata!D254="",FALSE,TRUE),exact(metadata!D254,"UBERON:urine"))</f>
        <v>0</v>
      </c>
      <c r="X254">
        <f>AND(IF(metadata!E254="",FALSE,TRUE),exact(metadata!E254,"UBERON:kidney"))</f>
        <v>0</v>
      </c>
      <c r="Y254">
        <f>AND(IF(metadata!F254="",FALSE,TRUE),exact(metadata!F254,"animal corpus"))</f>
        <v>0</v>
      </c>
      <c r="Z254">
        <f>AND(IF(metadata!G254="",FALSE,TRUE),exact(metadata!G254,"urine"))</f>
        <v>0</v>
      </c>
      <c r="AA254">
        <f>AND(IF(metadata!H254="",FALSE,TRUE),exact(metadata!H254,"urine"))</f>
        <v>0</v>
      </c>
      <c r="AB254">
        <f>AND(IF(metadata!I254="",FALSE,TRUE),exact(metadata!I254,"urine metagenome"))</f>
        <v>0</v>
      </c>
      <c r="AC254">
        <f>AND(IF(metadata!J254="",FALSE,TRUE),exact(metadata!J254,"1346744"))</f>
        <v>0</v>
      </c>
    </row>
    <row r="255" spans="1:29">
      <c r="A255" s="4">
        <f>IF(B255=" "," ",HYPERLINK(CONCATENATE("#metadata!",ADDRESS(INDEX($P$2:$P$1001,MATCH(ROWS($N$2:N255),$N$2:$N$1001,0),0),1)),INDEX($S$2:$S$1001,MATCH(ROWS($N$2:N255),$N$2:$N$1001,0),0)))</f>
        <v>0</v>
      </c>
      <c r="B255" s="3">
        <f>IF(OR(INDEX($O$2:$O$1001,MATCH(ROWS($N$2:N255),$N$2:$N$1001,0),1)&gt;=100000,INDEX($U$1005:$AC$1005,1,MATCH(COLUMNS($U$1006:U1006),$U$1006:$AC$1006,0))&gt;=100000), " ",IF(INDEX($U$2:$AC$1001,MATCH(ROWS($N$2:N255),$N$2:$N$1001,0),MATCH(COLUMNS($U$1006:U1006),$U$1006:$AC$1006,0)), HYPERLINK("#",""), HYPERLINK(CONCATENATE("#metadata!", ADDRESS(INDEX($P$2:$P$1001,MATCH(ROWS($N$2:N255),$N$2:$N$1001,0),0), INDEX($U$1004:$AC$1004,1,MATCH(COLUMNS($U$1006:U1006),$U$1006:$AC$1006,0)))),"Fix")))</f>
        <v>0</v>
      </c>
      <c r="C255" s="3">
        <f>IF(OR(INDEX($O$2:$O$1001,MATCH(ROWS($N$2:N255),$N$2:$N$1001,0),1)&gt;=100000,INDEX($U$1005:$AC$1005,1,MATCH(COLUMNS($U$1006:V1006),$U$1006:$AC$1006,0))&gt;=100000), " ",IF(INDEX($U$2:$AC$1001,MATCH(ROWS($N$2:N255),$N$2:$N$1001,0),MATCH(COLUMNS($U$1006:V1006),$U$1006:$AC$1006,0)), HYPERLINK("#",""), HYPERLINK(CONCATENATE("#metadata!", ADDRESS(INDEX($P$2:$P$1001,MATCH(ROWS($N$2:N255),$N$2:$N$1001,0),0), INDEX($U$1004:$AC$1004,1,MATCH(COLUMNS($U$1006:V1006),$U$1006:$AC$1006,0)))),"Fix")))</f>
        <v>0</v>
      </c>
      <c r="D255" s="3">
        <f>IF(OR(INDEX($O$2:$O$1001,MATCH(ROWS($N$2:N255),$N$2:$N$1001,0),1)&gt;=100000,INDEX($U$1005:$AC$1005,1,MATCH(COLUMNS($U$1006:W1006),$U$1006:$AC$1006,0))&gt;=100000), " ",IF(INDEX($U$2:$AC$1001,MATCH(ROWS($N$2:N255),$N$2:$N$1001,0),MATCH(COLUMNS($U$1006:W1006),$U$1006:$AC$1006,0)), HYPERLINK("#",""), HYPERLINK(CONCATENATE("#metadata!", ADDRESS(INDEX($P$2:$P$1001,MATCH(ROWS($N$2:N255),$N$2:$N$1001,0),0), INDEX($U$1004:$AC$1004,1,MATCH(COLUMNS($U$1006:W1006),$U$1006:$AC$1006,0)))),"Fix")))</f>
        <v>0</v>
      </c>
      <c r="E255" s="3">
        <f>IF(OR(INDEX($O$2:$O$1001,MATCH(ROWS($N$2:N255),$N$2:$N$1001,0),1)&gt;=100000,INDEX($U$1005:$AC$1005,1,MATCH(COLUMNS($U$1006:X1006),$U$1006:$AC$1006,0))&gt;=100000), " ",IF(INDEX($U$2:$AC$1001,MATCH(ROWS($N$2:N255),$N$2:$N$1001,0),MATCH(COLUMNS($U$1006:X1006),$U$1006:$AC$1006,0)), HYPERLINK("#",""), HYPERLINK(CONCATENATE("#metadata!", ADDRESS(INDEX($P$2:$P$1001,MATCH(ROWS($N$2:N255),$N$2:$N$1001,0),0), INDEX($U$1004:$AC$1004,1,MATCH(COLUMNS($U$1006:X1006),$U$1006:$AC$1006,0)))),"Fix")))</f>
        <v>0</v>
      </c>
      <c r="F255" s="3">
        <f>IF(OR(INDEX($O$2:$O$1001,MATCH(ROWS($N$2:N255),$N$2:$N$1001,0),1)&gt;=100000,INDEX($U$1005:$AC$1005,1,MATCH(COLUMNS($U$1006:Y1006),$U$1006:$AC$1006,0))&gt;=100000), " ",IF(INDEX($U$2:$AC$1001,MATCH(ROWS($N$2:N255),$N$2:$N$1001,0),MATCH(COLUMNS($U$1006:Y1006),$U$1006:$AC$1006,0)), HYPERLINK("#",""), HYPERLINK(CONCATENATE("#metadata!", ADDRESS(INDEX($P$2:$P$1001,MATCH(ROWS($N$2:N255),$N$2:$N$1001,0),0), INDEX($U$1004:$AC$1004,1,MATCH(COLUMNS($U$1006:Y1006),$U$1006:$AC$1006,0)))),"Fix")))</f>
        <v>0</v>
      </c>
      <c r="G255" s="3">
        <f>IF(OR(INDEX($O$2:$O$1001,MATCH(ROWS($N$2:N255),$N$2:$N$1001,0),1)&gt;=100000,INDEX($U$1005:$AC$1005,1,MATCH(COLUMNS($U$1006:Z1006),$U$1006:$AC$1006,0))&gt;=100000), " ",IF(INDEX($U$2:$AC$1001,MATCH(ROWS($N$2:N255),$N$2:$N$1001,0),MATCH(COLUMNS($U$1006:Z1006),$U$1006:$AC$1006,0)), HYPERLINK("#",""), HYPERLINK(CONCATENATE("#metadata!", ADDRESS(INDEX($P$2:$P$1001,MATCH(ROWS($N$2:N255),$N$2:$N$1001,0),0), INDEX($U$1004:$AC$1004,1,MATCH(COLUMNS($U$1006:Z1006),$U$1006:$AC$1006,0)))),"Fix")))</f>
        <v>0</v>
      </c>
      <c r="H255" s="3">
        <f>IF(OR(INDEX($O$2:$O$1001,MATCH(ROWS($N$2:N255),$N$2:$N$1001,0),1)&gt;=100000,INDEX($U$1005:$AC$1005,1,MATCH(COLUMNS($U$1006:AA1006),$U$1006:$AC$1006,0))&gt;=100000), " ",IF(INDEX($U$2:$AC$1001,MATCH(ROWS($N$2:N255),$N$2:$N$1001,0),MATCH(COLUMNS($U$1006:AA1006),$U$1006:$AC$1006,0)), HYPERLINK("#",""), HYPERLINK(CONCATENATE("#metadata!", ADDRESS(INDEX($P$2:$P$1001,MATCH(ROWS($N$2:N255),$N$2:$N$1001,0),0), INDEX($U$1004:$AC$1004,1,MATCH(COLUMNS($U$1006:AA1006),$U$1006:$AC$1006,0)))),"Fix")))</f>
        <v>0</v>
      </c>
      <c r="I255" s="3">
        <f>IF(OR(INDEX($O$2:$O$1001,MATCH(ROWS($N$2:N255),$N$2:$N$1001,0),1)&gt;=100000,INDEX($U$1005:$AC$1005,1,MATCH(COLUMNS($U$1006:AB1006),$U$1006:$AC$1006,0))&gt;=100000), " ",IF(INDEX($U$2:$AC$1001,MATCH(ROWS($N$2:N255),$N$2:$N$1001,0),MATCH(COLUMNS($U$1006:AB1006),$U$1006:$AC$1006,0)), HYPERLINK("#",""), HYPERLINK(CONCATENATE("#metadata!", ADDRESS(INDEX($P$2:$P$1001,MATCH(ROWS($N$2:N255),$N$2:$N$1001,0),0), INDEX($U$1004:$AC$1004,1,MATCH(COLUMNS($U$1006:AB1006),$U$1006:$AC$1006,0)))),"Fix")))</f>
        <v>0</v>
      </c>
      <c r="J255" s="3">
        <f>IF(OR(INDEX($O$2:$O$1001,MATCH(ROWS($N$2:N255),$N$2:$N$1001,0),1)&gt;=100000,INDEX($U$1005:$AC$1005,1,MATCH(COLUMNS($U$1006:AC1006),$U$1006:$AC$1006,0))&gt;=100000), " ",IF(INDEX($U$2:$AC$1001,MATCH(ROWS($N$2:N255),$N$2:$N$1001,0),MATCH(COLUMNS($U$1006:AC1006),$U$1006:$AC$1006,0)), HYPERLINK("#",""), HYPERLINK(CONCATENATE("#metadata!", ADDRESS(INDEX($P$2:$P$1001,MATCH(ROWS($N$2:N255),$N$2:$N$1001,0),0), INDEX($U$1004:$AC$1004,1,MATCH(COLUMNS($U$1006:AC1006),$U$1006:$AC$1006,0)))),"Fix")))</f>
        <v>0</v>
      </c>
      <c r="N255">
        <v>0</v>
      </c>
      <c r="O255">
        <v>0</v>
      </c>
      <c r="P255">
        <v>0</v>
      </c>
      <c r="Q255">
        <f>IF(R255,TRUE,AND(U255:AC255))</f>
        <v>0</v>
      </c>
      <c r="R255">
        <f>COUNTBLANK(metadata!B255:J255)=COLUMNS(metadata!B255:J255)</f>
        <v>0</v>
      </c>
      <c r="S255">
        <v>0</v>
      </c>
      <c r="U255">
        <f>AND(IF(metadata!B255="",FALSE,TRUE),COUNTIF(metadata!B:B, metadata!B255) = 1,NOT(ISERROR(SUMPRODUCT(SEARCH(MID(metadata!B255,ROW(INDIRECT("1:"&amp;LEN(metadata!B255))), 1),"0123456789abcdefghijklmnopqrstuvwxyzABCDEFGHIJKLMNOPQRSTUVWXYZ.")))))</f>
        <v>0</v>
      </c>
      <c r="V255">
        <f>AND(IF(metadata!C255="",FALSE,TRUE),exact(metadata!C255,"UBERON:genitourinary"))</f>
        <v>0</v>
      </c>
      <c r="W255">
        <f>AND(IF(metadata!D255="",FALSE,TRUE),exact(metadata!D255,"UBERON:urine"))</f>
        <v>0</v>
      </c>
      <c r="X255">
        <f>AND(IF(metadata!E255="",FALSE,TRUE),exact(metadata!E255,"UBERON:kidney"))</f>
        <v>0</v>
      </c>
      <c r="Y255">
        <f>AND(IF(metadata!F255="",FALSE,TRUE),exact(metadata!F255,"animal corpus"))</f>
        <v>0</v>
      </c>
      <c r="Z255">
        <f>AND(IF(metadata!G255="",FALSE,TRUE),exact(metadata!G255,"urine"))</f>
        <v>0</v>
      </c>
      <c r="AA255">
        <f>AND(IF(metadata!H255="",FALSE,TRUE),exact(metadata!H255,"urine"))</f>
        <v>0</v>
      </c>
      <c r="AB255">
        <f>AND(IF(metadata!I255="",FALSE,TRUE),exact(metadata!I255,"urine metagenome"))</f>
        <v>0</v>
      </c>
      <c r="AC255">
        <f>AND(IF(metadata!J255="",FALSE,TRUE),exact(metadata!J255,"1346744"))</f>
        <v>0</v>
      </c>
    </row>
    <row r="256" spans="1:29">
      <c r="A256" s="4">
        <f>IF(B256=" "," ",HYPERLINK(CONCATENATE("#metadata!",ADDRESS(INDEX($P$2:$P$1001,MATCH(ROWS($N$2:N256),$N$2:$N$1001,0),0),1)),INDEX($S$2:$S$1001,MATCH(ROWS($N$2:N256),$N$2:$N$1001,0),0)))</f>
        <v>0</v>
      </c>
      <c r="B256" s="3">
        <f>IF(OR(INDEX($O$2:$O$1001,MATCH(ROWS($N$2:N256),$N$2:$N$1001,0),1)&gt;=100000,INDEX($U$1005:$AC$1005,1,MATCH(COLUMNS($U$1006:U1006),$U$1006:$AC$1006,0))&gt;=100000), " ",IF(INDEX($U$2:$AC$1001,MATCH(ROWS($N$2:N256),$N$2:$N$1001,0),MATCH(COLUMNS($U$1006:U1006),$U$1006:$AC$1006,0)), HYPERLINK("#",""), HYPERLINK(CONCATENATE("#metadata!", ADDRESS(INDEX($P$2:$P$1001,MATCH(ROWS($N$2:N256),$N$2:$N$1001,0),0), INDEX($U$1004:$AC$1004,1,MATCH(COLUMNS($U$1006:U1006),$U$1006:$AC$1006,0)))),"Fix")))</f>
        <v>0</v>
      </c>
      <c r="C256" s="3">
        <f>IF(OR(INDEX($O$2:$O$1001,MATCH(ROWS($N$2:N256),$N$2:$N$1001,0),1)&gt;=100000,INDEX($U$1005:$AC$1005,1,MATCH(COLUMNS($U$1006:V1006),$U$1006:$AC$1006,0))&gt;=100000), " ",IF(INDEX($U$2:$AC$1001,MATCH(ROWS($N$2:N256),$N$2:$N$1001,0),MATCH(COLUMNS($U$1006:V1006),$U$1006:$AC$1006,0)), HYPERLINK("#",""), HYPERLINK(CONCATENATE("#metadata!", ADDRESS(INDEX($P$2:$P$1001,MATCH(ROWS($N$2:N256),$N$2:$N$1001,0),0), INDEX($U$1004:$AC$1004,1,MATCH(COLUMNS($U$1006:V1006),$U$1006:$AC$1006,0)))),"Fix")))</f>
        <v>0</v>
      </c>
      <c r="D256" s="3">
        <f>IF(OR(INDEX($O$2:$O$1001,MATCH(ROWS($N$2:N256),$N$2:$N$1001,0),1)&gt;=100000,INDEX($U$1005:$AC$1005,1,MATCH(COLUMNS($U$1006:W1006),$U$1006:$AC$1006,0))&gt;=100000), " ",IF(INDEX($U$2:$AC$1001,MATCH(ROWS($N$2:N256),$N$2:$N$1001,0),MATCH(COLUMNS($U$1006:W1006),$U$1006:$AC$1006,0)), HYPERLINK("#",""), HYPERLINK(CONCATENATE("#metadata!", ADDRESS(INDEX($P$2:$P$1001,MATCH(ROWS($N$2:N256),$N$2:$N$1001,0),0), INDEX($U$1004:$AC$1004,1,MATCH(COLUMNS($U$1006:W1006),$U$1006:$AC$1006,0)))),"Fix")))</f>
        <v>0</v>
      </c>
      <c r="E256" s="3">
        <f>IF(OR(INDEX($O$2:$O$1001,MATCH(ROWS($N$2:N256),$N$2:$N$1001,0),1)&gt;=100000,INDEX($U$1005:$AC$1005,1,MATCH(COLUMNS($U$1006:X1006),$U$1006:$AC$1006,0))&gt;=100000), " ",IF(INDEX($U$2:$AC$1001,MATCH(ROWS($N$2:N256),$N$2:$N$1001,0),MATCH(COLUMNS($U$1006:X1006),$U$1006:$AC$1006,0)), HYPERLINK("#",""), HYPERLINK(CONCATENATE("#metadata!", ADDRESS(INDEX($P$2:$P$1001,MATCH(ROWS($N$2:N256),$N$2:$N$1001,0),0), INDEX($U$1004:$AC$1004,1,MATCH(COLUMNS($U$1006:X1006),$U$1006:$AC$1006,0)))),"Fix")))</f>
        <v>0</v>
      </c>
      <c r="F256" s="3">
        <f>IF(OR(INDEX($O$2:$O$1001,MATCH(ROWS($N$2:N256),$N$2:$N$1001,0),1)&gt;=100000,INDEX($U$1005:$AC$1005,1,MATCH(COLUMNS($U$1006:Y1006),$U$1006:$AC$1006,0))&gt;=100000), " ",IF(INDEX($U$2:$AC$1001,MATCH(ROWS($N$2:N256),$N$2:$N$1001,0),MATCH(COLUMNS($U$1006:Y1006),$U$1006:$AC$1006,0)), HYPERLINK("#",""), HYPERLINK(CONCATENATE("#metadata!", ADDRESS(INDEX($P$2:$P$1001,MATCH(ROWS($N$2:N256),$N$2:$N$1001,0),0), INDEX($U$1004:$AC$1004,1,MATCH(COLUMNS($U$1006:Y1006),$U$1006:$AC$1006,0)))),"Fix")))</f>
        <v>0</v>
      </c>
      <c r="G256" s="3">
        <f>IF(OR(INDEX($O$2:$O$1001,MATCH(ROWS($N$2:N256),$N$2:$N$1001,0),1)&gt;=100000,INDEX($U$1005:$AC$1005,1,MATCH(COLUMNS($U$1006:Z1006),$U$1006:$AC$1006,0))&gt;=100000), " ",IF(INDEX($U$2:$AC$1001,MATCH(ROWS($N$2:N256),$N$2:$N$1001,0),MATCH(COLUMNS($U$1006:Z1006),$U$1006:$AC$1006,0)), HYPERLINK("#",""), HYPERLINK(CONCATENATE("#metadata!", ADDRESS(INDEX($P$2:$P$1001,MATCH(ROWS($N$2:N256),$N$2:$N$1001,0),0), INDEX($U$1004:$AC$1004,1,MATCH(COLUMNS($U$1006:Z1006),$U$1006:$AC$1006,0)))),"Fix")))</f>
        <v>0</v>
      </c>
      <c r="H256" s="3">
        <f>IF(OR(INDEX($O$2:$O$1001,MATCH(ROWS($N$2:N256),$N$2:$N$1001,0),1)&gt;=100000,INDEX($U$1005:$AC$1005,1,MATCH(COLUMNS($U$1006:AA1006),$U$1006:$AC$1006,0))&gt;=100000), " ",IF(INDEX($U$2:$AC$1001,MATCH(ROWS($N$2:N256),$N$2:$N$1001,0),MATCH(COLUMNS($U$1006:AA1006),$U$1006:$AC$1006,0)), HYPERLINK("#",""), HYPERLINK(CONCATENATE("#metadata!", ADDRESS(INDEX($P$2:$P$1001,MATCH(ROWS($N$2:N256),$N$2:$N$1001,0),0), INDEX($U$1004:$AC$1004,1,MATCH(COLUMNS($U$1006:AA1006),$U$1006:$AC$1006,0)))),"Fix")))</f>
        <v>0</v>
      </c>
      <c r="I256" s="3">
        <f>IF(OR(INDEX($O$2:$O$1001,MATCH(ROWS($N$2:N256),$N$2:$N$1001,0),1)&gt;=100000,INDEX($U$1005:$AC$1005,1,MATCH(COLUMNS($U$1006:AB1006),$U$1006:$AC$1006,0))&gt;=100000), " ",IF(INDEX($U$2:$AC$1001,MATCH(ROWS($N$2:N256),$N$2:$N$1001,0),MATCH(COLUMNS($U$1006:AB1006),$U$1006:$AC$1006,0)), HYPERLINK("#",""), HYPERLINK(CONCATENATE("#metadata!", ADDRESS(INDEX($P$2:$P$1001,MATCH(ROWS($N$2:N256),$N$2:$N$1001,0),0), INDEX($U$1004:$AC$1004,1,MATCH(COLUMNS($U$1006:AB1006),$U$1006:$AC$1006,0)))),"Fix")))</f>
        <v>0</v>
      </c>
      <c r="J256" s="3">
        <f>IF(OR(INDEX($O$2:$O$1001,MATCH(ROWS($N$2:N256),$N$2:$N$1001,0),1)&gt;=100000,INDEX($U$1005:$AC$1005,1,MATCH(COLUMNS($U$1006:AC1006),$U$1006:$AC$1006,0))&gt;=100000), " ",IF(INDEX($U$2:$AC$1001,MATCH(ROWS($N$2:N256),$N$2:$N$1001,0),MATCH(COLUMNS($U$1006:AC1006),$U$1006:$AC$1006,0)), HYPERLINK("#",""), HYPERLINK(CONCATENATE("#metadata!", ADDRESS(INDEX($P$2:$P$1001,MATCH(ROWS($N$2:N256),$N$2:$N$1001,0),0), INDEX($U$1004:$AC$1004,1,MATCH(COLUMNS($U$1006:AC1006),$U$1006:$AC$1006,0)))),"Fix")))</f>
        <v>0</v>
      </c>
      <c r="N256">
        <v>0</v>
      </c>
      <c r="O256">
        <v>0</v>
      </c>
      <c r="P256">
        <v>0</v>
      </c>
      <c r="Q256">
        <f>IF(R256,TRUE,AND(U256:AC256))</f>
        <v>0</v>
      </c>
      <c r="R256">
        <f>COUNTBLANK(metadata!B256:J256)=COLUMNS(metadata!B256:J256)</f>
        <v>0</v>
      </c>
      <c r="S256">
        <v>0</v>
      </c>
      <c r="U256">
        <f>AND(IF(metadata!B256="",FALSE,TRUE),COUNTIF(metadata!B:B, metadata!B256) = 1,NOT(ISERROR(SUMPRODUCT(SEARCH(MID(metadata!B256,ROW(INDIRECT("1:"&amp;LEN(metadata!B256))), 1),"0123456789abcdefghijklmnopqrstuvwxyzABCDEFGHIJKLMNOPQRSTUVWXYZ.")))))</f>
        <v>0</v>
      </c>
      <c r="V256">
        <f>AND(IF(metadata!C256="",FALSE,TRUE),exact(metadata!C256,"UBERON:genitourinary"))</f>
        <v>0</v>
      </c>
      <c r="W256">
        <f>AND(IF(metadata!D256="",FALSE,TRUE),exact(metadata!D256,"UBERON:urine"))</f>
        <v>0</v>
      </c>
      <c r="X256">
        <f>AND(IF(metadata!E256="",FALSE,TRUE),exact(metadata!E256,"UBERON:kidney"))</f>
        <v>0</v>
      </c>
      <c r="Y256">
        <f>AND(IF(metadata!F256="",FALSE,TRUE),exact(metadata!F256,"animal corpus"))</f>
        <v>0</v>
      </c>
      <c r="Z256">
        <f>AND(IF(metadata!G256="",FALSE,TRUE),exact(metadata!G256,"urine"))</f>
        <v>0</v>
      </c>
      <c r="AA256">
        <f>AND(IF(metadata!H256="",FALSE,TRUE),exact(metadata!H256,"urine"))</f>
        <v>0</v>
      </c>
      <c r="AB256">
        <f>AND(IF(metadata!I256="",FALSE,TRUE),exact(metadata!I256,"urine metagenome"))</f>
        <v>0</v>
      </c>
      <c r="AC256">
        <f>AND(IF(metadata!J256="",FALSE,TRUE),exact(metadata!J256,"1346744"))</f>
        <v>0</v>
      </c>
    </row>
    <row r="257" spans="1:29">
      <c r="A257" s="4">
        <f>IF(B257=" "," ",HYPERLINK(CONCATENATE("#metadata!",ADDRESS(INDEX($P$2:$P$1001,MATCH(ROWS($N$2:N257),$N$2:$N$1001,0),0),1)),INDEX($S$2:$S$1001,MATCH(ROWS($N$2:N257),$N$2:$N$1001,0),0)))</f>
        <v>0</v>
      </c>
      <c r="B257" s="3">
        <f>IF(OR(INDEX($O$2:$O$1001,MATCH(ROWS($N$2:N257),$N$2:$N$1001,0),1)&gt;=100000,INDEX($U$1005:$AC$1005,1,MATCH(COLUMNS($U$1006:U1006),$U$1006:$AC$1006,0))&gt;=100000), " ",IF(INDEX($U$2:$AC$1001,MATCH(ROWS($N$2:N257),$N$2:$N$1001,0),MATCH(COLUMNS($U$1006:U1006),$U$1006:$AC$1006,0)), HYPERLINK("#",""), HYPERLINK(CONCATENATE("#metadata!", ADDRESS(INDEX($P$2:$P$1001,MATCH(ROWS($N$2:N257),$N$2:$N$1001,0),0), INDEX($U$1004:$AC$1004,1,MATCH(COLUMNS($U$1006:U1006),$U$1006:$AC$1006,0)))),"Fix")))</f>
        <v>0</v>
      </c>
      <c r="C257" s="3">
        <f>IF(OR(INDEX($O$2:$O$1001,MATCH(ROWS($N$2:N257),$N$2:$N$1001,0),1)&gt;=100000,INDEX($U$1005:$AC$1005,1,MATCH(COLUMNS($U$1006:V1006),$U$1006:$AC$1006,0))&gt;=100000), " ",IF(INDEX($U$2:$AC$1001,MATCH(ROWS($N$2:N257),$N$2:$N$1001,0),MATCH(COLUMNS($U$1006:V1006),$U$1006:$AC$1006,0)), HYPERLINK("#",""), HYPERLINK(CONCATENATE("#metadata!", ADDRESS(INDEX($P$2:$P$1001,MATCH(ROWS($N$2:N257),$N$2:$N$1001,0),0), INDEX($U$1004:$AC$1004,1,MATCH(COLUMNS($U$1006:V1006),$U$1006:$AC$1006,0)))),"Fix")))</f>
        <v>0</v>
      </c>
      <c r="D257" s="3">
        <f>IF(OR(INDEX($O$2:$O$1001,MATCH(ROWS($N$2:N257),$N$2:$N$1001,0),1)&gt;=100000,INDEX($U$1005:$AC$1005,1,MATCH(COLUMNS($U$1006:W1006),$U$1006:$AC$1006,0))&gt;=100000), " ",IF(INDEX($U$2:$AC$1001,MATCH(ROWS($N$2:N257),$N$2:$N$1001,0),MATCH(COLUMNS($U$1006:W1006),$U$1006:$AC$1006,0)), HYPERLINK("#",""), HYPERLINK(CONCATENATE("#metadata!", ADDRESS(INDEX($P$2:$P$1001,MATCH(ROWS($N$2:N257),$N$2:$N$1001,0),0), INDEX($U$1004:$AC$1004,1,MATCH(COLUMNS($U$1006:W1006),$U$1006:$AC$1006,0)))),"Fix")))</f>
        <v>0</v>
      </c>
      <c r="E257" s="3">
        <f>IF(OR(INDEX($O$2:$O$1001,MATCH(ROWS($N$2:N257),$N$2:$N$1001,0),1)&gt;=100000,INDEX($U$1005:$AC$1005,1,MATCH(COLUMNS($U$1006:X1006),$U$1006:$AC$1006,0))&gt;=100000), " ",IF(INDEX($U$2:$AC$1001,MATCH(ROWS($N$2:N257),$N$2:$N$1001,0),MATCH(COLUMNS($U$1006:X1006),$U$1006:$AC$1006,0)), HYPERLINK("#",""), HYPERLINK(CONCATENATE("#metadata!", ADDRESS(INDEX($P$2:$P$1001,MATCH(ROWS($N$2:N257),$N$2:$N$1001,0),0), INDEX($U$1004:$AC$1004,1,MATCH(COLUMNS($U$1006:X1006),$U$1006:$AC$1006,0)))),"Fix")))</f>
        <v>0</v>
      </c>
      <c r="F257" s="3">
        <f>IF(OR(INDEX($O$2:$O$1001,MATCH(ROWS($N$2:N257),$N$2:$N$1001,0),1)&gt;=100000,INDEX($U$1005:$AC$1005,1,MATCH(COLUMNS($U$1006:Y1006),$U$1006:$AC$1006,0))&gt;=100000), " ",IF(INDEX($U$2:$AC$1001,MATCH(ROWS($N$2:N257),$N$2:$N$1001,0),MATCH(COLUMNS($U$1006:Y1006),$U$1006:$AC$1006,0)), HYPERLINK("#",""), HYPERLINK(CONCATENATE("#metadata!", ADDRESS(INDEX($P$2:$P$1001,MATCH(ROWS($N$2:N257),$N$2:$N$1001,0),0), INDEX($U$1004:$AC$1004,1,MATCH(COLUMNS($U$1006:Y1006),$U$1006:$AC$1006,0)))),"Fix")))</f>
        <v>0</v>
      </c>
      <c r="G257" s="3">
        <f>IF(OR(INDEX($O$2:$O$1001,MATCH(ROWS($N$2:N257),$N$2:$N$1001,0),1)&gt;=100000,INDEX($U$1005:$AC$1005,1,MATCH(COLUMNS($U$1006:Z1006),$U$1006:$AC$1006,0))&gt;=100000), " ",IF(INDEX($U$2:$AC$1001,MATCH(ROWS($N$2:N257),$N$2:$N$1001,0),MATCH(COLUMNS($U$1006:Z1006),$U$1006:$AC$1006,0)), HYPERLINK("#",""), HYPERLINK(CONCATENATE("#metadata!", ADDRESS(INDEX($P$2:$P$1001,MATCH(ROWS($N$2:N257),$N$2:$N$1001,0),0), INDEX($U$1004:$AC$1004,1,MATCH(COLUMNS($U$1006:Z1006),$U$1006:$AC$1006,0)))),"Fix")))</f>
        <v>0</v>
      </c>
      <c r="H257" s="3">
        <f>IF(OR(INDEX($O$2:$O$1001,MATCH(ROWS($N$2:N257),$N$2:$N$1001,0),1)&gt;=100000,INDEX($U$1005:$AC$1005,1,MATCH(COLUMNS($U$1006:AA1006),$U$1006:$AC$1006,0))&gt;=100000), " ",IF(INDEX($U$2:$AC$1001,MATCH(ROWS($N$2:N257),$N$2:$N$1001,0),MATCH(COLUMNS($U$1006:AA1006),$U$1006:$AC$1006,0)), HYPERLINK("#",""), HYPERLINK(CONCATENATE("#metadata!", ADDRESS(INDEX($P$2:$P$1001,MATCH(ROWS($N$2:N257),$N$2:$N$1001,0),0), INDEX($U$1004:$AC$1004,1,MATCH(COLUMNS($U$1006:AA1006),$U$1006:$AC$1006,0)))),"Fix")))</f>
        <v>0</v>
      </c>
      <c r="I257" s="3">
        <f>IF(OR(INDEX($O$2:$O$1001,MATCH(ROWS($N$2:N257),$N$2:$N$1001,0),1)&gt;=100000,INDEX($U$1005:$AC$1005,1,MATCH(COLUMNS($U$1006:AB1006),$U$1006:$AC$1006,0))&gt;=100000), " ",IF(INDEX($U$2:$AC$1001,MATCH(ROWS($N$2:N257),$N$2:$N$1001,0),MATCH(COLUMNS($U$1006:AB1006),$U$1006:$AC$1006,0)), HYPERLINK("#",""), HYPERLINK(CONCATENATE("#metadata!", ADDRESS(INDEX($P$2:$P$1001,MATCH(ROWS($N$2:N257),$N$2:$N$1001,0),0), INDEX($U$1004:$AC$1004,1,MATCH(COLUMNS($U$1006:AB1006),$U$1006:$AC$1006,0)))),"Fix")))</f>
        <v>0</v>
      </c>
      <c r="J257" s="3">
        <f>IF(OR(INDEX($O$2:$O$1001,MATCH(ROWS($N$2:N257),$N$2:$N$1001,0),1)&gt;=100000,INDEX($U$1005:$AC$1005,1,MATCH(COLUMNS($U$1006:AC1006),$U$1006:$AC$1006,0))&gt;=100000), " ",IF(INDEX($U$2:$AC$1001,MATCH(ROWS($N$2:N257),$N$2:$N$1001,0),MATCH(COLUMNS($U$1006:AC1006),$U$1006:$AC$1006,0)), HYPERLINK("#",""), HYPERLINK(CONCATENATE("#metadata!", ADDRESS(INDEX($P$2:$P$1001,MATCH(ROWS($N$2:N257),$N$2:$N$1001,0),0), INDEX($U$1004:$AC$1004,1,MATCH(COLUMNS($U$1006:AC1006),$U$1006:$AC$1006,0)))),"Fix")))</f>
        <v>0</v>
      </c>
      <c r="N257">
        <v>0</v>
      </c>
      <c r="O257">
        <v>0</v>
      </c>
      <c r="P257">
        <v>0</v>
      </c>
      <c r="Q257">
        <f>IF(R257,TRUE,AND(U257:AC257))</f>
        <v>0</v>
      </c>
      <c r="R257">
        <f>COUNTBLANK(metadata!B257:J257)=COLUMNS(metadata!B257:J257)</f>
        <v>0</v>
      </c>
      <c r="S257">
        <v>0</v>
      </c>
      <c r="U257">
        <f>AND(IF(metadata!B257="",FALSE,TRUE),COUNTIF(metadata!B:B, metadata!B257) = 1,NOT(ISERROR(SUMPRODUCT(SEARCH(MID(metadata!B257,ROW(INDIRECT("1:"&amp;LEN(metadata!B257))), 1),"0123456789abcdefghijklmnopqrstuvwxyzABCDEFGHIJKLMNOPQRSTUVWXYZ.")))))</f>
        <v>0</v>
      </c>
      <c r="V257">
        <f>AND(IF(metadata!C257="",FALSE,TRUE),exact(metadata!C257,"UBERON:genitourinary"))</f>
        <v>0</v>
      </c>
      <c r="W257">
        <f>AND(IF(metadata!D257="",FALSE,TRUE),exact(metadata!D257,"UBERON:urine"))</f>
        <v>0</v>
      </c>
      <c r="X257">
        <f>AND(IF(metadata!E257="",FALSE,TRUE),exact(metadata!E257,"UBERON:kidney"))</f>
        <v>0</v>
      </c>
      <c r="Y257">
        <f>AND(IF(metadata!F257="",FALSE,TRUE),exact(metadata!F257,"animal corpus"))</f>
        <v>0</v>
      </c>
      <c r="Z257">
        <f>AND(IF(metadata!G257="",FALSE,TRUE),exact(metadata!G257,"urine"))</f>
        <v>0</v>
      </c>
      <c r="AA257">
        <f>AND(IF(metadata!H257="",FALSE,TRUE),exact(metadata!H257,"urine"))</f>
        <v>0</v>
      </c>
      <c r="AB257">
        <f>AND(IF(metadata!I257="",FALSE,TRUE),exact(metadata!I257,"urine metagenome"))</f>
        <v>0</v>
      </c>
      <c r="AC257">
        <f>AND(IF(metadata!J257="",FALSE,TRUE),exact(metadata!J257,"1346744"))</f>
        <v>0</v>
      </c>
    </row>
    <row r="258" spans="1:29">
      <c r="A258" s="4">
        <f>IF(B258=" "," ",HYPERLINK(CONCATENATE("#metadata!",ADDRESS(INDEX($P$2:$P$1001,MATCH(ROWS($N$2:N258),$N$2:$N$1001,0),0),1)),INDEX($S$2:$S$1001,MATCH(ROWS($N$2:N258),$N$2:$N$1001,0),0)))</f>
        <v>0</v>
      </c>
      <c r="B258" s="3">
        <f>IF(OR(INDEX($O$2:$O$1001,MATCH(ROWS($N$2:N258),$N$2:$N$1001,0),1)&gt;=100000,INDEX($U$1005:$AC$1005,1,MATCH(COLUMNS($U$1006:U1006),$U$1006:$AC$1006,0))&gt;=100000), " ",IF(INDEX($U$2:$AC$1001,MATCH(ROWS($N$2:N258),$N$2:$N$1001,0),MATCH(COLUMNS($U$1006:U1006),$U$1006:$AC$1006,0)), HYPERLINK("#",""), HYPERLINK(CONCATENATE("#metadata!", ADDRESS(INDEX($P$2:$P$1001,MATCH(ROWS($N$2:N258),$N$2:$N$1001,0),0), INDEX($U$1004:$AC$1004,1,MATCH(COLUMNS($U$1006:U1006),$U$1006:$AC$1006,0)))),"Fix")))</f>
        <v>0</v>
      </c>
      <c r="C258" s="3">
        <f>IF(OR(INDEX($O$2:$O$1001,MATCH(ROWS($N$2:N258),$N$2:$N$1001,0),1)&gt;=100000,INDEX($U$1005:$AC$1005,1,MATCH(COLUMNS($U$1006:V1006),$U$1006:$AC$1006,0))&gt;=100000), " ",IF(INDEX($U$2:$AC$1001,MATCH(ROWS($N$2:N258),$N$2:$N$1001,0),MATCH(COLUMNS($U$1006:V1006),$U$1006:$AC$1006,0)), HYPERLINK("#",""), HYPERLINK(CONCATENATE("#metadata!", ADDRESS(INDEX($P$2:$P$1001,MATCH(ROWS($N$2:N258),$N$2:$N$1001,0),0), INDEX($U$1004:$AC$1004,1,MATCH(COLUMNS($U$1006:V1006),$U$1006:$AC$1006,0)))),"Fix")))</f>
        <v>0</v>
      </c>
      <c r="D258" s="3">
        <f>IF(OR(INDEX($O$2:$O$1001,MATCH(ROWS($N$2:N258),$N$2:$N$1001,0),1)&gt;=100000,INDEX($U$1005:$AC$1005,1,MATCH(COLUMNS($U$1006:W1006),$U$1006:$AC$1006,0))&gt;=100000), " ",IF(INDEX($U$2:$AC$1001,MATCH(ROWS($N$2:N258),$N$2:$N$1001,0),MATCH(COLUMNS($U$1006:W1006),$U$1006:$AC$1006,0)), HYPERLINK("#",""), HYPERLINK(CONCATENATE("#metadata!", ADDRESS(INDEX($P$2:$P$1001,MATCH(ROWS($N$2:N258),$N$2:$N$1001,0),0), INDEX($U$1004:$AC$1004,1,MATCH(COLUMNS($U$1006:W1006),$U$1006:$AC$1006,0)))),"Fix")))</f>
        <v>0</v>
      </c>
      <c r="E258" s="3">
        <f>IF(OR(INDEX($O$2:$O$1001,MATCH(ROWS($N$2:N258),$N$2:$N$1001,0),1)&gt;=100000,INDEX($U$1005:$AC$1005,1,MATCH(COLUMNS($U$1006:X1006),$U$1006:$AC$1006,0))&gt;=100000), " ",IF(INDEX($U$2:$AC$1001,MATCH(ROWS($N$2:N258),$N$2:$N$1001,0),MATCH(COLUMNS($U$1006:X1006),$U$1006:$AC$1006,0)), HYPERLINK("#",""), HYPERLINK(CONCATENATE("#metadata!", ADDRESS(INDEX($P$2:$P$1001,MATCH(ROWS($N$2:N258),$N$2:$N$1001,0),0), INDEX($U$1004:$AC$1004,1,MATCH(COLUMNS($U$1006:X1006),$U$1006:$AC$1006,0)))),"Fix")))</f>
        <v>0</v>
      </c>
      <c r="F258" s="3">
        <f>IF(OR(INDEX($O$2:$O$1001,MATCH(ROWS($N$2:N258),$N$2:$N$1001,0),1)&gt;=100000,INDEX($U$1005:$AC$1005,1,MATCH(COLUMNS($U$1006:Y1006),$U$1006:$AC$1006,0))&gt;=100000), " ",IF(INDEX($U$2:$AC$1001,MATCH(ROWS($N$2:N258),$N$2:$N$1001,0),MATCH(COLUMNS($U$1006:Y1006),$U$1006:$AC$1006,0)), HYPERLINK("#",""), HYPERLINK(CONCATENATE("#metadata!", ADDRESS(INDEX($P$2:$P$1001,MATCH(ROWS($N$2:N258),$N$2:$N$1001,0),0), INDEX($U$1004:$AC$1004,1,MATCH(COLUMNS($U$1006:Y1006),$U$1006:$AC$1006,0)))),"Fix")))</f>
        <v>0</v>
      </c>
      <c r="G258" s="3">
        <f>IF(OR(INDEX($O$2:$O$1001,MATCH(ROWS($N$2:N258),$N$2:$N$1001,0),1)&gt;=100000,INDEX($U$1005:$AC$1005,1,MATCH(COLUMNS($U$1006:Z1006),$U$1006:$AC$1006,0))&gt;=100000), " ",IF(INDEX($U$2:$AC$1001,MATCH(ROWS($N$2:N258),$N$2:$N$1001,0),MATCH(COLUMNS($U$1006:Z1006),$U$1006:$AC$1006,0)), HYPERLINK("#",""), HYPERLINK(CONCATENATE("#metadata!", ADDRESS(INDEX($P$2:$P$1001,MATCH(ROWS($N$2:N258),$N$2:$N$1001,0),0), INDEX($U$1004:$AC$1004,1,MATCH(COLUMNS($U$1006:Z1006),$U$1006:$AC$1006,0)))),"Fix")))</f>
        <v>0</v>
      </c>
      <c r="H258" s="3">
        <f>IF(OR(INDEX($O$2:$O$1001,MATCH(ROWS($N$2:N258),$N$2:$N$1001,0),1)&gt;=100000,INDEX($U$1005:$AC$1005,1,MATCH(COLUMNS($U$1006:AA1006),$U$1006:$AC$1006,0))&gt;=100000), " ",IF(INDEX($U$2:$AC$1001,MATCH(ROWS($N$2:N258),$N$2:$N$1001,0),MATCH(COLUMNS($U$1006:AA1006),$U$1006:$AC$1006,0)), HYPERLINK("#",""), HYPERLINK(CONCATENATE("#metadata!", ADDRESS(INDEX($P$2:$P$1001,MATCH(ROWS($N$2:N258),$N$2:$N$1001,0),0), INDEX($U$1004:$AC$1004,1,MATCH(COLUMNS($U$1006:AA1006),$U$1006:$AC$1006,0)))),"Fix")))</f>
        <v>0</v>
      </c>
      <c r="I258" s="3">
        <f>IF(OR(INDEX($O$2:$O$1001,MATCH(ROWS($N$2:N258),$N$2:$N$1001,0),1)&gt;=100000,INDEX($U$1005:$AC$1005,1,MATCH(COLUMNS($U$1006:AB1006),$U$1006:$AC$1006,0))&gt;=100000), " ",IF(INDEX($U$2:$AC$1001,MATCH(ROWS($N$2:N258),$N$2:$N$1001,0),MATCH(COLUMNS($U$1006:AB1006),$U$1006:$AC$1006,0)), HYPERLINK("#",""), HYPERLINK(CONCATENATE("#metadata!", ADDRESS(INDEX($P$2:$P$1001,MATCH(ROWS($N$2:N258),$N$2:$N$1001,0),0), INDEX($U$1004:$AC$1004,1,MATCH(COLUMNS($U$1006:AB1006),$U$1006:$AC$1006,0)))),"Fix")))</f>
        <v>0</v>
      </c>
      <c r="J258" s="3">
        <f>IF(OR(INDEX($O$2:$O$1001,MATCH(ROWS($N$2:N258),$N$2:$N$1001,0),1)&gt;=100000,INDEX($U$1005:$AC$1005,1,MATCH(COLUMNS($U$1006:AC1006),$U$1006:$AC$1006,0))&gt;=100000), " ",IF(INDEX($U$2:$AC$1001,MATCH(ROWS($N$2:N258),$N$2:$N$1001,0),MATCH(COLUMNS($U$1006:AC1006),$U$1006:$AC$1006,0)), HYPERLINK("#",""), HYPERLINK(CONCATENATE("#metadata!", ADDRESS(INDEX($P$2:$P$1001,MATCH(ROWS($N$2:N258),$N$2:$N$1001,0),0), INDEX($U$1004:$AC$1004,1,MATCH(COLUMNS($U$1006:AC1006),$U$1006:$AC$1006,0)))),"Fix")))</f>
        <v>0</v>
      </c>
      <c r="N258">
        <v>0</v>
      </c>
      <c r="O258">
        <v>0</v>
      </c>
      <c r="P258">
        <v>0</v>
      </c>
      <c r="Q258">
        <f>IF(R258,TRUE,AND(U258:AC258))</f>
        <v>0</v>
      </c>
      <c r="R258">
        <f>COUNTBLANK(metadata!B258:J258)=COLUMNS(metadata!B258:J258)</f>
        <v>0</v>
      </c>
      <c r="S258">
        <v>0</v>
      </c>
      <c r="U258">
        <f>AND(IF(metadata!B258="",FALSE,TRUE),COUNTIF(metadata!B:B, metadata!B258) = 1,NOT(ISERROR(SUMPRODUCT(SEARCH(MID(metadata!B258,ROW(INDIRECT("1:"&amp;LEN(metadata!B258))), 1),"0123456789abcdefghijklmnopqrstuvwxyzABCDEFGHIJKLMNOPQRSTUVWXYZ.")))))</f>
        <v>0</v>
      </c>
      <c r="V258">
        <f>AND(IF(metadata!C258="",FALSE,TRUE),exact(metadata!C258,"UBERON:genitourinary"))</f>
        <v>0</v>
      </c>
      <c r="W258">
        <f>AND(IF(metadata!D258="",FALSE,TRUE),exact(metadata!D258,"UBERON:urine"))</f>
        <v>0</v>
      </c>
      <c r="X258">
        <f>AND(IF(metadata!E258="",FALSE,TRUE),exact(metadata!E258,"UBERON:kidney"))</f>
        <v>0</v>
      </c>
      <c r="Y258">
        <f>AND(IF(metadata!F258="",FALSE,TRUE),exact(metadata!F258,"animal corpus"))</f>
        <v>0</v>
      </c>
      <c r="Z258">
        <f>AND(IF(metadata!G258="",FALSE,TRUE),exact(metadata!G258,"urine"))</f>
        <v>0</v>
      </c>
      <c r="AA258">
        <f>AND(IF(metadata!H258="",FALSE,TRUE),exact(metadata!H258,"urine"))</f>
        <v>0</v>
      </c>
      <c r="AB258">
        <f>AND(IF(metadata!I258="",FALSE,TRUE),exact(metadata!I258,"urine metagenome"))</f>
        <v>0</v>
      </c>
      <c r="AC258">
        <f>AND(IF(metadata!J258="",FALSE,TRUE),exact(metadata!J258,"1346744"))</f>
        <v>0</v>
      </c>
    </row>
    <row r="259" spans="1:29">
      <c r="A259" s="4">
        <f>IF(B259=" "," ",HYPERLINK(CONCATENATE("#metadata!",ADDRESS(INDEX($P$2:$P$1001,MATCH(ROWS($N$2:N259),$N$2:$N$1001,0),0),1)),INDEX($S$2:$S$1001,MATCH(ROWS($N$2:N259),$N$2:$N$1001,0),0)))</f>
        <v>0</v>
      </c>
      <c r="B259" s="3">
        <f>IF(OR(INDEX($O$2:$O$1001,MATCH(ROWS($N$2:N259),$N$2:$N$1001,0),1)&gt;=100000,INDEX($U$1005:$AC$1005,1,MATCH(COLUMNS($U$1006:U1006),$U$1006:$AC$1006,0))&gt;=100000), " ",IF(INDEX($U$2:$AC$1001,MATCH(ROWS($N$2:N259),$N$2:$N$1001,0),MATCH(COLUMNS($U$1006:U1006),$U$1006:$AC$1006,0)), HYPERLINK("#",""), HYPERLINK(CONCATENATE("#metadata!", ADDRESS(INDEX($P$2:$P$1001,MATCH(ROWS($N$2:N259),$N$2:$N$1001,0),0), INDEX($U$1004:$AC$1004,1,MATCH(COLUMNS($U$1006:U1006),$U$1006:$AC$1006,0)))),"Fix")))</f>
        <v>0</v>
      </c>
      <c r="C259" s="3">
        <f>IF(OR(INDEX($O$2:$O$1001,MATCH(ROWS($N$2:N259),$N$2:$N$1001,0),1)&gt;=100000,INDEX($U$1005:$AC$1005,1,MATCH(COLUMNS($U$1006:V1006),$U$1006:$AC$1006,0))&gt;=100000), " ",IF(INDEX($U$2:$AC$1001,MATCH(ROWS($N$2:N259),$N$2:$N$1001,0),MATCH(COLUMNS($U$1006:V1006),$U$1006:$AC$1006,0)), HYPERLINK("#",""), HYPERLINK(CONCATENATE("#metadata!", ADDRESS(INDEX($P$2:$P$1001,MATCH(ROWS($N$2:N259),$N$2:$N$1001,0),0), INDEX($U$1004:$AC$1004,1,MATCH(COLUMNS($U$1006:V1006),$U$1006:$AC$1006,0)))),"Fix")))</f>
        <v>0</v>
      </c>
      <c r="D259" s="3">
        <f>IF(OR(INDEX($O$2:$O$1001,MATCH(ROWS($N$2:N259),$N$2:$N$1001,0),1)&gt;=100000,INDEX($U$1005:$AC$1005,1,MATCH(COLUMNS($U$1006:W1006),$U$1006:$AC$1006,0))&gt;=100000), " ",IF(INDEX($U$2:$AC$1001,MATCH(ROWS($N$2:N259),$N$2:$N$1001,0),MATCH(COLUMNS($U$1006:W1006),$U$1006:$AC$1006,0)), HYPERLINK("#",""), HYPERLINK(CONCATENATE("#metadata!", ADDRESS(INDEX($P$2:$P$1001,MATCH(ROWS($N$2:N259),$N$2:$N$1001,0),0), INDEX($U$1004:$AC$1004,1,MATCH(COLUMNS($U$1006:W1006),$U$1006:$AC$1006,0)))),"Fix")))</f>
        <v>0</v>
      </c>
      <c r="E259" s="3">
        <f>IF(OR(INDEX($O$2:$O$1001,MATCH(ROWS($N$2:N259),$N$2:$N$1001,0),1)&gt;=100000,INDEX($U$1005:$AC$1005,1,MATCH(COLUMNS($U$1006:X1006),$U$1006:$AC$1006,0))&gt;=100000), " ",IF(INDEX($U$2:$AC$1001,MATCH(ROWS($N$2:N259),$N$2:$N$1001,0),MATCH(COLUMNS($U$1006:X1006),$U$1006:$AC$1006,0)), HYPERLINK("#",""), HYPERLINK(CONCATENATE("#metadata!", ADDRESS(INDEX($P$2:$P$1001,MATCH(ROWS($N$2:N259),$N$2:$N$1001,0),0), INDEX($U$1004:$AC$1004,1,MATCH(COLUMNS($U$1006:X1006),$U$1006:$AC$1006,0)))),"Fix")))</f>
        <v>0</v>
      </c>
      <c r="F259" s="3">
        <f>IF(OR(INDEX($O$2:$O$1001,MATCH(ROWS($N$2:N259),$N$2:$N$1001,0),1)&gt;=100000,INDEX($U$1005:$AC$1005,1,MATCH(COLUMNS($U$1006:Y1006),$U$1006:$AC$1006,0))&gt;=100000), " ",IF(INDEX($U$2:$AC$1001,MATCH(ROWS($N$2:N259),$N$2:$N$1001,0),MATCH(COLUMNS($U$1006:Y1006),$U$1006:$AC$1006,0)), HYPERLINK("#",""), HYPERLINK(CONCATENATE("#metadata!", ADDRESS(INDEX($P$2:$P$1001,MATCH(ROWS($N$2:N259),$N$2:$N$1001,0),0), INDEX($U$1004:$AC$1004,1,MATCH(COLUMNS($U$1006:Y1006),$U$1006:$AC$1006,0)))),"Fix")))</f>
        <v>0</v>
      </c>
      <c r="G259" s="3">
        <f>IF(OR(INDEX($O$2:$O$1001,MATCH(ROWS($N$2:N259),$N$2:$N$1001,0),1)&gt;=100000,INDEX($U$1005:$AC$1005,1,MATCH(COLUMNS($U$1006:Z1006),$U$1006:$AC$1006,0))&gt;=100000), " ",IF(INDEX($U$2:$AC$1001,MATCH(ROWS($N$2:N259),$N$2:$N$1001,0),MATCH(COLUMNS($U$1006:Z1006),$U$1006:$AC$1006,0)), HYPERLINK("#",""), HYPERLINK(CONCATENATE("#metadata!", ADDRESS(INDEX($P$2:$P$1001,MATCH(ROWS($N$2:N259),$N$2:$N$1001,0),0), INDEX($U$1004:$AC$1004,1,MATCH(COLUMNS($U$1006:Z1006),$U$1006:$AC$1006,0)))),"Fix")))</f>
        <v>0</v>
      </c>
      <c r="H259" s="3">
        <f>IF(OR(INDEX($O$2:$O$1001,MATCH(ROWS($N$2:N259),$N$2:$N$1001,0),1)&gt;=100000,INDEX($U$1005:$AC$1005,1,MATCH(COLUMNS($U$1006:AA1006),$U$1006:$AC$1006,0))&gt;=100000), " ",IF(INDEX($U$2:$AC$1001,MATCH(ROWS($N$2:N259),$N$2:$N$1001,0),MATCH(COLUMNS($U$1006:AA1006),$U$1006:$AC$1006,0)), HYPERLINK("#",""), HYPERLINK(CONCATENATE("#metadata!", ADDRESS(INDEX($P$2:$P$1001,MATCH(ROWS($N$2:N259),$N$2:$N$1001,0),0), INDEX($U$1004:$AC$1004,1,MATCH(COLUMNS($U$1006:AA1006),$U$1006:$AC$1006,0)))),"Fix")))</f>
        <v>0</v>
      </c>
      <c r="I259" s="3">
        <f>IF(OR(INDEX($O$2:$O$1001,MATCH(ROWS($N$2:N259),$N$2:$N$1001,0),1)&gt;=100000,INDEX($U$1005:$AC$1005,1,MATCH(COLUMNS($U$1006:AB1006),$U$1006:$AC$1006,0))&gt;=100000), " ",IF(INDEX($U$2:$AC$1001,MATCH(ROWS($N$2:N259),$N$2:$N$1001,0),MATCH(COLUMNS($U$1006:AB1006),$U$1006:$AC$1006,0)), HYPERLINK("#",""), HYPERLINK(CONCATENATE("#metadata!", ADDRESS(INDEX($P$2:$P$1001,MATCH(ROWS($N$2:N259),$N$2:$N$1001,0),0), INDEX($U$1004:$AC$1004,1,MATCH(COLUMNS($U$1006:AB1006),$U$1006:$AC$1006,0)))),"Fix")))</f>
        <v>0</v>
      </c>
      <c r="J259" s="3">
        <f>IF(OR(INDEX($O$2:$O$1001,MATCH(ROWS($N$2:N259),$N$2:$N$1001,0),1)&gt;=100000,INDEX($U$1005:$AC$1005,1,MATCH(COLUMNS($U$1006:AC1006),$U$1006:$AC$1006,0))&gt;=100000), " ",IF(INDEX($U$2:$AC$1001,MATCH(ROWS($N$2:N259),$N$2:$N$1001,0),MATCH(COLUMNS($U$1006:AC1006),$U$1006:$AC$1006,0)), HYPERLINK("#",""), HYPERLINK(CONCATENATE("#metadata!", ADDRESS(INDEX($P$2:$P$1001,MATCH(ROWS($N$2:N259),$N$2:$N$1001,0),0), INDEX($U$1004:$AC$1004,1,MATCH(COLUMNS($U$1006:AC1006),$U$1006:$AC$1006,0)))),"Fix")))</f>
        <v>0</v>
      </c>
      <c r="N259">
        <v>0</v>
      </c>
      <c r="O259">
        <v>0</v>
      </c>
      <c r="P259">
        <v>0</v>
      </c>
      <c r="Q259">
        <f>IF(R259,TRUE,AND(U259:AC259))</f>
        <v>0</v>
      </c>
      <c r="R259">
        <f>COUNTBLANK(metadata!B259:J259)=COLUMNS(metadata!B259:J259)</f>
        <v>0</v>
      </c>
      <c r="S259">
        <v>0</v>
      </c>
      <c r="U259">
        <f>AND(IF(metadata!B259="",FALSE,TRUE),COUNTIF(metadata!B:B, metadata!B259) = 1,NOT(ISERROR(SUMPRODUCT(SEARCH(MID(metadata!B259,ROW(INDIRECT("1:"&amp;LEN(metadata!B259))), 1),"0123456789abcdefghijklmnopqrstuvwxyzABCDEFGHIJKLMNOPQRSTUVWXYZ.")))))</f>
        <v>0</v>
      </c>
      <c r="V259">
        <f>AND(IF(metadata!C259="",FALSE,TRUE),exact(metadata!C259,"UBERON:genitourinary"))</f>
        <v>0</v>
      </c>
      <c r="W259">
        <f>AND(IF(metadata!D259="",FALSE,TRUE),exact(metadata!D259,"UBERON:urine"))</f>
        <v>0</v>
      </c>
      <c r="X259">
        <f>AND(IF(metadata!E259="",FALSE,TRUE),exact(metadata!E259,"UBERON:kidney"))</f>
        <v>0</v>
      </c>
      <c r="Y259">
        <f>AND(IF(metadata!F259="",FALSE,TRUE),exact(metadata!F259,"animal corpus"))</f>
        <v>0</v>
      </c>
      <c r="Z259">
        <f>AND(IF(metadata!G259="",FALSE,TRUE),exact(metadata!G259,"urine"))</f>
        <v>0</v>
      </c>
      <c r="AA259">
        <f>AND(IF(metadata!H259="",FALSE,TRUE),exact(metadata!H259,"urine"))</f>
        <v>0</v>
      </c>
      <c r="AB259">
        <f>AND(IF(metadata!I259="",FALSE,TRUE),exact(metadata!I259,"urine metagenome"))</f>
        <v>0</v>
      </c>
      <c r="AC259">
        <f>AND(IF(metadata!J259="",FALSE,TRUE),exact(metadata!J259,"1346744"))</f>
        <v>0</v>
      </c>
    </row>
    <row r="260" spans="1:29">
      <c r="A260" s="4">
        <f>IF(B260=" "," ",HYPERLINK(CONCATENATE("#metadata!",ADDRESS(INDEX($P$2:$P$1001,MATCH(ROWS($N$2:N260),$N$2:$N$1001,0),0),1)),INDEX($S$2:$S$1001,MATCH(ROWS($N$2:N260),$N$2:$N$1001,0),0)))</f>
        <v>0</v>
      </c>
      <c r="B260" s="3">
        <f>IF(OR(INDEX($O$2:$O$1001,MATCH(ROWS($N$2:N260),$N$2:$N$1001,0),1)&gt;=100000,INDEX($U$1005:$AC$1005,1,MATCH(COLUMNS($U$1006:U1006),$U$1006:$AC$1006,0))&gt;=100000), " ",IF(INDEX($U$2:$AC$1001,MATCH(ROWS($N$2:N260),$N$2:$N$1001,0),MATCH(COLUMNS($U$1006:U1006),$U$1006:$AC$1006,0)), HYPERLINK("#",""), HYPERLINK(CONCATENATE("#metadata!", ADDRESS(INDEX($P$2:$P$1001,MATCH(ROWS($N$2:N260),$N$2:$N$1001,0),0), INDEX($U$1004:$AC$1004,1,MATCH(COLUMNS($U$1006:U1006),$U$1006:$AC$1006,0)))),"Fix")))</f>
        <v>0</v>
      </c>
      <c r="C260" s="3">
        <f>IF(OR(INDEX($O$2:$O$1001,MATCH(ROWS($N$2:N260),$N$2:$N$1001,0),1)&gt;=100000,INDEX($U$1005:$AC$1005,1,MATCH(COLUMNS($U$1006:V1006),$U$1006:$AC$1006,0))&gt;=100000), " ",IF(INDEX($U$2:$AC$1001,MATCH(ROWS($N$2:N260),$N$2:$N$1001,0),MATCH(COLUMNS($U$1006:V1006),$U$1006:$AC$1006,0)), HYPERLINK("#",""), HYPERLINK(CONCATENATE("#metadata!", ADDRESS(INDEX($P$2:$P$1001,MATCH(ROWS($N$2:N260),$N$2:$N$1001,0),0), INDEX($U$1004:$AC$1004,1,MATCH(COLUMNS($U$1006:V1006),$U$1006:$AC$1006,0)))),"Fix")))</f>
        <v>0</v>
      </c>
      <c r="D260" s="3">
        <f>IF(OR(INDEX($O$2:$O$1001,MATCH(ROWS($N$2:N260),$N$2:$N$1001,0),1)&gt;=100000,INDEX($U$1005:$AC$1005,1,MATCH(COLUMNS($U$1006:W1006),$U$1006:$AC$1006,0))&gt;=100000), " ",IF(INDEX($U$2:$AC$1001,MATCH(ROWS($N$2:N260),$N$2:$N$1001,0),MATCH(COLUMNS($U$1006:W1006),$U$1006:$AC$1006,0)), HYPERLINK("#",""), HYPERLINK(CONCATENATE("#metadata!", ADDRESS(INDEX($P$2:$P$1001,MATCH(ROWS($N$2:N260),$N$2:$N$1001,0),0), INDEX($U$1004:$AC$1004,1,MATCH(COLUMNS($U$1006:W1006),$U$1006:$AC$1006,0)))),"Fix")))</f>
        <v>0</v>
      </c>
      <c r="E260" s="3">
        <f>IF(OR(INDEX($O$2:$O$1001,MATCH(ROWS($N$2:N260),$N$2:$N$1001,0),1)&gt;=100000,INDEX($U$1005:$AC$1005,1,MATCH(COLUMNS($U$1006:X1006),$U$1006:$AC$1006,0))&gt;=100000), " ",IF(INDEX($U$2:$AC$1001,MATCH(ROWS($N$2:N260),$N$2:$N$1001,0),MATCH(COLUMNS($U$1006:X1006),$U$1006:$AC$1006,0)), HYPERLINK("#",""), HYPERLINK(CONCATENATE("#metadata!", ADDRESS(INDEX($P$2:$P$1001,MATCH(ROWS($N$2:N260),$N$2:$N$1001,0),0), INDEX($U$1004:$AC$1004,1,MATCH(COLUMNS($U$1006:X1006),$U$1006:$AC$1006,0)))),"Fix")))</f>
        <v>0</v>
      </c>
      <c r="F260" s="3">
        <f>IF(OR(INDEX($O$2:$O$1001,MATCH(ROWS($N$2:N260),$N$2:$N$1001,0),1)&gt;=100000,INDEX($U$1005:$AC$1005,1,MATCH(COLUMNS($U$1006:Y1006),$U$1006:$AC$1006,0))&gt;=100000), " ",IF(INDEX($U$2:$AC$1001,MATCH(ROWS($N$2:N260),$N$2:$N$1001,0),MATCH(COLUMNS($U$1006:Y1006),$U$1006:$AC$1006,0)), HYPERLINK("#",""), HYPERLINK(CONCATENATE("#metadata!", ADDRESS(INDEX($P$2:$P$1001,MATCH(ROWS($N$2:N260),$N$2:$N$1001,0),0), INDEX($U$1004:$AC$1004,1,MATCH(COLUMNS($U$1006:Y1006),$U$1006:$AC$1006,0)))),"Fix")))</f>
        <v>0</v>
      </c>
      <c r="G260" s="3">
        <f>IF(OR(INDEX($O$2:$O$1001,MATCH(ROWS($N$2:N260),$N$2:$N$1001,0),1)&gt;=100000,INDEX($U$1005:$AC$1005,1,MATCH(COLUMNS($U$1006:Z1006),$U$1006:$AC$1006,0))&gt;=100000), " ",IF(INDEX($U$2:$AC$1001,MATCH(ROWS($N$2:N260),$N$2:$N$1001,0),MATCH(COLUMNS($U$1006:Z1006),$U$1006:$AC$1006,0)), HYPERLINK("#",""), HYPERLINK(CONCATENATE("#metadata!", ADDRESS(INDEX($P$2:$P$1001,MATCH(ROWS($N$2:N260),$N$2:$N$1001,0),0), INDEX($U$1004:$AC$1004,1,MATCH(COLUMNS($U$1006:Z1006),$U$1006:$AC$1006,0)))),"Fix")))</f>
        <v>0</v>
      </c>
      <c r="H260" s="3">
        <f>IF(OR(INDEX($O$2:$O$1001,MATCH(ROWS($N$2:N260),$N$2:$N$1001,0),1)&gt;=100000,INDEX($U$1005:$AC$1005,1,MATCH(COLUMNS($U$1006:AA1006),$U$1006:$AC$1006,0))&gt;=100000), " ",IF(INDEX($U$2:$AC$1001,MATCH(ROWS($N$2:N260),$N$2:$N$1001,0),MATCH(COLUMNS($U$1006:AA1006),$U$1006:$AC$1006,0)), HYPERLINK("#",""), HYPERLINK(CONCATENATE("#metadata!", ADDRESS(INDEX($P$2:$P$1001,MATCH(ROWS($N$2:N260),$N$2:$N$1001,0),0), INDEX($U$1004:$AC$1004,1,MATCH(COLUMNS($U$1006:AA1006),$U$1006:$AC$1006,0)))),"Fix")))</f>
        <v>0</v>
      </c>
      <c r="I260" s="3">
        <f>IF(OR(INDEX($O$2:$O$1001,MATCH(ROWS($N$2:N260),$N$2:$N$1001,0),1)&gt;=100000,INDEX($U$1005:$AC$1005,1,MATCH(COLUMNS($U$1006:AB1006),$U$1006:$AC$1006,0))&gt;=100000), " ",IF(INDEX($U$2:$AC$1001,MATCH(ROWS($N$2:N260),$N$2:$N$1001,0),MATCH(COLUMNS($U$1006:AB1006),$U$1006:$AC$1006,0)), HYPERLINK("#",""), HYPERLINK(CONCATENATE("#metadata!", ADDRESS(INDEX($P$2:$P$1001,MATCH(ROWS($N$2:N260),$N$2:$N$1001,0),0), INDEX($U$1004:$AC$1004,1,MATCH(COLUMNS($U$1006:AB1006),$U$1006:$AC$1006,0)))),"Fix")))</f>
        <v>0</v>
      </c>
      <c r="J260" s="3">
        <f>IF(OR(INDEX($O$2:$O$1001,MATCH(ROWS($N$2:N260),$N$2:$N$1001,0),1)&gt;=100000,INDEX($U$1005:$AC$1005,1,MATCH(COLUMNS($U$1006:AC1006),$U$1006:$AC$1006,0))&gt;=100000), " ",IF(INDEX($U$2:$AC$1001,MATCH(ROWS($N$2:N260),$N$2:$N$1001,0),MATCH(COLUMNS($U$1006:AC1006),$U$1006:$AC$1006,0)), HYPERLINK("#",""), HYPERLINK(CONCATENATE("#metadata!", ADDRESS(INDEX($P$2:$P$1001,MATCH(ROWS($N$2:N260),$N$2:$N$1001,0),0), INDEX($U$1004:$AC$1004,1,MATCH(COLUMNS($U$1006:AC1006),$U$1006:$AC$1006,0)))),"Fix")))</f>
        <v>0</v>
      </c>
      <c r="N260">
        <v>0</v>
      </c>
      <c r="O260">
        <v>0</v>
      </c>
      <c r="P260">
        <v>0</v>
      </c>
      <c r="Q260">
        <f>IF(R260,TRUE,AND(U260:AC260))</f>
        <v>0</v>
      </c>
      <c r="R260">
        <f>COUNTBLANK(metadata!B260:J260)=COLUMNS(metadata!B260:J260)</f>
        <v>0</v>
      </c>
      <c r="S260">
        <v>0</v>
      </c>
      <c r="U260">
        <f>AND(IF(metadata!B260="",FALSE,TRUE),COUNTIF(metadata!B:B, metadata!B260) = 1,NOT(ISERROR(SUMPRODUCT(SEARCH(MID(metadata!B260,ROW(INDIRECT("1:"&amp;LEN(metadata!B260))), 1),"0123456789abcdefghijklmnopqrstuvwxyzABCDEFGHIJKLMNOPQRSTUVWXYZ.")))))</f>
        <v>0</v>
      </c>
      <c r="V260">
        <f>AND(IF(metadata!C260="",FALSE,TRUE),exact(metadata!C260,"UBERON:genitourinary"))</f>
        <v>0</v>
      </c>
      <c r="W260">
        <f>AND(IF(metadata!D260="",FALSE,TRUE),exact(metadata!D260,"UBERON:urine"))</f>
        <v>0</v>
      </c>
      <c r="X260">
        <f>AND(IF(metadata!E260="",FALSE,TRUE),exact(metadata!E260,"UBERON:kidney"))</f>
        <v>0</v>
      </c>
      <c r="Y260">
        <f>AND(IF(metadata!F260="",FALSE,TRUE),exact(metadata!F260,"animal corpus"))</f>
        <v>0</v>
      </c>
      <c r="Z260">
        <f>AND(IF(metadata!G260="",FALSE,TRUE),exact(metadata!G260,"urine"))</f>
        <v>0</v>
      </c>
      <c r="AA260">
        <f>AND(IF(metadata!H260="",FALSE,TRUE),exact(metadata!H260,"urine"))</f>
        <v>0</v>
      </c>
      <c r="AB260">
        <f>AND(IF(metadata!I260="",FALSE,TRUE),exact(metadata!I260,"urine metagenome"))</f>
        <v>0</v>
      </c>
      <c r="AC260">
        <f>AND(IF(metadata!J260="",FALSE,TRUE),exact(metadata!J260,"1346744"))</f>
        <v>0</v>
      </c>
    </row>
    <row r="261" spans="1:29">
      <c r="A261" s="4">
        <f>IF(B261=" "," ",HYPERLINK(CONCATENATE("#metadata!",ADDRESS(INDEX($P$2:$P$1001,MATCH(ROWS($N$2:N261),$N$2:$N$1001,0),0),1)),INDEX($S$2:$S$1001,MATCH(ROWS($N$2:N261),$N$2:$N$1001,0),0)))</f>
        <v>0</v>
      </c>
      <c r="B261" s="3">
        <f>IF(OR(INDEX($O$2:$O$1001,MATCH(ROWS($N$2:N261),$N$2:$N$1001,0),1)&gt;=100000,INDEX($U$1005:$AC$1005,1,MATCH(COLUMNS($U$1006:U1006),$U$1006:$AC$1006,0))&gt;=100000), " ",IF(INDEX($U$2:$AC$1001,MATCH(ROWS($N$2:N261),$N$2:$N$1001,0),MATCH(COLUMNS($U$1006:U1006),$U$1006:$AC$1006,0)), HYPERLINK("#",""), HYPERLINK(CONCATENATE("#metadata!", ADDRESS(INDEX($P$2:$P$1001,MATCH(ROWS($N$2:N261),$N$2:$N$1001,0),0), INDEX($U$1004:$AC$1004,1,MATCH(COLUMNS($U$1006:U1006),$U$1006:$AC$1006,0)))),"Fix")))</f>
        <v>0</v>
      </c>
      <c r="C261" s="3">
        <f>IF(OR(INDEX($O$2:$O$1001,MATCH(ROWS($N$2:N261),$N$2:$N$1001,0),1)&gt;=100000,INDEX($U$1005:$AC$1005,1,MATCH(COLUMNS($U$1006:V1006),$U$1006:$AC$1006,0))&gt;=100000), " ",IF(INDEX($U$2:$AC$1001,MATCH(ROWS($N$2:N261),$N$2:$N$1001,0),MATCH(COLUMNS($U$1006:V1006),$U$1006:$AC$1006,0)), HYPERLINK("#",""), HYPERLINK(CONCATENATE("#metadata!", ADDRESS(INDEX($P$2:$P$1001,MATCH(ROWS($N$2:N261),$N$2:$N$1001,0),0), INDEX($U$1004:$AC$1004,1,MATCH(COLUMNS($U$1006:V1006),$U$1006:$AC$1006,0)))),"Fix")))</f>
        <v>0</v>
      </c>
      <c r="D261" s="3">
        <f>IF(OR(INDEX($O$2:$O$1001,MATCH(ROWS($N$2:N261),$N$2:$N$1001,0),1)&gt;=100000,INDEX($U$1005:$AC$1005,1,MATCH(COLUMNS($U$1006:W1006),$U$1006:$AC$1006,0))&gt;=100000), " ",IF(INDEX($U$2:$AC$1001,MATCH(ROWS($N$2:N261),$N$2:$N$1001,0),MATCH(COLUMNS($U$1006:W1006),$U$1006:$AC$1006,0)), HYPERLINK("#",""), HYPERLINK(CONCATENATE("#metadata!", ADDRESS(INDEX($P$2:$P$1001,MATCH(ROWS($N$2:N261),$N$2:$N$1001,0),0), INDEX($U$1004:$AC$1004,1,MATCH(COLUMNS($U$1006:W1006),$U$1006:$AC$1006,0)))),"Fix")))</f>
        <v>0</v>
      </c>
      <c r="E261" s="3">
        <f>IF(OR(INDEX($O$2:$O$1001,MATCH(ROWS($N$2:N261),$N$2:$N$1001,0),1)&gt;=100000,INDEX($U$1005:$AC$1005,1,MATCH(COLUMNS($U$1006:X1006),$U$1006:$AC$1006,0))&gt;=100000), " ",IF(INDEX($U$2:$AC$1001,MATCH(ROWS($N$2:N261),$N$2:$N$1001,0),MATCH(COLUMNS($U$1006:X1006),$U$1006:$AC$1006,0)), HYPERLINK("#",""), HYPERLINK(CONCATENATE("#metadata!", ADDRESS(INDEX($P$2:$P$1001,MATCH(ROWS($N$2:N261),$N$2:$N$1001,0),0), INDEX($U$1004:$AC$1004,1,MATCH(COLUMNS($U$1006:X1006),$U$1006:$AC$1006,0)))),"Fix")))</f>
        <v>0</v>
      </c>
      <c r="F261" s="3">
        <f>IF(OR(INDEX($O$2:$O$1001,MATCH(ROWS($N$2:N261),$N$2:$N$1001,0),1)&gt;=100000,INDEX($U$1005:$AC$1005,1,MATCH(COLUMNS($U$1006:Y1006),$U$1006:$AC$1006,0))&gt;=100000), " ",IF(INDEX($U$2:$AC$1001,MATCH(ROWS($N$2:N261),$N$2:$N$1001,0),MATCH(COLUMNS($U$1006:Y1006),$U$1006:$AC$1006,0)), HYPERLINK("#",""), HYPERLINK(CONCATENATE("#metadata!", ADDRESS(INDEX($P$2:$P$1001,MATCH(ROWS($N$2:N261),$N$2:$N$1001,0),0), INDEX($U$1004:$AC$1004,1,MATCH(COLUMNS($U$1006:Y1006),$U$1006:$AC$1006,0)))),"Fix")))</f>
        <v>0</v>
      </c>
      <c r="G261" s="3">
        <f>IF(OR(INDEX($O$2:$O$1001,MATCH(ROWS($N$2:N261),$N$2:$N$1001,0),1)&gt;=100000,INDEX($U$1005:$AC$1005,1,MATCH(COLUMNS($U$1006:Z1006),$U$1006:$AC$1006,0))&gt;=100000), " ",IF(INDEX($U$2:$AC$1001,MATCH(ROWS($N$2:N261),$N$2:$N$1001,0),MATCH(COLUMNS($U$1006:Z1006),$U$1006:$AC$1006,0)), HYPERLINK("#",""), HYPERLINK(CONCATENATE("#metadata!", ADDRESS(INDEX($P$2:$P$1001,MATCH(ROWS($N$2:N261),$N$2:$N$1001,0),0), INDEX($U$1004:$AC$1004,1,MATCH(COLUMNS($U$1006:Z1006),$U$1006:$AC$1006,0)))),"Fix")))</f>
        <v>0</v>
      </c>
      <c r="H261" s="3">
        <f>IF(OR(INDEX($O$2:$O$1001,MATCH(ROWS($N$2:N261),$N$2:$N$1001,0),1)&gt;=100000,INDEX($U$1005:$AC$1005,1,MATCH(COLUMNS($U$1006:AA1006),$U$1006:$AC$1006,0))&gt;=100000), " ",IF(INDEX($U$2:$AC$1001,MATCH(ROWS($N$2:N261),$N$2:$N$1001,0),MATCH(COLUMNS($U$1006:AA1006),$U$1006:$AC$1006,0)), HYPERLINK("#",""), HYPERLINK(CONCATENATE("#metadata!", ADDRESS(INDEX($P$2:$P$1001,MATCH(ROWS($N$2:N261),$N$2:$N$1001,0),0), INDEX($U$1004:$AC$1004,1,MATCH(COLUMNS($U$1006:AA1006),$U$1006:$AC$1006,0)))),"Fix")))</f>
        <v>0</v>
      </c>
      <c r="I261" s="3">
        <f>IF(OR(INDEX($O$2:$O$1001,MATCH(ROWS($N$2:N261),$N$2:$N$1001,0),1)&gt;=100000,INDEX($U$1005:$AC$1005,1,MATCH(COLUMNS($U$1006:AB1006),$U$1006:$AC$1006,0))&gt;=100000), " ",IF(INDEX($U$2:$AC$1001,MATCH(ROWS($N$2:N261),$N$2:$N$1001,0),MATCH(COLUMNS($U$1006:AB1006),$U$1006:$AC$1006,0)), HYPERLINK("#",""), HYPERLINK(CONCATENATE("#metadata!", ADDRESS(INDEX($P$2:$P$1001,MATCH(ROWS($N$2:N261),$N$2:$N$1001,0),0), INDEX($U$1004:$AC$1004,1,MATCH(COLUMNS($U$1006:AB1006),$U$1006:$AC$1006,0)))),"Fix")))</f>
        <v>0</v>
      </c>
      <c r="J261" s="3">
        <f>IF(OR(INDEX($O$2:$O$1001,MATCH(ROWS($N$2:N261),$N$2:$N$1001,0),1)&gt;=100000,INDEX($U$1005:$AC$1005,1,MATCH(COLUMNS($U$1006:AC1006),$U$1006:$AC$1006,0))&gt;=100000), " ",IF(INDEX($U$2:$AC$1001,MATCH(ROWS($N$2:N261),$N$2:$N$1001,0),MATCH(COLUMNS($U$1006:AC1006),$U$1006:$AC$1006,0)), HYPERLINK("#",""), HYPERLINK(CONCATENATE("#metadata!", ADDRESS(INDEX($P$2:$P$1001,MATCH(ROWS($N$2:N261),$N$2:$N$1001,0),0), INDEX($U$1004:$AC$1004,1,MATCH(COLUMNS($U$1006:AC1006),$U$1006:$AC$1006,0)))),"Fix")))</f>
        <v>0</v>
      </c>
      <c r="N261">
        <v>0</v>
      </c>
      <c r="O261">
        <v>0</v>
      </c>
      <c r="P261">
        <v>0</v>
      </c>
      <c r="Q261">
        <f>IF(R261,TRUE,AND(U261:AC261))</f>
        <v>0</v>
      </c>
      <c r="R261">
        <f>COUNTBLANK(metadata!B261:J261)=COLUMNS(metadata!B261:J261)</f>
        <v>0</v>
      </c>
      <c r="S261">
        <v>0</v>
      </c>
      <c r="U261">
        <f>AND(IF(metadata!B261="",FALSE,TRUE),COUNTIF(metadata!B:B, metadata!B261) = 1,NOT(ISERROR(SUMPRODUCT(SEARCH(MID(metadata!B261,ROW(INDIRECT("1:"&amp;LEN(metadata!B261))), 1),"0123456789abcdefghijklmnopqrstuvwxyzABCDEFGHIJKLMNOPQRSTUVWXYZ.")))))</f>
        <v>0</v>
      </c>
      <c r="V261">
        <f>AND(IF(metadata!C261="",FALSE,TRUE),exact(metadata!C261,"UBERON:genitourinary"))</f>
        <v>0</v>
      </c>
      <c r="W261">
        <f>AND(IF(metadata!D261="",FALSE,TRUE),exact(metadata!D261,"UBERON:urine"))</f>
        <v>0</v>
      </c>
      <c r="X261">
        <f>AND(IF(metadata!E261="",FALSE,TRUE),exact(metadata!E261,"UBERON:kidney"))</f>
        <v>0</v>
      </c>
      <c r="Y261">
        <f>AND(IF(metadata!F261="",FALSE,TRUE),exact(metadata!F261,"animal corpus"))</f>
        <v>0</v>
      </c>
      <c r="Z261">
        <f>AND(IF(metadata!G261="",FALSE,TRUE),exact(metadata!G261,"urine"))</f>
        <v>0</v>
      </c>
      <c r="AA261">
        <f>AND(IF(metadata!H261="",FALSE,TRUE),exact(metadata!H261,"urine"))</f>
        <v>0</v>
      </c>
      <c r="AB261">
        <f>AND(IF(metadata!I261="",FALSE,TRUE),exact(metadata!I261,"urine metagenome"))</f>
        <v>0</v>
      </c>
      <c r="AC261">
        <f>AND(IF(metadata!J261="",FALSE,TRUE),exact(metadata!J261,"1346744"))</f>
        <v>0</v>
      </c>
    </row>
    <row r="262" spans="1:29">
      <c r="A262" s="4">
        <f>IF(B262=" "," ",HYPERLINK(CONCATENATE("#metadata!",ADDRESS(INDEX($P$2:$P$1001,MATCH(ROWS($N$2:N262),$N$2:$N$1001,0),0),1)),INDEX($S$2:$S$1001,MATCH(ROWS($N$2:N262),$N$2:$N$1001,0),0)))</f>
        <v>0</v>
      </c>
      <c r="B262" s="3">
        <f>IF(OR(INDEX($O$2:$O$1001,MATCH(ROWS($N$2:N262),$N$2:$N$1001,0),1)&gt;=100000,INDEX($U$1005:$AC$1005,1,MATCH(COLUMNS($U$1006:U1006),$U$1006:$AC$1006,0))&gt;=100000), " ",IF(INDEX($U$2:$AC$1001,MATCH(ROWS($N$2:N262),$N$2:$N$1001,0),MATCH(COLUMNS($U$1006:U1006),$U$1006:$AC$1006,0)), HYPERLINK("#",""), HYPERLINK(CONCATENATE("#metadata!", ADDRESS(INDEX($P$2:$P$1001,MATCH(ROWS($N$2:N262),$N$2:$N$1001,0),0), INDEX($U$1004:$AC$1004,1,MATCH(COLUMNS($U$1006:U1006),$U$1006:$AC$1006,0)))),"Fix")))</f>
        <v>0</v>
      </c>
      <c r="C262" s="3">
        <f>IF(OR(INDEX($O$2:$O$1001,MATCH(ROWS($N$2:N262),$N$2:$N$1001,0),1)&gt;=100000,INDEX($U$1005:$AC$1005,1,MATCH(COLUMNS($U$1006:V1006),$U$1006:$AC$1006,0))&gt;=100000), " ",IF(INDEX($U$2:$AC$1001,MATCH(ROWS($N$2:N262),$N$2:$N$1001,0),MATCH(COLUMNS($U$1006:V1006),$U$1006:$AC$1006,0)), HYPERLINK("#",""), HYPERLINK(CONCATENATE("#metadata!", ADDRESS(INDEX($P$2:$P$1001,MATCH(ROWS($N$2:N262),$N$2:$N$1001,0),0), INDEX($U$1004:$AC$1004,1,MATCH(COLUMNS($U$1006:V1006),$U$1006:$AC$1006,0)))),"Fix")))</f>
        <v>0</v>
      </c>
      <c r="D262" s="3">
        <f>IF(OR(INDEX($O$2:$O$1001,MATCH(ROWS($N$2:N262),$N$2:$N$1001,0),1)&gt;=100000,INDEX($U$1005:$AC$1005,1,MATCH(COLUMNS($U$1006:W1006),$U$1006:$AC$1006,0))&gt;=100000), " ",IF(INDEX($U$2:$AC$1001,MATCH(ROWS($N$2:N262),$N$2:$N$1001,0),MATCH(COLUMNS($U$1006:W1006),$U$1006:$AC$1006,0)), HYPERLINK("#",""), HYPERLINK(CONCATENATE("#metadata!", ADDRESS(INDEX($P$2:$P$1001,MATCH(ROWS($N$2:N262),$N$2:$N$1001,0),0), INDEX($U$1004:$AC$1004,1,MATCH(COLUMNS($U$1006:W1006),$U$1006:$AC$1006,0)))),"Fix")))</f>
        <v>0</v>
      </c>
      <c r="E262" s="3">
        <f>IF(OR(INDEX($O$2:$O$1001,MATCH(ROWS($N$2:N262),$N$2:$N$1001,0),1)&gt;=100000,INDEX($U$1005:$AC$1005,1,MATCH(COLUMNS($U$1006:X1006),$U$1006:$AC$1006,0))&gt;=100000), " ",IF(INDEX($U$2:$AC$1001,MATCH(ROWS($N$2:N262),$N$2:$N$1001,0),MATCH(COLUMNS($U$1006:X1006),$U$1006:$AC$1006,0)), HYPERLINK("#",""), HYPERLINK(CONCATENATE("#metadata!", ADDRESS(INDEX($P$2:$P$1001,MATCH(ROWS($N$2:N262),$N$2:$N$1001,0),0), INDEX($U$1004:$AC$1004,1,MATCH(COLUMNS($U$1006:X1006),$U$1006:$AC$1006,0)))),"Fix")))</f>
        <v>0</v>
      </c>
      <c r="F262" s="3">
        <f>IF(OR(INDEX($O$2:$O$1001,MATCH(ROWS($N$2:N262),$N$2:$N$1001,0),1)&gt;=100000,INDEX($U$1005:$AC$1005,1,MATCH(COLUMNS($U$1006:Y1006),$U$1006:$AC$1006,0))&gt;=100000), " ",IF(INDEX($U$2:$AC$1001,MATCH(ROWS($N$2:N262),$N$2:$N$1001,0),MATCH(COLUMNS($U$1006:Y1006),$U$1006:$AC$1006,0)), HYPERLINK("#",""), HYPERLINK(CONCATENATE("#metadata!", ADDRESS(INDEX($P$2:$P$1001,MATCH(ROWS($N$2:N262),$N$2:$N$1001,0),0), INDEX($U$1004:$AC$1004,1,MATCH(COLUMNS($U$1006:Y1006),$U$1006:$AC$1006,0)))),"Fix")))</f>
        <v>0</v>
      </c>
      <c r="G262" s="3">
        <f>IF(OR(INDEX($O$2:$O$1001,MATCH(ROWS($N$2:N262),$N$2:$N$1001,0),1)&gt;=100000,INDEX($U$1005:$AC$1005,1,MATCH(COLUMNS($U$1006:Z1006),$U$1006:$AC$1006,0))&gt;=100000), " ",IF(INDEX($U$2:$AC$1001,MATCH(ROWS($N$2:N262),$N$2:$N$1001,0),MATCH(COLUMNS($U$1006:Z1006),$U$1006:$AC$1006,0)), HYPERLINK("#",""), HYPERLINK(CONCATENATE("#metadata!", ADDRESS(INDEX($P$2:$P$1001,MATCH(ROWS($N$2:N262),$N$2:$N$1001,0),0), INDEX($U$1004:$AC$1004,1,MATCH(COLUMNS($U$1006:Z1006),$U$1006:$AC$1006,0)))),"Fix")))</f>
        <v>0</v>
      </c>
      <c r="H262" s="3">
        <f>IF(OR(INDEX($O$2:$O$1001,MATCH(ROWS($N$2:N262),$N$2:$N$1001,0),1)&gt;=100000,INDEX($U$1005:$AC$1005,1,MATCH(COLUMNS($U$1006:AA1006),$U$1006:$AC$1006,0))&gt;=100000), " ",IF(INDEX($U$2:$AC$1001,MATCH(ROWS($N$2:N262),$N$2:$N$1001,0),MATCH(COLUMNS($U$1006:AA1006),$U$1006:$AC$1006,0)), HYPERLINK("#",""), HYPERLINK(CONCATENATE("#metadata!", ADDRESS(INDEX($P$2:$P$1001,MATCH(ROWS($N$2:N262),$N$2:$N$1001,0),0), INDEX($U$1004:$AC$1004,1,MATCH(COLUMNS($U$1006:AA1006),$U$1006:$AC$1006,0)))),"Fix")))</f>
        <v>0</v>
      </c>
      <c r="I262" s="3">
        <f>IF(OR(INDEX($O$2:$O$1001,MATCH(ROWS($N$2:N262),$N$2:$N$1001,0),1)&gt;=100000,INDEX($U$1005:$AC$1005,1,MATCH(COLUMNS($U$1006:AB1006),$U$1006:$AC$1006,0))&gt;=100000), " ",IF(INDEX($U$2:$AC$1001,MATCH(ROWS($N$2:N262),$N$2:$N$1001,0),MATCH(COLUMNS($U$1006:AB1006),$U$1006:$AC$1006,0)), HYPERLINK("#",""), HYPERLINK(CONCATENATE("#metadata!", ADDRESS(INDEX($P$2:$P$1001,MATCH(ROWS($N$2:N262),$N$2:$N$1001,0),0), INDEX($U$1004:$AC$1004,1,MATCH(COLUMNS($U$1006:AB1006),$U$1006:$AC$1006,0)))),"Fix")))</f>
        <v>0</v>
      </c>
      <c r="J262" s="3">
        <f>IF(OR(INDEX($O$2:$O$1001,MATCH(ROWS($N$2:N262),$N$2:$N$1001,0),1)&gt;=100000,INDEX($U$1005:$AC$1005,1,MATCH(COLUMNS($U$1006:AC1006),$U$1006:$AC$1006,0))&gt;=100000), " ",IF(INDEX($U$2:$AC$1001,MATCH(ROWS($N$2:N262),$N$2:$N$1001,0),MATCH(COLUMNS($U$1006:AC1006),$U$1006:$AC$1006,0)), HYPERLINK("#",""), HYPERLINK(CONCATENATE("#metadata!", ADDRESS(INDEX($P$2:$P$1001,MATCH(ROWS($N$2:N262),$N$2:$N$1001,0),0), INDEX($U$1004:$AC$1004,1,MATCH(COLUMNS($U$1006:AC1006),$U$1006:$AC$1006,0)))),"Fix")))</f>
        <v>0</v>
      </c>
      <c r="N262">
        <v>0</v>
      </c>
      <c r="O262">
        <v>0</v>
      </c>
      <c r="P262">
        <v>0</v>
      </c>
      <c r="Q262">
        <f>IF(R262,TRUE,AND(U262:AC262))</f>
        <v>0</v>
      </c>
      <c r="R262">
        <f>COUNTBLANK(metadata!B262:J262)=COLUMNS(metadata!B262:J262)</f>
        <v>0</v>
      </c>
      <c r="S262">
        <v>0</v>
      </c>
      <c r="U262">
        <f>AND(IF(metadata!B262="",FALSE,TRUE),COUNTIF(metadata!B:B, metadata!B262) = 1,NOT(ISERROR(SUMPRODUCT(SEARCH(MID(metadata!B262,ROW(INDIRECT("1:"&amp;LEN(metadata!B262))), 1),"0123456789abcdefghijklmnopqrstuvwxyzABCDEFGHIJKLMNOPQRSTUVWXYZ.")))))</f>
        <v>0</v>
      </c>
      <c r="V262">
        <f>AND(IF(metadata!C262="",FALSE,TRUE),exact(metadata!C262,"UBERON:genitourinary"))</f>
        <v>0</v>
      </c>
      <c r="W262">
        <f>AND(IF(metadata!D262="",FALSE,TRUE),exact(metadata!D262,"UBERON:urine"))</f>
        <v>0</v>
      </c>
      <c r="X262">
        <f>AND(IF(metadata!E262="",FALSE,TRUE),exact(metadata!E262,"UBERON:kidney"))</f>
        <v>0</v>
      </c>
      <c r="Y262">
        <f>AND(IF(metadata!F262="",FALSE,TRUE),exact(metadata!F262,"animal corpus"))</f>
        <v>0</v>
      </c>
      <c r="Z262">
        <f>AND(IF(metadata!G262="",FALSE,TRUE),exact(metadata!G262,"urine"))</f>
        <v>0</v>
      </c>
      <c r="AA262">
        <f>AND(IF(metadata!H262="",FALSE,TRUE),exact(metadata!H262,"urine"))</f>
        <v>0</v>
      </c>
      <c r="AB262">
        <f>AND(IF(metadata!I262="",FALSE,TRUE),exact(metadata!I262,"urine metagenome"))</f>
        <v>0</v>
      </c>
      <c r="AC262">
        <f>AND(IF(metadata!J262="",FALSE,TRUE),exact(metadata!J262,"1346744"))</f>
        <v>0</v>
      </c>
    </row>
    <row r="263" spans="1:29">
      <c r="A263" s="4">
        <f>IF(B263=" "," ",HYPERLINK(CONCATENATE("#metadata!",ADDRESS(INDEX($P$2:$P$1001,MATCH(ROWS($N$2:N263),$N$2:$N$1001,0),0),1)),INDEX($S$2:$S$1001,MATCH(ROWS($N$2:N263),$N$2:$N$1001,0),0)))</f>
        <v>0</v>
      </c>
      <c r="B263" s="3">
        <f>IF(OR(INDEX($O$2:$O$1001,MATCH(ROWS($N$2:N263),$N$2:$N$1001,0),1)&gt;=100000,INDEX($U$1005:$AC$1005,1,MATCH(COLUMNS($U$1006:U1006),$U$1006:$AC$1006,0))&gt;=100000), " ",IF(INDEX($U$2:$AC$1001,MATCH(ROWS($N$2:N263),$N$2:$N$1001,0),MATCH(COLUMNS($U$1006:U1006),$U$1006:$AC$1006,0)), HYPERLINK("#",""), HYPERLINK(CONCATENATE("#metadata!", ADDRESS(INDEX($P$2:$P$1001,MATCH(ROWS($N$2:N263),$N$2:$N$1001,0),0), INDEX($U$1004:$AC$1004,1,MATCH(COLUMNS($U$1006:U1006),$U$1006:$AC$1006,0)))),"Fix")))</f>
        <v>0</v>
      </c>
      <c r="C263" s="3">
        <f>IF(OR(INDEX($O$2:$O$1001,MATCH(ROWS($N$2:N263),$N$2:$N$1001,0),1)&gt;=100000,INDEX($U$1005:$AC$1005,1,MATCH(COLUMNS($U$1006:V1006),$U$1006:$AC$1006,0))&gt;=100000), " ",IF(INDEX($U$2:$AC$1001,MATCH(ROWS($N$2:N263),$N$2:$N$1001,0),MATCH(COLUMNS($U$1006:V1006),$U$1006:$AC$1006,0)), HYPERLINK("#",""), HYPERLINK(CONCATENATE("#metadata!", ADDRESS(INDEX($P$2:$P$1001,MATCH(ROWS($N$2:N263),$N$2:$N$1001,0),0), INDEX($U$1004:$AC$1004,1,MATCH(COLUMNS($U$1006:V1006),$U$1006:$AC$1006,0)))),"Fix")))</f>
        <v>0</v>
      </c>
      <c r="D263" s="3">
        <f>IF(OR(INDEX($O$2:$O$1001,MATCH(ROWS($N$2:N263),$N$2:$N$1001,0),1)&gt;=100000,INDEX($U$1005:$AC$1005,1,MATCH(COLUMNS($U$1006:W1006),$U$1006:$AC$1006,0))&gt;=100000), " ",IF(INDEX($U$2:$AC$1001,MATCH(ROWS($N$2:N263),$N$2:$N$1001,0),MATCH(COLUMNS($U$1006:W1006),$U$1006:$AC$1006,0)), HYPERLINK("#",""), HYPERLINK(CONCATENATE("#metadata!", ADDRESS(INDEX($P$2:$P$1001,MATCH(ROWS($N$2:N263),$N$2:$N$1001,0),0), INDEX($U$1004:$AC$1004,1,MATCH(COLUMNS($U$1006:W1006),$U$1006:$AC$1006,0)))),"Fix")))</f>
        <v>0</v>
      </c>
      <c r="E263" s="3">
        <f>IF(OR(INDEX($O$2:$O$1001,MATCH(ROWS($N$2:N263),$N$2:$N$1001,0),1)&gt;=100000,INDEX($U$1005:$AC$1005,1,MATCH(COLUMNS($U$1006:X1006),$U$1006:$AC$1006,0))&gt;=100000), " ",IF(INDEX($U$2:$AC$1001,MATCH(ROWS($N$2:N263),$N$2:$N$1001,0),MATCH(COLUMNS($U$1006:X1006),$U$1006:$AC$1006,0)), HYPERLINK("#",""), HYPERLINK(CONCATENATE("#metadata!", ADDRESS(INDEX($P$2:$P$1001,MATCH(ROWS($N$2:N263),$N$2:$N$1001,0),0), INDEX($U$1004:$AC$1004,1,MATCH(COLUMNS($U$1006:X1006),$U$1006:$AC$1006,0)))),"Fix")))</f>
        <v>0</v>
      </c>
      <c r="F263" s="3">
        <f>IF(OR(INDEX($O$2:$O$1001,MATCH(ROWS($N$2:N263),$N$2:$N$1001,0),1)&gt;=100000,INDEX($U$1005:$AC$1005,1,MATCH(COLUMNS($U$1006:Y1006),$U$1006:$AC$1006,0))&gt;=100000), " ",IF(INDEX($U$2:$AC$1001,MATCH(ROWS($N$2:N263),$N$2:$N$1001,0),MATCH(COLUMNS($U$1006:Y1006),$U$1006:$AC$1006,0)), HYPERLINK("#",""), HYPERLINK(CONCATENATE("#metadata!", ADDRESS(INDEX($P$2:$P$1001,MATCH(ROWS($N$2:N263),$N$2:$N$1001,0),0), INDEX($U$1004:$AC$1004,1,MATCH(COLUMNS($U$1006:Y1006),$U$1006:$AC$1006,0)))),"Fix")))</f>
        <v>0</v>
      </c>
      <c r="G263" s="3">
        <f>IF(OR(INDEX($O$2:$O$1001,MATCH(ROWS($N$2:N263),$N$2:$N$1001,0),1)&gt;=100000,INDEX($U$1005:$AC$1005,1,MATCH(COLUMNS($U$1006:Z1006),$U$1006:$AC$1006,0))&gt;=100000), " ",IF(INDEX($U$2:$AC$1001,MATCH(ROWS($N$2:N263),$N$2:$N$1001,0),MATCH(COLUMNS($U$1006:Z1006),$U$1006:$AC$1006,0)), HYPERLINK("#",""), HYPERLINK(CONCATENATE("#metadata!", ADDRESS(INDEX($P$2:$P$1001,MATCH(ROWS($N$2:N263),$N$2:$N$1001,0),0), INDEX($U$1004:$AC$1004,1,MATCH(COLUMNS($U$1006:Z1006),$U$1006:$AC$1006,0)))),"Fix")))</f>
        <v>0</v>
      </c>
      <c r="H263" s="3">
        <f>IF(OR(INDEX($O$2:$O$1001,MATCH(ROWS($N$2:N263),$N$2:$N$1001,0),1)&gt;=100000,INDEX($U$1005:$AC$1005,1,MATCH(COLUMNS($U$1006:AA1006),$U$1006:$AC$1006,0))&gt;=100000), " ",IF(INDEX($U$2:$AC$1001,MATCH(ROWS($N$2:N263),$N$2:$N$1001,0),MATCH(COLUMNS($U$1006:AA1006),$U$1006:$AC$1006,0)), HYPERLINK("#",""), HYPERLINK(CONCATENATE("#metadata!", ADDRESS(INDEX($P$2:$P$1001,MATCH(ROWS($N$2:N263),$N$2:$N$1001,0),0), INDEX($U$1004:$AC$1004,1,MATCH(COLUMNS($U$1006:AA1006),$U$1006:$AC$1006,0)))),"Fix")))</f>
        <v>0</v>
      </c>
      <c r="I263" s="3">
        <f>IF(OR(INDEX($O$2:$O$1001,MATCH(ROWS($N$2:N263),$N$2:$N$1001,0),1)&gt;=100000,INDEX($U$1005:$AC$1005,1,MATCH(COLUMNS($U$1006:AB1006),$U$1006:$AC$1006,0))&gt;=100000), " ",IF(INDEX($U$2:$AC$1001,MATCH(ROWS($N$2:N263),$N$2:$N$1001,0),MATCH(COLUMNS($U$1006:AB1006),$U$1006:$AC$1006,0)), HYPERLINK("#",""), HYPERLINK(CONCATENATE("#metadata!", ADDRESS(INDEX($P$2:$P$1001,MATCH(ROWS($N$2:N263),$N$2:$N$1001,0),0), INDEX($U$1004:$AC$1004,1,MATCH(COLUMNS($U$1006:AB1006),$U$1006:$AC$1006,0)))),"Fix")))</f>
        <v>0</v>
      </c>
      <c r="J263" s="3">
        <f>IF(OR(INDEX($O$2:$O$1001,MATCH(ROWS($N$2:N263),$N$2:$N$1001,0),1)&gt;=100000,INDEX($U$1005:$AC$1005,1,MATCH(COLUMNS($U$1006:AC1006),$U$1006:$AC$1006,0))&gt;=100000), " ",IF(INDEX($U$2:$AC$1001,MATCH(ROWS($N$2:N263),$N$2:$N$1001,0),MATCH(COLUMNS($U$1006:AC1006),$U$1006:$AC$1006,0)), HYPERLINK("#",""), HYPERLINK(CONCATENATE("#metadata!", ADDRESS(INDEX($P$2:$P$1001,MATCH(ROWS($N$2:N263),$N$2:$N$1001,0),0), INDEX($U$1004:$AC$1004,1,MATCH(COLUMNS($U$1006:AC1006),$U$1006:$AC$1006,0)))),"Fix")))</f>
        <v>0</v>
      </c>
      <c r="N263">
        <v>0</v>
      </c>
      <c r="O263">
        <v>0</v>
      </c>
      <c r="P263">
        <v>0</v>
      </c>
      <c r="Q263">
        <f>IF(R263,TRUE,AND(U263:AC263))</f>
        <v>0</v>
      </c>
      <c r="R263">
        <f>COUNTBLANK(metadata!B263:J263)=COLUMNS(metadata!B263:J263)</f>
        <v>0</v>
      </c>
      <c r="S263">
        <v>0</v>
      </c>
      <c r="U263">
        <f>AND(IF(metadata!B263="",FALSE,TRUE),COUNTIF(metadata!B:B, metadata!B263) = 1,NOT(ISERROR(SUMPRODUCT(SEARCH(MID(metadata!B263,ROW(INDIRECT("1:"&amp;LEN(metadata!B263))), 1),"0123456789abcdefghijklmnopqrstuvwxyzABCDEFGHIJKLMNOPQRSTUVWXYZ.")))))</f>
        <v>0</v>
      </c>
      <c r="V263">
        <f>AND(IF(metadata!C263="",FALSE,TRUE),exact(metadata!C263,"UBERON:genitourinary"))</f>
        <v>0</v>
      </c>
      <c r="W263">
        <f>AND(IF(metadata!D263="",FALSE,TRUE),exact(metadata!D263,"UBERON:urine"))</f>
        <v>0</v>
      </c>
      <c r="X263">
        <f>AND(IF(metadata!E263="",FALSE,TRUE),exact(metadata!E263,"UBERON:kidney"))</f>
        <v>0</v>
      </c>
      <c r="Y263">
        <f>AND(IF(metadata!F263="",FALSE,TRUE),exact(metadata!F263,"animal corpus"))</f>
        <v>0</v>
      </c>
      <c r="Z263">
        <f>AND(IF(metadata!G263="",FALSE,TRUE),exact(metadata!G263,"urine"))</f>
        <v>0</v>
      </c>
      <c r="AA263">
        <f>AND(IF(metadata!H263="",FALSE,TRUE),exact(metadata!H263,"urine"))</f>
        <v>0</v>
      </c>
      <c r="AB263">
        <f>AND(IF(metadata!I263="",FALSE,TRUE),exact(metadata!I263,"urine metagenome"))</f>
        <v>0</v>
      </c>
      <c r="AC263">
        <f>AND(IF(metadata!J263="",FALSE,TRUE),exact(metadata!J263,"1346744"))</f>
        <v>0</v>
      </c>
    </row>
    <row r="264" spans="1:29">
      <c r="A264" s="4">
        <f>IF(B264=" "," ",HYPERLINK(CONCATENATE("#metadata!",ADDRESS(INDEX($P$2:$P$1001,MATCH(ROWS($N$2:N264),$N$2:$N$1001,0),0),1)),INDEX($S$2:$S$1001,MATCH(ROWS($N$2:N264),$N$2:$N$1001,0),0)))</f>
        <v>0</v>
      </c>
      <c r="B264" s="3">
        <f>IF(OR(INDEX($O$2:$O$1001,MATCH(ROWS($N$2:N264),$N$2:$N$1001,0),1)&gt;=100000,INDEX($U$1005:$AC$1005,1,MATCH(COLUMNS($U$1006:U1006),$U$1006:$AC$1006,0))&gt;=100000), " ",IF(INDEX($U$2:$AC$1001,MATCH(ROWS($N$2:N264),$N$2:$N$1001,0),MATCH(COLUMNS($U$1006:U1006),$U$1006:$AC$1006,0)), HYPERLINK("#",""), HYPERLINK(CONCATENATE("#metadata!", ADDRESS(INDEX($P$2:$P$1001,MATCH(ROWS($N$2:N264),$N$2:$N$1001,0),0), INDEX($U$1004:$AC$1004,1,MATCH(COLUMNS($U$1006:U1006),$U$1006:$AC$1006,0)))),"Fix")))</f>
        <v>0</v>
      </c>
      <c r="C264" s="3">
        <f>IF(OR(INDEX($O$2:$O$1001,MATCH(ROWS($N$2:N264),$N$2:$N$1001,0),1)&gt;=100000,INDEX($U$1005:$AC$1005,1,MATCH(COLUMNS($U$1006:V1006),$U$1006:$AC$1006,0))&gt;=100000), " ",IF(INDEX($U$2:$AC$1001,MATCH(ROWS($N$2:N264),$N$2:$N$1001,0),MATCH(COLUMNS($U$1006:V1006),$U$1006:$AC$1006,0)), HYPERLINK("#",""), HYPERLINK(CONCATENATE("#metadata!", ADDRESS(INDEX($P$2:$P$1001,MATCH(ROWS($N$2:N264),$N$2:$N$1001,0),0), INDEX($U$1004:$AC$1004,1,MATCH(COLUMNS($U$1006:V1006),$U$1006:$AC$1006,0)))),"Fix")))</f>
        <v>0</v>
      </c>
      <c r="D264" s="3">
        <f>IF(OR(INDEX($O$2:$O$1001,MATCH(ROWS($N$2:N264),$N$2:$N$1001,0),1)&gt;=100000,INDEX($U$1005:$AC$1005,1,MATCH(COLUMNS($U$1006:W1006),$U$1006:$AC$1006,0))&gt;=100000), " ",IF(INDEX($U$2:$AC$1001,MATCH(ROWS($N$2:N264),$N$2:$N$1001,0),MATCH(COLUMNS($U$1006:W1006),$U$1006:$AC$1006,0)), HYPERLINK("#",""), HYPERLINK(CONCATENATE("#metadata!", ADDRESS(INDEX($P$2:$P$1001,MATCH(ROWS($N$2:N264),$N$2:$N$1001,0),0), INDEX($U$1004:$AC$1004,1,MATCH(COLUMNS($U$1006:W1006),$U$1006:$AC$1006,0)))),"Fix")))</f>
        <v>0</v>
      </c>
      <c r="E264" s="3">
        <f>IF(OR(INDEX($O$2:$O$1001,MATCH(ROWS($N$2:N264),$N$2:$N$1001,0),1)&gt;=100000,INDEX($U$1005:$AC$1005,1,MATCH(COLUMNS($U$1006:X1006),$U$1006:$AC$1006,0))&gt;=100000), " ",IF(INDEX($U$2:$AC$1001,MATCH(ROWS($N$2:N264),$N$2:$N$1001,0),MATCH(COLUMNS($U$1006:X1006),$U$1006:$AC$1006,0)), HYPERLINK("#",""), HYPERLINK(CONCATENATE("#metadata!", ADDRESS(INDEX($P$2:$P$1001,MATCH(ROWS($N$2:N264),$N$2:$N$1001,0),0), INDEX($U$1004:$AC$1004,1,MATCH(COLUMNS($U$1006:X1006),$U$1006:$AC$1006,0)))),"Fix")))</f>
        <v>0</v>
      </c>
      <c r="F264" s="3">
        <f>IF(OR(INDEX($O$2:$O$1001,MATCH(ROWS($N$2:N264),$N$2:$N$1001,0),1)&gt;=100000,INDEX($U$1005:$AC$1005,1,MATCH(COLUMNS($U$1006:Y1006),$U$1006:$AC$1006,0))&gt;=100000), " ",IF(INDEX($U$2:$AC$1001,MATCH(ROWS($N$2:N264),$N$2:$N$1001,0),MATCH(COLUMNS($U$1006:Y1006),$U$1006:$AC$1006,0)), HYPERLINK("#",""), HYPERLINK(CONCATENATE("#metadata!", ADDRESS(INDEX($P$2:$P$1001,MATCH(ROWS($N$2:N264),$N$2:$N$1001,0),0), INDEX($U$1004:$AC$1004,1,MATCH(COLUMNS($U$1006:Y1006),$U$1006:$AC$1006,0)))),"Fix")))</f>
        <v>0</v>
      </c>
      <c r="G264" s="3">
        <f>IF(OR(INDEX($O$2:$O$1001,MATCH(ROWS($N$2:N264),$N$2:$N$1001,0),1)&gt;=100000,INDEX($U$1005:$AC$1005,1,MATCH(COLUMNS($U$1006:Z1006),$U$1006:$AC$1006,0))&gt;=100000), " ",IF(INDEX($U$2:$AC$1001,MATCH(ROWS($N$2:N264),$N$2:$N$1001,0),MATCH(COLUMNS($U$1006:Z1006),$U$1006:$AC$1006,0)), HYPERLINK("#",""), HYPERLINK(CONCATENATE("#metadata!", ADDRESS(INDEX($P$2:$P$1001,MATCH(ROWS($N$2:N264),$N$2:$N$1001,0),0), INDEX($U$1004:$AC$1004,1,MATCH(COLUMNS($U$1006:Z1006),$U$1006:$AC$1006,0)))),"Fix")))</f>
        <v>0</v>
      </c>
      <c r="H264" s="3">
        <f>IF(OR(INDEX($O$2:$O$1001,MATCH(ROWS($N$2:N264),$N$2:$N$1001,0),1)&gt;=100000,INDEX($U$1005:$AC$1005,1,MATCH(COLUMNS($U$1006:AA1006),$U$1006:$AC$1006,0))&gt;=100000), " ",IF(INDEX($U$2:$AC$1001,MATCH(ROWS($N$2:N264),$N$2:$N$1001,0),MATCH(COLUMNS($U$1006:AA1006),$U$1006:$AC$1006,0)), HYPERLINK("#",""), HYPERLINK(CONCATENATE("#metadata!", ADDRESS(INDEX($P$2:$P$1001,MATCH(ROWS($N$2:N264),$N$2:$N$1001,0),0), INDEX($U$1004:$AC$1004,1,MATCH(COLUMNS($U$1006:AA1006),$U$1006:$AC$1006,0)))),"Fix")))</f>
        <v>0</v>
      </c>
      <c r="I264" s="3">
        <f>IF(OR(INDEX($O$2:$O$1001,MATCH(ROWS($N$2:N264),$N$2:$N$1001,0),1)&gt;=100000,INDEX($U$1005:$AC$1005,1,MATCH(COLUMNS($U$1006:AB1006),$U$1006:$AC$1006,0))&gt;=100000), " ",IF(INDEX($U$2:$AC$1001,MATCH(ROWS($N$2:N264),$N$2:$N$1001,0),MATCH(COLUMNS($U$1006:AB1006),$U$1006:$AC$1006,0)), HYPERLINK("#",""), HYPERLINK(CONCATENATE("#metadata!", ADDRESS(INDEX($P$2:$P$1001,MATCH(ROWS($N$2:N264),$N$2:$N$1001,0),0), INDEX($U$1004:$AC$1004,1,MATCH(COLUMNS($U$1006:AB1006),$U$1006:$AC$1006,0)))),"Fix")))</f>
        <v>0</v>
      </c>
      <c r="J264" s="3">
        <f>IF(OR(INDEX($O$2:$O$1001,MATCH(ROWS($N$2:N264),$N$2:$N$1001,0),1)&gt;=100000,INDEX($U$1005:$AC$1005,1,MATCH(COLUMNS($U$1006:AC1006),$U$1006:$AC$1006,0))&gt;=100000), " ",IF(INDEX($U$2:$AC$1001,MATCH(ROWS($N$2:N264),$N$2:$N$1001,0),MATCH(COLUMNS($U$1006:AC1006),$U$1006:$AC$1006,0)), HYPERLINK("#",""), HYPERLINK(CONCATENATE("#metadata!", ADDRESS(INDEX($P$2:$P$1001,MATCH(ROWS($N$2:N264),$N$2:$N$1001,0),0), INDEX($U$1004:$AC$1004,1,MATCH(COLUMNS($U$1006:AC1006),$U$1006:$AC$1006,0)))),"Fix")))</f>
        <v>0</v>
      </c>
      <c r="N264">
        <v>0</v>
      </c>
      <c r="O264">
        <v>0</v>
      </c>
      <c r="P264">
        <v>0</v>
      </c>
      <c r="Q264">
        <f>IF(R264,TRUE,AND(U264:AC264))</f>
        <v>0</v>
      </c>
      <c r="R264">
        <f>COUNTBLANK(metadata!B264:J264)=COLUMNS(metadata!B264:J264)</f>
        <v>0</v>
      </c>
      <c r="S264">
        <v>0</v>
      </c>
      <c r="U264">
        <f>AND(IF(metadata!B264="",FALSE,TRUE),COUNTIF(metadata!B:B, metadata!B264) = 1,NOT(ISERROR(SUMPRODUCT(SEARCH(MID(metadata!B264,ROW(INDIRECT("1:"&amp;LEN(metadata!B264))), 1),"0123456789abcdefghijklmnopqrstuvwxyzABCDEFGHIJKLMNOPQRSTUVWXYZ.")))))</f>
        <v>0</v>
      </c>
      <c r="V264">
        <f>AND(IF(metadata!C264="",FALSE,TRUE),exact(metadata!C264,"UBERON:genitourinary"))</f>
        <v>0</v>
      </c>
      <c r="W264">
        <f>AND(IF(metadata!D264="",FALSE,TRUE),exact(metadata!D264,"UBERON:urine"))</f>
        <v>0</v>
      </c>
      <c r="X264">
        <f>AND(IF(metadata!E264="",FALSE,TRUE),exact(metadata!E264,"UBERON:kidney"))</f>
        <v>0</v>
      </c>
      <c r="Y264">
        <f>AND(IF(metadata!F264="",FALSE,TRUE),exact(metadata!F264,"animal corpus"))</f>
        <v>0</v>
      </c>
      <c r="Z264">
        <f>AND(IF(metadata!G264="",FALSE,TRUE),exact(metadata!G264,"urine"))</f>
        <v>0</v>
      </c>
      <c r="AA264">
        <f>AND(IF(metadata!H264="",FALSE,TRUE),exact(metadata!H264,"urine"))</f>
        <v>0</v>
      </c>
      <c r="AB264">
        <f>AND(IF(metadata!I264="",FALSE,TRUE),exact(metadata!I264,"urine metagenome"))</f>
        <v>0</v>
      </c>
      <c r="AC264">
        <f>AND(IF(metadata!J264="",FALSE,TRUE),exact(metadata!J264,"1346744"))</f>
        <v>0</v>
      </c>
    </row>
    <row r="265" spans="1:29">
      <c r="A265" s="4">
        <f>IF(B265=" "," ",HYPERLINK(CONCATENATE("#metadata!",ADDRESS(INDEX($P$2:$P$1001,MATCH(ROWS($N$2:N265),$N$2:$N$1001,0),0),1)),INDEX($S$2:$S$1001,MATCH(ROWS($N$2:N265),$N$2:$N$1001,0),0)))</f>
        <v>0</v>
      </c>
      <c r="B265" s="3">
        <f>IF(OR(INDEX($O$2:$O$1001,MATCH(ROWS($N$2:N265),$N$2:$N$1001,0),1)&gt;=100000,INDEX($U$1005:$AC$1005,1,MATCH(COLUMNS($U$1006:U1006),$U$1006:$AC$1006,0))&gt;=100000), " ",IF(INDEX($U$2:$AC$1001,MATCH(ROWS($N$2:N265),$N$2:$N$1001,0),MATCH(COLUMNS($U$1006:U1006),$U$1006:$AC$1006,0)), HYPERLINK("#",""), HYPERLINK(CONCATENATE("#metadata!", ADDRESS(INDEX($P$2:$P$1001,MATCH(ROWS($N$2:N265),$N$2:$N$1001,0),0), INDEX($U$1004:$AC$1004,1,MATCH(COLUMNS($U$1006:U1006),$U$1006:$AC$1006,0)))),"Fix")))</f>
        <v>0</v>
      </c>
      <c r="C265" s="3">
        <f>IF(OR(INDEX($O$2:$O$1001,MATCH(ROWS($N$2:N265),$N$2:$N$1001,0),1)&gt;=100000,INDEX($U$1005:$AC$1005,1,MATCH(COLUMNS($U$1006:V1006),$U$1006:$AC$1006,0))&gt;=100000), " ",IF(INDEX($U$2:$AC$1001,MATCH(ROWS($N$2:N265),$N$2:$N$1001,0),MATCH(COLUMNS($U$1006:V1006),$U$1006:$AC$1006,0)), HYPERLINK("#",""), HYPERLINK(CONCATENATE("#metadata!", ADDRESS(INDEX($P$2:$P$1001,MATCH(ROWS($N$2:N265),$N$2:$N$1001,0),0), INDEX($U$1004:$AC$1004,1,MATCH(COLUMNS($U$1006:V1006),$U$1006:$AC$1006,0)))),"Fix")))</f>
        <v>0</v>
      </c>
      <c r="D265" s="3">
        <f>IF(OR(INDEX($O$2:$O$1001,MATCH(ROWS($N$2:N265),$N$2:$N$1001,0),1)&gt;=100000,INDEX($U$1005:$AC$1005,1,MATCH(COLUMNS($U$1006:W1006),$U$1006:$AC$1006,0))&gt;=100000), " ",IF(INDEX($U$2:$AC$1001,MATCH(ROWS($N$2:N265),$N$2:$N$1001,0),MATCH(COLUMNS($U$1006:W1006),$U$1006:$AC$1006,0)), HYPERLINK("#",""), HYPERLINK(CONCATENATE("#metadata!", ADDRESS(INDEX($P$2:$P$1001,MATCH(ROWS($N$2:N265),$N$2:$N$1001,0),0), INDEX($U$1004:$AC$1004,1,MATCH(COLUMNS($U$1006:W1006),$U$1006:$AC$1006,0)))),"Fix")))</f>
        <v>0</v>
      </c>
      <c r="E265" s="3">
        <f>IF(OR(INDEX($O$2:$O$1001,MATCH(ROWS($N$2:N265),$N$2:$N$1001,0),1)&gt;=100000,INDEX($U$1005:$AC$1005,1,MATCH(COLUMNS($U$1006:X1006),$U$1006:$AC$1006,0))&gt;=100000), " ",IF(INDEX($U$2:$AC$1001,MATCH(ROWS($N$2:N265),$N$2:$N$1001,0),MATCH(COLUMNS($U$1006:X1006),$U$1006:$AC$1006,0)), HYPERLINK("#",""), HYPERLINK(CONCATENATE("#metadata!", ADDRESS(INDEX($P$2:$P$1001,MATCH(ROWS($N$2:N265),$N$2:$N$1001,0),0), INDEX($U$1004:$AC$1004,1,MATCH(COLUMNS($U$1006:X1006),$U$1006:$AC$1006,0)))),"Fix")))</f>
        <v>0</v>
      </c>
      <c r="F265" s="3">
        <f>IF(OR(INDEX($O$2:$O$1001,MATCH(ROWS($N$2:N265),$N$2:$N$1001,0),1)&gt;=100000,INDEX($U$1005:$AC$1005,1,MATCH(COLUMNS($U$1006:Y1006),$U$1006:$AC$1006,0))&gt;=100000), " ",IF(INDEX($U$2:$AC$1001,MATCH(ROWS($N$2:N265),$N$2:$N$1001,0),MATCH(COLUMNS($U$1006:Y1006),$U$1006:$AC$1006,0)), HYPERLINK("#",""), HYPERLINK(CONCATENATE("#metadata!", ADDRESS(INDEX($P$2:$P$1001,MATCH(ROWS($N$2:N265),$N$2:$N$1001,0),0), INDEX($U$1004:$AC$1004,1,MATCH(COLUMNS($U$1006:Y1006),$U$1006:$AC$1006,0)))),"Fix")))</f>
        <v>0</v>
      </c>
      <c r="G265" s="3">
        <f>IF(OR(INDEX($O$2:$O$1001,MATCH(ROWS($N$2:N265),$N$2:$N$1001,0),1)&gt;=100000,INDEX($U$1005:$AC$1005,1,MATCH(COLUMNS($U$1006:Z1006),$U$1006:$AC$1006,0))&gt;=100000), " ",IF(INDEX($U$2:$AC$1001,MATCH(ROWS($N$2:N265),$N$2:$N$1001,0),MATCH(COLUMNS($U$1006:Z1006),$U$1006:$AC$1006,0)), HYPERLINK("#",""), HYPERLINK(CONCATENATE("#metadata!", ADDRESS(INDEX($P$2:$P$1001,MATCH(ROWS($N$2:N265),$N$2:$N$1001,0),0), INDEX($U$1004:$AC$1004,1,MATCH(COLUMNS($U$1006:Z1006),$U$1006:$AC$1006,0)))),"Fix")))</f>
        <v>0</v>
      </c>
      <c r="H265" s="3">
        <f>IF(OR(INDEX($O$2:$O$1001,MATCH(ROWS($N$2:N265),$N$2:$N$1001,0),1)&gt;=100000,INDEX($U$1005:$AC$1005,1,MATCH(COLUMNS($U$1006:AA1006),$U$1006:$AC$1006,0))&gt;=100000), " ",IF(INDEX($U$2:$AC$1001,MATCH(ROWS($N$2:N265),$N$2:$N$1001,0),MATCH(COLUMNS($U$1006:AA1006),$U$1006:$AC$1006,0)), HYPERLINK("#",""), HYPERLINK(CONCATENATE("#metadata!", ADDRESS(INDEX($P$2:$P$1001,MATCH(ROWS($N$2:N265),$N$2:$N$1001,0),0), INDEX($U$1004:$AC$1004,1,MATCH(COLUMNS($U$1006:AA1006),$U$1006:$AC$1006,0)))),"Fix")))</f>
        <v>0</v>
      </c>
      <c r="I265" s="3">
        <f>IF(OR(INDEX($O$2:$O$1001,MATCH(ROWS($N$2:N265),$N$2:$N$1001,0),1)&gt;=100000,INDEX($U$1005:$AC$1005,1,MATCH(COLUMNS($U$1006:AB1006),$U$1006:$AC$1006,0))&gt;=100000), " ",IF(INDEX($U$2:$AC$1001,MATCH(ROWS($N$2:N265),$N$2:$N$1001,0),MATCH(COLUMNS($U$1006:AB1006),$U$1006:$AC$1006,0)), HYPERLINK("#",""), HYPERLINK(CONCATENATE("#metadata!", ADDRESS(INDEX($P$2:$P$1001,MATCH(ROWS($N$2:N265),$N$2:$N$1001,0),0), INDEX($U$1004:$AC$1004,1,MATCH(COLUMNS($U$1006:AB1006),$U$1006:$AC$1006,0)))),"Fix")))</f>
        <v>0</v>
      </c>
      <c r="J265" s="3">
        <f>IF(OR(INDEX($O$2:$O$1001,MATCH(ROWS($N$2:N265),$N$2:$N$1001,0),1)&gt;=100000,INDEX($U$1005:$AC$1005,1,MATCH(COLUMNS($U$1006:AC1006),$U$1006:$AC$1006,0))&gt;=100000), " ",IF(INDEX($U$2:$AC$1001,MATCH(ROWS($N$2:N265),$N$2:$N$1001,0),MATCH(COLUMNS($U$1006:AC1006),$U$1006:$AC$1006,0)), HYPERLINK("#",""), HYPERLINK(CONCATENATE("#metadata!", ADDRESS(INDEX($P$2:$P$1001,MATCH(ROWS($N$2:N265),$N$2:$N$1001,0),0), INDEX($U$1004:$AC$1004,1,MATCH(COLUMNS($U$1006:AC1006),$U$1006:$AC$1006,0)))),"Fix")))</f>
        <v>0</v>
      </c>
      <c r="N265">
        <v>0</v>
      </c>
      <c r="O265">
        <v>0</v>
      </c>
      <c r="P265">
        <v>0</v>
      </c>
      <c r="Q265">
        <f>IF(R265,TRUE,AND(U265:AC265))</f>
        <v>0</v>
      </c>
      <c r="R265">
        <f>COUNTBLANK(metadata!B265:J265)=COLUMNS(metadata!B265:J265)</f>
        <v>0</v>
      </c>
      <c r="S265">
        <v>0</v>
      </c>
      <c r="U265">
        <f>AND(IF(metadata!B265="",FALSE,TRUE),COUNTIF(metadata!B:B, metadata!B265) = 1,NOT(ISERROR(SUMPRODUCT(SEARCH(MID(metadata!B265,ROW(INDIRECT("1:"&amp;LEN(metadata!B265))), 1),"0123456789abcdefghijklmnopqrstuvwxyzABCDEFGHIJKLMNOPQRSTUVWXYZ.")))))</f>
        <v>0</v>
      </c>
      <c r="V265">
        <f>AND(IF(metadata!C265="",FALSE,TRUE),exact(metadata!C265,"UBERON:genitourinary"))</f>
        <v>0</v>
      </c>
      <c r="W265">
        <f>AND(IF(metadata!D265="",FALSE,TRUE),exact(metadata!D265,"UBERON:urine"))</f>
        <v>0</v>
      </c>
      <c r="X265">
        <f>AND(IF(metadata!E265="",FALSE,TRUE),exact(metadata!E265,"UBERON:kidney"))</f>
        <v>0</v>
      </c>
      <c r="Y265">
        <f>AND(IF(metadata!F265="",FALSE,TRUE),exact(metadata!F265,"animal corpus"))</f>
        <v>0</v>
      </c>
      <c r="Z265">
        <f>AND(IF(metadata!G265="",FALSE,TRUE),exact(metadata!G265,"urine"))</f>
        <v>0</v>
      </c>
      <c r="AA265">
        <f>AND(IF(metadata!H265="",FALSE,TRUE),exact(metadata!H265,"urine"))</f>
        <v>0</v>
      </c>
      <c r="AB265">
        <f>AND(IF(metadata!I265="",FALSE,TRUE),exact(metadata!I265,"urine metagenome"))</f>
        <v>0</v>
      </c>
      <c r="AC265">
        <f>AND(IF(metadata!J265="",FALSE,TRUE),exact(metadata!J265,"1346744"))</f>
        <v>0</v>
      </c>
    </row>
    <row r="266" spans="1:29">
      <c r="A266" s="4">
        <f>IF(B266=" "," ",HYPERLINK(CONCATENATE("#metadata!",ADDRESS(INDEX($P$2:$P$1001,MATCH(ROWS($N$2:N266),$N$2:$N$1001,0),0),1)),INDEX($S$2:$S$1001,MATCH(ROWS($N$2:N266),$N$2:$N$1001,0),0)))</f>
        <v>0</v>
      </c>
      <c r="B266" s="3">
        <f>IF(OR(INDEX($O$2:$O$1001,MATCH(ROWS($N$2:N266),$N$2:$N$1001,0),1)&gt;=100000,INDEX($U$1005:$AC$1005,1,MATCH(COLUMNS($U$1006:U1006),$U$1006:$AC$1006,0))&gt;=100000), " ",IF(INDEX($U$2:$AC$1001,MATCH(ROWS($N$2:N266),$N$2:$N$1001,0),MATCH(COLUMNS($U$1006:U1006),$U$1006:$AC$1006,0)), HYPERLINK("#",""), HYPERLINK(CONCATENATE("#metadata!", ADDRESS(INDEX($P$2:$P$1001,MATCH(ROWS($N$2:N266),$N$2:$N$1001,0),0), INDEX($U$1004:$AC$1004,1,MATCH(COLUMNS($U$1006:U1006),$U$1006:$AC$1006,0)))),"Fix")))</f>
        <v>0</v>
      </c>
      <c r="C266" s="3">
        <f>IF(OR(INDEX($O$2:$O$1001,MATCH(ROWS($N$2:N266),$N$2:$N$1001,0),1)&gt;=100000,INDEX($U$1005:$AC$1005,1,MATCH(COLUMNS($U$1006:V1006),$U$1006:$AC$1006,0))&gt;=100000), " ",IF(INDEX($U$2:$AC$1001,MATCH(ROWS($N$2:N266),$N$2:$N$1001,0),MATCH(COLUMNS($U$1006:V1006),$U$1006:$AC$1006,0)), HYPERLINK("#",""), HYPERLINK(CONCATENATE("#metadata!", ADDRESS(INDEX($P$2:$P$1001,MATCH(ROWS($N$2:N266),$N$2:$N$1001,0),0), INDEX($U$1004:$AC$1004,1,MATCH(COLUMNS($U$1006:V1006),$U$1006:$AC$1006,0)))),"Fix")))</f>
        <v>0</v>
      </c>
      <c r="D266" s="3">
        <f>IF(OR(INDEX($O$2:$O$1001,MATCH(ROWS($N$2:N266),$N$2:$N$1001,0),1)&gt;=100000,INDEX($U$1005:$AC$1005,1,MATCH(COLUMNS($U$1006:W1006),$U$1006:$AC$1006,0))&gt;=100000), " ",IF(INDEX($U$2:$AC$1001,MATCH(ROWS($N$2:N266),$N$2:$N$1001,0),MATCH(COLUMNS($U$1006:W1006),$U$1006:$AC$1006,0)), HYPERLINK("#",""), HYPERLINK(CONCATENATE("#metadata!", ADDRESS(INDEX($P$2:$P$1001,MATCH(ROWS($N$2:N266),$N$2:$N$1001,0),0), INDEX($U$1004:$AC$1004,1,MATCH(COLUMNS($U$1006:W1006),$U$1006:$AC$1006,0)))),"Fix")))</f>
        <v>0</v>
      </c>
      <c r="E266" s="3">
        <f>IF(OR(INDEX($O$2:$O$1001,MATCH(ROWS($N$2:N266),$N$2:$N$1001,0),1)&gt;=100000,INDEX($U$1005:$AC$1005,1,MATCH(COLUMNS($U$1006:X1006),$U$1006:$AC$1006,0))&gt;=100000), " ",IF(INDEX($U$2:$AC$1001,MATCH(ROWS($N$2:N266),$N$2:$N$1001,0),MATCH(COLUMNS($U$1006:X1006),$U$1006:$AC$1006,0)), HYPERLINK("#",""), HYPERLINK(CONCATENATE("#metadata!", ADDRESS(INDEX($P$2:$P$1001,MATCH(ROWS($N$2:N266),$N$2:$N$1001,0),0), INDEX($U$1004:$AC$1004,1,MATCH(COLUMNS($U$1006:X1006),$U$1006:$AC$1006,0)))),"Fix")))</f>
        <v>0</v>
      </c>
      <c r="F266" s="3">
        <f>IF(OR(INDEX($O$2:$O$1001,MATCH(ROWS($N$2:N266),$N$2:$N$1001,0),1)&gt;=100000,INDEX($U$1005:$AC$1005,1,MATCH(COLUMNS($U$1006:Y1006),$U$1006:$AC$1006,0))&gt;=100000), " ",IF(INDEX($U$2:$AC$1001,MATCH(ROWS($N$2:N266),$N$2:$N$1001,0),MATCH(COLUMNS($U$1006:Y1006),$U$1006:$AC$1006,0)), HYPERLINK("#",""), HYPERLINK(CONCATENATE("#metadata!", ADDRESS(INDEX($P$2:$P$1001,MATCH(ROWS($N$2:N266),$N$2:$N$1001,0),0), INDEX($U$1004:$AC$1004,1,MATCH(COLUMNS($U$1006:Y1006),$U$1006:$AC$1006,0)))),"Fix")))</f>
        <v>0</v>
      </c>
      <c r="G266" s="3">
        <f>IF(OR(INDEX($O$2:$O$1001,MATCH(ROWS($N$2:N266),$N$2:$N$1001,0),1)&gt;=100000,INDEX($U$1005:$AC$1005,1,MATCH(COLUMNS($U$1006:Z1006),$U$1006:$AC$1006,0))&gt;=100000), " ",IF(INDEX($U$2:$AC$1001,MATCH(ROWS($N$2:N266),$N$2:$N$1001,0),MATCH(COLUMNS($U$1006:Z1006),$U$1006:$AC$1006,0)), HYPERLINK("#",""), HYPERLINK(CONCATENATE("#metadata!", ADDRESS(INDEX($P$2:$P$1001,MATCH(ROWS($N$2:N266),$N$2:$N$1001,0),0), INDEX($U$1004:$AC$1004,1,MATCH(COLUMNS($U$1006:Z1006),$U$1006:$AC$1006,0)))),"Fix")))</f>
        <v>0</v>
      </c>
      <c r="H266" s="3">
        <f>IF(OR(INDEX($O$2:$O$1001,MATCH(ROWS($N$2:N266),$N$2:$N$1001,0),1)&gt;=100000,INDEX($U$1005:$AC$1005,1,MATCH(COLUMNS($U$1006:AA1006),$U$1006:$AC$1006,0))&gt;=100000), " ",IF(INDEX($U$2:$AC$1001,MATCH(ROWS($N$2:N266),$N$2:$N$1001,0),MATCH(COLUMNS($U$1006:AA1006),$U$1006:$AC$1006,0)), HYPERLINK("#",""), HYPERLINK(CONCATENATE("#metadata!", ADDRESS(INDEX($P$2:$P$1001,MATCH(ROWS($N$2:N266),$N$2:$N$1001,0),0), INDEX($U$1004:$AC$1004,1,MATCH(COLUMNS($U$1006:AA1006),$U$1006:$AC$1006,0)))),"Fix")))</f>
        <v>0</v>
      </c>
      <c r="I266" s="3">
        <f>IF(OR(INDEX($O$2:$O$1001,MATCH(ROWS($N$2:N266),$N$2:$N$1001,0),1)&gt;=100000,INDEX($U$1005:$AC$1005,1,MATCH(COLUMNS($U$1006:AB1006),$U$1006:$AC$1006,0))&gt;=100000), " ",IF(INDEX($U$2:$AC$1001,MATCH(ROWS($N$2:N266),$N$2:$N$1001,0),MATCH(COLUMNS($U$1006:AB1006),$U$1006:$AC$1006,0)), HYPERLINK("#",""), HYPERLINK(CONCATENATE("#metadata!", ADDRESS(INDEX($P$2:$P$1001,MATCH(ROWS($N$2:N266),$N$2:$N$1001,0),0), INDEX($U$1004:$AC$1004,1,MATCH(COLUMNS($U$1006:AB1006),$U$1006:$AC$1006,0)))),"Fix")))</f>
        <v>0</v>
      </c>
      <c r="J266" s="3">
        <f>IF(OR(INDEX($O$2:$O$1001,MATCH(ROWS($N$2:N266),$N$2:$N$1001,0),1)&gt;=100000,INDEX($U$1005:$AC$1005,1,MATCH(COLUMNS($U$1006:AC1006),$U$1006:$AC$1006,0))&gt;=100000), " ",IF(INDEX($U$2:$AC$1001,MATCH(ROWS($N$2:N266),$N$2:$N$1001,0),MATCH(COLUMNS($U$1006:AC1006),$U$1006:$AC$1006,0)), HYPERLINK("#",""), HYPERLINK(CONCATENATE("#metadata!", ADDRESS(INDEX($P$2:$P$1001,MATCH(ROWS($N$2:N266),$N$2:$N$1001,0),0), INDEX($U$1004:$AC$1004,1,MATCH(COLUMNS($U$1006:AC1006),$U$1006:$AC$1006,0)))),"Fix")))</f>
        <v>0</v>
      </c>
      <c r="N266">
        <v>0</v>
      </c>
      <c r="O266">
        <v>0</v>
      </c>
      <c r="P266">
        <v>0</v>
      </c>
      <c r="Q266">
        <f>IF(R266,TRUE,AND(U266:AC266))</f>
        <v>0</v>
      </c>
      <c r="R266">
        <f>COUNTBLANK(metadata!B266:J266)=COLUMNS(metadata!B266:J266)</f>
        <v>0</v>
      </c>
      <c r="S266">
        <v>0</v>
      </c>
      <c r="U266">
        <f>AND(IF(metadata!B266="",FALSE,TRUE),COUNTIF(metadata!B:B, metadata!B266) = 1,NOT(ISERROR(SUMPRODUCT(SEARCH(MID(metadata!B266,ROW(INDIRECT("1:"&amp;LEN(metadata!B266))), 1),"0123456789abcdefghijklmnopqrstuvwxyzABCDEFGHIJKLMNOPQRSTUVWXYZ.")))))</f>
        <v>0</v>
      </c>
      <c r="V266">
        <f>AND(IF(metadata!C266="",FALSE,TRUE),exact(metadata!C266,"UBERON:genitourinary"))</f>
        <v>0</v>
      </c>
      <c r="W266">
        <f>AND(IF(metadata!D266="",FALSE,TRUE),exact(metadata!D266,"UBERON:urine"))</f>
        <v>0</v>
      </c>
      <c r="X266">
        <f>AND(IF(metadata!E266="",FALSE,TRUE),exact(metadata!E266,"UBERON:kidney"))</f>
        <v>0</v>
      </c>
      <c r="Y266">
        <f>AND(IF(metadata!F266="",FALSE,TRUE),exact(metadata!F266,"animal corpus"))</f>
        <v>0</v>
      </c>
      <c r="Z266">
        <f>AND(IF(metadata!G266="",FALSE,TRUE),exact(metadata!G266,"urine"))</f>
        <v>0</v>
      </c>
      <c r="AA266">
        <f>AND(IF(metadata!H266="",FALSE,TRUE),exact(metadata!H266,"urine"))</f>
        <v>0</v>
      </c>
      <c r="AB266">
        <f>AND(IF(metadata!I266="",FALSE,TRUE),exact(metadata!I266,"urine metagenome"))</f>
        <v>0</v>
      </c>
      <c r="AC266">
        <f>AND(IF(metadata!J266="",FALSE,TRUE),exact(metadata!J266,"1346744"))</f>
        <v>0</v>
      </c>
    </row>
    <row r="267" spans="1:29">
      <c r="A267" s="4">
        <f>IF(B267=" "," ",HYPERLINK(CONCATENATE("#metadata!",ADDRESS(INDEX($P$2:$P$1001,MATCH(ROWS($N$2:N267),$N$2:$N$1001,0),0),1)),INDEX($S$2:$S$1001,MATCH(ROWS($N$2:N267),$N$2:$N$1001,0),0)))</f>
        <v>0</v>
      </c>
      <c r="B267" s="3">
        <f>IF(OR(INDEX($O$2:$O$1001,MATCH(ROWS($N$2:N267),$N$2:$N$1001,0),1)&gt;=100000,INDEX($U$1005:$AC$1005,1,MATCH(COLUMNS($U$1006:U1006),$U$1006:$AC$1006,0))&gt;=100000), " ",IF(INDEX($U$2:$AC$1001,MATCH(ROWS($N$2:N267),$N$2:$N$1001,0),MATCH(COLUMNS($U$1006:U1006),$U$1006:$AC$1006,0)), HYPERLINK("#",""), HYPERLINK(CONCATENATE("#metadata!", ADDRESS(INDEX($P$2:$P$1001,MATCH(ROWS($N$2:N267),$N$2:$N$1001,0),0), INDEX($U$1004:$AC$1004,1,MATCH(COLUMNS($U$1006:U1006),$U$1006:$AC$1006,0)))),"Fix")))</f>
        <v>0</v>
      </c>
      <c r="C267" s="3">
        <f>IF(OR(INDEX($O$2:$O$1001,MATCH(ROWS($N$2:N267),$N$2:$N$1001,0),1)&gt;=100000,INDEX($U$1005:$AC$1005,1,MATCH(COLUMNS($U$1006:V1006),$U$1006:$AC$1006,0))&gt;=100000), " ",IF(INDEX($U$2:$AC$1001,MATCH(ROWS($N$2:N267),$N$2:$N$1001,0),MATCH(COLUMNS($U$1006:V1006),$U$1006:$AC$1006,0)), HYPERLINK("#",""), HYPERLINK(CONCATENATE("#metadata!", ADDRESS(INDEX($P$2:$P$1001,MATCH(ROWS($N$2:N267),$N$2:$N$1001,0),0), INDEX($U$1004:$AC$1004,1,MATCH(COLUMNS($U$1006:V1006),$U$1006:$AC$1006,0)))),"Fix")))</f>
        <v>0</v>
      </c>
      <c r="D267" s="3">
        <f>IF(OR(INDEX($O$2:$O$1001,MATCH(ROWS($N$2:N267),$N$2:$N$1001,0),1)&gt;=100000,INDEX($U$1005:$AC$1005,1,MATCH(COLUMNS($U$1006:W1006),$U$1006:$AC$1006,0))&gt;=100000), " ",IF(INDEX($U$2:$AC$1001,MATCH(ROWS($N$2:N267),$N$2:$N$1001,0),MATCH(COLUMNS($U$1006:W1006),$U$1006:$AC$1006,0)), HYPERLINK("#",""), HYPERLINK(CONCATENATE("#metadata!", ADDRESS(INDEX($P$2:$P$1001,MATCH(ROWS($N$2:N267),$N$2:$N$1001,0),0), INDEX($U$1004:$AC$1004,1,MATCH(COLUMNS($U$1006:W1006),$U$1006:$AC$1006,0)))),"Fix")))</f>
        <v>0</v>
      </c>
      <c r="E267" s="3">
        <f>IF(OR(INDEX($O$2:$O$1001,MATCH(ROWS($N$2:N267),$N$2:$N$1001,0),1)&gt;=100000,INDEX($U$1005:$AC$1005,1,MATCH(COLUMNS($U$1006:X1006),$U$1006:$AC$1006,0))&gt;=100000), " ",IF(INDEX($U$2:$AC$1001,MATCH(ROWS($N$2:N267),$N$2:$N$1001,0),MATCH(COLUMNS($U$1006:X1006),$U$1006:$AC$1006,0)), HYPERLINK("#",""), HYPERLINK(CONCATENATE("#metadata!", ADDRESS(INDEX($P$2:$P$1001,MATCH(ROWS($N$2:N267),$N$2:$N$1001,0),0), INDEX($U$1004:$AC$1004,1,MATCH(COLUMNS($U$1006:X1006),$U$1006:$AC$1006,0)))),"Fix")))</f>
        <v>0</v>
      </c>
      <c r="F267" s="3">
        <f>IF(OR(INDEX($O$2:$O$1001,MATCH(ROWS($N$2:N267),$N$2:$N$1001,0),1)&gt;=100000,INDEX($U$1005:$AC$1005,1,MATCH(COLUMNS($U$1006:Y1006),$U$1006:$AC$1006,0))&gt;=100000), " ",IF(INDEX($U$2:$AC$1001,MATCH(ROWS($N$2:N267),$N$2:$N$1001,0),MATCH(COLUMNS($U$1006:Y1006),$U$1006:$AC$1006,0)), HYPERLINK("#",""), HYPERLINK(CONCATENATE("#metadata!", ADDRESS(INDEX($P$2:$P$1001,MATCH(ROWS($N$2:N267),$N$2:$N$1001,0),0), INDEX($U$1004:$AC$1004,1,MATCH(COLUMNS($U$1006:Y1006),$U$1006:$AC$1006,0)))),"Fix")))</f>
        <v>0</v>
      </c>
      <c r="G267" s="3">
        <f>IF(OR(INDEX($O$2:$O$1001,MATCH(ROWS($N$2:N267),$N$2:$N$1001,0),1)&gt;=100000,INDEX($U$1005:$AC$1005,1,MATCH(COLUMNS($U$1006:Z1006),$U$1006:$AC$1006,0))&gt;=100000), " ",IF(INDEX($U$2:$AC$1001,MATCH(ROWS($N$2:N267),$N$2:$N$1001,0),MATCH(COLUMNS($U$1006:Z1006),$U$1006:$AC$1006,0)), HYPERLINK("#",""), HYPERLINK(CONCATENATE("#metadata!", ADDRESS(INDEX($P$2:$P$1001,MATCH(ROWS($N$2:N267),$N$2:$N$1001,0),0), INDEX($U$1004:$AC$1004,1,MATCH(COLUMNS($U$1006:Z1006),$U$1006:$AC$1006,0)))),"Fix")))</f>
        <v>0</v>
      </c>
      <c r="H267" s="3">
        <f>IF(OR(INDEX($O$2:$O$1001,MATCH(ROWS($N$2:N267),$N$2:$N$1001,0),1)&gt;=100000,INDEX($U$1005:$AC$1005,1,MATCH(COLUMNS($U$1006:AA1006),$U$1006:$AC$1006,0))&gt;=100000), " ",IF(INDEX($U$2:$AC$1001,MATCH(ROWS($N$2:N267),$N$2:$N$1001,0),MATCH(COLUMNS($U$1006:AA1006),$U$1006:$AC$1006,0)), HYPERLINK("#",""), HYPERLINK(CONCATENATE("#metadata!", ADDRESS(INDEX($P$2:$P$1001,MATCH(ROWS($N$2:N267),$N$2:$N$1001,0),0), INDEX($U$1004:$AC$1004,1,MATCH(COLUMNS($U$1006:AA1006),$U$1006:$AC$1006,0)))),"Fix")))</f>
        <v>0</v>
      </c>
      <c r="I267" s="3">
        <f>IF(OR(INDEX($O$2:$O$1001,MATCH(ROWS($N$2:N267),$N$2:$N$1001,0),1)&gt;=100000,INDEX($U$1005:$AC$1005,1,MATCH(COLUMNS($U$1006:AB1006),$U$1006:$AC$1006,0))&gt;=100000), " ",IF(INDEX($U$2:$AC$1001,MATCH(ROWS($N$2:N267),$N$2:$N$1001,0),MATCH(COLUMNS($U$1006:AB1006),$U$1006:$AC$1006,0)), HYPERLINK("#",""), HYPERLINK(CONCATENATE("#metadata!", ADDRESS(INDEX($P$2:$P$1001,MATCH(ROWS($N$2:N267),$N$2:$N$1001,0),0), INDEX($U$1004:$AC$1004,1,MATCH(COLUMNS($U$1006:AB1006),$U$1006:$AC$1006,0)))),"Fix")))</f>
        <v>0</v>
      </c>
      <c r="J267" s="3">
        <f>IF(OR(INDEX($O$2:$O$1001,MATCH(ROWS($N$2:N267),$N$2:$N$1001,0),1)&gt;=100000,INDEX($U$1005:$AC$1005,1,MATCH(COLUMNS($U$1006:AC1006),$U$1006:$AC$1006,0))&gt;=100000), " ",IF(INDEX($U$2:$AC$1001,MATCH(ROWS($N$2:N267),$N$2:$N$1001,0),MATCH(COLUMNS($U$1006:AC1006),$U$1006:$AC$1006,0)), HYPERLINK("#",""), HYPERLINK(CONCATENATE("#metadata!", ADDRESS(INDEX($P$2:$P$1001,MATCH(ROWS($N$2:N267),$N$2:$N$1001,0),0), INDEX($U$1004:$AC$1004,1,MATCH(COLUMNS($U$1006:AC1006),$U$1006:$AC$1006,0)))),"Fix")))</f>
        <v>0</v>
      </c>
      <c r="N267">
        <v>0</v>
      </c>
      <c r="O267">
        <v>0</v>
      </c>
      <c r="P267">
        <v>0</v>
      </c>
      <c r="Q267">
        <f>IF(R267,TRUE,AND(U267:AC267))</f>
        <v>0</v>
      </c>
      <c r="R267">
        <f>COUNTBLANK(metadata!B267:J267)=COLUMNS(metadata!B267:J267)</f>
        <v>0</v>
      </c>
      <c r="S267">
        <v>0</v>
      </c>
      <c r="U267">
        <f>AND(IF(metadata!B267="",FALSE,TRUE),COUNTIF(metadata!B:B, metadata!B267) = 1,NOT(ISERROR(SUMPRODUCT(SEARCH(MID(metadata!B267,ROW(INDIRECT("1:"&amp;LEN(metadata!B267))), 1),"0123456789abcdefghijklmnopqrstuvwxyzABCDEFGHIJKLMNOPQRSTUVWXYZ.")))))</f>
        <v>0</v>
      </c>
      <c r="V267">
        <f>AND(IF(metadata!C267="",FALSE,TRUE),exact(metadata!C267,"UBERON:genitourinary"))</f>
        <v>0</v>
      </c>
      <c r="W267">
        <f>AND(IF(metadata!D267="",FALSE,TRUE),exact(metadata!D267,"UBERON:urine"))</f>
        <v>0</v>
      </c>
      <c r="X267">
        <f>AND(IF(metadata!E267="",FALSE,TRUE),exact(metadata!E267,"UBERON:kidney"))</f>
        <v>0</v>
      </c>
      <c r="Y267">
        <f>AND(IF(metadata!F267="",FALSE,TRUE),exact(metadata!F267,"animal corpus"))</f>
        <v>0</v>
      </c>
      <c r="Z267">
        <f>AND(IF(metadata!G267="",FALSE,TRUE),exact(metadata!G267,"urine"))</f>
        <v>0</v>
      </c>
      <c r="AA267">
        <f>AND(IF(metadata!H267="",FALSE,TRUE),exact(metadata!H267,"urine"))</f>
        <v>0</v>
      </c>
      <c r="AB267">
        <f>AND(IF(metadata!I267="",FALSE,TRUE),exact(metadata!I267,"urine metagenome"))</f>
        <v>0</v>
      </c>
      <c r="AC267">
        <f>AND(IF(metadata!J267="",FALSE,TRUE),exact(metadata!J267,"1346744"))</f>
        <v>0</v>
      </c>
    </row>
    <row r="268" spans="1:29">
      <c r="A268" s="4">
        <f>IF(B268=" "," ",HYPERLINK(CONCATENATE("#metadata!",ADDRESS(INDEX($P$2:$P$1001,MATCH(ROWS($N$2:N268),$N$2:$N$1001,0),0),1)),INDEX($S$2:$S$1001,MATCH(ROWS($N$2:N268),$N$2:$N$1001,0),0)))</f>
        <v>0</v>
      </c>
      <c r="B268" s="3">
        <f>IF(OR(INDEX($O$2:$O$1001,MATCH(ROWS($N$2:N268),$N$2:$N$1001,0),1)&gt;=100000,INDEX($U$1005:$AC$1005,1,MATCH(COLUMNS($U$1006:U1006),$U$1006:$AC$1006,0))&gt;=100000), " ",IF(INDEX($U$2:$AC$1001,MATCH(ROWS($N$2:N268),$N$2:$N$1001,0),MATCH(COLUMNS($U$1006:U1006),$U$1006:$AC$1006,0)), HYPERLINK("#",""), HYPERLINK(CONCATENATE("#metadata!", ADDRESS(INDEX($P$2:$P$1001,MATCH(ROWS($N$2:N268),$N$2:$N$1001,0),0), INDEX($U$1004:$AC$1004,1,MATCH(COLUMNS($U$1006:U1006),$U$1006:$AC$1006,0)))),"Fix")))</f>
        <v>0</v>
      </c>
      <c r="C268" s="3">
        <f>IF(OR(INDEX($O$2:$O$1001,MATCH(ROWS($N$2:N268),$N$2:$N$1001,0),1)&gt;=100000,INDEX($U$1005:$AC$1005,1,MATCH(COLUMNS($U$1006:V1006),$U$1006:$AC$1006,0))&gt;=100000), " ",IF(INDEX($U$2:$AC$1001,MATCH(ROWS($N$2:N268),$N$2:$N$1001,0),MATCH(COLUMNS($U$1006:V1006),$U$1006:$AC$1006,0)), HYPERLINK("#",""), HYPERLINK(CONCATENATE("#metadata!", ADDRESS(INDEX($P$2:$P$1001,MATCH(ROWS($N$2:N268),$N$2:$N$1001,0),0), INDEX($U$1004:$AC$1004,1,MATCH(COLUMNS($U$1006:V1006),$U$1006:$AC$1006,0)))),"Fix")))</f>
        <v>0</v>
      </c>
      <c r="D268" s="3">
        <f>IF(OR(INDEX($O$2:$O$1001,MATCH(ROWS($N$2:N268),$N$2:$N$1001,0),1)&gt;=100000,INDEX($U$1005:$AC$1005,1,MATCH(COLUMNS($U$1006:W1006),$U$1006:$AC$1006,0))&gt;=100000), " ",IF(INDEX($U$2:$AC$1001,MATCH(ROWS($N$2:N268),$N$2:$N$1001,0),MATCH(COLUMNS($U$1006:W1006),$U$1006:$AC$1006,0)), HYPERLINK("#",""), HYPERLINK(CONCATENATE("#metadata!", ADDRESS(INDEX($P$2:$P$1001,MATCH(ROWS($N$2:N268),$N$2:$N$1001,0),0), INDEX($U$1004:$AC$1004,1,MATCH(COLUMNS($U$1006:W1006),$U$1006:$AC$1006,0)))),"Fix")))</f>
        <v>0</v>
      </c>
      <c r="E268" s="3">
        <f>IF(OR(INDEX($O$2:$O$1001,MATCH(ROWS($N$2:N268),$N$2:$N$1001,0),1)&gt;=100000,INDEX($U$1005:$AC$1005,1,MATCH(COLUMNS($U$1006:X1006),$U$1006:$AC$1006,0))&gt;=100000), " ",IF(INDEX($U$2:$AC$1001,MATCH(ROWS($N$2:N268),$N$2:$N$1001,0),MATCH(COLUMNS($U$1006:X1006),$U$1006:$AC$1006,0)), HYPERLINK("#",""), HYPERLINK(CONCATENATE("#metadata!", ADDRESS(INDEX($P$2:$P$1001,MATCH(ROWS($N$2:N268),$N$2:$N$1001,0),0), INDEX($U$1004:$AC$1004,1,MATCH(COLUMNS($U$1006:X1006),$U$1006:$AC$1006,0)))),"Fix")))</f>
        <v>0</v>
      </c>
      <c r="F268" s="3">
        <f>IF(OR(INDEX($O$2:$O$1001,MATCH(ROWS($N$2:N268),$N$2:$N$1001,0),1)&gt;=100000,INDEX($U$1005:$AC$1005,1,MATCH(COLUMNS($U$1006:Y1006),$U$1006:$AC$1006,0))&gt;=100000), " ",IF(INDEX($U$2:$AC$1001,MATCH(ROWS($N$2:N268),$N$2:$N$1001,0),MATCH(COLUMNS($U$1006:Y1006),$U$1006:$AC$1006,0)), HYPERLINK("#",""), HYPERLINK(CONCATENATE("#metadata!", ADDRESS(INDEX($P$2:$P$1001,MATCH(ROWS($N$2:N268),$N$2:$N$1001,0),0), INDEX($U$1004:$AC$1004,1,MATCH(COLUMNS($U$1006:Y1006),$U$1006:$AC$1006,0)))),"Fix")))</f>
        <v>0</v>
      </c>
      <c r="G268" s="3">
        <f>IF(OR(INDEX($O$2:$O$1001,MATCH(ROWS($N$2:N268),$N$2:$N$1001,0),1)&gt;=100000,INDEX($U$1005:$AC$1005,1,MATCH(COLUMNS($U$1006:Z1006),$U$1006:$AC$1006,0))&gt;=100000), " ",IF(INDEX($U$2:$AC$1001,MATCH(ROWS($N$2:N268),$N$2:$N$1001,0),MATCH(COLUMNS($U$1006:Z1006),$U$1006:$AC$1006,0)), HYPERLINK("#",""), HYPERLINK(CONCATENATE("#metadata!", ADDRESS(INDEX($P$2:$P$1001,MATCH(ROWS($N$2:N268),$N$2:$N$1001,0),0), INDEX($U$1004:$AC$1004,1,MATCH(COLUMNS($U$1006:Z1006),$U$1006:$AC$1006,0)))),"Fix")))</f>
        <v>0</v>
      </c>
      <c r="H268" s="3">
        <f>IF(OR(INDEX($O$2:$O$1001,MATCH(ROWS($N$2:N268),$N$2:$N$1001,0),1)&gt;=100000,INDEX($U$1005:$AC$1005,1,MATCH(COLUMNS($U$1006:AA1006),$U$1006:$AC$1006,0))&gt;=100000), " ",IF(INDEX($U$2:$AC$1001,MATCH(ROWS($N$2:N268),$N$2:$N$1001,0),MATCH(COLUMNS($U$1006:AA1006),$U$1006:$AC$1006,0)), HYPERLINK("#",""), HYPERLINK(CONCATENATE("#metadata!", ADDRESS(INDEX($P$2:$P$1001,MATCH(ROWS($N$2:N268),$N$2:$N$1001,0),0), INDEX($U$1004:$AC$1004,1,MATCH(COLUMNS($U$1006:AA1006),$U$1006:$AC$1006,0)))),"Fix")))</f>
        <v>0</v>
      </c>
      <c r="I268" s="3">
        <f>IF(OR(INDEX($O$2:$O$1001,MATCH(ROWS($N$2:N268),$N$2:$N$1001,0),1)&gt;=100000,INDEX($U$1005:$AC$1005,1,MATCH(COLUMNS($U$1006:AB1006),$U$1006:$AC$1006,0))&gt;=100000), " ",IF(INDEX($U$2:$AC$1001,MATCH(ROWS($N$2:N268),$N$2:$N$1001,0),MATCH(COLUMNS($U$1006:AB1006),$U$1006:$AC$1006,0)), HYPERLINK("#",""), HYPERLINK(CONCATENATE("#metadata!", ADDRESS(INDEX($P$2:$P$1001,MATCH(ROWS($N$2:N268),$N$2:$N$1001,0),0), INDEX($U$1004:$AC$1004,1,MATCH(COLUMNS($U$1006:AB1006),$U$1006:$AC$1006,0)))),"Fix")))</f>
        <v>0</v>
      </c>
      <c r="J268" s="3">
        <f>IF(OR(INDEX($O$2:$O$1001,MATCH(ROWS($N$2:N268),$N$2:$N$1001,0),1)&gt;=100000,INDEX($U$1005:$AC$1005,1,MATCH(COLUMNS($U$1006:AC1006),$U$1006:$AC$1006,0))&gt;=100000), " ",IF(INDEX($U$2:$AC$1001,MATCH(ROWS($N$2:N268),$N$2:$N$1001,0),MATCH(COLUMNS($U$1006:AC1006),$U$1006:$AC$1006,0)), HYPERLINK("#",""), HYPERLINK(CONCATENATE("#metadata!", ADDRESS(INDEX($P$2:$P$1001,MATCH(ROWS($N$2:N268),$N$2:$N$1001,0),0), INDEX($U$1004:$AC$1004,1,MATCH(COLUMNS($U$1006:AC1006),$U$1006:$AC$1006,0)))),"Fix")))</f>
        <v>0</v>
      </c>
      <c r="N268">
        <v>0</v>
      </c>
      <c r="O268">
        <v>0</v>
      </c>
      <c r="P268">
        <v>0</v>
      </c>
      <c r="Q268">
        <f>IF(R268,TRUE,AND(U268:AC268))</f>
        <v>0</v>
      </c>
      <c r="R268">
        <f>COUNTBLANK(metadata!B268:J268)=COLUMNS(metadata!B268:J268)</f>
        <v>0</v>
      </c>
      <c r="S268">
        <v>0</v>
      </c>
      <c r="U268">
        <f>AND(IF(metadata!B268="",FALSE,TRUE),COUNTIF(metadata!B:B, metadata!B268) = 1,NOT(ISERROR(SUMPRODUCT(SEARCH(MID(metadata!B268,ROW(INDIRECT("1:"&amp;LEN(metadata!B268))), 1),"0123456789abcdefghijklmnopqrstuvwxyzABCDEFGHIJKLMNOPQRSTUVWXYZ.")))))</f>
        <v>0</v>
      </c>
      <c r="V268">
        <f>AND(IF(metadata!C268="",FALSE,TRUE),exact(metadata!C268,"UBERON:genitourinary"))</f>
        <v>0</v>
      </c>
      <c r="W268">
        <f>AND(IF(metadata!D268="",FALSE,TRUE),exact(metadata!D268,"UBERON:urine"))</f>
        <v>0</v>
      </c>
      <c r="X268">
        <f>AND(IF(metadata!E268="",FALSE,TRUE),exact(metadata!E268,"UBERON:kidney"))</f>
        <v>0</v>
      </c>
      <c r="Y268">
        <f>AND(IF(metadata!F268="",FALSE,TRUE),exact(metadata!F268,"animal corpus"))</f>
        <v>0</v>
      </c>
      <c r="Z268">
        <f>AND(IF(metadata!G268="",FALSE,TRUE),exact(metadata!G268,"urine"))</f>
        <v>0</v>
      </c>
      <c r="AA268">
        <f>AND(IF(metadata!H268="",FALSE,TRUE),exact(metadata!H268,"urine"))</f>
        <v>0</v>
      </c>
      <c r="AB268">
        <f>AND(IF(metadata!I268="",FALSE,TRUE),exact(metadata!I268,"urine metagenome"))</f>
        <v>0</v>
      </c>
      <c r="AC268">
        <f>AND(IF(metadata!J268="",FALSE,TRUE),exact(metadata!J268,"1346744"))</f>
        <v>0</v>
      </c>
    </row>
    <row r="269" spans="1:29">
      <c r="A269" s="4">
        <f>IF(B269=" "," ",HYPERLINK(CONCATENATE("#metadata!",ADDRESS(INDEX($P$2:$P$1001,MATCH(ROWS($N$2:N269),$N$2:$N$1001,0),0),1)),INDEX($S$2:$S$1001,MATCH(ROWS($N$2:N269),$N$2:$N$1001,0),0)))</f>
        <v>0</v>
      </c>
      <c r="B269" s="3">
        <f>IF(OR(INDEX($O$2:$O$1001,MATCH(ROWS($N$2:N269),$N$2:$N$1001,0),1)&gt;=100000,INDEX($U$1005:$AC$1005,1,MATCH(COLUMNS($U$1006:U1006),$U$1006:$AC$1006,0))&gt;=100000), " ",IF(INDEX($U$2:$AC$1001,MATCH(ROWS($N$2:N269),$N$2:$N$1001,0),MATCH(COLUMNS($U$1006:U1006),$U$1006:$AC$1006,0)), HYPERLINK("#",""), HYPERLINK(CONCATENATE("#metadata!", ADDRESS(INDEX($P$2:$P$1001,MATCH(ROWS($N$2:N269),$N$2:$N$1001,0),0), INDEX($U$1004:$AC$1004,1,MATCH(COLUMNS($U$1006:U1006),$U$1006:$AC$1006,0)))),"Fix")))</f>
        <v>0</v>
      </c>
      <c r="C269" s="3">
        <f>IF(OR(INDEX($O$2:$O$1001,MATCH(ROWS($N$2:N269),$N$2:$N$1001,0),1)&gt;=100000,INDEX($U$1005:$AC$1005,1,MATCH(COLUMNS($U$1006:V1006),$U$1006:$AC$1006,0))&gt;=100000), " ",IF(INDEX($U$2:$AC$1001,MATCH(ROWS($N$2:N269),$N$2:$N$1001,0),MATCH(COLUMNS($U$1006:V1006),$U$1006:$AC$1006,0)), HYPERLINK("#",""), HYPERLINK(CONCATENATE("#metadata!", ADDRESS(INDEX($P$2:$P$1001,MATCH(ROWS($N$2:N269),$N$2:$N$1001,0),0), INDEX($U$1004:$AC$1004,1,MATCH(COLUMNS($U$1006:V1006),$U$1006:$AC$1006,0)))),"Fix")))</f>
        <v>0</v>
      </c>
      <c r="D269" s="3">
        <f>IF(OR(INDEX($O$2:$O$1001,MATCH(ROWS($N$2:N269),$N$2:$N$1001,0),1)&gt;=100000,INDEX($U$1005:$AC$1005,1,MATCH(COLUMNS($U$1006:W1006),$U$1006:$AC$1006,0))&gt;=100000), " ",IF(INDEX($U$2:$AC$1001,MATCH(ROWS($N$2:N269),$N$2:$N$1001,0),MATCH(COLUMNS($U$1006:W1006),$U$1006:$AC$1006,0)), HYPERLINK("#",""), HYPERLINK(CONCATENATE("#metadata!", ADDRESS(INDEX($P$2:$P$1001,MATCH(ROWS($N$2:N269),$N$2:$N$1001,0),0), INDEX($U$1004:$AC$1004,1,MATCH(COLUMNS($U$1006:W1006),$U$1006:$AC$1006,0)))),"Fix")))</f>
        <v>0</v>
      </c>
      <c r="E269" s="3">
        <f>IF(OR(INDEX($O$2:$O$1001,MATCH(ROWS($N$2:N269),$N$2:$N$1001,0),1)&gt;=100000,INDEX($U$1005:$AC$1005,1,MATCH(COLUMNS($U$1006:X1006),$U$1006:$AC$1006,0))&gt;=100000), " ",IF(INDEX($U$2:$AC$1001,MATCH(ROWS($N$2:N269),$N$2:$N$1001,0),MATCH(COLUMNS($U$1006:X1006),$U$1006:$AC$1006,0)), HYPERLINK("#",""), HYPERLINK(CONCATENATE("#metadata!", ADDRESS(INDEX($P$2:$P$1001,MATCH(ROWS($N$2:N269),$N$2:$N$1001,0),0), INDEX($U$1004:$AC$1004,1,MATCH(COLUMNS($U$1006:X1006),$U$1006:$AC$1006,0)))),"Fix")))</f>
        <v>0</v>
      </c>
      <c r="F269" s="3">
        <f>IF(OR(INDEX($O$2:$O$1001,MATCH(ROWS($N$2:N269),$N$2:$N$1001,0),1)&gt;=100000,INDEX($U$1005:$AC$1005,1,MATCH(COLUMNS($U$1006:Y1006),$U$1006:$AC$1006,0))&gt;=100000), " ",IF(INDEX($U$2:$AC$1001,MATCH(ROWS($N$2:N269),$N$2:$N$1001,0),MATCH(COLUMNS($U$1006:Y1006),$U$1006:$AC$1006,0)), HYPERLINK("#",""), HYPERLINK(CONCATENATE("#metadata!", ADDRESS(INDEX($P$2:$P$1001,MATCH(ROWS($N$2:N269),$N$2:$N$1001,0),0), INDEX($U$1004:$AC$1004,1,MATCH(COLUMNS($U$1006:Y1006),$U$1006:$AC$1006,0)))),"Fix")))</f>
        <v>0</v>
      </c>
      <c r="G269" s="3">
        <f>IF(OR(INDEX($O$2:$O$1001,MATCH(ROWS($N$2:N269),$N$2:$N$1001,0),1)&gt;=100000,INDEX($U$1005:$AC$1005,1,MATCH(COLUMNS($U$1006:Z1006),$U$1006:$AC$1006,0))&gt;=100000), " ",IF(INDEX($U$2:$AC$1001,MATCH(ROWS($N$2:N269),$N$2:$N$1001,0),MATCH(COLUMNS($U$1006:Z1006),$U$1006:$AC$1006,0)), HYPERLINK("#",""), HYPERLINK(CONCATENATE("#metadata!", ADDRESS(INDEX($P$2:$P$1001,MATCH(ROWS($N$2:N269),$N$2:$N$1001,0),0), INDEX($U$1004:$AC$1004,1,MATCH(COLUMNS($U$1006:Z1006),$U$1006:$AC$1006,0)))),"Fix")))</f>
        <v>0</v>
      </c>
      <c r="H269" s="3">
        <f>IF(OR(INDEX($O$2:$O$1001,MATCH(ROWS($N$2:N269),$N$2:$N$1001,0),1)&gt;=100000,INDEX($U$1005:$AC$1005,1,MATCH(COLUMNS($U$1006:AA1006),$U$1006:$AC$1006,0))&gt;=100000), " ",IF(INDEX($U$2:$AC$1001,MATCH(ROWS($N$2:N269),$N$2:$N$1001,0),MATCH(COLUMNS($U$1006:AA1006),$U$1006:$AC$1006,0)), HYPERLINK("#",""), HYPERLINK(CONCATENATE("#metadata!", ADDRESS(INDEX($P$2:$P$1001,MATCH(ROWS($N$2:N269),$N$2:$N$1001,0),0), INDEX($U$1004:$AC$1004,1,MATCH(COLUMNS($U$1006:AA1006),$U$1006:$AC$1006,0)))),"Fix")))</f>
        <v>0</v>
      </c>
      <c r="I269" s="3">
        <f>IF(OR(INDEX($O$2:$O$1001,MATCH(ROWS($N$2:N269),$N$2:$N$1001,0),1)&gt;=100000,INDEX($U$1005:$AC$1005,1,MATCH(COLUMNS($U$1006:AB1006),$U$1006:$AC$1006,0))&gt;=100000), " ",IF(INDEX($U$2:$AC$1001,MATCH(ROWS($N$2:N269),$N$2:$N$1001,0),MATCH(COLUMNS($U$1006:AB1006),$U$1006:$AC$1006,0)), HYPERLINK("#",""), HYPERLINK(CONCATENATE("#metadata!", ADDRESS(INDEX($P$2:$P$1001,MATCH(ROWS($N$2:N269),$N$2:$N$1001,0),0), INDEX($U$1004:$AC$1004,1,MATCH(COLUMNS($U$1006:AB1006),$U$1006:$AC$1006,0)))),"Fix")))</f>
        <v>0</v>
      </c>
      <c r="J269" s="3">
        <f>IF(OR(INDEX($O$2:$O$1001,MATCH(ROWS($N$2:N269),$N$2:$N$1001,0),1)&gt;=100000,INDEX($U$1005:$AC$1005,1,MATCH(COLUMNS($U$1006:AC1006),$U$1006:$AC$1006,0))&gt;=100000), " ",IF(INDEX($U$2:$AC$1001,MATCH(ROWS($N$2:N269),$N$2:$N$1001,0),MATCH(COLUMNS($U$1006:AC1006),$U$1006:$AC$1006,0)), HYPERLINK("#",""), HYPERLINK(CONCATENATE("#metadata!", ADDRESS(INDEX($P$2:$P$1001,MATCH(ROWS($N$2:N269),$N$2:$N$1001,0),0), INDEX($U$1004:$AC$1004,1,MATCH(COLUMNS($U$1006:AC1006),$U$1006:$AC$1006,0)))),"Fix")))</f>
        <v>0</v>
      </c>
      <c r="N269">
        <v>0</v>
      </c>
      <c r="O269">
        <v>0</v>
      </c>
      <c r="P269">
        <v>0</v>
      </c>
      <c r="Q269">
        <f>IF(R269,TRUE,AND(U269:AC269))</f>
        <v>0</v>
      </c>
      <c r="R269">
        <f>COUNTBLANK(metadata!B269:J269)=COLUMNS(metadata!B269:J269)</f>
        <v>0</v>
      </c>
      <c r="S269">
        <v>0</v>
      </c>
      <c r="U269">
        <f>AND(IF(metadata!B269="",FALSE,TRUE),COUNTIF(metadata!B:B, metadata!B269) = 1,NOT(ISERROR(SUMPRODUCT(SEARCH(MID(metadata!B269,ROW(INDIRECT("1:"&amp;LEN(metadata!B269))), 1),"0123456789abcdefghijklmnopqrstuvwxyzABCDEFGHIJKLMNOPQRSTUVWXYZ.")))))</f>
        <v>0</v>
      </c>
      <c r="V269">
        <f>AND(IF(metadata!C269="",FALSE,TRUE),exact(metadata!C269,"UBERON:genitourinary"))</f>
        <v>0</v>
      </c>
      <c r="W269">
        <f>AND(IF(metadata!D269="",FALSE,TRUE),exact(metadata!D269,"UBERON:urine"))</f>
        <v>0</v>
      </c>
      <c r="X269">
        <f>AND(IF(metadata!E269="",FALSE,TRUE),exact(metadata!E269,"UBERON:kidney"))</f>
        <v>0</v>
      </c>
      <c r="Y269">
        <f>AND(IF(metadata!F269="",FALSE,TRUE),exact(metadata!F269,"animal corpus"))</f>
        <v>0</v>
      </c>
      <c r="Z269">
        <f>AND(IF(metadata!G269="",FALSE,TRUE),exact(metadata!G269,"urine"))</f>
        <v>0</v>
      </c>
      <c r="AA269">
        <f>AND(IF(metadata!H269="",FALSE,TRUE),exact(metadata!H269,"urine"))</f>
        <v>0</v>
      </c>
      <c r="AB269">
        <f>AND(IF(metadata!I269="",FALSE,TRUE),exact(metadata!I269,"urine metagenome"))</f>
        <v>0</v>
      </c>
      <c r="AC269">
        <f>AND(IF(metadata!J269="",FALSE,TRUE),exact(metadata!J269,"1346744"))</f>
        <v>0</v>
      </c>
    </row>
    <row r="270" spans="1:29">
      <c r="A270" s="4">
        <f>IF(B270=" "," ",HYPERLINK(CONCATENATE("#metadata!",ADDRESS(INDEX($P$2:$P$1001,MATCH(ROWS($N$2:N270),$N$2:$N$1001,0),0),1)),INDEX($S$2:$S$1001,MATCH(ROWS($N$2:N270),$N$2:$N$1001,0),0)))</f>
        <v>0</v>
      </c>
      <c r="B270" s="3">
        <f>IF(OR(INDEX($O$2:$O$1001,MATCH(ROWS($N$2:N270),$N$2:$N$1001,0),1)&gt;=100000,INDEX($U$1005:$AC$1005,1,MATCH(COLUMNS($U$1006:U1006),$U$1006:$AC$1006,0))&gt;=100000), " ",IF(INDEX($U$2:$AC$1001,MATCH(ROWS($N$2:N270),$N$2:$N$1001,0),MATCH(COLUMNS($U$1006:U1006),$U$1006:$AC$1006,0)), HYPERLINK("#",""), HYPERLINK(CONCATENATE("#metadata!", ADDRESS(INDEX($P$2:$P$1001,MATCH(ROWS($N$2:N270),$N$2:$N$1001,0),0), INDEX($U$1004:$AC$1004,1,MATCH(COLUMNS($U$1006:U1006),$U$1006:$AC$1006,0)))),"Fix")))</f>
        <v>0</v>
      </c>
      <c r="C270" s="3">
        <f>IF(OR(INDEX($O$2:$O$1001,MATCH(ROWS($N$2:N270),$N$2:$N$1001,0),1)&gt;=100000,INDEX($U$1005:$AC$1005,1,MATCH(COLUMNS($U$1006:V1006),$U$1006:$AC$1006,0))&gt;=100000), " ",IF(INDEX($U$2:$AC$1001,MATCH(ROWS($N$2:N270),$N$2:$N$1001,0),MATCH(COLUMNS($U$1006:V1006),$U$1006:$AC$1006,0)), HYPERLINK("#",""), HYPERLINK(CONCATENATE("#metadata!", ADDRESS(INDEX($P$2:$P$1001,MATCH(ROWS($N$2:N270),$N$2:$N$1001,0),0), INDEX($U$1004:$AC$1004,1,MATCH(COLUMNS($U$1006:V1006),$U$1006:$AC$1006,0)))),"Fix")))</f>
        <v>0</v>
      </c>
      <c r="D270" s="3">
        <f>IF(OR(INDEX($O$2:$O$1001,MATCH(ROWS($N$2:N270),$N$2:$N$1001,0),1)&gt;=100000,INDEX($U$1005:$AC$1005,1,MATCH(COLUMNS($U$1006:W1006),$U$1006:$AC$1006,0))&gt;=100000), " ",IF(INDEX($U$2:$AC$1001,MATCH(ROWS($N$2:N270),$N$2:$N$1001,0),MATCH(COLUMNS($U$1006:W1006),$U$1006:$AC$1006,0)), HYPERLINK("#",""), HYPERLINK(CONCATENATE("#metadata!", ADDRESS(INDEX($P$2:$P$1001,MATCH(ROWS($N$2:N270),$N$2:$N$1001,0),0), INDEX($U$1004:$AC$1004,1,MATCH(COLUMNS($U$1006:W1006),$U$1006:$AC$1006,0)))),"Fix")))</f>
        <v>0</v>
      </c>
      <c r="E270" s="3">
        <f>IF(OR(INDEX($O$2:$O$1001,MATCH(ROWS($N$2:N270),$N$2:$N$1001,0),1)&gt;=100000,INDEX($U$1005:$AC$1005,1,MATCH(COLUMNS($U$1006:X1006),$U$1006:$AC$1006,0))&gt;=100000), " ",IF(INDEX($U$2:$AC$1001,MATCH(ROWS($N$2:N270),$N$2:$N$1001,0),MATCH(COLUMNS($U$1006:X1006),$U$1006:$AC$1006,0)), HYPERLINK("#",""), HYPERLINK(CONCATENATE("#metadata!", ADDRESS(INDEX($P$2:$P$1001,MATCH(ROWS($N$2:N270),$N$2:$N$1001,0),0), INDEX($U$1004:$AC$1004,1,MATCH(COLUMNS($U$1006:X1006),$U$1006:$AC$1006,0)))),"Fix")))</f>
        <v>0</v>
      </c>
      <c r="F270" s="3">
        <f>IF(OR(INDEX($O$2:$O$1001,MATCH(ROWS($N$2:N270),$N$2:$N$1001,0),1)&gt;=100000,INDEX($U$1005:$AC$1005,1,MATCH(COLUMNS($U$1006:Y1006),$U$1006:$AC$1006,0))&gt;=100000), " ",IF(INDEX($U$2:$AC$1001,MATCH(ROWS($N$2:N270),$N$2:$N$1001,0),MATCH(COLUMNS($U$1006:Y1006),$U$1006:$AC$1006,0)), HYPERLINK("#",""), HYPERLINK(CONCATENATE("#metadata!", ADDRESS(INDEX($P$2:$P$1001,MATCH(ROWS($N$2:N270),$N$2:$N$1001,0),0), INDEX($U$1004:$AC$1004,1,MATCH(COLUMNS($U$1006:Y1006),$U$1006:$AC$1006,0)))),"Fix")))</f>
        <v>0</v>
      </c>
      <c r="G270" s="3">
        <f>IF(OR(INDEX($O$2:$O$1001,MATCH(ROWS($N$2:N270),$N$2:$N$1001,0),1)&gt;=100000,INDEX($U$1005:$AC$1005,1,MATCH(COLUMNS($U$1006:Z1006),$U$1006:$AC$1006,0))&gt;=100000), " ",IF(INDEX($U$2:$AC$1001,MATCH(ROWS($N$2:N270),$N$2:$N$1001,0),MATCH(COLUMNS($U$1006:Z1006),$U$1006:$AC$1006,0)), HYPERLINK("#",""), HYPERLINK(CONCATENATE("#metadata!", ADDRESS(INDEX($P$2:$P$1001,MATCH(ROWS($N$2:N270),$N$2:$N$1001,0),0), INDEX($U$1004:$AC$1004,1,MATCH(COLUMNS($U$1006:Z1006),$U$1006:$AC$1006,0)))),"Fix")))</f>
        <v>0</v>
      </c>
      <c r="H270" s="3">
        <f>IF(OR(INDEX($O$2:$O$1001,MATCH(ROWS($N$2:N270),$N$2:$N$1001,0),1)&gt;=100000,INDEX($U$1005:$AC$1005,1,MATCH(COLUMNS($U$1006:AA1006),$U$1006:$AC$1006,0))&gt;=100000), " ",IF(INDEX($U$2:$AC$1001,MATCH(ROWS($N$2:N270),$N$2:$N$1001,0),MATCH(COLUMNS($U$1006:AA1006),$U$1006:$AC$1006,0)), HYPERLINK("#",""), HYPERLINK(CONCATENATE("#metadata!", ADDRESS(INDEX($P$2:$P$1001,MATCH(ROWS($N$2:N270),$N$2:$N$1001,0),0), INDEX($U$1004:$AC$1004,1,MATCH(COLUMNS($U$1006:AA1006),$U$1006:$AC$1006,0)))),"Fix")))</f>
        <v>0</v>
      </c>
      <c r="I270" s="3">
        <f>IF(OR(INDEX($O$2:$O$1001,MATCH(ROWS($N$2:N270),$N$2:$N$1001,0),1)&gt;=100000,INDEX($U$1005:$AC$1005,1,MATCH(COLUMNS($U$1006:AB1006),$U$1006:$AC$1006,0))&gt;=100000), " ",IF(INDEX($U$2:$AC$1001,MATCH(ROWS($N$2:N270),$N$2:$N$1001,0),MATCH(COLUMNS($U$1006:AB1006),$U$1006:$AC$1006,0)), HYPERLINK("#",""), HYPERLINK(CONCATENATE("#metadata!", ADDRESS(INDEX($P$2:$P$1001,MATCH(ROWS($N$2:N270),$N$2:$N$1001,0),0), INDEX($U$1004:$AC$1004,1,MATCH(COLUMNS($U$1006:AB1006),$U$1006:$AC$1006,0)))),"Fix")))</f>
        <v>0</v>
      </c>
      <c r="J270" s="3">
        <f>IF(OR(INDEX($O$2:$O$1001,MATCH(ROWS($N$2:N270),$N$2:$N$1001,0),1)&gt;=100000,INDEX($U$1005:$AC$1005,1,MATCH(COLUMNS($U$1006:AC1006),$U$1006:$AC$1006,0))&gt;=100000), " ",IF(INDEX($U$2:$AC$1001,MATCH(ROWS($N$2:N270),$N$2:$N$1001,0),MATCH(COLUMNS($U$1006:AC1006),$U$1006:$AC$1006,0)), HYPERLINK("#",""), HYPERLINK(CONCATENATE("#metadata!", ADDRESS(INDEX($P$2:$P$1001,MATCH(ROWS($N$2:N270),$N$2:$N$1001,0),0), INDEX($U$1004:$AC$1004,1,MATCH(COLUMNS($U$1006:AC1006),$U$1006:$AC$1006,0)))),"Fix")))</f>
        <v>0</v>
      </c>
      <c r="N270">
        <v>0</v>
      </c>
      <c r="O270">
        <v>0</v>
      </c>
      <c r="P270">
        <v>0</v>
      </c>
      <c r="Q270">
        <f>IF(R270,TRUE,AND(U270:AC270))</f>
        <v>0</v>
      </c>
      <c r="R270">
        <f>COUNTBLANK(metadata!B270:J270)=COLUMNS(metadata!B270:J270)</f>
        <v>0</v>
      </c>
      <c r="S270">
        <v>0</v>
      </c>
      <c r="U270">
        <f>AND(IF(metadata!B270="",FALSE,TRUE),COUNTIF(metadata!B:B, metadata!B270) = 1,NOT(ISERROR(SUMPRODUCT(SEARCH(MID(metadata!B270,ROW(INDIRECT("1:"&amp;LEN(metadata!B270))), 1),"0123456789abcdefghijklmnopqrstuvwxyzABCDEFGHIJKLMNOPQRSTUVWXYZ.")))))</f>
        <v>0</v>
      </c>
      <c r="V270">
        <f>AND(IF(metadata!C270="",FALSE,TRUE),exact(metadata!C270,"UBERON:genitourinary"))</f>
        <v>0</v>
      </c>
      <c r="W270">
        <f>AND(IF(metadata!D270="",FALSE,TRUE),exact(metadata!D270,"UBERON:urine"))</f>
        <v>0</v>
      </c>
      <c r="X270">
        <f>AND(IF(metadata!E270="",FALSE,TRUE),exact(metadata!E270,"UBERON:kidney"))</f>
        <v>0</v>
      </c>
      <c r="Y270">
        <f>AND(IF(metadata!F270="",FALSE,TRUE),exact(metadata!F270,"animal corpus"))</f>
        <v>0</v>
      </c>
      <c r="Z270">
        <f>AND(IF(metadata!G270="",FALSE,TRUE),exact(metadata!G270,"urine"))</f>
        <v>0</v>
      </c>
      <c r="AA270">
        <f>AND(IF(metadata!H270="",FALSE,TRUE),exact(metadata!H270,"urine"))</f>
        <v>0</v>
      </c>
      <c r="AB270">
        <f>AND(IF(metadata!I270="",FALSE,TRUE),exact(metadata!I270,"urine metagenome"))</f>
        <v>0</v>
      </c>
      <c r="AC270">
        <f>AND(IF(metadata!J270="",FALSE,TRUE),exact(metadata!J270,"1346744"))</f>
        <v>0</v>
      </c>
    </row>
    <row r="271" spans="1:29">
      <c r="A271" s="4">
        <f>IF(B271=" "," ",HYPERLINK(CONCATENATE("#metadata!",ADDRESS(INDEX($P$2:$P$1001,MATCH(ROWS($N$2:N271),$N$2:$N$1001,0),0),1)),INDEX($S$2:$S$1001,MATCH(ROWS($N$2:N271),$N$2:$N$1001,0),0)))</f>
        <v>0</v>
      </c>
      <c r="B271" s="3">
        <f>IF(OR(INDEX($O$2:$O$1001,MATCH(ROWS($N$2:N271),$N$2:$N$1001,0),1)&gt;=100000,INDEX($U$1005:$AC$1005,1,MATCH(COLUMNS($U$1006:U1006),$U$1006:$AC$1006,0))&gt;=100000), " ",IF(INDEX($U$2:$AC$1001,MATCH(ROWS($N$2:N271),$N$2:$N$1001,0),MATCH(COLUMNS($U$1006:U1006),$U$1006:$AC$1006,0)), HYPERLINK("#",""), HYPERLINK(CONCATENATE("#metadata!", ADDRESS(INDEX($P$2:$P$1001,MATCH(ROWS($N$2:N271),$N$2:$N$1001,0),0), INDEX($U$1004:$AC$1004,1,MATCH(COLUMNS($U$1006:U1006),$U$1006:$AC$1006,0)))),"Fix")))</f>
        <v>0</v>
      </c>
      <c r="C271" s="3">
        <f>IF(OR(INDEX($O$2:$O$1001,MATCH(ROWS($N$2:N271),$N$2:$N$1001,0),1)&gt;=100000,INDEX($U$1005:$AC$1005,1,MATCH(COLUMNS($U$1006:V1006),$U$1006:$AC$1006,0))&gt;=100000), " ",IF(INDEX($U$2:$AC$1001,MATCH(ROWS($N$2:N271),$N$2:$N$1001,0),MATCH(COLUMNS($U$1006:V1006),$U$1006:$AC$1006,0)), HYPERLINK("#",""), HYPERLINK(CONCATENATE("#metadata!", ADDRESS(INDEX($P$2:$P$1001,MATCH(ROWS($N$2:N271),$N$2:$N$1001,0),0), INDEX($U$1004:$AC$1004,1,MATCH(COLUMNS($U$1006:V1006),$U$1006:$AC$1006,0)))),"Fix")))</f>
        <v>0</v>
      </c>
      <c r="D271" s="3">
        <f>IF(OR(INDEX($O$2:$O$1001,MATCH(ROWS($N$2:N271),$N$2:$N$1001,0),1)&gt;=100000,INDEX($U$1005:$AC$1005,1,MATCH(COLUMNS($U$1006:W1006),$U$1006:$AC$1006,0))&gt;=100000), " ",IF(INDEX($U$2:$AC$1001,MATCH(ROWS($N$2:N271),$N$2:$N$1001,0),MATCH(COLUMNS($U$1006:W1006),$U$1006:$AC$1006,0)), HYPERLINK("#",""), HYPERLINK(CONCATENATE("#metadata!", ADDRESS(INDEX($P$2:$P$1001,MATCH(ROWS($N$2:N271),$N$2:$N$1001,0),0), INDEX($U$1004:$AC$1004,1,MATCH(COLUMNS($U$1006:W1006),$U$1006:$AC$1006,0)))),"Fix")))</f>
        <v>0</v>
      </c>
      <c r="E271" s="3">
        <f>IF(OR(INDEX($O$2:$O$1001,MATCH(ROWS($N$2:N271),$N$2:$N$1001,0),1)&gt;=100000,INDEX($U$1005:$AC$1005,1,MATCH(COLUMNS($U$1006:X1006),$U$1006:$AC$1006,0))&gt;=100000), " ",IF(INDEX($U$2:$AC$1001,MATCH(ROWS($N$2:N271),$N$2:$N$1001,0),MATCH(COLUMNS($U$1006:X1006),$U$1006:$AC$1006,0)), HYPERLINK("#",""), HYPERLINK(CONCATENATE("#metadata!", ADDRESS(INDEX($P$2:$P$1001,MATCH(ROWS($N$2:N271),$N$2:$N$1001,0),0), INDEX($U$1004:$AC$1004,1,MATCH(COLUMNS($U$1006:X1006),$U$1006:$AC$1006,0)))),"Fix")))</f>
        <v>0</v>
      </c>
      <c r="F271" s="3">
        <f>IF(OR(INDEX($O$2:$O$1001,MATCH(ROWS($N$2:N271),$N$2:$N$1001,0),1)&gt;=100000,INDEX($U$1005:$AC$1005,1,MATCH(COLUMNS($U$1006:Y1006),$U$1006:$AC$1006,0))&gt;=100000), " ",IF(INDEX($U$2:$AC$1001,MATCH(ROWS($N$2:N271),$N$2:$N$1001,0),MATCH(COLUMNS($U$1006:Y1006),$U$1006:$AC$1006,0)), HYPERLINK("#",""), HYPERLINK(CONCATENATE("#metadata!", ADDRESS(INDEX($P$2:$P$1001,MATCH(ROWS($N$2:N271),$N$2:$N$1001,0),0), INDEX($U$1004:$AC$1004,1,MATCH(COLUMNS($U$1006:Y1006),$U$1006:$AC$1006,0)))),"Fix")))</f>
        <v>0</v>
      </c>
      <c r="G271" s="3">
        <f>IF(OR(INDEX($O$2:$O$1001,MATCH(ROWS($N$2:N271),$N$2:$N$1001,0),1)&gt;=100000,INDEX($U$1005:$AC$1005,1,MATCH(COLUMNS($U$1006:Z1006),$U$1006:$AC$1006,0))&gt;=100000), " ",IF(INDEX($U$2:$AC$1001,MATCH(ROWS($N$2:N271),$N$2:$N$1001,0),MATCH(COLUMNS($U$1006:Z1006),$U$1006:$AC$1006,0)), HYPERLINK("#",""), HYPERLINK(CONCATENATE("#metadata!", ADDRESS(INDEX($P$2:$P$1001,MATCH(ROWS($N$2:N271),$N$2:$N$1001,0),0), INDEX($U$1004:$AC$1004,1,MATCH(COLUMNS($U$1006:Z1006),$U$1006:$AC$1006,0)))),"Fix")))</f>
        <v>0</v>
      </c>
      <c r="H271" s="3">
        <f>IF(OR(INDEX($O$2:$O$1001,MATCH(ROWS($N$2:N271),$N$2:$N$1001,0),1)&gt;=100000,INDEX($U$1005:$AC$1005,1,MATCH(COLUMNS($U$1006:AA1006),$U$1006:$AC$1006,0))&gt;=100000), " ",IF(INDEX($U$2:$AC$1001,MATCH(ROWS($N$2:N271),$N$2:$N$1001,0),MATCH(COLUMNS($U$1006:AA1006),$U$1006:$AC$1006,0)), HYPERLINK("#",""), HYPERLINK(CONCATENATE("#metadata!", ADDRESS(INDEX($P$2:$P$1001,MATCH(ROWS($N$2:N271),$N$2:$N$1001,0),0), INDEX($U$1004:$AC$1004,1,MATCH(COLUMNS($U$1006:AA1006),$U$1006:$AC$1006,0)))),"Fix")))</f>
        <v>0</v>
      </c>
      <c r="I271" s="3">
        <f>IF(OR(INDEX($O$2:$O$1001,MATCH(ROWS($N$2:N271),$N$2:$N$1001,0),1)&gt;=100000,INDEX($U$1005:$AC$1005,1,MATCH(COLUMNS($U$1006:AB1006),$U$1006:$AC$1006,0))&gt;=100000), " ",IF(INDEX($U$2:$AC$1001,MATCH(ROWS($N$2:N271),$N$2:$N$1001,0),MATCH(COLUMNS($U$1006:AB1006),$U$1006:$AC$1006,0)), HYPERLINK("#",""), HYPERLINK(CONCATENATE("#metadata!", ADDRESS(INDEX($P$2:$P$1001,MATCH(ROWS($N$2:N271),$N$2:$N$1001,0),0), INDEX($U$1004:$AC$1004,1,MATCH(COLUMNS($U$1006:AB1006),$U$1006:$AC$1006,0)))),"Fix")))</f>
        <v>0</v>
      </c>
      <c r="J271" s="3">
        <f>IF(OR(INDEX($O$2:$O$1001,MATCH(ROWS($N$2:N271),$N$2:$N$1001,0),1)&gt;=100000,INDEX($U$1005:$AC$1005,1,MATCH(COLUMNS($U$1006:AC1006),$U$1006:$AC$1006,0))&gt;=100000), " ",IF(INDEX($U$2:$AC$1001,MATCH(ROWS($N$2:N271),$N$2:$N$1001,0),MATCH(COLUMNS($U$1006:AC1006),$U$1006:$AC$1006,0)), HYPERLINK("#",""), HYPERLINK(CONCATENATE("#metadata!", ADDRESS(INDEX($P$2:$P$1001,MATCH(ROWS($N$2:N271),$N$2:$N$1001,0),0), INDEX($U$1004:$AC$1004,1,MATCH(COLUMNS($U$1006:AC1006),$U$1006:$AC$1006,0)))),"Fix")))</f>
        <v>0</v>
      </c>
      <c r="N271">
        <v>0</v>
      </c>
      <c r="O271">
        <v>0</v>
      </c>
      <c r="P271">
        <v>0</v>
      </c>
      <c r="Q271">
        <f>IF(R271,TRUE,AND(U271:AC271))</f>
        <v>0</v>
      </c>
      <c r="R271">
        <f>COUNTBLANK(metadata!B271:J271)=COLUMNS(metadata!B271:J271)</f>
        <v>0</v>
      </c>
      <c r="S271">
        <v>0</v>
      </c>
      <c r="U271">
        <f>AND(IF(metadata!B271="",FALSE,TRUE),COUNTIF(metadata!B:B, metadata!B271) = 1,NOT(ISERROR(SUMPRODUCT(SEARCH(MID(metadata!B271,ROW(INDIRECT("1:"&amp;LEN(metadata!B271))), 1),"0123456789abcdefghijklmnopqrstuvwxyzABCDEFGHIJKLMNOPQRSTUVWXYZ.")))))</f>
        <v>0</v>
      </c>
      <c r="V271">
        <f>AND(IF(metadata!C271="",FALSE,TRUE),exact(metadata!C271,"UBERON:genitourinary"))</f>
        <v>0</v>
      </c>
      <c r="W271">
        <f>AND(IF(metadata!D271="",FALSE,TRUE),exact(metadata!D271,"UBERON:urine"))</f>
        <v>0</v>
      </c>
      <c r="X271">
        <f>AND(IF(metadata!E271="",FALSE,TRUE),exact(metadata!E271,"UBERON:kidney"))</f>
        <v>0</v>
      </c>
      <c r="Y271">
        <f>AND(IF(metadata!F271="",FALSE,TRUE),exact(metadata!F271,"animal corpus"))</f>
        <v>0</v>
      </c>
      <c r="Z271">
        <f>AND(IF(metadata!G271="",FALSE,TRUE),exact(metadata!G271,"urine"))</f>
        <v>0</v>
      </c>
      <c r="AA271">
        <f>AND(IF(metadata!H271="",FALSE,TRUE),exact(metadata!H271,"urine"))</f>
        <v>0</v>
      </c>
      <c r="AB271">
        <f>AND(IF(metadata!I271="",FALSE,TRUE),exact(metadata!I271,"urine metagenome"))</f>
        <v>0</v>
      </c>
      <c r="AC271">
        <f>AND(IF(metadata!J271="",FALSE,TRUE),exact(metadata!J271,"1346744"))</f>
        <v>0</v>
      </c>
    </row>
    <row r="272" spans="1:29">
      <c r="A272" s="4">
        <f>IF(B272=" "," ",HYPERLINK(CONCATENATE("#metadata!",ADDRESS(INDEX($P$2:$P$1001,MATCH(ROWS($N$2:N272),$N$2:$N$1001,0),0),1)),INDEX($S$2:$S$1001,MATCH(ROWS($N$2:N272),$N$2:$N$1001,0),0)))</f>
        <v>0</v>
      </c>
      <c r="B272" s="3">
        <f>IF(OR(INDEX($O$2:$O$1001,MATCH(ROWS($N$2:N272),$N$2:$N$1001,0),1)&gt;=100000,INDEX($U$1005:$AC$1005,1,MATCH(COLUMNS($U$1006:U1006),$U$1006:$AC$1006,0))&gt;=100000), " ",IF(INDEX($U$2:$AC$1001,MATCH(ROWS($N$2:N272),$N$2:$N$1001,0),MATCH(COLUMNS($U$1006:U1006),$U$1006:$AC$1006,0)), HYPERLINK("#",""), HYPERLINK(CONCATENATE("#metadata!", ADDRESS(INDEX($P$2:$P$1001,MATCH(ROWS($N$2:N272),$N$2:$N$1001,0),0), INDEX($U$1004:$AC$1004,1,MATCH(COLUMNS($U$1006:U1006),$U$1006:$AC$1006,0)))),"Fix")))</f>
        <v>0</v>
      </c>
      <c r="C272" s="3">
        <f>IF(OR(INDEX($O$2:$O$1001,MATCH(ROWS($N$2:N272),$N$2:$N$1001,0),1)&gt;=100000,INDEX($U$1005:$AC$1005,1,MATCH(COLUMNS($U$1006:V1006),$U$1006:$AC$1006,0))&gt;=100000), " ",IF(INDEX($U$2:$AC$1001,MATCH(ROWS($N$2:N272),$N$2:$N$1001,0),MATCH(COLUMNS($U$1006:V1006),$U$1006:$AC$1006,0)), HYPERLINK("#",""), HYPERLINK(CONCATENATE("#metadata!", ADDRESS(INDEX($P$2:$P$1001,MATCH(ROWS($N$2:N272),$N$2:$N$1001,0),0), INDEX($U$1004:$AC$1004,1,MATCH(COLUMNS($U$1006:V1006),$U$1006:$AC$1006,0)))),"Fix")))</f>
        <v>0</v>
      </c>
      <c r="D272" s="3">
        <f>IF(OR(INDEX($O$2:$O$1001,MATCH(ROWS($N$2:N272),$N$2:$N$1001,0),1)&gt;=100000,INDEX($U$1005:$AC$1005,1,MATCH(COLUMNS($U$1006:W1006),$U$1006:$AC$1006,0))&gt;=100000), " ",IF(INDEX($U$2:$AC$1001,MATCH(ROWS($N$2:N272),$N$2:$N$1001,0),MATCH(COLUMNS($U$1006:W1006),$U$1006:$AC$1006,0)), HYPERLINK("#",""), HYPERLINK(CONCATENATE("#metadata!", ADDRESS(INDEX($P$2:$P$1001,MATCH(ROWS($N$2:N272),$N$2:$N$1001,0),0), INDEX($U$1004:$AC$1004,1,MATCH(COLUMNS($U$1006:W1006),$U$1006:$AC$1006,0)))),"Fix")))</f>
        <v>0</v>
      </c>
      <c r="E272" s="3">
        <f>IF(OR(INDEX($O$2:$O$1001,MATCH(ROWS($N$2:N272),$N$2:$N$1001,0),1)&gt;=100000,INDEX($U$1005:$AC$1005,1,MATCH(COLUMNS($U$1006:X1006),$U$1006:$AC$1006,0))&gt;=100000), " ",IF(INDEX($U$2:$AC$1001,MATCH(ROWS($N$2:N272),$N$2:$N$1001,0),MATCH(COLUMNS($U$1006:X1006),$U$1006:$AC$1006,0)), HYPERLINK("#",""), HYPERLINK(CONCATENATE("#metadata!", ADDRESS(INDEX($P$2:$P$1001,MATCH(ROWS($N$2:N272),$N$2:$N$1001,0),0), INDEX($U$1004:$AC$1004,1,MATCH(COLUMNS($U$1006:X1006),$U$1006:$AC$1006,0)))),"Fix")))</f>
        <v>0</v>
      </c>
      <c r="F272" s="3">
        <f>IF(OR(INDEX($O$2:$O$1001,MATCH(ROWS($N$2:N272),$N$2:$N$1001,0),1)&gt;=100000,INDEX($U$1005:$AC$1005,1,MATCH(COLUMNS($U$1006:Y1006),$U$1006:$AC$1006,0))&gt;=100000), " ",IF(INDEX($U$2:$AC$1001,MATCH(ROWS($N$2:N272),$N$2:$N$1001,0),MATCH(COLUMNS($U$1006:Y1006),$U$1006:$AC$1006,0)), HYPERLINK("#",""), HYPERLINK(CONCATENATE("#metadata!", ADDRESS(INDEX($P$2:$P$1001,MATCH(ROWS($N$2:N272),$N$2:$N$1001,0),0), INDEX($U$1004:$AC$1004,1,MATCH(COLUMNS($U$1006:Y1006),$U$1006:$AC$1006,0)))),"Fix")))</f>
        <v>0</v>
      </c>
      <c r="G272" s="3">
        <f>IF(OR(INDEX($O$2:$O$1001,MATCH(ROWS($N$2:N272),$N$2:$N$1001,0),1)&gt;=100000,INDEX($U$1005:$AC$1005,1,MATCH(COLUMNS($U$1006:Z1006),$U$1006:$AC$1006,0))&gt;=100000), " ",IF(INDEX($U$2:$AC$1001,MATCH(ROWS($N$2:N272),$N$2:$N$1001,0),MATCH(COLUMNS($U$1006:Z1006),$U$1006:$AC$1006,0)), HYPERLINK("#",""), HYPERLINK(CONCATENATE("#metadata!", ADDRESS(INDEX($P$2:$P$1001,MATCH(ROWS($N$2:N272),$N$2:$N$1001,0),0), INDEX($U$1004:$AC$1004,1,MATCH(COLUMNS($U$1006:Z1006),$U$1006:$AC$1006,0)))),"Fix")))</f>
        <v>0</v>
      </c>
      <c r="H272" s="3">
        <f>IF(OR(INDEX($O$2:$O$1001,MATCH(ROWS($N$2:N272),$N$2:$N$1001,0),1)&gt;=100000,INDEX($U$1005:$AC$1005,1,MATCH(COLUMNS($U$1006:AA1006),$U$1006:$AC$1006,0))&gt;=100000), " ",IF(INDEX($U$2:$AC$1001,MATCH(ROWS($N$2:N272),$N$2:$N$1001,0),MATCH(COLUMNS($U$1006:AA1006),$U$1006:$AC$1006,0)), HYPERLINK("#",""), HYPERLINK(CONCATENATE("#metadata!", ADDRESS(INDEX($P$2:$P$1001,MATCH(ROWS($N$2:N272),$N$2:$N$1001,0),0), INDEX($U$1004:$AC$1004,1,MATCH(COLUMNS($U$1006:AA1006),$U$1006:$AC$1006,0)))),"Fix")))</f>
        <v>0</v>
      </c>
      <c r="I272" s="3">
        <f>IF(OR(INDEX($O$2:$O$1001,MATCH(ROWS($N$2:N272),$N$2:$N$1001,0),1)&gt;=100000,INDEX($U$1005:$AC$1005,1,MATCH(COLUMNS($U$1006:AB1006),$U$1006:$AC$1006,0))&gt;=100000), " ",IF(INDEX($U$2:$AC$1001,MATCH(ROWS($N$2:N272),$N$2:$N$1001,0),MATCH(COLUMNS($U$1006:AB1006),$U$1006:$AC$1006,0)), HYPERLINK("#",""), HYPERLINK(CONCATENATE("#metadata!", ADDRESS(INDEX($P$2:$P$1001,MATCH(ROWS($N$2:N272),$N$2:$N$1001,0),0), INDEX($U$1004:$AC$1004,1,MATCH(COLUMNS($U$1006:AB1006),$U$1006:$AC$1006,0)))),"Fix")))</f>
        <v>0</v>
      </c>
      <c r="J272" s="3">
        <f>IF(OR(INDEX($O$2:$O$1001,MATCH(ROWS($N$2:N272),$N$2:$N$1001,0),1)&gt;=100000,INDEX($U$1005:$AC$1005,1,MATCH(COLUMNS($U$1006:AC1006),$U$1006:$AC$1006,0))&gt;=100000), " ",IF(INDEX($U$2:$AC$1001,MATCH(ROWS($N$2:N272),$N$2:$N$1001,0),MATCH(COLUMNS($U$1006:AC1006),$U$1006:$AC$1006,0)), HYPERLINK("#",""), HYPERLINK(CONCATENATE("#metadata!", ADDRESS(INDEX($P$2:$P$1001,MATCH(ROWS($N$2:N272),$N$2:$N$1001,0),0), INDEX($U$1004:$AC$1004,1,MATCH(COLUMNS($U$1006:AC1006),$U$1006:$AC$1006,0)))),"Fix")))</f>
        <v>0</v>
      </c>
      <c r="N272">
        <v>0</v>
      </c>
      <c r="O272">
        <v>0</v>
      </c>
      <c r="P272">
        <v>0</v>
      </c>
      <c r="Q272">
        <f>IF(R272,TRUE,AND(U272:AC272))</f>
        <v>0</v>
      </c>
      <c r="R272">
        <f>COUNTBLANK(metadata!B272:J272)=COLUMNS(metadata!B272:J272)</f>
        <v>0</v>
      </c>
      <c r="S272">
        <v>0</v>
      </c>
      <c r="U272">
        <f>AND(IF(metadata!B272="",FALSE,TRUE),COUNTIF(metadata!B:B, metadata!B272) = 1,NOT(ISERROR(SUMPRODUCT(SEARCH(MID(metadata!B272,ROW(INDIRECT("1:"&amp;LEN(metadata!B272))), 1),"0123456789abcdefghijklmnopqrstuvwxyzABCDEFGHIJKLMNOPQRSTUVWXYZ.")))))</f>
        <v>0</v>
      </c>
      <c r="V272">
        <f>AND(IF(metadata!C272="",FALSE,TRUE),exact(metadata!C272,"UBERON:genitourinary"))</f>
        <v>0</v>
      </c>
      <c r="W272">
        <f>AND(IF(metadata!D272="",FALSE,TRUE),exact(metadata!D272,"UBERON:urine"))</f>
        <v>0</v>
      </c>
      <c r="X272">
        <f>AND(IF(metadata!E272="",FALSE,TRUE),exact(metadata!E272,"UBERON:kidney"))</f>
        <v>0</v>
      </c>
      <c r="Y272">
        <f>AND(IF(metadata!F272="",FALSE,TRUE),exact(metadata!F272,"animal corpus"))</f>
        <v>0</v>
      </c>
      <c r="Z272">
        <f>AND(IF(metadata!G272="",FALSE,TRUE),exact(metadata!G272,"urine"))</f>
        <v>0</v>
      </c>
      <c r="AA272">
        <f>AND(IF(metadata!H272="",FALSE,TRUE),exact(metadata!H272,"urine"))</f>
        <v>0</v>
      </c>
      <c r="AB272">
        <f>AND(IF(metadata!I272="",FALSE,TRUE),exact(metadata!I272,"urine metagenome"))</f>
        <v>0</v>
      </c>
      <c r="AC272">
        <f>AND(IF(metadata!J272="",FALSE,TRUE),exact(metadata!J272,"1346744"))</f>
        <v>0</v>
      </c>
    </row>
    <row r="273" spans="1:29">
      <c r="A273" s="4">
        <f>IF(B273=" "," ",HYPERLINK(CONCATENATE("#metadata!",ADDRESS(INDEX($P$2:$P$1001,MATCH(ROWS($N$2:N273),$N$2:$N$1001,0),0),1)),INDEX($S$2:$S$1001,MATCH(ROWS($N$2:N273),$N$2:$N$1001,0),0)))</f>
        <v>0</v>
      </c>
      <c r="B273" s="3">
        <f>IF(OR(INDEX($O$2:$O$1001,MATCH(ROWS($N$2:N273),$N$2:$N$1001,0),1)&gt;=100000,INDEX($U$1005:$AC$1005,1,MATCH(COLUMNS($U$1006:U1006),$U$1006:$AC$1006,0))&gt;=100000), " ",IF(INDEX($U$2:$AC$1001,MATCH(ROWS($N$2:N273),$N$2:$N$1001,0),MATCH(COLUMNS($U$1006:U1006),$U$1006:$AC$1006,0)), HYPERLINK("#",""), HYPERLINK(CONCATENATE("#metadata!", ADDRESS(INDEX($P$2:$P$1001,MATCH(ROWS($N$2:N273),$N$2:$N$1001,0),0), INDEX($U$1004:$AC$1004,1,MATCH(COLUMNS($U$1006:U1006),$U$1006:$AC$1006,0)))),"Fix")))</f>
        <v>0</v>
      </c>
      <c r="C273" s="3">
        <f>IF(OR(INDEX($O$2:$O$1001,MATCH(ROWS($N$2:N273),$N$2:$N$1001,0),1)&gt;=100000,INDEX($U$1005:$AC$1005,1,MATCH(COLUMNS($U$1006:V1006),$U$1006:$AC$1006,0))&gt;=100000), " ",IF(INDEX($U$2:$AC$1001,MATCH(ROWS($N$2:N273),$N$2:$N$1001,0),MATCH(COLUMNS($U$1006:V1006),$U$1006:$AC$1006,0)), HYPERLINK("#",""), HYPERLINK(CONCATENATE("#metadata!", ADDRESS(INDEX($P$2:$P$1001,MATCH(ROWS($N$2:N273),$N$2:$N$1001,0),0), INDEX($U$1004:$AC$1004,1,MATCH(COLUMNS($U$1006:V1006),$U$1006:$AC$1006,0)))),"Fix")))</f>
        <v>0</v>
      </c>
      <c r="D273" s="3">
        <f>IF(OR(INDEX($O$2:$O$1001,MATCH(ROWS($N$2:N273),$N$2:$N$1001,0),1)&gt;=100000,INDEX($U$1005:$AC$1005,1,MATCH(COLUMNS($U$1006:W1006),$U$1006:$AC$1006,0))&gt;=100000), " ",IF(INDEX($U$2:$AC$1001,MATCH(ROWS($N$2:N273),$N$2:$N$1001,0),MATCH(COLUMNS($U$1006:W1006),$U$1006:$AC$1006,0)), HYPERLINK("#",""), HYPERLINK(CONCATENATE("#metadata!", ADDRESS(INDEX($P$2:$P$1001,MATCH(ROWS($N$2:N273),$N$2:$N$1001,0),0), INDEX($U$1004:$AC$1004,1,MATCH(COLUMNS($U$1006:W1006),$U$1006:$AC$1006,0)))),"Fix")))</f>
        <v>0</v>
      </c>
      <c r="E273" s="3">
        <f>IF(OR(INDEX($O$2:$O$1001,MATCH(ROWS($N$2:N273),$N$2:$N$1001,0),1)&gt;=100000,INDEX($U$1005:$AC$1005,1,MATCH(COLUMNS($U$1006:X1006),$U$1006:$AC$1006,0))&gt;=100000), " ",IF(INDEX($U$2:$AC$1001,MATCH(ROWS($N$2:N273),$N$2:$N$1001,0),MATCH(COLUMNS($U$1006:X1006),$U$1006:$AC$1006,0)), HYPERLINK("#",""), HYPERLINK(CONCATENATE("#metadata!", ADDRESS(INDEX($P$2:$P$1001,MATCH(ROWS($N$2:N273),$N$2:$N$1001,0),0), INDEX($U$1004:$AC$1004,1,MATCH(COLUMNS($U$1006:X1006),$U$1006:$AC$1006,0)))),"Fix")))</f>
        <v>0</v>
      </c>
      <c r="F273" s="3">
        <f>IF(OR(INDEX($O$2:$O$1001,MATCH(ROWS($N$2:N273),$N$2:$N$1001,0),1)&gt;=100000,INDEX($U$1005:$AC$1005,1,MATCH(COLUMNS($U$1006:Y1006),$U$1006:$AC$1006,0))&gt;=100000), " ",IF(INDEX($U$2:$AC$1001,MATCH(ROWS($N$2:N273),$N$2:$N$1001,0),MATCH(COLUMNS($U$1006:Y1006),$U$1006:$AC$1006,0)), HYPERLINK("#",""), HYPERLINK(CONCATENATE("#metadata!", ADDRESS(INDEX($P$2:$P$1001,MATCH(ROWS($N$2:N273),$N$2:$N$1001,0),0), INDEX($U$1004:$AC$1004,1,MATCH(COLUMNS($U$1006:Y1006),$U$1006:$AC$1006,0)))),"Fix")))</f>
        <v>0</v>
      </c>
      <c r="G273" s="3">
        <f>IF(OR(INDEX($O$2:$O$1001,MATCH(ROWS($N$2:N273),$N$2:$N$1001,0),1)&gt;=100000,INDEX($U$1005:$AC$1005,1,MATCH(COLUMNS($U$1006:Z1006),$U$1006:$AC$1006,0))&gt;=100000), " ",IF(INDEX($U$2:$AC$1001,MATCH(ROWS($N$2:N273),$N$2:$N$1001,0),MATCH(COLUMNS($U$1006:Z1006),$U$1006:$AC$1006,0)), HYPERLINK("#",""), HYPERLINK(CONCATENATE("#metadata!", ADDRESS(INDEX($P$2:$P$1001,MATCH(ROWS($N$2:N273),$N$2:$N$1001,0),0), INDEX($U$1004:$AC$1004,1,MATCH(COLUMNS($U$1006:Z1006),$U$1006:$AC$1006,0)))),"Fix")))</f>
        <v>0</v>
      </c>
      <c r="H273" s="3">
        <f>IF(OR(INDEX($O$2:$O$1001,MATCH(ROWS($N$2:N273),$N$2:$N$1001,0),1)&gt;=100000,INDEX($U$1005:$AC$1005,1,MATCH(COLUMNS($U$1006:AA1006),$U$1006:$AC$1006,0))&gt;=100000), " ",IF(INDEX($U$2:$AC$1001,MATCH(ROWS($N$2:N273),$N$2:$N$1001,0),MATCH(COLUMNS($U$1006:AA1006),$U$1006:$AC$1006,0)), HYPERLINK("#",""), HYPERLINK(CONCATENATE("#metadata!", ADDRESS(INDEX($P$2:$P$1001,MATCH(ROWS($N$2:N273),$N$2:$N$1001,0),0), INDEX($U$1004:$AC$1004,1,MATCH(COLUMNS($U$1006:AA1006),$U$1006:$AC$1006,0)))),"Fix")))</f>
        <v>0</v>
      </c>
      <c r="I273" s="3">
        <f>IF(OR(INDEX($O$2:$O$1001,MATCH(ROWS($N$2:N273),$N$2:$N$1001,0),1)&gt;=100000,INDEX($U$1005:$AC$1005,1,MATCH(COLUMNS($U$1006:AB1006),$U$1006:$AC$1006,0))&gt;=100000), " ",IF(INDEX($U$2:$AC$1001,MATCH(ROWS($N$2:N273),$N$2:$N$1001,0),MATCH(COLUMNS($U$1006:AB1006),$U$1006:$AC$1006,0)), HYPERLINK("#",""), HYPERLINK(CONCATENATE("#metadata!", ADDRESS(INDEX($P$2:$P$1001,MATCH(ROWS($N$2:N273),$N$2:$N$1001,0),0), INDEX($U$1004:$AC$1004,1,MATCH(COLUMNS($U$1006:AB1006),$U$1006:$AC$1006,0)))),"Fix")))</f>
        <v>0</v>
      </c>
      <c r="J273" s="3">
        <f>IF(OR(INDEX($O$2:$O$1001,MATCH(ROWS($N$2:N273),$N$2:$N$1001,0),1)&gt;=100000,INDEX($U$1005:$AC$1005,1,MATCH(COLUMNS($U$1006:AC1006),$U$1006:$AC$1006,0))&gt;=100000), " ",IF(INDEX($U$2:$AC$1001,MATCH(ROWS($N$2:N273),$N$2:$N$1001,0),MATCH(COLUMNS($U$1006:AC1006),$U$1006:$AC$1006,0)), HYPERLINK("#",""), HYPERLINK(CONCATENATE("#metadata!", ADDRESS(INDEX($P$2:$P$1001,MATCH(ROWS($N$2:N273),$N$2:$N$1001,0),0), INDEX($U$1004:$AC$1004,1,MATCH(COLUMNS($U$1006:AC1006),$U$1006:$AC$1006,0)))),"Fix")))</f>
        <v>0</v>
      </c>
      <c r="N273">
        <v>0</v>
      </c>
      <c r="O273">
        <v>0</v>
      </c>
      <c r="P273">
        <v>0</v>
      </c>
      <c r="Q273">
        <f>IF(R273,TRUE,AND(U273:AC273))</f>
        <v>0</v>
      </c>
      <c r="R273">
        <f>COUNTBLANK(metadata!B273:J273)=COLUMNS(metadata!B273:J273)</f>
        <v>0</v>
      </c>
      <c r="S273">
        <v>0</v>
      </c>
      <c r="U273">
        <f>AND(IF(metadata!B273="",FALSE,TRUE),COUNTIF(metadata!B:B, metadata!B273) = 1,NOT(ISERROR(SUMPRODUCT(SEARCH(MID(metadata!B273,ROW(INDIRECT("1:"&amp;LEN(metadata!B273))), 1),"0123456789abcdefghijklmnopqrstuvwxyzABCDEFGHIJKLMNOPQRSTUVWXYZ.")))))</f>
        <v>0</v>
      </c>
      <c r="V273">
        <f>AND(IF(metadata!C273="",FALSE,TRUE),exact(metadata!C273,"UBERON:genitourinary"))</f>
        <v>0</v>
      </c>
      <c r="W273">
        <f>AND(IF(metadata!D273="",FALSE,TRUE),exact(metadata!D273,"UBERON:urine"))</f>
        <v>0</v>
      </c>
      <c r="X273">
        <f>AND(IF(metadata!E273="",FALSE,TRUE),exact(metadata!E273,"UBERON:kidney"))</f>
        <v>0</v>
      </c>
      <c r="Y273">
        <f>AND(IF(metadata!F273="",FALSE,TRUE),exact(metadata!F273,"animal corpus"))</f>
        <v>0</v>
      </c>
      <c r="Z273">
        <f>AND(IF(metadata!G273="",FALSE,TRUE),exact(metadata!G273,"urine"))</f>
        <v>0</v>
      </c>
      <c r="AA273">
        <f>AND(IF(metadata!H273="",FALSE,TRUE),exact(metadata!H273,"urine"))</f>
        <v>0</v>
      </c>
      <c r="AB273">
        <f>AND(IF(metadata!I273="",FALSE,TRUE),exact(metadata!I273,"urine metagenome"))</f>
        <v>0</v>
      </c>
      <c r="AC273">
        <f>AND(IF(metadata!J273="",FALSE,TRUE),exact(metadata!J273,"1346744"))</f>
        <v>0</v>
      </c>
    </row>
    <row r="274" spans="1:29">
      <c r="A274" s="4">
        <f>IF(B274=" "," ",HYPERLINK(CONCATENATE("#metadata!",ADDRESS(INDEX($P$2:$P$1001,MATCH(ROWS($N$2:N274),$N$2:$N$1001,0),0),1)),INDEX($S$2:$S$1001,MATCH(ROWS($N$2:N274),$N$2:$N$1001,0),0)))</f>
        <v>0</v>
      </c>
      <c r="B274" s="3">
        <f>IF(OR(INDEX($O$2:$O$1001,MATCH(ROWS($N$2:N274),$N$2:$N$1001,0),1)&gt;=100000,INDEX($U$1005:$AC$1005,1,MATCH(COLUMNS($U$1006:U1006),$U$1006:$AC$1006,0))&gt;=100000), " ",IF(INDEX($U$2:$AC$1001,MATCH(ROWS($N$2:N274),$N$2:$N$1001,0),MATCH(COLUMNS($U$1006:U1006),$U$1006:$AC$1006,0)), HYPERLINK("#",""), HYPERLINK(CONCATENATE("#metadata!", ADDRESS(INDEX($P$2:$P$1001,MATCH(ROWS($N$2:N274),$N$2:$N$1001,0),0), INDEX($U$1004:$AC$1004,1,MATCH(COLUMNS($U$1006:U1006),$U$1006:$AC$1006,0)))),"Fix")))</f>
        <v>0</v>
      </c>
      <c r="C274" s="3">
        <f>IF(OR(INDEX($O$2:$O$1001,MATCH(ROWS($N$2:N274),$N$2:$N$1001,0),1)&gt;=100000,INDEX($U$1005:$AC$1005,1,MATCH(COLUMNS($U$1006:V1006),$U$1006:$AC$1006,0))&gt;=100000), " ",IF(INDEX($U$2:$AC$1001,MATCH(ROWS($N$2:N274),$N$2:$N$1001,0),MATCH(COLUMNS($U$1006:V1006),$U$1006:$AC$1006,0)), HYPERLINK("#",""), HYPERLINK(CONCATENATE("#metadata!", ADDRESS(INDEX($P$2:$P$1001,MATCH(ROWS($N$2:N274),$N$2:$N$1001,0),0), INDEX($U$1004:$AC$1004,1,MATCH(COLUMNS($U$1006:V1006),$U$1006:$AC$1006,0)))),"Fix")))</f>
        <v>0</v>
      </c>
      <c r="D274" s="3">
        <f>IF(OR(INDEX($O$2:$O$1001,MATCH(ROWS($N$2:N274),$N$2:$N$1001,0),1)&gt;=100000,INDEX($U$1005:$AC$1005,1,MATCH(COLUMNS($U$1006:W1006),$U$1006:$AC$1006,0))&gt;=100000), " ",IF(INDEX($U$2:$AC$1001,MATCH(ROWS($N$2:N274),$N$2:$N$1001,0),MATCH(COLUMNS($U$1006:W1006),$U$1006:$AC$1006,0)), HYPERLINK("#",""), HYPERLINK(CONCATENATE("#metadata!", ADDRESS(INDEX($P$2:$P$1001,MATCH(ROWS($N$2:N274),$N$2:$N$1001,0),0), INDEX($U$1004:$AC$1004,1,MATCH(COLUMNS($U$1006:W1006),$U$1006:$AC$1006,0)))),"Fix")))</f>
        <v>0</v>
      </c>
      <c r="E274" s="3">
        <f>IF(OR(INDEX($O$2:$O$1001,MATCH(ROWS($N$2:N274),$N$2:$N$1001,0),1)&gt;=100000,INDEX($U$1005:$AC$1005,1,MATCH(COLUMNS($U$1006:X1006),$U$1006:$AC$1006,0))&gt;=100000), " ",IF(INDEX($U$2:$AC$1001,MATCH(ROWS($N$2:N274),$N$2:$N$1001,0),MATCH(COLUMNS($U$1006:X1006),$U$1006:$AC$1006,0)), HYPERLINK("#",""), HYPERLINK(CONCATENATE("#metadata!", ADDRESS(INDEX($P$2:$P$1001,MATCH(ROWS($N$2:N274),$N$2:$N$1001,0),0), INDEX($U$1004:$AC$1004,1,MATCH(COLUMNS($U$1006:X1006),$U$1006:$AC$1006,0)))),"Fix")))</f>
        <v>0</v>
      </c>
      <c r="F274" s="3">
        <f>IF(OR(INDEX($O$2:$O$1001,MATCH(ROWS($N$2:N274),$N$2:$N$1001,0),1)&gt;=100000,INDEX($U$1005:$AC$1005,1,MATCH(COLUMNS($U$1006:Y1006),$U$1006:$AC$1006,0))&gt;=100000), " ",IF(INDEX($U$2:$AC$1001,MATCH(ROWS($N$2:N274),$N$2:$N$1001,0),MATCH(COLUMNS($U$1006:Y1006),$U$1006:$AC$1006,0)), HYPERLINK("#",""), HYPERLINK(CONCATENATE("#metadata!", ADDRESS(INDEX($P$2:$P$1001,MATCH(ROWS($N$2:N274),$N$2:$N$1001,0),0), INDEX($U$1004:$AC$1004,1,MATCH(COLUMNS($U$1006:Y1006),$U$1006:$AC$1006,0)))),"Fix")))</f>
        <v>0</v>
      </c>
      <c r="G274" s="3">
        <f>IF(OR(INDEX($O$2:$O$1001,MATCH(ROWS($N$2:N274),$N$2:$N$1001,0),1)&gt;=100000,INDEX($U$1005:$AC$1005,1,MATCH(COLUMNS($U$1006:Z1006),$U$1006:$AC$1006,0))&gt;=100000), " ",IF(INDEX($U$2:$AC$1001,MATCH(ROWS($N$2:N274),$N$2:$N$1001,0),MATCH(COLUMNS($U$1006:Z1006),$U$1006:$AC$1006,0)), HYPERLINK("#",""), HYPERLINK(CONCATENATE("#metadata!", ADDRESS(INDEX($P$2:$P$1001,MATCH(ROWS($N$2:N274),$N$2:$N$1001,0),0), INDEX($U$1004:$AC$1004,1,MATCH(COLUMNS($U$1006:Z1006),$U$1006:$AC$1006,0)))),"Fix")))</f>
        <v>0</v>
      </c>
      <c r="H274" s="3">
        <f>IF(OR(INDEX($O$2:$O$1001,MATCH(ROWS($N$2:N274),$N$2:$N$1001,0),1)&gt;=100000,INDEX($U$1005:$AC$1005,1,MATCH(COLUMNS($U$1006:AA1006),$U$1006:$AC$1006,0))&gt;=100000), " ",IF(INDEX($U$2:$AC$1001,MATCH(ROWS($N$2:N274),$N$2:$N$1001,0),MATCH(COLUMNS($U$1006:AA1006),$U$1006:$AC$1006,0)), HYPERLINK("#",""), HYPERLINK(CONCATENATE("#metadata!", ADDRESS(INDEX($P$2:$P$1001,MATCH(ROWS($N$2:N274),$N$2:$N$1001,0),0), INDEX($U$1004:$AC$1004,1,MATCH(COLUMNS($U$1006:AA1006),$U$1006:$AC$1006,0)))),"Fix")))</f>
        <v>0</v>
      </c>
      <c r="I274" s="3">
        <f>IF(OR(INDEX($O$2:$O$1001,MATCH(ROWS($N$2:N274),$N$2:$N$1001,0),1)&gt;=100000,INDEX($U$1005:$AC$1005,1,MATCH(COLUMNS($U$1006:AB1006),$U$1006:$AC$1006,0))&gt;=100000), " ",IF(INDEX($U$2:$AC$1001,MATCH(ROWS($N$2:N274),$N$2:$N$1001,0),MATCH(COLUMNS($U$1006:AB1006),$U$1006:$AC$1006,0)), HYPERLINK("#",""), HYPERLINK(CONCATENATE("#metadata!", ADDRESS(INDEX($P$2:$P$1001,MATCH(ROWS($N$2:N274),$N$2:$N$1001,0),0), INDEX($U$1004:$AC$1004,1,MATCH(COLUMNS($U$1006:AB1006),$U$1006:$AC$1006,0)))),"Fix")))</f>
        <v>0</v>
      </c>
      <c r="J274" s="3">
        <f>IF(OR(INDEX($O$2:$O$1001,MATCH(ROWS($N$2:N274),$N$2:$N$1001,0),1)&gt;=100000,INDEX($U$1005:$AC$1005,1,MATCH(COLUMNS($U$1006:AC1006),$U$1006:$AC$1006,0))&gt;=100000), " ",IF(INDEX($U$2:$AC$1001,MATCH(ROWS($N$2:N274),$N$2:$N$1001,0),MATCH(COLUMNS($U$1006:AC1006),$U$1006:$AC$1006,0)), HYPERLINK("#",""), HYPERLINK(CONCATENATE("#metadata!", ADDRESS(INDEX($P$2:$P$1001,MATCH(ROWS($N$2:N274),$N$2:$N$1001,0),0), INDEX($U$1004:$AC$1004,1,MATCH(COLUMNS($U$1006:AC1006),$U$1006:$AC$1006,0)))),"Fix")))</f>
        <v>0</v>
      </c>
      <c r="N274">
        <v>0</v>
      </c>
      <c r="O274">
        <v>0</v>
      </c>
      <c r="P274">
        <v>0</v>
      </c>
      <c r="Q274">
        <f>IF(R274,TRUE,AND(U274:AC274))</f>
        <v>0</v>
      </c>
      <c r="R274">
        <f>COUNTBLANK(metadata!B274:J274)=COLUMNS(metadata!B274:J274)</f>
        <v>0</v>
      </c>
      <c r="S274">
        <v>0</v>
      </c>
      <c r="U274">
        <f>AND(IF(metadata!B274="",FALSE,TRUE),COUNTIF(metadata!B:B, metadata!B274) = 1,NOT(ISERROR(SUMPRODUCT(SEARCH(MID(metadata!B274,ROW(INDIRECT("1:"&amp;LEN(metadata!B274))), 1),"0123456789abcdefghijklmnopqrstuvwxyzABCDEFGHIJKLMNOPQRSTUVWXYZ.")))))</f>
        <v>0</v>
      </c>
      <c r="V274">
        <f>AND(IF(metadata!C274="",FALSE,TRUE),exact(metadata!C274,"UBERON:genitourinary"))</f>
        <v>0</v>
      </c>
      <c r="W274">
        <f>AND(IF(metadata!D274="",FALSE,TRUE),exact(metadata!D274,"UBERON:urine"))</f>
        <v>0</v>
      </c>
      <c r="X274">
        <f>AND(IF(metadata!E274="",FALSE,TRUE),exact(metadata!E274,"UBERON:kidney"))</f>
        <v>0</v>
      </c>
      <c r="Y274">
        <f>AND(IF(metadata!F274="",FALSE,TRUE),exact(metadata!F274,"animal corpus"))</f>
        <v>0</v>
      </c>
      <c r="Z274">
        <f>AND(IF(metadata!G274="",FALSE,TRUE),exact(metadata!G274,"urine"))</f>
        <v>0</v>
      </c>
      <c r="AA274">
        <f>AND(IF(metadata!H274="",FALSE,TRUE),exact(metadata!H274,"urine"))</f>
        <v>0</v>
      </c>
      <c r="AB274">
        <f>AND(IF(metadata!I274="",FALSE,TRUE),exact(metadata!I274,"urine metagenome"))</f>
        <v>0</v>
      </c>
      <c r="AC274">
        <f>AND(IF(metadata!J274="",FALSE,TRUE),exact(metadata!J274,"1346744"))</f>
        <v>0</v>
      </c>
    </row>
    <row r="275" spans="1:29">
      <c r="A275" s="4">
        <f>IF(B275=" "," ",HYPERLINK(CONCATENATE("#metadata!",ADDRESS(INDEX($P$2:$P$1001,MATCH(ROWS($N$2:N275),$N$2:$N$1001,0),0),1)),INDEX($S$2:$S$1001,MATCH(ROWS($N$2:N275),$N$2:$N$1001,0),0)))</f>
        <v>0</v>
      </c>
      <c r="B275" s="3">
        <f>IF(OR(INDEX($O$2:$O$1001,MATCH(ROWS($N$2:N275),$N$2:$N$1001,0),1)&gt;=100000,INDEX($U$1005:$AC$1005,1,MATCH(COLUMNS($U$1006:U1006),$U$1006:$AC$1006,0))&gt;=100000), " ",IF(INDEX($U$2:$AC$1001,MATCH(ROWS($N$2:N275),$N$2:$N$1001,0),MATCH(COLUMNS($U$1006:U1006),$U$1006:$AC$1006,0)), HYPERLINK("#",""), HYPERLINK(CONCATENATE("#metadata!", ADDRESS(INDEX($P$2:$P$1001,MATCH(ROWS($N$2:N275),$N$2:$N$1001,0),0), INDEX($U$1004:$AC$1004,1,MATCH(COLUMNS($U$1006:U1006),$U$1006:$AC$1006,0)))),"Fix")))</f>
        <v>0</v>
      </c>
      <c r="C275" s="3">
        <f>IF(OR(INDEX($O$2:$O$1001,MATCH(ROWS($N$2:N275),$N$2:$N$1001,0),1)&gt;=100000,INDEX($U$1005:$AC$1005,1,MATCH(COLUMNS($U$1006:V1006),$U$1006:$AC$1006,0))&gt;=100000), " ",IF(INDEX($U$2:$AC$1001,MATCH(ROWS($N$2:N275),$N$2:$N$1001,0),MATCH(COLUMNS($U$1006:V1006),$U$1006:$AC$1006,0)), HYPERLINK("#",""), HYPERLINK(CONCATENATE("#metadata!", ADDRESS(INDEX($P$2:$P$1001,MATCH(ROWS($N$2:N275),$N$2:$N$1001,0),0), INDEX($U$1004:$AC$1004,1,MATCH(COLUMNS($U$1006:V1006),$U$1006:$AC$1006,0)))),"Fix")))</f>
        <v>0</v>
      </c>
      <c r="D275" s="3">
        <f>IF(OR(INDEX($O$2:$O$1001,MATCH(ROWS($N$2:N275),$N$2:$N$1001,0),1)&gt;=100000,INDEX($U$1005:$AC$1005,1,MATCH(COLUMNS($U$1006:W1006),$U$1006:$AC$1006,0))&gt;=100000), " ",IF(INDEX($U$2:$AC$1001,MATCH(ROWS($N$2:N275),$N$2:$N$1001,0),MATCH(COLUMNS($U$1006:W1006),$U$1006:$AC$1006,0)), HYPERLINK("#",""), HYPERLINK(CONCATENATE("#metadata!", ADDRESS(INDEX($P$2:$P$1001,MATCH(ROWS($N$2:N275),$N$2:$N$1001,0),0), INDEX($U$1004:$AC$1004,1,MATCH(COLUMNS($U$1006:W1006),$U$1006:$AC$1006,0)))),"Fix")))</f>
        <v>0</v>
      </c>
      <c r="E275" s="3">
        <f>IF(OR(INDEX($O$2:$O$1001,MATCH(ROWS($N$2:N275),$N$2:$N$1001,0),1)&gt;=100000,INDEX($U$1005:$AC$1005,1,MATCH(COLUMNS($U$1006:X1006),$U$1006:$AC$1006,0))&gt;=100000), " ",IF(INDEX($U$2:$AC$1001,MATCH(ROWS($N$2:N275),$N$2:$N$1001,0),MATCH(COLUMNS($U$1006:X1006),$U$1006:$AC$1006,0)), HYPERLINK("#",""), HYPERLINK(CONCATENATE("#metadata!", ADDRESS(INDEX($P$2:$P$1001,MATCH(ROWS($N$2:N275),$N$2:$N$1001,0),0), INDEX($U$1004:$AC$1004,1,MATCH(COLUMNS($U$1006:X1006),$U$1006:$AC$1006,0)))),"Fix")))</f>
        <v>0</v>
      </c>
      <c r="F275" s="3">
        <f>IF(OR(INDEX($O$2:$O$1001,MATCH(ROWS($N$2:N275),$N$2:$N$1001,0),1)&gt;=100000,INDEX($U$1005:$AC$1005,1,MATCH(COLUMNS($U$1006:Y1006),$U$1006:$AC$1006,0))&gt;=100000), " ",IF(INDEX($U$2:$AC$1001,MATCH(ROWS($N$2:N275),$N$2:$N$1001,0),MATCH(COLUMNS($U$1006:Y1006),$U$1006:$AC$1006,0)), HYPERLINK("#",""), HYPERLINK(CONCATENATE("#metadata!", ADDRESS(INDEX($P$2:$P$1001,MATCH(ROWS($N$2:N275),$N$2:$N$1001,0),0), INDEX($U$1004:$AC$1004,1,MATCH(COLUMNS($U$1006:Y1006),$U$1006:$AC$1006,0)))),"Fix")))</f>
        <v>0</v>
      </c>
      <c r="G275" s="3">
        <f>IF(OR(INDEX($O$2:$O$1001,MATCH(ROWS($N$2:N275),$N$2:$N$1001,0),1)&gt;=100000,INDEX($U$1005:$AC$1005,1,MATCH(COLUMNS($U$1006:Z1006),$U$1006:$AC$1006,0))&gt;=100000), " ",IF(INDEX($U$2:$AC$1001,MATCH(ROWS($N$2:N275),$N$2:$N$1001,0),MATCH(COLUMNS($U$1006:Z1006),$U$1006:$AC$1006,0)), HYPERLINK("#",""), HYPERLINK(CONCATENATE("#metadata!", ADDRESS(INDEX($P$2:$P$1001,MATCH(ROWS($N$2:N275),$N$2:$N$1001,0),0), INDEX($U$1004:$AC$1004,1,MATCH(COLUMNS($U$1006:Z1006),$U$1006:$AC$1006,0)))),"Fix")))</f>
        <v>0</v>
      </c>
      <c r="H275" s="3">
        <f>IF(OR(INDEX($O$2:$O$1001,MATCH(ROWS($N$2:N275),$N$2:$N$1001,0),1)&gt;=100000,INDEX($U$1005:$AC$1005,1,MATCH(COLUMNS($U$1006:AA1006),$U$1006:$AC$1006,0))&gt;=100000), " ",IF(INDEX($U$2:$AC$1001,MATCH(ROWS($N$2:N275),$N$2:$N$1001,0),MATCH(COLUMNS($U$1006:AA1006),$U$1006:$AC$1006,0)), HYPERLINK("#",""), HYPERLINK(CONCATENATE("#metadata!", ADDRESS(INDEX($P$2:$P$1001,MATCH(ROWS($N$2:N275),$N$2:$N$1001,0),0), INDEX($U$1004:$AC$1004,1,MATCH(COLUMNS($U$1006:AA1006),$U$1006:$AC$1006,0)))),"Fix")))</f>
        <v>0</v>
      </c>
      <c r="I275" s="3">
        <f>IF(OR(INDEX($O$2:$O$1001,MATCH(ROWS($N$2:N275),$N$2:$N$1001,0),1)&gt;=100000,INDEX($U$1005:$AC$1005,1,MATCH(COLUMNS($U$1006:AB1006),$U$1006:$AC$1006,0))&gt;=100000), " ",IF(INDEX($U$2:$AC$1001,MATCH(ROWS($N$2:N275),$N$2:$N$1001,0),MATCH(COLUMNS($U$1006:AB1006),$U$1006:$AC$1006,0)), HYPERLINK("#",""), HYPERLINK(CONCATENATE("#metadata!", ADDRESS(INDEX($P$2:$P$1001,MATCH(ROWS($N$2:N275),$N$2:$N$1001,0),0), INDEX($U$1004:$AC$1004,1,MATCH(COLUMNS($U$1006:AB1006),$U$1006:$AC$1006,0)))),"Fix")))</f>
        <v>0</v>
      </c>
      <c r="J275" s="3">
        <f>IF(OR(INDEX($O$2:$O$1001,MATCH(ROWS($N$2:N275),$N$2:$N$1001,0),1)&gt;=100000,INDEX($U$1005:$AC$1005,1,MATCH(COLUMNS($U$1006:AC1006),$U$1006:$AC$1006,0))&gt;=100000), " ",IF(INDEX($U$2:$AC$1001,MATCH(ROWS($N$2:N275),$N$2:$N$1001,0),MATCH(COLUMNS($U$1006:AC1006),$U$1006:$AC$1006,0)), HYPERLINK("#",""), HYPERLINK(CONCATENATE("#metadata!", ADDRESS(INDEX($P$2:$P$1001,MATCH(ROWS($N$2:N275),$N$2:$N$1001,0),0), INDEX($U$1004:$AC$1004,1,MATCH(COLUMNS($U$1006:AC1006),$U$1006:$AC$1006,0)))),"Fix")))</f>
        <v>0</v>
      </c>
      <c r="N275">
        <v>0</v>
      </c>
      <c r="O275">
        <v>0</v>
      </c>
      <c r="P275">
        <v>0</v>
      </c>
      <c r="Q275">
        <f>IF(R275,TRUE,AND(U275:AC275))</f>
        <v>0</v>
      </c>
      <c r="R275">
        <f>COUNTBLANK(metadata!B275:J275)=COLUMNS(metadata!B275:J275)</f>
        <v>0</v>
      </c>
      <c r="S275">
        <v>0</v>
      </c>
      <c r="U275">
        <f>AND(IF(metadata!B275="",FALSE,TRUE),COUNTIF(metadata!B:B, metadata!B275) = 1,NOT(ISERROR(SUMPRODUCT(SEARCH(MID(metadata!B275,ROW(INDIRECT("1:"&amp;LEN(metadata!B275))), 1),"0123456789abcdefghijklmnopqrstuvwxyzABCDEFGHIJKLMNOPQRSTUVWXYZ.")))))</f>
        <v>0</v>
      </c>
      <c r="V275">
        <f>AND(IF(metadata!C275="",FALSE,TRUE),exact(metadata!C275,"UBERON:genitourinary"))</f>
        <v>0</v>
      </c>
      <c r="W275">
        <f>AND(IF(metadata!D275="",FALSE,TRUE),exact(metadata!D275,"UBERON:urine"))</f>
        <v>0</v>
      </c>
      <c r="X275">
        <f>AND(IF(metadata!E275="",FALSE,TRUE),exact(metadata!E275,"UBERON:kidney"))</f>
        <v>0</v>
      </c>
      <c r="Y275">
        <f>AND(IF(metadata!F275="",FALSE,TRUE),exact(metadata!F275,"animal corpus"))</f>
        <v>0</v>
      </c>
      <c r="Z275">
        <f>AND(IF(metadata!G275="",FALSE,TRUE),exact(metadata!G275,"urine"))</f>
        <v>0</v>
      </c>
      <c r="AA275">
        <f>AND(IF(metadata!H275="",FALSE,TRUE),exact(metadata!H275,"urine"))</f>
        <v>0</v>
      </c>
      <c r="AB275">
        <f>AND(IF(metadata!I275="",FALSE,TRUE),exact(metadata!I275,"urine metagenome"))</f>
        <v>0</v>
      </c>
      <c r="AC275">
        <f>AND(IF(metadata!J275="",FALSE,TRUE),exact(metadata!J275,"1346744"))</f>
        <v>0</v>
      </c>
    </row>
    <row r="276" spans="1:29">
      <c r="A276" s="4">
        <f>IF(B276=" "," ",HYPERLINK(CONCATENATE("#metadata!",ADDRESS(INDEX($P$2:$P$1001,MATCH(ROWS($N$2:N276),$N$2:$N$1001,0),0),1)),INDEX($S$2:$S$1001,MATCH(ROWS($N$2:N276),$N$2:$N$1001,0),0)))</f>
        <v>0</v>
      </c>
      <c r="B276" s="3">
        <f>IF(OR(INDEX($O$2:$O$1001,MATCH(ROWS($N$2:N276),$N$2:$N$1001,0),1)&gt;=100000,INDEX($U$1005:$AC$1005,1,MATCH(COLUMNS($U$1006:U1006),$U$1006:$AC$1006,0))&gt;=100000), " ",IF(INDEX($U$2:$AC$1001,MATCH(ROWS($N$2:N276),$N$2:$N$1001,0),MATCH(COLUMNS($U$1006:U1006),$U$1006:$AC$1006,0)), HYPERLINK("#",""), HYPERLINK(CONCATENATE("#metadata!", ADDRESS(INDEX($P$2:$P$1001,MATCH(ROWS($N$2:N276),$N$2:$N$1001,0),0), INDEX($U$1004:$AC$1004,1,MATCH(COLUMNS($U$1006:U1006),$U$1006:$AC$1006,0)))),"Fix")))</f>
        <v>0</v>
      </c>
      <c r="C276" s="3">
        <f>IF(OR(INDEX($O$2:$O$1001,MATCH(ROWS($N$2:N276),$N$2:$N$1001,0),1)&gt;=100000,INDEX($U$1005:$AC$1005,1,MATCH(COLUMNS($U$1006:V1006),$U$1006:$AC$1006,0))&gt;=100000), " ",IF(INDEX($U$2:$AC$1001,MATCH(ROWS($N$2:N276),$N$2:$N$1001,0),MATCH(COLUMNS($U$1006:V1006),$U$1006:$AC$1006,0)), HYPERLINK("#",""), HYPERLINK(CONCATENATE("#metadata!", ADDRESS(INDEX($P$2:$P$1001,MATCH(ROWS($N$2:N276),$N$2:$N$1001,0),0), INDEX($U$1004:$AC$1004,1,MATCH(COLUMNS($U$1006:V1006),$U$1006:$AC$1006,0)))),"Fix")))</f>
        <v>0</v>
      </c>
      <c r="D276" s="3">
        <f>IF(OR(INDEX($O$2:$O$1001,MATCH(ROWS($N$2:N276),$N$2:$N$1001,0),1)&gt;=100000,INDEX($U$1005:$AC$1005,1,MATCH(COLUMNS($U$1006:W1006),$U$1006:$AC$1006,0))&gt;=100000), " ",IF(INDEX($U$2:$AC$1001,MATCH(ROWS($N$2:N276),$N$2:$N$1001,0),MATCH(COLUMNS($U$1006:W1006),$U$1006:$AC$1006,0)), HYPERLINK("#",""), HYPERLINK(CONCATENATE("#metadata!", ADDRESS(INDEX($P$2:$P$1001,MATCH(ROWS($N$2:N276),$N$2:$N$1001,0),0), INDEX($U$1004:$AC$1004,1,MATCH(COLUMNS($U$1006:W1006),$U$1006:$AC$1006,0)))),"Fix")))</f>
        <v>0</v>
      </c>
      <c r="E276" s="3">
        <f>IF(OR(INDEX($O$2:$O$1001,MATCH(ROWS($N$2:N276),$N$2:$N$1001,0),1)&gt;=100000,INDEX($U$1005:$AC$1005,1,MATCH(COLUMNS($U$1006:X1006),$U$1006:$AC$1006,0))&gt;=100000), " ",IF(INDEX($U$2:$AC$1001,MATCH(ROWS($N$2:N276),$N$2:$N$1001,0),MATCH(COLUMNS($U$1006:X1006),$U$1006:$AC$1006,0)), HYPERLINK("#",""), HYPERLINK(CONCATENATE("#metadata!", ADDRESS(INDEX($P$2:$P$1001,MATCH(ROWS($N$2:N276),$N$2:$N$1001,0),0), INDEX($U$1004:$AC$1004,1,MATCH(COLUMNS($U$1006:X1006),$U$1006:$AC$1006,0)))),"Fix")))</f>
        <v>0</v>
      </c>
      <c r="F276" s="3">
        <f>IF(OR(INDEX($O$2:$O$1001,MATCH(ROWS($N$2:N276),$N$2:$N$1001,0),1)&gt;=100000,INDEX($U$1005:$AC$1005,1,MATCH(COLUMNS($U$1006:Y1006),$U$1006:$AC$1006,0))&gt;=100000), " ",IF(INDEX($U$2:$AC$1001,MATCH(ROWS($N$2:N276),$N$2:$N$1001,0),MATCH(COLUMNS($U$1006:Y1006),$U$1006:$AC$1006,0)), HYPERLINK("#",""), HYPERLINK(CONCATENATE("#metadata!", ADDRESS(INDEX($P$2:$P$1001,MATCH(ROWS($N$2:N276),$N$2:$N$1001,0),0), INDEX($U$1004:$AC$1004,1,MATCH(COLUMNS($U$1006:Y1006),$U$1006:$AC$1006,0)))),"Fix")))</f>
        <v>0</v>
      </c>
      <c r="G276" s="3">
        <f>IF(OR(INDEX($O$2:$O$1001,MATCH(ROWS($N$2:N276),$N$2:$N$1001,0),1)&gt;=100000,INDEX($U$1005:$AC$1005,1,MATCH(COLUMNS($U$1006:Z1006),$U$1006:$AC$1006,0))&gt;=100000), " ",IF(INDEX($U$2:$AC$1001,MATCH(ROWS($N$2:N276),$N$2:$N$1001,0),MATCH(COLUMNS($U$1006:Z1006),$U$1006:$AC$1006,0)), HYPERLINK("#",""), HYPERLINK(CONCATENATE("#metadata!", ADDRESS(INDEX($P$2:$P$1001,MATCH(ROWS($N$2:N276),$N$2:$N$1001,0),0), INDEX($U$1004:$AC$1004,1,MATCH(COLUMNS($U$1006:Z1006),$U$1006:$AC$1006,0)))),"Fix")))</f>
        <v>0</v>
      </c>
      <c r="H276" s="3">
        <f>IF(OR(INDEX($O$2:$O$1001,MATCH(ROWS($N$2:N276),$N$2:$N$1001,0),1)&gt;=100000,INDEX($U$1005:$AC$1005,1,MATCH(COLUMNS($U$1006:AA1006),$U$1006:$AC$1006,0))&gt;=100000), " ",IF(INDEX($U$2:$AC$1001,MATCH(ROWS($N$2:N276),$N$2:$N$1001,0),MATCH(COLUMNS($U$1006:AA1006),$U$1006:$AC$1006,0)), HYPERLINK("#",""), HYPERLINK(CONCATENATE("#metadata!", ADDRESS(INDEX($P$2:$P$1001,MATCH(ROWS($N$2:N276),$N$2:$N$1001,0),0), INDEX($U$1004:$AC$1004,1,MATCH(COLUMNS($U$1006:AA1006),$U$1006:$AC$1006,0)))),"Fix")))</f>
        <v>0</v>
      </c>
      <c r="I276" s="3">
        <f>IF(OR(INDEX($O$2:$O$1001,MATCH(ROWS($N$2:N276),$N$2:$N$1001,0),1)&gt;=100000,INDEX($U$1005:$AC$1005,1,MATCH(COLUMNS($U$1006:AB1006),$U$1006:$AC$1006,0))&gt;=100000), " ",IF(INDEX($U$2:$AC$1001,MATCH(ROWS($N$2:N276),$N$2:$N$1001,0),MATCH(COLUMNS($U$1006:AB1006),$U$1006:$AC$1006,0)), HYPERLINK("#",""), HYPERLINK(CONCATENATE("#metadata!", ADDRESS(INDEX($P$2:$P$1001,MATCH(ROWS($N$2:N276),$N$2:$N$1001,0),0), INDEX($U$1004:$AC$1004,1,MATCH(COLUMNS($U$1006:AB1006),$U$1006:$AC$1006,0)))),"Fix")))</f>
        <v>0</v>
      </c>
      <c r="J276" s="3">
        <f>IF(OR(INDEX($O$2:$O$1001,MATCH(ROWS($N$2:N276),$N$2:$N$1001,0),1)&gt;=100000,INDEX($U$1005:$AC$1005,1,MATCH(COLUMNS($U$1006:AC1006),$U$1006:$AC$1006,0))&gt;=100000), " ",IF(INDEX($U$2:$AC$1001,MATCH(ROWS($N$2:N276),$N$2:$N$1001,0),MATCH(COLUMNS($U$1006:AC1006),$U$1006:$AC$1006,0)), HYPERLINK("#",""), HYPERLINK(CONCATENATE("#metadata!", ADDRESS(INDEX($P$2:$P$1001,MATCH(ROWS($N$2:N276),$N$2:$N$1001,0),0), INDEX($U$1004:$AC$1004,1,MATCH(COLUMNS($U$1006:AC1006),$U$1006:$AC$1006,0)))),"Fix")))</f>
        <v>0</v>
      </c>
      <c r="N276">
        <v>0</v>
      </c>
      <c r="O276">
        <v>0</v>
      </c>
      <c r="P276">
        <v>0</v>
      </c>
      <c r="Q276">
        <f>IF(R276,TRUE,AND(U276:AC276))</f>
        <v>0</v>
      </c>
      <c r="R276">
        <f>COUNTBLANK(metadata!B276:J276)=COLUMNS(metadata!B276:J276)</f>
        <v>0</v>
      </c>
      <c r="S276">
        <v>0</v>
      </c>
      <c r="U276">
        <f>AND(IF(metadata!B276="",FALSE,TRUE),COUNTIF(metadata!B:B, metadata!B276) = 1,NOT(ISERROR(SUMPRODUCT(SEARCH(MID(metadata!B276,ROW(INDIRECT("1:"&amp;LEN(metadata!B276))), 1),"0123456789abcdefghijklmnopqrstuvwxyzABCDEFGHIJKLMNOPQRSTUVWXYZ.")))))</f>
        <v>0</v>
      </c>
      <c r="V276">
        <f>AND(IF(metadata!C276="",FALSE,TRUE),exact(metadata!C276,"UBERON:genitourinary"))</f>
        <v>0</v>
      </c>
      <c r="W276">
        <f>AND(IF(metadata!D276="",FALSE,TRUE),exact(metadata!D276,"UBERON:urine"))</f>
        <v>0</v>
      </c>
      <c r="X276">
        <f>AND(IF(metadata!E276="",FALSE,TRUE),exact(metadata!E276,"UBERON:kidney"))</f>
        <v>0</v>
      </c>
      <c r="Y276">
        <f>AND(IF(metadata!F276="",FALSE,TRUE),exact(metadata!F276,"animal corpus"))</f>
        <v>0</v>
      </c>
      <c r="Z276">
        <f>AND(IF(metadata!G276="",FALSE,TRUE),exact(metadata!G276,"urine"))</f>
        <v>0</v>
      </c>
      <c r="AA276">
        <f>AND(IF(metadata!H276="",FALSE,TRUE),exact(metadata!H276,"urine"))</f>
        <v>0</v>
      </c>
      <c r="AB276">
        <f>AND(IF(metadata!I276="",FALSE,TRUE),exact(metadata!I276,"urine metagenome"))</f>
        <v>0</v>
      </c>
      <c r="AC276">
        <f>AND(IF(metadata!J276="",FALSE,TRUE),exact(metadata!J276,"1346744"))</f>
        <v>0</v>
      </c>
    </row>
    <row r="277" spans="1:29">
      <c r="A277" s="4">
        <f>IF(B277=" "," ",HYPERLINK(CONCATENATE("#metadata!",ADDRESS(INDEX($P$2:$P$1001,MATCH(ROWS($N$2:N277),$N$2:$N$1001,0),0),1)),INDEX($S$2:$S$1001,MATCH(ROWS($N$2:N277),$N$2:$N$1001,0),0)))</f>
        <v>0</v>
      </c>
      <c r="B277" s="3">
        <f>IF(OR(INDEX($O$2:$O$1001,MATCH(ROWS($N$2:N277),$N$2:$N$1001,0),1)&gt;=100000,INDEX($U$1005:$AC$1005,1,MATCH(COLUMNS($U$1006:U1006),$U$1006:$AC$1006,0))&gt;=100000), " ",IF(INDEX($U$2:$AC$1001,MATCH(ROWS($N$2:N277),$N$2:$N$1001,0),MATCH(COLUMNS($U$1006:U1006),$U$1006:$AC$1006,0)), HYPERLINK("#",""), HYPERLINK(CONCATENATE("#metadata!", ADDRESS(INDEX($P$2:$P$1001,MATCH(ROWS($N$2:N277),$N$2:$N$1001,0),0), INDEX($U$1004:$AC$1004,1,MATCH(COLUMNS($U$1006:U1006),$U$1006:$AC$1006,0)))),"Fix")))</f>
        <v>0</v>
      </c>
      <c r="C277" s="3">
        <f>IF(OR(INDEX($O$2:$O$1001,MATCH(ROWS($N$2:N277),$N$2:$N$1001,0),1)&gt;=100000,INDEX($U$1005:$AC$1005,1,MATCH(COLUMNS($U$1006:V1006),$U$1006:$AC$1006,0))&gt;=100000), " ",IF(INDEX($U$2:$AC$1001,MATCH(ROWS($N$2:N277),$N$2:$N$1001,0),MATCH(COLUMNS($U$1006:V1006),$U$1006:$AC$1006,0)), HYPERLINK("#",""), HYPERLINK(CONCATENATE("#metadata!", ADDRESS(INDEX($P$2:$P$1001,MATCH(ROWS($N$2:N277),$N$2:$N$1001,0),0), INDEX($U$1004:$AC$1004,1,MATCH(COLUMNS($U$1006:V1006),$U$1006:$AC$1006,0)))),"Fix")))</f>
        <v>0</v>
      </c>
      <c r="D277" s="3">
        <f>IF(OR(INDEX($O$2:$O$1001,MATCH(ROWS($N$2:N277),$N$2:$N$1001,0),1)&gt;=100000,INDEX($U$1005:$AC$1005,1,MATCH(COLUMNS($U$1006:W1006),$U$1006:$AC$1006,0))&gt;=100000), " ",IF(INDEX($U$2:$AC$1001,MATCH(ROWS($N$2:N277),$N$2:$N$1001,0),MATCH(COLUMNS($U$1006:W1006),$U$1006:$AC$1006,0)), HYPERLINK("#",""), HYPERLINK(CONCATENATE("#metadata!", ADDRESS(INDEX($P$2:$P$1001,MATCH(ROWS($N$2:N277),$N$2:$N$1001,0),0), INDEX($U$1004:$AC$1004,1,MATCH(COLUMNS($U$1006:W1006),$U$1006:$AC$1006,0)))),"Fix")))</f>
        <v>0</v>
      </c>
      <c r="E277" s="3">
        <f>IF(OR(INDEX($O$2:$O$1001,MATCH(ROWS($N$2:N277),$N$2:$N$1001,0),1)&gt;=100000,INDEX($U$1005:$AC$1005,1,MATCH(COLUMNS($U$1006:X1006),$U$1006:$AC$1006,0))&gt;=100000), " ",IF(INDEX($U$2:$AC$1001,MATCH(ROWS($N$2:N277),$N$2:$N$1001,0),MATCH(COLUMNS($U$1006:X1006),$U$1006:$AC$1006,0)), HYPERLINK("#",""), HYPERLINK(CONCATENATE("#metadata!", ADDRESS(INDEX($P$2:$P$1001,MATCH(ROWS($N$2:N277),$N$2:$N$1001,0),0), INDEX($U$1004:$AC$1004,1,MATCH(COLUMNS($U$1006:X1006),$U$1006:$AC$1006,0)))),"Fix")))</f>
        <v>0</v>
      </c>
      <c r="F277" s="3">
        <f>IF(OR(INDEX($O$2:$O$1001,MATCH(ROWS($N$2:N277),$N$2:$N$1001,0),1)&gt;=100000,INDEX($U$1005:$AC$1005,1,MATCH(COLUMNS($U$1006:Y1006),$U$1006:$AC$1006,0))&gt;=100000), " ",IF(INDEX($U$2:$AC$1001,MATCH(ROWS($N$2:N277),$N$2:$N$1001,0),MATCH(COLUMNS($U$1006:Y1006),$U$1006:$AC$1006,0)), HYPERLINK("#",""), HYPERLINK(CONCATENATE("#metadata!", ADDRESS(INDEX($P$2:$P$1001,MATCH(ROWS($N$2:N277),$N$2:$N$1001,0),0), INDEX($U$1004:$AC$1004,1,MATCH(COLUMNS($U$1006:Y1006),$U$1006:$AC$1006,0)))),"Fix")))</f>
        <v>0</v>
      </c>
      <c r="G277" s="3">
        <f>IF(OR(INDEX($O$2:$O$1001,MATCH(ROWS($N$2:N277),$N$2:$N$1001,0),1)&gt;=100000,INDEX($U$1005:$AC$1005,1,MATCH(COLUMNS($U$1006:Z1006),$U$1006:$AC$1006,0))&gt;=100000), " ",IF(INDEX($U$2:$AC$1001,MATCH(ROWS($N$2:N277),$N$2:$N$1001,0),MATCH(COLUMNS($U$1006:Z1006),$U$1006:$AC$1006,0)), HYPERLINK("#",""), HYPERLINK(CONCATENATE("#metadata!", ADDRESS(INDEX($P$2:$P$1001,MATCH(ROWS($N$2:N277),$N$2:$N$1001,0),0), INDEX($U$1004:$AC$1004,1,MATCH(COLUMNS($U$1006:Z1006),$U$1006:$AC$1006,0)))),"Fix")))</f>
        <v>0</v>
      </c>
      <c r="H277" s="3">
        <f>IF(OR(INDEX($O$2:$O$1001,MATCH(ROWS($N$2:N277),$N$2:$N$1001,0),1)&gt;=100000,INDEX($U$1005:$AC$1005,1,MATCH(COLUMNS($U$1006:AA1006),$U$1006:$AC$1006,0))&gt;=100000), " ",IF(INDEX($U$2:$AC$1001,MATCH(ROWS($N$2:N277),$N$2:$N$1001,0),MATCH(COLUMNS($U$1006:AA1006),$U$1006:$AC$1006,0)), HYPERLINK("#",""), HYPERLINK(CONCATENATE("#metadata!", ADDRESS(INDEX($P$2:$P$1001,MATCH(ROWS($N$2:N277),$N$2:$N$1001,0),0), INDEX($U$1004:$AC$1004,1,MATCH(COLUMNS($U$1006:AA1006),$U$1006:$AC$1006,0)))),"Fix")))</f>
        <v>0</v>
      </c>
      <c r="I277" s="3">
        <f>IF(OR(INDEX($O$2:$O$1001,MATCH(ROWS($N$2:N277),$N$2:$N$1001,0),1)&gt;=100000,INDEX($U$1005:$AC$1005,1,MATCH(COLUMNS($U$1006:AB1006),$U$1006:$AC$1006,0))&gt;=100000), " ",IF(INDEX($U$2:$AC$1001,MATCH(ROWS($N$2:N277),$N$2:$N$1001,0),MATCH(COLUMNS($U$1006:AB1006),$U$1006:$AC$1006,0)), HYPERLINK("#",""), HYPERLINK(CONCATENATE("#metadata!", ADDRESS(INDEX($P$2:$P$1001,MATCH(ROWS($N$2:N277),$N$2:$N$1001,0),0), INDEX($U$1004:$AC$1004,1,MATCH(COLUMNS($U$1006:AB1006),$U$1006:$AC$1006,0)))),"Fix")))</f>
        <v>0</v>
      </c>
      <c r="J277" s="3">
        <f>IF(OR(INDEX($O$2:$O$1001,MATCH(ROWS($N$2:N277),$N$2:$N$1001,0),1)&gt;=100000,INDEX($U$1005:$AC$1005,1,MATCH(COLUMNS($U$1006:AC1006),$U$1006:$AC$1006,0))&gt;=100000), " ",IF(INDEX($U$2:$AC$1001,MATCH(ROWS($N$2:N277),$N$2:$N$1001,0),MATCH(COLUMNS($U$1006:AC1006),$U$1006:$AC$1006,0)), HYPERLINK("#",""), HYPERLINK(CONCATENATE("#metadata!", ADDRESS(INDEX($P$2:$P$1001,MATCH(ROWS($N$2:N277),$N$2:$N$1001,0),0), INDEX($U$1004:$AC$1004,1,MATCH(COLUMNS($U$1006:AC1006),$U$1006:$AC$1006,0)))),"Fix")))</f>
        <v>0</v>
      </c>
      <c r="N277">
        <v>0</v>
      </c>
      <c r="O277">
        <v>0</v>
      </c>
      <c r="P277">
        <v>0</v>
      </c>
      <c r="Q277">
        <f>IF(R277,TRUE,AND(U277:AC277))</f>
        <v>0</v>
      </c>
      <c r="R277">
        <f>COUNTBLANK(metadata!B277:J277)=COLUMNS(metadata!B277:J277)</f>
        <v>0</v>
      </c>
      <c r="S277">
        <v>0</v>
      </c>
      <c r="U277">
        <f>AND(IF(metadata!B277="",FALSE,TRUE),COUNTIF(metadata!B:B, metadata!B277) = 1,NOT(ISERROR(SUMPRODUCT(SEARCH(MID(metadata!B277,ROW(INDIRECT("1:"&amp;LEN(metadata!B277))), 1),"0123456789abcdefghijklmnopqrstuvwxyzABCDEFGHIJKLMNOPQRSTUVWXYZ.")))))</f>
        <v>0</v>
      </c>
      <c r="V277">
        <f>AND(IF(metadata!C277="",FALSE,TRUE),exact(metadata!C277,"UBERON:genitourinary"))</f>
        <v>0</v>
      </c>
      <c r="W277">
        <f>AND(IF(metadata!D277="",FALSE,TRUE),exact(metadata!D277,"UBERON:urine"))</f>
        <v>0</v>
      </c>
      <c r="X277">
        <f>AND(IF(metadata!E277="",FALSE,TRUE),exact(metadata!E277,"UBERON:kidney"))</f>
        <v>0</v>
      </c>
      <c r="Y277">
        <f>AND(IF(metadata!F277="",FALSE,TRUE),exact(metadata!F277,"animal corpus"))</f>
        <v>0</v>
      </c>
      <c r="Z277">
        <f>AND(IF(metadata!G277="",FALSE,TRUE),exact(metadata!G277,"urine"))</f>
        <v>0</v>
      </c>
      <c r="AA277">
        <f>AND(IF(metadata!H277="",FALSE,TRUE),exact(metadata!H277,"urine"))</f>
        <v>0</v>
      </c>
      <c r="AB277">
        <f>AND(IF(metadata!I277="",FALSE,TRUE),exact(metadata!I277,"urine metagenome"))</f>
        <v>0</v>
      </c>
      <c r="AC277">
        <f>AND(IF(metadata!J277="",FALSE,TRUE),exact(metadata!J277,"1346744"))</f>
        <v>0</v>
      </c>
    </row>
    <row r="278" spans="1:29">
      <c r="A278" s="4">
        <f>IF(B278=" "," ",HYPERLINK(CONCATENATE("#metadata!",ADDRESS(INDEX($P$2:$P$1001,MATCH(ROWS($N$2:N278),$N$2:$N$1001,0),0),1)),INDEX($S$2:$S$1001,MATCH(ROWS($N$2:N278),$N$2:$N$1001,0),0)))</f>
        <v>0</v>
      </c>
      <c r="B278" s="3">
        <f>IF(OR(INDEX($O$2:$O$1001,MATCH(ROWS($N$2:N278),$N$2:$N$1001,0),1)&gt;=100000,INDEX($U$1005:$AC$1005,1,MATCH(COLUMNS($U$1006:U1006),$U$1006:$AC$1006,0))&gt;=100000), " ",IF(INDEX($U$2:$AC$1001,MATCH(ROWS($N$2:N278),$N$2:$N$1001,0),MATCH(COLUMNS($U$1006:U1006),$U$1006:$AC$1006,0)), HYPERLINK("#",""), HYPERLINK(CONCATENATE("#metadata!", ADDRESS(INDEX($P$2:$P$1001,MATCH(ROWS($N$2:N278),$N$2:$N$1001,0),0), INDEX($U$1004:$AC$1004,1,MATCH(COLUMNS($U$1006:U1006),$U$1006:$AC$1006,0)))),"Fix")))</f>
        <v>0</v>
      </c>
      <c r="C278" s="3">
        <f>IF(OR(INDEX($O$2:$O$1001,MATCH(ROWS($N$2:N278),$N$2:$N$1001,0),1)&gt;=100000,INDEX($U$1005:$AC$1005,1,MATCH(COLUMNS($U$1006:V1006),$U$1006:$AC$1006,0))&gt;=100000), " ",IF(INDEX($U$2:$AC$1001,MATCH(ROWS($N$2:N278),$N$2:$N$1001,0),MATCH(COLUMNS($U$1006:V1006),$U$1006:$AC$1006,0)), HYPERLINK("#",""), HYPERLINK(CONCATENATE("#metadata!", ADDRESS(INDEX($P$2:$P$1001,MATCH(ROWS($N$2:N278),$N$2:$N$1001,0),0), INDEX($U$1004:$AC$1004,1,MATCH(COLUMNS($U$1006:V1006),$U$1006:$AC$1006,0)))),"Fix")))</f>
        <v>0</v>
      </c>
      <c r="D278" s="3">
        <f>IF(OR(INDEX($O$2:$O$1001,MATCH(ROWS($N$2:N278),$N$2:$N$1001,0),1)&gt;=100000,INDEX($U$1005:$AC$1005,1,MATCH(COLUMNS($U$1006:W1006),$U$1006:$AC$1006,0))&gt;=100000), " ",IF(INDEX($U$2:$AC$1001,MATCH(ROWS($N$2:N278),$N$2:$N$1001,0),MATCH(COLUMNS($U$1006:W1006),$U$1006:$AC$1006,0)), HYPERLINK("#",""), HYPERLINK(CONCATENATE("#metadata!", ADDRESS(INDEX($P$2:$P$1001,MATCH(ROWS($N$2:N278),$N$2:$N$1001,0),0), INDEX($U$1004:$AC$1004,1,MATCH(COLUMNS($U$1006:W1006),$U$1006:$AC$1006,0)))),"Fix")))</f>
        <v>0</v>
      </c>
      <c r="E278" s="3">
        <f>IF(OR(INDEX($O$2:$O$1001,MATCH(ROWS($N$2:N278),$N$2:$N$1001,0),1)&gt;=100000,INDEX($U$1005:$AC$1005,1,MATCH(COLUMNS($U$1006:X1006),$U$1006:$AC$1006,0))&gt;=100000), " ",IF(INDEX($U$2:$AC$1001,MATCH(ROWS($N$2:N278),$N$2:$N$1001,0),MATCH(COLUMNS($U$1006:X1006),$U$1006:$AC$1006,0)), HYPERLINK("#",""), HYPERLINK(CONCATENATE("#metadata!", ADDRESS(INDEX($P$2:$P$1001,MATCH(ROWS($N$2:N278),$N$2:$N$1001,0),0), INDEX($U$1004:$AC$1004,1,MATCH(COLUMNS($U$1006:X1006),$U$1006:$AC$1006,0)))),"Fix")))</f>
        <v>0</v>
      </c>
      <c r="F278" s="3">
        <f>IF(OR(INDEX($O$2:$O$1001,MATCH(ROWS($N$2:N278),$N$2:$N$1001,0),1)&gt;=100000,INDEX($U$1005:$AC$1005,1,MATCH(COLUMNS($U$1006:Y1006),$U$1006:$AC$1006,0))&gt;=100000), " ",IF(INDEX($U$2:$AC$1001,MATCH(ROWS($N$2:N278),$N$2:$N$1001,0),MATCH(COLUMNS($U$1006:Y1006),$U$1006:$AC$1006,0)), HYPERLINK("#",""), HYPERLINK(CONCATENATE("#metadata!", ADDRESS(INDEX($P$2:$P$1001,MATCH(ROWS($N$2:N278),$N$2:$N$1001,0),0), INDEX($U$1004:$AC$1004,1,MATCH(COLUMNS($U$1006:Y1006),$U$1006:$AC$1006,0)))),"Fix")))</f>
        <v>0</v>
      </c>
      <c r="G278" s="3">
        <f>IF(OR(INDEX($O$2:$O$1001,MATCH(ROWS($N$2:N278),$N$2:$N$1001,0),1)&gt;=100000,INDEX($U$1005:$AC$1005,1,MATCH(COLUMNS($U$1006:Z1006),$U$1006:$AC$1006,0))&gt;=100000), " ",IF(INDEX($U$2:$AC$1001,MATCH(ROWS($N$2:N278),$N$2:$N$1001,0),MATCH(COLUMNS($U$1006:Z1006),$U$1006:$AC$1006,0)), HYPERLINK("#",""), HYPERLINK(CONCATENATE("#metadata!", ADDRESS(INDEX($P$2:$P$1001,MATCH(ROWS($N$2:N278),$N$2:$N$1001,0),0), INDEX($U$1004:$AC$1004,1,MATCH(COLUMNS($U$1006:Z1006),$U$1006:$AC$1006,0)))),"Fix")))</f>
        <v>0</v>
      </c>
      <c r="H278" s="3">
        <f>IF(OR(INDEX($O$2:$O$1001,MATCH(ROWS($N$2:N278),$N$2:$N$1001,0),1)&gt;=100000,INDEX($U$1005:$AC$1005,1,MATCH(COLUMNS($U$1006:AA1006),$U$1006:$AC$1006,0))&gt;=100000), " ",IF(INDEX($U$2:$AC$1001,MATCH(ROWS($N$2:N278),$N$2:$N$1001,0),MATCH(COLUMNS($U$1006:AA1006),$U$1006:$AC$1006,0)), HYPERLINK("#",""), HYPERLINK(CONCATENATE("#metadata!", ADDRESS(INDEX($P$2:$P$1001,MATCH(ROWS($N$2:N278),$N$2:$N$1001,0),0), INDEX($U$1004:$AC$1004,1,MATCH(COLUMNS($U$1006:AA1006),$U$1006:$AC$1006,0)))),"Fix")))</f>
        <v>0</v>
      </c>
      <c r="I278" s="3">
        <f>IF(OR(INDEX($O$2:$O$1001,MATCH(ROWS($N$2:N278),$N$2:$N$1001,0),1)&gt;=100000,INDEX($U$1005:$AC$1005,1,MATCH(COLUMNS($U$1006:AB1006),$U$1006:$AC$1006,0))&gt;=100000), " ",IF(INDEX($U$2:$AC$1001,MATCH(ROWS($N$2:N278),$N$2:$N$1001,0),MATCH(COLUMNS($U$1006:AB1006),$U$1006:$AC$1006,0)), HYPERLINK("#",""), HYPERLINK(CONCATENATE("#metadata!", ADDRESS(INDEX($P$2:$P$1001,MATCH(ROWS($N$2:N278),$N$2:$N$1001,0),0), INDEX($U$1004:$AC$1004,1,MATCH(COLUMNS($U$1006:AB1006),$U$1006:$AC$1006,0)))),"Fix")))</f>
        <v>0</v>
      </c>
      <c r="J278" s="3">
        <f>IF(OR(INDEX($O$2:$O$1001,MATCH(ROWS($N$2:N278),$N$2:$N$1001,0),1)&gt;=100000,INDEX($U$1005:$AC$1005,1,MATCH(COLUMNS($U$1006:AC1006),$U$1006:$AC$1006,0))&gt;=100000), " ",IF(INDEX($U$2:$AC$1001,MATCH(ROWS($N$2:N278),$N$2:$N$1001,0),MATCH(COLUMNS($U$1006:AC1006),$U$1006:$AC$1006,0)), HYPERLINK("#",""), HYPERLINK(CONCATENATE("#metadata!", ADDRESS(INDEX($P$2:$P$1001,MATCH(ROWS($N$2:N278),$N$2:$N$1001,0),0), INDEX($U$1004:$AC$1004,1,MATCH(COLUMNS($U$1006:AC1006),$U$1006:$AC$1006,0)))),"Fix")))</f>
        <v>0</v>
      </c>
      <c r="N278">
        <v>0</v>
      </c>
      <c r="O278">
        <v>0</v>
      </c>
      <c r="P278">
        <v>0</v>
      </c>
      <c r="Q278">
        <f>IF(R278,TRUE,AND(U278:AC278))</f>
        <v>0</v>
      </c>
      <c r="R278">
        <f>COUNTBLANK(metadata!B278:J278)=COLUMNS(metadata!B278:J278)</f>
        <v>0</v>
      </c>
      <c r="S278">
        <v>0</v>
      </c>
      <c r="U278">
        <f>AND(IF(metadata!B278="",FALSE,TRUE),COUNTIF(metadata!B:B, metadata!B278) = 1,NOT(ISERROR(SUMPRODUCT(SEARCH(MID(metadata!B278,ROW(INDIRECT("1:"&amp;LEN(metadata!B278))), 1),"0123456789abcdefghijklmnopqrstuvwxyzABCDEFGHIJKLMNOPQRSTUVWXYZ.")))))</f>
        <v>0</v>
      </c>
      <c r="V278">
        <f>AND(IF(metadata!C278="",FALSE,TRUE),exact(metadata!C278,"UBERON:genitourinary"))</f>
        <v>0</v>
      </c>
      <c r="W278">
        <f>AND(IF(metadata!D278="",FALSE,TRUE),exact(metadata!D278,"UBERON:urine"))</f>
        <v>0</v>
      </c>
      <c r="X278">
        <f>AND(IF(metadata!E278="",FALSE,TRUE),exact(metadata!E278,"UBERON:kidney"))</f>
        <v>0</v>
      </c>
      <c r="Y278">
        <f>AND(IF(metadata!F278="",FALSE,TRUE),exact(metadata!F278,"animal corpus"))</f>
        <v>0</v>
      </c>
      <c r="Z278">
        <f>AND(IF(metadata!G278="",FALSE,TRUE),exact(metadata!G278,"urine"))</f>
        <v>0</v>
      </c>
      <c r="AA278">
        <f>AND(IF(metadata!H278="",FALSE,TRUE),exact(metadata!H278,"urine"))</f>
        <v>0</v>
      </c>
      <c r="AB278">
        <f>AND(IF(metadata!I278="",FALSE,TRUE),exact(metadata!I278,"urine metagenome"))</f>
        <v>0</v>
      </c>
      <c r="AC278">
        <f>AND(IF(metadata!J278="",FALSE,TRUE),exact(metadata!J278,"1346744"))</f>
        <v>0</v>
      </c>
    </row>
    <row r="279" spans="1:29">
      <c r="A279" s="4">
        <f>IF(B279=" "," ",HYPERLINK(CONCATENATE("#metadata!",ADDRESS(INDEX($P$2:$P$1001,MATCH(ROWS($N$2:N279),$N$2:$N$1001,0),0),1)),INDEX($S$2:$S$1001,MATCH(ROWS($N$2:N279),$N$2:$N$1001,0),0)))</f>
        <v>0</v>
      </c>
      <c r="B279" s="3">
        <f>IF(OR(INDEX($O$2:$O$1001,MATCH(ROWS($N$2:N279),$N$2:$N$1001,0),1)&gt;=100000,INDEX($U$1005:$AC$1005,1,MATCH(COLUMNS($U$1006:U1006),$U$1006:$AC$1006,0))&gt;=100000), " ",IF(INDEX($U$2:$AC$1001,MATCH(ROWS($N$2:N279),$N$2:$N$1001,0),MATCH(COLUMNS($U$1006:U1006),$U$1006:$AC$1006,0)), HYPERLINK("#",""), HYPERLINK(CONCATENATE("#metadata!", ADDRESS(INDEX($P$2:$P$1001,MATCH(ROWS($N$2:N279),$N$2:$N$1001,0),0), INDEX($U$1004:$AC$1004,1,MATCH(COLUMNS($U$1006:U1006),$U$1006:$AC$1006,0)))),"Fix")))</f>
        <v>0</v>
      </c>
      <c r="C279" s="3">
        <f>IF(OR(INDEX($O$2:$O$1001,MATCH(ROWS($N$2:N279),$N$2:$N$1001,0),1)&gt;=100000,INDEX($U$1005:$AC$1005,1,MATCH(COLUMNS($U$1006:V1006),$U$1006:$AC$1006,0))&gt;=100000), " ",IF(INDEX($U$2:$AC$1001,MATCH(ROWS($N$2:N279),$N$2:$N$1001,0),MATCH(COLUMNS($U$1006:V1006),$U$1006:$AC$1006,0)), HYPERLINK("#",""), HYPERLINK(CONCATENATE("#metadata!", ADDRESS(INDEX($P$2:$P$1001,MATCH(ROWS($N$2:N279),$N$2:$N$1001,0),0), INDEX($U$1004:$AC$1004,1,MATCH(COLUMNS($U$1006:V1006),$U$1006:$AC$1006,0)))),"Fix")))</f>
        <v>0</v>
      </c>
      <c r="D279" s="3">
        <f>IF(OR(INDEX($O$2:$O$1001,MATCH(ROWS($N$2:N279),$N$2:$N$1001,0),1)&gt;=100000,INDEX($U$1005:$AC$1005,1,MATCH(COLUMNS($U$1006:W1006),$U$1006:$AC$1006,0))&gt;=100000), " ",IF(INDEX($U$2:$AC$1001,MATCH(ROWS($N$2:N279),$N$2:$N$1001,0),MATCH(COLUMNS($U$1006:W1006),$U$1006:$AC$1006,0)), HYPERLINK("#",""), HYPERLINK(CONCATENATE("#metadata!", ADDRESS(INDEX($P$2:$P$1001,MATCH(ROWS($N$2:N279),$N$2:$N$1001,0),0), INDEX($U$1004:$AC$1004,1,MATCH(COLUMNS($U$1006:W1006),$U$1006:$AC$1006,0)))),"Fix")))</f>
        <v>0</v>
      </c>
      <c r="E279" s="3">
        <f>IF(OR(INDEX($O$2:$O$1001,MATCH(ROWS($N$2:N279),$N$2:$N$1001,0),1)&gt;=100000,INDEX($U$1005:$AC$1005,1,MATCH(COLUMNS($U$1006:X1006),$U$1006:$AC$1006,0))&gt;=100000), " ",IF(INDEX($U$2:$AC$1001,MATCH(ROWS($N$2:N279),$N$2:$N$1001,0),MATCH(COLUMNS($U$1006:X1006),$U$1006:$AC$1006,0)), HYPERLINK("#",""), HYPERLINK(CONCATENATE("#metadata!", ADDRESS(INDEX($P$2:$P$1001,MATCH(ROWS($N$2:N279),$N$2:$N$1001,0),0), INDEX($U$1004:$AC$1004,1,MATCH(COLUMNS($U$1006:X1006),$U$1006:$AC$1006,0)))),"Fix")))</f>
        <v>0</v>
      </c>
      <c r="F279" s="3">
        <f>IF(OR(INDEX($O$2:$O$1001,MATCH(ROWS($N$2:N279),$N$2:$N$1001,0),1)&gt;=100000,INDEX($U$1005:$AC$1005,1,MATCH(COLUMNS($U$1006:Y1006),$U$1006:$AC$1006,0))&gt;=100000), " ",IF(INDEX($U$2:$AC$1001,MATCH(ROWS($N$2:N279),$N$2:$N$1001,0),MATCH(COLUMNS($U$1006:Y1006),$U$1006:$AC$1006,0)), HYPERLINK("#",""), HYPERLINK(CONCATENATE("#metadata!", ADDRESS(INDEX($P$2:$P$1001,MATCH(ROWS($N$2:N279),$N$2:$N$1001,0),0), INDEX($U$1004:$AC$1004,1,MATCH(COLUMNS($U$1006:Y1006),$U$1006:$AC$1006,0)))),"Fix")))</f>
        <v>0</v>
      </c>
      <c r="G279" s="3">
        <f>IF(OR(INDEX($O$2:$O$1001,MATCH(ROWS($N$2:N279),$N$2:$N$1001,0),1)&gt;=100000,INDEX($U$1005:$AC$1005,1,MATCH(COLUMNS($U$1006:Z1006),$U$1006:$AC$1006,0))&gt;=100000), " ",IF(INDEX($U$2:$AC$1001,MATCH(ROWS($N$2:N279),$N$2:$N$1001,0),MATCH(COLUMNS($U$1006:Z1006),$U$1006:$AC$1006,0)), HYPERLINK("#",""), HYPERLINK(CONCATENATE("#metadata!", ADDRESS(INDEX($P$2:$P$1001,MATCH(ROWS($N$2:N279),$N$2:$N$1001,0),0), INDEX($U$1004:$AC$1004,1,MATCH(COLUMNS($U$1006:Z1006),$U$1006:$AC$1006,0)))),"Fix")))</f>
        <v>0</v>
      </c>
      <c r="H279" s="3">
        <f>IF(OR(INDEX($O$2:$O$1001,MATCH(ROWS($N$2:N279),$N$2:$N$1001,0),1)&gt;=100000,INDEX($U$1005:$AC$1005,1,MATCH(COLUMNS($U$1006:AA1006),$U$1006:$AC$1006,0))&gt;=100000), " ",IF(INDEX($U$2:$AC$1001,MATCH(ROWS($N$2:N279),$N$2:$N$1001,0),MATCH(COLUMNS($U$1006:AA1006),$U$1006:$AC$1006,0)), HYPERLINK("#",""), HYPERLINK(CONCATENATE("#metadata!", ADDRESS(INDEX($P$2:$P$1001,MATCH(ROWS($N$2:N279),$N$2:$N$1001,0),0), INDEX($U$1004:$AC$1004,1,MATCH(COLUMNS($U$1006:AA1006),$U$1006:$AC$1006,0)))),"Fix")))</f>
        <v>0</v>
      </c>
      <c r="I279" s="3">
        <f>IF(OR(INDEX($O$2:$O$1001,MATCH(ROWS($N$2:N279),$N$2:$N$1001,0),1)&gt;=100000,INDEX($U$1005:$AC$1005,1,MATCH(COLUMNS($U$1006:AB1006),$U$1006:$AC$1006,0))&gt;=100000), " ",IF(INDEX($U$2:$AC$1001,MATCH(ROWS($N$2:N279),$N$2:$N$1001,0),MATCH(COLUMNS($U$1006:AB1006),$U$1006:$AC$1006,0)), HYPERLINK("#",""), HYPERLINK(CONCATENATE("#metadata!", ADDRESS(INDEX($P$2:$P$1001,MATCH(ROWS($N$2:N279),$N$2:$N$1001,0),0), INDEX($U$1004:$AC$1004,1,MATCH(COLUMNS($U$1006:AB1006),$U$1006:$AC$1006,0)))),"Fix")))</f>
        <v>0</v>
      </c>
      <c r="J279" s="3">
        <f>IF(OR(INDEX($O$2:$O$1001,MATCH(ROWS($N$2:N279),$N$2:$N$1001,0),1)&gt;=100000,INDEX($U$1005:$AC$1005,1,MATCH(COLUMNS($U$1006:AC1006),$U$1006:$AC$1006,0))&gt;=100000), " ",IF(INDEX($U$2:$AC$1001,MATCH(ROWS($N$2:N279),$N$2:$N$1001,0),MATCH(COLUMNS($U$1006:AC1006),$U$1006:$AC$1006,0)), HYPERLINK("#",""), HYPERLINK(CONCATENATE("#metadata!", ADDRESS(INDEX($P$2:$P$1001,MATCH(ROWS($N$2:N279),$N$2:$N$1001,0),0), INDEX($U$1004:$AC$1004,1,MATCH(COLUMNS($U$1006:AC1006),$U$1006:$AC$1006,0)))),"Fix")))</f>
        <v>0</v>
      </c>
      <c r="N279">
        <v>0</v>
      </c>
      <c r="O279">
        <v>0</v>
      </c>
      <c r="P279">
        <v>0</v>
      </c>
      <c r="Q279">
        <f>IF(R279,TRUE,AND(U279:AC279))</f>
        <v>0</v>
      </c>
      <c r="R279">
        <f>COUNTBLANK(metadata!B279:J279)=COLUMNS(metadata!B279:J279)</f>
        <v>0</v>
      </c>
      <c r="S279">
        <v>0</v>
      </c>
      <c r="U279">
        <f>AND(IF(metadata!B279="",FALSE,TRUE),COUNTIF(metadata!B:B, metadata!B279) = 1,NOT(ISERROR(SUMPRODUCT(SEARCH(MID(metadata!B279,ROW(INDIRECT("1:"&amp;LEN(metadata!B279))), 1),"0123456789abcdefghijklmnopqrstuvwxyzABCDEFGHIJKLMNOPQRSTUVWXYZ.")))))</f>
        <v>0</v>
      </c>
      <c r="V279">
        <f>AND(IF(metadata!C279="",FALSE,TRUE),exact(metadata!C279,"UBERON:genitourinary"))</f>
        <v>0</v>
      </c>
      <c r="W279">
        <f>AND(IF(metadata!D279="",FALSE,TRUE),exact(metadata!D279,"UBERON:urine"))</f>
        <v>0</v>
      </c>
      <c r="X279">
        <f>AND(IF(metadata!E279="",FALSE,TRUE),exact(metadata!E279,"UBERON:kidney"))</f>
        <v>0</v>
      </c>
      <c r="Y279">
        <f>AND(IF(metadata!F279="",FALSE,TRUE),exact(metadata!F279,"animal corpus"))</f>
        <v>0</v>
      </c>
      <c r="Z279">
        <f>AND(IF(metadata!G279="",FALSE,TRUE),exact(metadata!G279,"urine"))</f>
        <v>0</v>
      </c>
      <c r="AA279">
        <f>AND(IF(metadata!H279="",FALSE,TRUE),exact(metadata!H279,"urine"))</f>
        <v>0</v>
      </c>
      <c r="AB279">
        <f>AND(IF(metadata!I279="",FALSE,TRUE),exact(metadata!I279,"urine metagenome"))</f>
        <v>0</v>
      </c>
      <c r="AC279">
        <f>AND(IF(metadata!J279="",FALSE,TRUE),exact(metadata!J279,"1346744"))</f>
        <v>0</v>
      </c>
    </row>
    <row r="280" spans="1:29">
      <c r="A280" s="4">
        <f>IF(B280=" "," ",HYPERLINK(CONCATENATE("#metadata!",ADDRESS(INDEX($P$2:$P$1001,MATCH(ROWS($N$2:N280),$N$2:$N$1001,0),0),1)),INDEX($S$2:$S$1001,MATCH(ROWS($N$2:N280),$N$2:$N$1001,0),0)))</f>
        <v>0</v>
      </c>
      <c r="B280" s="3">
        <f>IF(OR(INDEX($O$2:$O$1001,MATCH(ROWS($N$2:N280),$N$2:$N$1001,0),1)&gt;=100000,INDEX($U$1005:$AC$1005,1,MATCH(COLUMNS($U$1006:U1006),$U$1006:$AC$1006,0))&gt;=100000), " ",IF(INDEX($U$2:$AC$1001,MATCH(ROWS($N$2:N280),$N$2:$N$1001,0),MATCH(COLUMNS($U$1006:U1006),$U$1006:$AC$1006,0)), HYPERLINK("#",""), HYPERLINK(CONCATENATE("#metadata!", ADDRESS(INDEX($P$2:$P$1001,MATCH(ROWS($N$2:N280),$N$2:$N$1001,0),0), INDEX($U$1004:$AC$1004,1,MATCH(COLUMNS($U$1006:U1006),$U$1006:$AC$1006,0)))),"Fix")))</f>
        <v>0</v>
      </c>
      <c r="C280" s="3">
        <f>IF(OR(INDEX($O$2:$O$1001,MATCH(ROWS($N$2:N280),$N$2:$N$1001,0),1)&gt;=100000,INDEX($U$1005:$AC$1005,1,MATCH(COLUMNS($U$1006:V1006),$U$1006:$AC$1006,0))&gt;=100000), " ",IF(INDEX($U$2:$AC$1001,MATCH(ROWS($N$2:N280),$N$2:$N$1001,0),MATCH(COLUMNS($U$1006:V1006),$U$1006:$AC$1006,0)), HYPERLINK("#",""), HYPERLINK(CONCATENATE("#metadata!", ADDRESS(INDEX($P$2:$P$1001,MATCH(ROWS($N$2:N280),$N$2:$N$1001,0),0), INDEX($U$1004:$AC$1004,1,MATCH(COLUMNS($U$1006:V1006),$U$1006:$AC$1006,0)))),"Fix")))</f>
        <v>0</v>
      </c>
      <c r="D280" s="3">
        <f>IF(OR(INDEX($O$2:$O$1001,MATCH(ROWS($N$2:N280),$N$2:$N$1001,0),1)&gt;=100000,INDEX($U$1005:$AC$1005,1,MATCH(COLUMNS($U$1006:W1006),$U$1006:$AC$1006,0))&gt;=100000), " ",IF(INDEX($U$2:$AC$1001,MATCH(ROWS($N$2:N280),$N$2:$N$1001,0),MATCH(COLUMNS($U$1006:W1006),$U$1006:$AC$1006,0)), HYPERLINK("#",""), HYPERLINK(CONCATENATE("#metadata!", ADDRESS(INDEX($P$2:$P$1001,MATCH(ROWS($N$2:N280),$N$2:$N$1001,0),0), INDEX($U$1004:$AC$1004,1,MATCH(COLUMNS($U$1006:W1006),$U$1006:$AC$1006,0)))),"Fix")))</f>
        <v>0</v>
      </c>
      <c r="E280" s="3">
        <f>IF(OR(INDEX($O$2:$O$1001,MATCH(ROWS($N$2:N280),$N$2:$N$1001,0),1)&gt;=100000,INDEX($U$1005:$AC$1005,1,MATCH(COLUMNS($U$1006:X1006),$U$1006:$AC$1006,0))&gt;=100000), " ",IF(INDEX($U$2:$AC$1001,MATCH(ROWS($N$2:N280),$N$2:$N$1001,0),MATCH(COLUMNS($U$1006:X1006),$U$1006:$AC$1006,0)), HYPERLINK("#",""), HYPERLINK(CONCATENATE("#metadata!", ADDRESS(INDEX($P$2:$P$1001,MATCH(ROWS($N$2:N280),$N$2:$N$1001,0),0), INDEX($U$1004:$AC$1004,1,MATCH(COLUMNS($U$1006:X1006),$U$1006:$AC$1006,0)))),"Fix")))</f>
        <v>0</v>
      </c>
      <c r="F280" s="3">
        <f>IF(OR(INDEX($O$2:$O$1001,MATCH(ROWS($N$2:N280),$N$2:$N$1001,0),1)&gt;=100000,INDEX($U$1005:$AC$1005,1,MATCH(COLUMNS($U$1006:Y1006),$U$1006:$AC$1006,0))&gt;=100000), " ",IF(INDEX($U$2:$AC$1001,MATCH(ROWS($N$2:N280),$N$2:$N$1001,0),MATCH(COLUMNS($U$1006:Y1006),$U$1006:$AC$1006,0)), HYPERLINK("#",""), HYPERLINK(CONCATENATE("#metadata!", ADDRESS(INDEX($P$2:$P$1001,MATCH(ROWS($N$2:N280),$N$2:$N$1001,0),0), INDEX($U$1004:$AC$1004,1,MATCH(COLUMNS($U$1006:Y1006),$U$1006:$AC$1006,0)))),"Fix")))</f>
        <v>0</v>
      </c>
      <c r="G280" s="3">
        <f>IF(OR(INDEX($O$2:$O$1001,MATCH(ROWS($N$2:N280),$N$2:$N$1001,0),1)&gt;=100000,INDEX($U$1005:$AC$1005,1,MATCH(COLUMNS($U$1006:Z1006),$U$1006:$AC$1006,0))&gt;=100000), " ",IF(INDEX($U$2:$AC$1001,MATCH(ROWS($N$2:N280),$N$2:$N$1001,0),MATCH(COLUMNS($U$1006:Z1006),$U$1006:$AC$1006,0)), HYPERLINK("#",""), HYPERLINK(CONCATENATE("#metadata!", ADDRESS(INDEX($P$2:$P$1001,MATCH(ROWS($N$2:N280),$N$2:$N$1001,0),0), INDEX($U$1004:$AC$1004,1,MATCH(COLUMNS($U$1006:Z1006),$U$1006:$AC$1006,0)))),"Fix")))</f>
        <v>0</v>
      </c>
      <c r="H280" s="3">
        <f>IF(OR(INDEX($O$2:$O$1001,MATCH(ROWS($N$2:N280),$N$2:$N$1001,0),1)&gt;=100000,INDEX($U$1005:$AC$1005,1,MATCH(COLUMNS($U$1006:AA1006),$U$1006:$AC$1006,0))&gt;=100000), " ",IF(INDEX($U$2:$AC$1001,MATCH(ROWS($N$2:N280),$N$2:$N$1001,0),MATCH(COLUMNS($U$1006:AA1006),$U$1006:$AC$1006,0)), HYPERLINK("#",""), HYPERLINK(CONCATENATE("#metadata!", ADDRESS(INDEX($P$2:$P$1001,MATCH(ROWS($N$2:N280),$N$2:$N$1001,0),0), INDEX($U$1004:$AC$1004,1,MATCH(COLUMNS($U$1006:AA1006),$U$1006:$AC$1006,0)))),"Fix")))</f>
        <v>0</v>
      </c>
      <c r="I280" s="3">
        <f>IF(OR(INDEX($O$2:$O$1001,MATCH(ROWS($N$2:N280),$N$2:$N$1001,0),1)&gt;=100000,INDEX($U$1005:$AC$1005,1,MATCH(COLUMNS($U$1006:AB1006),$U$1006:$AC$1006,0))&gt;=100000), " ",IF(INDEX($U$2:$AC$1001,MATCH(ROWS($N$2:N280),$N$2:$N$1001,0),MATCH(COLUMNS($U$1006:AB1006),$U$1006:$AC$1006,0)), HYPERLINK("#",""), HYPERLINK(CONCATENATE("#metadata!", ADDRESS(INDEX($P$2:$P$1001,MATCH(ROWS($N$2:N280),$N$2:$N$1001,0),0), INDEX($U$1004:$AC$1004,1,MATCH(COLUMNS($U$1006:AB1006),$U$1006:$AC$1006,0)))),"Fix")))</f>
        <v>0</v>
      </c>
      <c r="J280" s="3">
        <f>IF(OR(INDEX($O$2:$O$1001,MATCH(ROWS($N$2:N280),$N$2:$N$1001,0),1)&gt;=100000,INDEX($U$1005:$AC$1005,1,MATCH(COLUMNS($U$1006:AC1006),$U$1006:$AC$1006,0))&gt;=100000), " ",IF(INDEX($U$2:$AC$1001,MATCH(ROWS($N$2:N280),$N$2:$N$1001,0),MATCH(COLUMNS($U$1006:AC1006),$U$1006:$AC$1006,0)), HYPERLINK("#",""), HYPERLINK(CONCATENATE("#metadata!", ADDRESS(INDEX($P$2:$P$1001,MATCH(ROWS($N$2:N280),$N$2:$N$1001,0),0), INDEX($U$1004:$AC$1004,1,MATCH(COLUMNS($U$1006:AC1006),$U$1006:$AC$1006,0)))),"Fix")))</f>
        <v>0</v>
      </c>
      <c r="N280">
        <v>0</v>
      </c>
      <c r="O280">
        <v>0</v>
      </c>
      <c r="P280">
        <v>0</v>
      </c>
      <c r="Q280">
        <f>IF(R280,TRUE,AND(U280:AC280))</f>
        <v>0</v>
      </c>
      <c r="R280">
        <f>COUNTBLANK(metadata!B280:J280)=COLUMNS(metadata!B280:J280)</f>
        <v>0</v>
      </c>
      <c r="S280">
        <v>0</v>
      </c>
      <c r="U280">
        <f>AND(IF(metadata!B280="",FALSE,TRUE),COUNTIF(metadata!B:B, metadata!B280) = 1,NOT(ISERROR(SUMPRODUCT(SEARCH(MID(metadata!B280,ROW(INDIRECT("1:"&amp;LEN(metadata!B280))), 1),"0123456789abcdefghijklmnopqrstuvwxyzABCDEFGHIJKLMNOPQRSTUVWXYZ.")))))</f>
        <v>0</v>
      </c>
      <c r="V280">
        <f>AND(IF(metadata!C280="",FALSE,TRUE),exact(metadata!C280,"UBERON:genitourinary"))</f>
        <v>0</v>
      </c>
      <c r="W280">
        <f>AND(IF(metadata!D280="",FALSE,TRUE),exact(metadata!D280,"UBERON:urine"))</f>
        <v>0</v>
      </c>
      <c r="X280">
        <f>AND(IF(metadata!E280="",FALSE,TRUE),exact(metadata!E280,"UBERON:kidney"))</f>
        <v>0</v>
      </c>
      <c r="Y280">
        <f>AND(IF(metadata!F280="",FALSE,TRUE),exact(metadata!F280,"animal corpus"))</f>
        <v>0</v>
      </c>
      <c r="Z280">
        <f>AND(IF(metadata!G280="",FALSE,TRUE),exact(metadata!G280,"urine"))</f>
        <v>0</v>
      </c>
      <c r="AA280">
        <f>AND(IF(metadata!H280="",FALSE,TRUE),exact(metadata!H280,"urine"))</f>
        <v>0</v>
      </c>
      <c r="AB280">
        <f>AND(IF(metadata!I280="",FALSE,TRUE),exact(metadata!I280,"urine metagenome"))</f>
        <v>0</v>
      </c>
      <c r="AC280">
        <f>AND(IF(metadata!J280="",FALSE,TRUE),exact(metadata!J280,"1346744"))</f>
        <v>0</v>
      </c>
    </row>
    <row r="281" spans="1:29">
      <c r="A281" s="4">
        <f>IF(B281=" "," ",HYPERLINK(CONCATENATE("#metadata!",ADDRESS(INDEX($P$2:$P$1001,MATCH(ROWS($N$2:N281),$N$2:$N$1001,0),0),1)),INDEX($S$2:$S$1001,MATCH(ROWS($N$2:N281),$N$2:$N$1001,0),0)))</f>
        <v>0</v>
      </c>
      <c r="B281" s="3">
        <f>IF(OR(INDEX($O$2:$O$1001,MATCH(ROWS($N$2:N281),$N$2:$N$1001,0),1)&gt;=100000,INDEX($U$1005:$AC$1005,1,MATCH(COLUMNS($U$1006:U1006),$U$1006:$AC$1006,0))&gt;=100000), " ",IF(INDEX($U$2:$AC$1001,MATCH(ROWS($N$2:N281),$N$2:$N$1001,0),MATCH(COLUMNS($U$1006:U1006),$U$1006:$AC$1006,0)), HYPERLINK("#",""), HYPERLINK(CONCATENATE("#metadata!", ADDRESS(INDEX($P$2:$P$1001,MATCH(ROWS($N$2:N281),$N$2:$N$1001,0),0), INDEX($U$1004:$AC$1004,1,MATCH(COLUMNS($U$1006:U1006),$U$1006:$AC$1006,0)))),"Fix")))</f>
        <v>0</v>
      </c>
      <c r="C281" s="3">
        <f>IF(OR(INDEX($O$2:$O$1001,MATCH(ROWS($N$2:N281),$N$2:$N$1001,0),1)&gt;=100000,INDEX($U$1005:$AC$1005,1,MATCH(COLUMNS($U$1006:V1006),$U$1006:$AC$1006,0))&gt;=100000), " ",IF(INDEX($U$2:$AC$1001,MATCH(ROWS($N$2:N281),$N$2:$N$1001,0),MATCH(COLUMNS($U$1006:V1006),$U$1006:$AC$1006,0)), HYPERLINK("#",""), HYPERLINK(CONCATENATE("#metadata!", ADDRESS(INDEX($P$2:$P$1001,MATCH(ROWS($N$2:N281),$N$2:$N$1001,0),0), INDEX($U$1004:$AC$1004,1,MATCH(COLUMNS($U$1006:V1006),$U$1006:$AC$1006,0)))),"Fix")))</f>
        <v>0</v>
      </c>
      <c r="D281" s="3">
        <f>IF(OR(INDEX($O$2:$O$1001,MATCH(ROWS($N$2:N281),$N$2:$N$1001,0),1)&gt;=100000,INDEX($U$1005:$AC$1005,1,MATCH(COLUMNS($U$1006:W1006),$U$1006:$AC$1006,0))&gt;=100000), " ",IF(INDEX($U$2:$AC$1001,MATCH(ROWS($N$2:N281),$N$2:$N$1001,0),MATCH(COLUMNS($U$1006:W1006),$U$1006:$AC$1006,0)), HYPERLINK("#",""), HYPERLINK(CONCATENATE("#metadata!", ADDRESS(INDEX($P$2:$P$1001,MATCH(ROWS($N$2:N281),$N$2:$N$1001,0),0), INDEX($U$1004:$AC$1004,1,MATCH(COLUMNS($U$1006:W1006),$U$1006:$AC$1006,0)))),"Fix")))</f>
        <v>0</v>
      </c>
      <c r="E281" s="3">
        <f>IF(OR(INDEX($O$2:$O$1001,MATCH(ROWS($N$2:N281),$N$2:$N$1001,0),1)&gt;=100000,INDEX($U$1005:$AC$1005,1,MATCH(COLUMNS($U$1006:X1006),$U$1006:$AC$1006,0))&gt;=100000), " ",IF(INDEX($U$2:$AC$1001,MATCH(ROWS($N$2:N281),$N$2:$N$1001,0),MATCH(COLUMNS($U$1006:X1006),$U$1006:$AC$1006,0)), HYPERLINK("#",""), HYPERLINK(CONCATENATE("#metadata!", ADDRESS(INDEX($P$2:$P$1001,MATCH(ROWS($N$2:N281),$N$2:$N$1001,0),0), INDEX($U$1004:$AC$1004,1,MATCH(COLUMNS($U$1006:X1006),$U$1006:$AC$1006,0)))),"Fix")))</f>
        <v>0</v>
      </c>
      <c r="F281" s="3">
        <f>IF(OR(INDEX($O$2:$O$1001,MATCH(ROWS($N$2:N281),$N$2:$N$1001,0),1)&gt;=100000,INDEX($U$1005:$AC$1005,1,MATCH(COLUMNS($U$1006:Y1006),$U$1006:$AC$1006,0))&gt;=100000), " ",IF(INDEX($U$2:$AC$1001,MATCH(ROWS($N$2:N281),$N$2:$N$1001,0),MATCH(COLUMNS($U$1006:Y1006),$U$1006:$AC$1006,0)), HYPERLINK("#",""), HYPERLINK(CONCATENATE("#metadata!", ADDRESS(INDEX($P$2:$P$1001,MATCH(ROWS($N$2:N281),$N$2:$N$1001,0),0), INDEX($U$1004:$AC$1004,1,MATCH(COLUMNS($U$1006:Y1006),$U$1006:$AC$1006,0)))),"Fix")))</f>
        <v>0</v>
      </c>
      <c r="G281" s="3">
        <f>IF(OR(INDEX($O$2:$O$1001,MATCH(ROWS($N$2:N281),$N$2:$N$1001,0),1)&gt;=100000,INDEX($U$1005:$AC$1005,1,MATCH(COLUMNS($U$1006:Z1006),$U$1006:$AC$1006,0))&gt;=100000), " ",IF(INDEX($U$2:$AC$1001,MATCH(ROWS($N$2:N281),$N$2:$N$1001,0),MATCH(COLUMNS($U$1006:Z1006),$U$1006:$AC$1006,0)), HYPERLINK("#",""), HYPERLINK(CONCATENATE("#metadata!", ADDRESS(INDEX($P$2:$P$1001,MATCH(ROWS($N$2:N281),$N$2:$N$1001,0),0), INDEX($U$1004:$AC$1004,1,MATCH(COLUMNS($U$1006:Z1006),$U$1006:$AC$1006,0)))),"Fix")))</f>
        <v>0</v>
      </c>
      <c r="H281" s="3">
        <f>IF(OR(INDEX($O$2:$O$1001,MATCH(ROWS($N$2:N281),$N$2:$N$1001,0),1)&gt;=100000,INDEX($U$1005:$AC$1005,1,MATCH(COLUMNS($U$1006:AA1006),$U$1006:$AC$1006,0))&gt;=100000), " ",IF(INDEX($U$2:$AC$1001,MATCH(ROWS($N$2:N281),$N$2:$N$1001,0),MATCH(COLUMNS($U$1006:AA1006),$U$1006:$AC$1006,0)), HYPERLINK("#",""), HYPERLINK(CONCATENATE("#metadata!", ADDRESS(INDEX($P$2:$P$1001,MATCH(ROWS($N$2:N281),$N$2:$N$1001,0),0), INDEX($U$1004:$AC$1004,1,MATCH(COLUMNS($U$1006:AA1006),$U$1006:$AC$1006,0)))),"Fix")))</f>
        <v>0</v>
      </c>
      <c r="I281" s="3">
        <f>IF(OR(INDEX($O$2:$O$1001,MATCH(ROWS($N$2:N281),$N$2:$N$1001,0),1)&gt;=100000,INDEX($U$1005:$AC$1005,1,MATCH(COLUMNS($U$1006:AB1006),$U$1006:$AC$1006,0))&gt;=100000), " ",IF(INDEX($U$2:$AC$1001,MATCH(ROWS($N$2:N281),$N$2:$N$1001,0),MATCH(COLUMNS($U$1006:AB1006),$U$1006:$AC$1006,0)), HYPERLINK("#",""), HYPERLINK(CONCATENATE("#metadata!", ADDRESS(INDEX($P$2:$P$1001,MATCH(ROWS($N$2:N281),$N$2:$N$1001,0),0), INDEX($U$1004:$AC$1004,1,MATCH(COLUMNS($U$1006:AB1006),$U$1006:$AC$1006,0)))),"Fix")))</f>
        <v>0</v>
      </c>
      <c r="J281" s="3">
        <f>IF(OR(INDEX($O$2:$O$1001,MATCH(ROWS($N$2:N281),$N$2:$N$1001,0),1)&gt;=100000,INDEX($U$1005:$AC$1005,1,MATCH(COLUMNS($U$1006:AC1006),$U$1006:$AC$1006,0))&gt;=100000), " ",IF(INDEX($U$2:$AC$1001,MATCH(ROWS($N$2:N281),$N$2:$N$1001,0),MATCH(COLUMNS($U$1006:AC1006),$U$1006:$AC$1006,0)), HYPERLINK("#",""), HYPERLINK(CONCATENATE("#metadata!", ADDRESS(INDEX($P$2:$P$1001,MATCH(ROWS($N$2:N281),$N$2:$N$1001,0),0), INDEX($U$1004:$AC$1004,1,MATCH(COLUMNS($U$1006:AC1006),$U$1006:$AC$1006,0)))),"Fix")))</f>
        <v>0</v>
      </c>
      <c r="N281">
        <v>0</v>
      </c>
      <c r="O281">
        <v>0</v>
      </c>
      <c r="P281">
        <v>0</v>
      </c>
      <c r="Q281">
        <f>IF(R281,TRUE,AND(U281:AC281))</f>
        <v>0</v>
      </c>
      <c r="R281">
        <f>COUNTBLANK(metadata!B281:J281)=COLUMNS(metadata!B281:J281)</f>
        <v>0</v>
      </c>
      <c r="S281">
        <v>0</v>
      </c>
      <c r="U281">
        <f>AND(IF(metadata!B281="",FALSE,TRUE),COUNTIF(metadata!B:B, metadata!B281) = 1,NOT(ISERROR(SUMPRODUCT(SEARCH(MID(metadata!B281,ROW(INDIRECT("1:"&amp;LEN(metadata!B281))), 1),"0123456789abcdefghijklmnopqrstuvwxyzABCDEFGHIJKLMNOPQRSTUVWXYZ.")))))</f>
        <v>0</v>
      </c>
      <c r="V281">
        <f>AND(IF(metadata!C281="",FALSE,TRUE),exact(metadata!C281,"UBERON:genitourinary"))</f>
        <v>0</v>
      </c>
      <c r="W281">
        <f>AND(IF(metadata!D281="",FALSE,TRUE),exact(metadata!D281,"UBERON:urine"))</f>
        <v>0</v>
      </c>
      <c r="X281">
        <f>AND(IF(metadata!E281="",FALSE,TRUE),exact(metadata!E281,"UBERON:kidney"))</f>
        <v>0</v>
      </c>
      <c r="Y281">
        <f>AND(IF(metadata!F281="",FALSE,TRUE),exact(metadata!F281,"animal corpus"))</f>
        <v>0</v>
      </c>
      <c r="Z281">
        <f>AND(IF(metadata!G281="",FALSE,TRUE),exact(metadata!G281,"urine"))</f>
        <v>0</v>
      </c>
      <c r="AA281">
        <f>AND(IF(metadata!H281="",FALSE,TRUE),exact(metadata!H281,"urine"))</f>
        <v>0</v>
      </c>
      <c r="AB281">
        <f>AND(IF(metadata!I281="",FALSE,TRUE),exact(metadata!I281,"urine metagenome"))</f>
        <v>0</v>
      </c>
      <c r="AC281">
        <f>AND(IF(metadata!J281="",FALSE,TRUE),exact(metadata!J281,"1346744"))</f>
        <v>0</v>
      </c>
    </row>
    <row r="282" spans="1:29">
      <c r="A282" s="4">
        <f>IF(B282=" "," ",HYPERLINK(CONCATENATE("#metadata!",ADDRESS(INDEX($P$2:$P$1001,MATCH(ROWS($N$2:N282),$N$2:$N$1001,0),0),1)),INDEX($S$2:$S$1001,MATCH(ROWS($N$2:N282),$N$2:$N$1001,0),0)))</f>
        <v>0</v>
      </c>
      <c r="B282" s="3">
        <f>IF(OR(INDEX($O$2:$O$1001,MATCH(ROWS($N$2:N282),$N$2:$N$1001,0),1)&gt;=100000,INDEX($U$1005:$AC$1005,1,MATCH(COLUMNS($U$1006:U1006),$U$1006:$AC$1006,0))&gt;=100000), " ",IF(INDEX($U$2:$AC$1001,MATCH(ROWS($N$2:N282),$N$2:$N$1001,0),MATCH(COLUMNS($U$1006:U1006),$U$1006:$AC$1006,0)), HYPERLINK("#",""), HYPERLINK(CONCATENATE("#metadata!", ADDRESS(INDEX($P$2:$P$1001,MATCH(ROWS($N$2:N282),$N$2:$N$1001,0),0), INDEX($U$1004:$AC$1004,1,MATCH(COLUMNS($U$1006:U1006),$U$1006:$AC$1006,0)))),"Fix")))</f>
        <v>0</v>
      </c>
      <c r="C282" s="3">
        <f>IF(OR(INDEX($O$2:$O$1001,MATCH(ROWS($N$2:N282),$N$2:$N$1001,0),1)&gt;=100000,INDEX($U$1005:$AC$1005,1,MATCH(COLUMNS($U$1006:V1006),$U$1006:$AC$1006,0))&gt;=100000), " ",IF(INDEX($U$2:$AC$1001,MATCH(ROWS($N$2:N282),$N$2:$N$1001,0),MATCH(COLUMNS($U$1006:V1006),$U$1006:$AC$1006,0)), HYPERLINK("#",""), HYPERLINK(CONCATENATE("#metadata!", ADDRESS(INDEX($P$2:$P$1001,MATCH(ROWS($N$2:N282),$N$2:$N$1001,0),0), INDEX($U$1004:$AC$1004,1,MATCH(COLUMNS($U$1006:V1006),$U$1006:$AC$1006,0)))),"Fix")))</f>
        <v>0</v>
      </c>
      <c r="D282" s="3">
        <f>IF(OR(INDEX($O$2:$O$1001,MATCH(ROWS($N$2:N282),$N$2:$N$1001,0),1)&gt;=100000,INDEX($U$1005:$AC$1005,1,MATCH(COLUMNS($U$1006:W1006),$U$1006:$AC$1006,0))&gt;=100000), " ",IF(INDEX($U$2:$AC$1001,MATCH(ROWS($N$2:N282),$N$2:$N$1001,0),MATCH(COLUMNS($U$1006:W1006),$U$1006:$AC$1006,0)), HYPERLINK("#",""), HYPERLINK(CONCATENATE("#metadata!", ADDRESS(INDEX($P$2:$P$1001,MATCH(ROWS($N$2:N282),$N$2:$N$1001,0),0), INDEX($U$1004:$AC$1004,1,MATCH(COLUMNS($U$1006:W1006),$U$1006:$AC$1006,0)))),"Fix")))</f>
        <v>0</v>
      </c>
      <c r="E282" s="3">
        <f>IF(OR(INDEX($O$2:$O$1001,MATCH(ROWS($N$2:N282),$N$2:$N$1001,0),1)&gt;=100000,INDEX($U$1005:$AC$1005,1,MATCH(COLUMNS($U$1006:X1006),$U$1006:$AC$1006,0))&gt;=100000), " ",IF(INDEX($U$2:$AC$1001,MATCH(ROWS($N$2:N282),$N$2:$N$1001,0),MATCH(COLUMNS($U$1006:X1006),$U$1006:$AC$1006,0)), HYPERLINK("#",""), HYPERLINK(CONCATENATE("#metadata!", ADDRESS(INDEX($P$2:$P$1001,MATCH(ROWS($N$2:N282),$N$2:$N$1001,0),0), INDEX($U$1004:$AC$1004,1,MATCH(COLUMNS($U$1006:X1006),$U$1006:$AC$1006,0)))),"Fix")))</f>
        <v>0</v>
      </c>
      <c r="F282" s="3">
        <f>IF(OR(INDEX($O$2:$O$1001,MATCH(ROWS($N$2:N282),$N$2:$N$1001,0),1)&gt;=100000,INDEX($U$1005:$AC$1005,1,MATCH(COLUMNS($U$1006:Y1006),$U$1006:$AC$1006,0))&gt;=100000), " ",IF(INDEX($U$2:$AC$1001,MATCH(ROWS($N$2:N282),$N$2:$N$1001,0),MATCH(COLUMNS($U$1006:Y1006),$U$1006:$AC$1006,0)), HYPERLINK("#",""), HYPERLINK(CONCATENATE("#metadata!", ADDRESS(INDEX($P$2:$P$1001,MATCH(ROWS($N$2:N282),$N$2:$N$1001,0),0), INDEX($U$1004:$AC$1004,1,MATCH(COLUMNS($U$1006:Y1006),$U$1006:$AC$1006,0)))),"Fix")))</f>
        <v>0</v>
      </c>
      <c r="G282" s="3">
        <f>IF(OR(INDEX($O$2:$O$1001,MATCH(ROWS($N$2:N282),$N$2:$N$1001,0),1)&gt;=100000,INDEX($U$1005:$AC$1005,1,MATCH(COLUMNS($U$1006:Z1006),$U$1006:$AC$1006,0))&gt;=100000), " ",IF(INDEX($U$2:$AC$1001,MATCH(ROWS($N$2:N282),$N$2:$N$1001,0),MATCH(COLUMNS($U$1006:Z1006),$U$1006:$AC$1006,0)), HYPERLINK("#",""), HYPERLINK(CONCATENATE("#metadata!", ADDRESS(INDEX($P$2:$P$1001,MATCH(ROWS($N$2:N282),$N$2:$N$1001,0),0), INDEX($U$1004:$AC$1004,1,MATCH(COLUMNS($U$1006:Z1006),$U$1006:$AC$1006,0)))),"Fix")))</f>
        <v>0</v>
      </c>
      <c r="H282" s="3">
        <f>IF(OR(INDEX($O$2:$O$1001,MATCH(ROWS($N$2:N282),$N$2:$N$1001,0),1)&gt;=100000,INDEX($U$1005:$AC$1005,1,MATCH(COLUMNS($U$1006:AA1006),$U$1006:$AC$1006,0))&gt;=100000), " ",IF(INDEX($U$2:$AC$1001,MATCH(ROWS($N$2:N282),$N$2:$N$1001,0),MATCH(COLUMNS($U$1006:AA1006),$U$1006:$AC$1006,0)), HYPERLINK("#",""), HYPERLINK(CONCATENATE("#metadata!", ADDRESS(INDEX($P$2:$P$1001,MATCH(ROWS($N$2:N282),$N$2:$N$1001,0),0), INDEX($U$1004:$AC$1004,1,MATCH(COLUMNS($U$1006:AA1006),$U$1006:$AC$1006,0)))),"Fix")))</f>
        <v>0</v>
      </c>
      <c r="I282" s="3">
        <f>IF(OR(INDEX($O$2:$O$1001,MATCH(ROWS($N$2:N282),$N$2:$N$1001,0),1)&gt;=100000,INDEX($U$1005:$AC$1005,1,MATCH(COLUMNS($U$1006:AB1006),$U$1006:$AC$1006,0))&gt;=100000), " ",IF(INDEX($U$2:$AC$1001,MATCH(ROWS($N$2:N282),$N$2:$N$1001,0),MATCH(COLUMNS($U$1006:AB1006),$U$1006:$AC$1006,0)), HYPERLINK("#",""), HYPERLINK(CONCATENATE("#metadata!", ADDRESS(INDEX($P$2:$P$1001,MATCH(ROWS($N$2:N282),$N$2:$N$1001,0),0), INDEX($U$1004:$AC$1004,1,MATCH(COLUMNS($U$1006:AB1006),$U$1006:$AC$1006,0)))),"Fix")))</f>
        <v>0</v>
      </c>
      <c r="J282" s="3">
        <f>IF(OR(INDEX($O$2:$O$1001,MATCH(ROWS($N$2:N282),$N$2:$N$1001,0),1)&gt;=100000,INDEX($U$1005:$AC$1005,1,MATCH(COLUMNS($U$1006:AC1006),$U$1006:$AC$1006,0))&gt;=100000), " ",IF(INDEX($U$2:$AC$1001,MATCH(ROWS($N$2:N282),$N$2:$N$1001,0),MATCH(COLUMNS($U$1006:AC1006),$U$1006:$AC$1006,0)), HYPERLINK("#",""), HYPERLINK(CONCATENATE("#metadata!", ADDRESS(INDEX($P$2:$P$1001,MATCH(ROWS($N$2:N282),$N$2:$N$1001,0),0), INDEX($U$1004:$AC$1004,1,MATCH(COLUMNS($U$1006:AC1006),$U$1006:$AC$1006,0)))),"Fix")))</f>
        <v>0</v>
      </c>
      <c r="N282">
        <v>0</v>
      </c>
      <c r="O282">
        <v>0</v>
      </c>
      <c r="P282">
        <v>0</v>
      </c>
      <c r="Q282">
        <f>IF(R282,TRUE,AND(U282:AC282))</f>
        <v>0</v>
      </c>
      <c r="R282">
        <f>COUNTBLANK(metadata!B282:J282)=COLUMNS(metadata!B282:J282)</f>
        <v>0</v>
      </c>
      <c r="S282">
        <v>0</v>
      </c>
      <c r="U282">
        <f>AND(IF(metadata!B282="",FALSE,TRUE),COUNTIF(metadata!B:B, metadata!B282) = 1,NOT(ISERROR(SUMPRODUCT(SEARCH(MID(metadata!B282,ROW(INDIRECT("1:"&amp;LEN(metadata!B282))), 1),"0123456789abcdefghijklmnopqrstuvwxyzABCDEFGHIJKLMNOPQRSTUVWXYZ.")))))</f>
        <v>0</v>
      </c>
      <c r="V282">
        <f>AND(IF(metadata!C282="",FALSE,TRUE),exact(metadata!C282,"UBERON:genitourinary"))</f>
        <v>0</v>
      </c>
      <c r="W282">
        <f>AND(IF(metadata!D282="",FALSE,TRUE),exact(metadata!D282,"UBERON:urine"))</f>
        <v>0</v>
      </c>
      <c r="X282">
        <f>AND(IF(metadata!E282="",FALSE,TRUE),exact(metadata!E282,"UBERON:kidney"))</f>
        <v>0</v>
      </c>
      <c r="Y282">
        <f>AND(IF(metadata!F282="",FALSE,TRUE),exact(metadata!F282,"animal corpus"))</f>
        <v>0</v>
      </c>
      <c r="Z282">
        <f>AND(IF(metadata!G282="",FALSE,TRUE),exact(metadata!G282,"urine"))</f>
        <v>0</v>
      </c>
      <c r="AA282">
        <f>AND(IF(metadata!H282="",FALSE,TRUE),exact(metadata!H282,"urine"))</f>
        <v>0</v>
      </c>
      <c r="AB282">
        <f>AND(IF(metadata!I282="",FALSE,TRUE),exact(metadata!I282,"urine metagenome"))</f>
        <v>0</v>
      </c>
      <c r="AC282">
        <f>AND(IF(metadata!J282="",FALSE,TRUE),exact(metadata!J282,"1346744"))</f>
        <v>0</v>
      </c>
    </row>
    <row r="283" spans="1:29">
      <c r="A283" s="4">
        <f>IF(B283=" "," ",HYPERLINK(CONCATENATE("#metadata!",ADDRESS(INDEX($P$2:$P$1001,MATCH(ROWS($N$2:N283),$N$2:$N$1001,0),0),1)),INDEX($S$2:$S$1001,MATCH(ROWS($N$2:N283),$N$2:$N$1001,0),0)))</f>
        <v>0</v>
      </c>
      <c r="B283" s="3">
        <f>IF(OR(INDEX($O$2:$O$1001,MATCH(ROWS($N$2:N283),$N$2:$N$1001,0),1)&gt;=100000,INDEX($U$1005:$AC$1005,1,MATCH(COLUMNS($U$1006:U1006),$U$1006:$AC$1006,0))&gt;=100000), " ",IF(INDEX($U$2:$AC$1001,MATCH(ROWS($N$2:N283),$N$2:$N$1001,0),MATCH(COLUMNS($U$1006:U1006),$U$1006:$AC$1006,0)), HYPERLINK("#",""), HYPERLINK(CONCATENATE("#metadata!", ADDRESS(INDEX($P$2:$P$1001,MATCH(ROWS($N$2:N283),$N$2:$N$1001,0),0), INDEX($U$1004:$AC$1004,1,MATCH(COLUMNS($U$1006:U1006),$U$1006:$AC$1006,0)))),"Fix")))</f>
        <v>0</v>
      </c>
      <c r="C283" s="3">
        <f>IF(OR(INDEX($O$2:$O$1001,MATCH(ROWS($N$2:N283),$N$2:$N$1001,0),1)&gt;=100000,INDEX($U$1005:$AC$1005,1,MATCH(COLUMNS($U$1006:V1006),$U$1006:$AC$1006,0))&gt;=100000), " ",IF(INDEX($U$2:$AC$1001,MATCH(ROWS($N$2:N283),$N$2:$N$1001,0),MATCH(COLUMNS($U$1006:V1006),$U$1006:$AC$1006,0)), HYPERLINK("#",""), HYPERLINK(CONCATENATE("#metadata!", ADDRESS(INDEX($P$2:$P$1001,MATCH(ROWS($N$2:N283),$N$2:$N$1001,0),0), INDEX($U$1004:$AC$1004,1,MATCH(COLUMNS($U$1006:V1006),$U$1006:$AC$1006,0)))),"Fix")))</f>
        <v>0</v>
      </c>
      <c r="D283" s="3">
        <f>IF(OR(INDEX($O$2:$O$1001,MATCH(ROWS($N$2:N283),$N$2:$N$1001,0),1)&gt;=100000,INDEX($U$1005:$AC$1005,1,MATCH(COLUMNS($U$1006:W1006),$U$1006:$AC$1006,0))&gt;=100000), " ",IF(INDEX($U$2:$AC$1001,MATCH(ROWS($N$2:N283),$N$2:$N$1001,0),MATCH(COLUMNS($U$1006:W1006),$U$1006:$AC$1006,0)), HYPERLINK("#",""), HYPERLINK(CONCATENATE("#metadata!", ADDRESS(INDEX($P$2:$P$1001,MATCH(ROWS($N$2:N283),$N$2:$N$1001,0),0), INDEX($U$1004:$AC$1004,1,MATCH(COLUMNS($U$1006:W1006),$U$1006:$AC$1006,0)))),"Fix")))</f>
        <v>0</v>
      </c>
      <c r="E283" s="3">
        <f>IF(OR(INDEX($O$2:$O$1001,MATCH(ROWS($N$2:N283),$N$2:$N$1001,0),1)&gt;=100000,INDEX($U$1005:$AC$1005,1,MATCH(COLUMNS($U$1006:X1006),$U$1006:$AC$1006,0))&gt;=100000), " ",IF(INDEX($U$2:$AC$1001,MATCH(ROWS($N$2:N283),$N$2:$N$1001,0),MATCH(COLUMNS($U$1006:X1006),$U$1006:$AC$1006,0)), HYPERLINK("#",""), HYPERLINK(CONCATENATE("#metadata!", ADDRESS(INDEX($P$2:$P$1001,MATCH(ROWS($N$2:N283),$N$2:$N$1001,0),0), INDEX($U$1004:$AC$1004,1,MATCH(COLUMNS($U$1006:X1006),$U$1006:$AC$1006,0)))),"Fix")))</f>
        <v>0</v>
      </c>
      <c r="F283" s="3">
        <f>IF(OR(INDEX($O$2:$O$1001,MATCH(ROWS($N$2:N283),$N$2:$N$1001,0),1)&gt;=100000,INDEX($U$1005:$AC$1005,1,MATCH(COLUMNS($U$1006:Y1006),$U$1006:$AC$1006,0))&gt;=100000), " ",IF(INDEX($U$2:$AC$1001,MATCH(ROWS($N$2:N283),$N$2:$N$1001,0),MATCH(COLUMNS($U$1006:Y1006),$U$1006:$AC$1006,0)), HYPERLINK("#",""), HYPERLINK(CONCATENATE("#metadata!", ADDRESS(INDEX($P$2:$P$1001,MATCH(ROWS($N$2:N283),$N$2:$N$1001,0),0), INDEX($U$1004:$AC$1004,1,MATCH(COLUMNS($U$1006:Y1006),$U$1006:$AC$1006,0)))),"Fix")))</f>
        <v>0</v>
      </c>
      <c r="G283" s="3">
        <f>IF(OR(INDEX($O$2:$O$1001,MATCH(ROWS($N$2:N283),$N$2:$N$1001,0),1)&gt;=100000,INDEX($U$1005:$AC$1005,1,MATCH(COLUMNS($U$1006:Z1006),$U$1006:$AC$1006,0))&gt;=100000), " ",IF(INDEX($U$2:$AC$1001,MATCH(ROWS($N$2:N283),$N$2:$N$1001,0),MATCH(COLUMNS($U$1006:Z1006),$U$1006:$AC$1006,0)), HYPERLINK("#",""), HYPERLINK(CONCATENATE("#metadata!", ADDRESS(INDEX($P$2:$P$1001,MATCH(ROWS($N$2:N283),$N$2:$N$1001,0),0), INDEX($U$1004:$AC$1004,1,MATCH(COLUMNS($U$1006:Z1006),$U$1006:$AC$1006,0)))),"Fix")))</f>
        <v>0</v>
      </c>
      <c r="H283" s="3">
        <f>IF(OR(INDEX($O$2:$O$1001,MATCH(ROWS($N$2:N283),$N$2:$N$1001,0),1)&gt;=100000,INDEX($U$1005:$AC$1005,1,MATCH(COLUMNS($U$1006:AA1006),$U$1006:$AC$1006,0))&gt;=100000), " ",IF(INDEX($U$2:$AC$1001,MATCH(ROWS($N$2:N283),$N$2:$N$1001,0),MATCH(COLUMNS($U$1006:AA1006),$U$1006:$AC$1006,0)), HYPERLINK("#",""), HYPERLINK(CONCATENATE("#metadata!", ADDRESS(INDEX($P$2:$P$1001,MATCH(ROWS($N$2:N283),$N$2:$N$1001,0),0), INDEX($U$1004:$AC$1004,1,MATCH(COLUMNS($U$1006:AA1006),$U$1006:$AC$1006,0)))),"Fix")))</f>
        <v>0</v>
      </c>
      <c r="I283" s="3">
        <f>IF(OR(INDEX($O$2:$O$1001,MATCH(ROWS($N$2:N283),$N$2:$N$1001,0),1)&gt;=100000,INDEX($U$1005:$AC$1005,1,MATCH(COLUMNS($U$1006:AB1006),$U$1006:$AC$1006,0))&gt;=100000), " ",IF(INDEX($U$2:$AC$1001,MATCH(ROWS($N$2:N283),$N$2:$N$1001,0),MATCH(COLUMNS($U$1006:AB1006),$U$1006:$AC$1006,0)), HYPERLINK("#",""), HYPERLINK(CONCATENATE("#metadata!", ADDRESS(INDEX($P$2:$P$1001,MATCH(ROWS($N$2:N283),$N$2:$N$1001,0),0), INDEX($U$1004:$AC$1004,1,MATCH(COLUMNS($U$1006:AB1006),$U$1006:$AC$1006,0)))),"Fix")))</f>
        <v>0</v>
      </c>
      <c r="J283" s="3">
        <f>IF(OR(INDEX($O$2:$O$1001,MATCH(ROWS($N$2:N283),$N$2:$N$1001,0),1)&gt;=100000,INDEX($U$1005:$AC$1005,1,MATCH(COLUMNS($U$1006:AC1006),$U$1006:$AC$1006,0))&gt;=100000), " ",IF(INDEX($U$2:$AC$1001,MATCH(ROWS($N$2:N283),$N$2:$N$1001,0),MATCH(COLUMNS($U$1006:AC1006),$U$1006:$AC$1006,0)), HYPERLINK("#",""), HYPERLINK(CONCATENATE("#metadata!", ADDRESS(INDEX($P$2:$P$1001,MATCH(ROWS($N$2:N283),$N$2:$N$1001,0),0), INDEX($U$1004:$AC$1004,1,MATCH(COLUMNS($U$1006:AC1006),$U$1006:$AC$1006,0)))),"Fix")))</f>
        <v>0</v>
      </c>
      <c r="N283">
        <v>0</v>
      </c>
      <c r="O283">
        <v>0</v>
      </c>
      <c r="P283">
        <v>0</v>
      </c>
      <c r="Q283">
        <f>IF(R283,TRUE,AND(U283:AC283))</f>
        <v>0</v>
      </c>
      <c r="R283">
        <f>COUNTBLANK(metadata!B283:J283)=COLUMNS(metadata!B283:J283)</f>
        <v>0</v>
      </c>
      <c r="S283">
        <v>0</v>
      </c>
      <c r="U283">
        <f>AND(IF(metadata!B283="",FALSE,TRUE),COUNTIF(metadata!B:B, metadata!B283) = 1,NOT(ISERROR(SUMPRODUCT(SEARCH(MID(metadata!B283,ROW(INDIRECT("1:"&amp;LEN(metadata!B283))), 1),"0123456789abcdefghijklmnopqrstuvwxyzABCDEFGHIJKLMNOPQRSTUVWXYZ.")))))</f>
        <v>0</v>
      </c>
      <c r="V283">
        <f>AND(IF(metadata!C283="",FALSE,TRUE),exact(metadata!C283,"UBERON:genitourinary"))</f>
        <v>0</v>
      </c>
      <c r="W283">
        <f>AND(IF(metadata!D283="",FALSE,TRUE),exact(metadata!D283,"UBERON:urine"))</f>
        <v>0</v>
      </c>
      <c r="X283">
        <f>AND(IF(metadata!E283="",FALSE,TRUE),exact(metadata!E283,"UBERON:kidney"))</f>
        <v>0</v>
      </c>
      <c r="Y283">
        <f>AND(IF(metadata!F283="",FALSE,TRUE),exact(metadata!F283,"animal corpus"))</f>
        <v>0</v>
      </c>
      <c r="Z283">
        <f>AND(IF(metadata!G283="",FALSE,TRUE),exact(metadata!G283,"urine"))</f>
        <v>0</v>
      </c>
      <c r="AA283">
        <f>AND(IF(metadata!H283="",FALSE,TRUE),exact(metadata!H283,"urine"))</f>
        <v>0</v>
      </c>
      <c r="AB283">
        <f>AND(IF(metadata!I283="",FALSE,TRUE),exact(metadata!I283,"urine metagenome"))</f>
        <v>0</v>
      </c>
      <c r="AC283">
        <f>AND(IF(metadata!J283="",FALSE,TRUE),exact(metadata!J283,"1346744"))</f>
        <v>0</v>
      </c>
    </row>
    <row r="284" spans="1:29">
      <c r="A284" s="4">
        <f>IF(B284=" "," ",HYPERLINK(CONCATENATE("#metadata!",ADDRESS(INDEX($P$2:$P$1001,MATCH(ROWS($N$2:N284),$N$2:$N$1001,0),0),1)),INDEX($S$2:$S$1001,MATCH(ROWS($N$2:N284),$N$2:$N$1001,0),0)))</f>
        <v>0</v>
      </c>
      <c r="B284" s="3">
        <f>IF(OR(INDEX($O$2:$O$1001,MATCH(ROWS($N$2:N284),$N$2:$N$1001,0),1)&gt;=100000,INDEX($U$1005:$AC$1005,1,MATCH(COLUMNS($U$1006:U1006),$U$1006:$AC$1006,0))&gt;=100000), " ",IF(INDEX($U$2:$AC$1001,MATCH(ROWS($N$2:N284),$N$2:$N$1001,0),MATCH(COLUMNS($U$1006:U1006),$U$1006:$AC$1006,0)), HYPERLINK("#",""), HYPERLINK(CONCATENATE("#metadata!", ADDRESS(INDEX($P$2:$P$1001,MATCH(ROWS($N$2:N284),$N$2:$N$1001,0),0), INDEX($U$1004:$AC$1004,1,MATCH(COLUMNS($U$1006:U1006),$U$1006:$AC$1006,0)))),"Fix")))</f>
        <v>0</v>
      </c>
      <c r="C284" s="3">
        <f>IF(OR(INDEX($O$2:$O$1001,MATCH(ROWS($N$2:N284),$N$2:$N$1001,0),1)&gt;=100000,INDEX($U$1005:$AC$1005,1,MATCH(COLUMNS($U$1006:V1006),$U$1006:$AC$1006,0))&gt;=100000), " ",IF(INDEX($U$2:$AC$1001,MATCH(ROWS($N$2:N284),$N$2:$N$1001,0),MATCH(COLUMNS($U$1006:V1006),$U$1006:$AC$1006,0)), HYPERLINK("#",""), HYPERLINK(CONCATENATE("#metadata!", ADDRESS(INDEX($P$2:$P$1001,MATCH(ROWS($N$2:N284),$N$2:$N$1001,0),0), INDEX($U$1004:$AC$1004,1,MATCH(COLUMNS($U$1006:V1006),$U$1006:$AC$1006,0)))),"Fix")))</f>
        <v>0</v>
      </c>
      <c r="D284" s="3">
        <f>IF(OR(INDEX($O$2:$O$1001,MATCH(ROWS($N$2:N284),$N$2:$N$1001,0),1)&gt;=100000,INDEX($U$1005:$AC$1005,1,MATCH(COLUMNS($U$1006:W1006),$U$1006:$AC$1006,0))&gt;=100000), " ",IF(INDEX($U$2:$AC$1001,MATCH(ROWS($N$2:N284),$N$2:$N$1001,0),MATCH(COLUMNS($U$1006:W1006),$U$1006:$AC$1006,0)), HYPERLINK("#",""), HYPERLINK(CONCATENATE("#metadata!", ADDRESS(INDEX($P$2:$P$1001,MATCH(ROWS($N$2:N284),$N$2:$N$1001,0),0), INDEX($U$1004:$AC$1004,1,MATCH(COLUMNS($U$1006:W1006),$U$1006:$AC$1006,0)))),"Fix")))</f>
        <v>0</v>
      </c>
      <c r="E284" s="3">
        <f>IF(OR(INDEX($O$2:$O$1001,MATCH(ROWS($N$2:N284),$N$2:$N$1001,0),1)&gt;=100000,INDEX($U$1005:$AC$1005,1,MATCH(COLUMNS($U$1006:X1006),$U$1006:$AC$1006,0))&gt;=100000), " ",IF(INDEX($U$2:$AC$1001,MATCH(ROWS($N$2:N284),$N$2:$N$1001,0),MATCH(COLUMNS($U$1006:X1006),$U$1006:$AC$1006,0)), HYPERLINK("#",""), HYPERLINK(CONCATENATE("#metadata!", ADDRESS(INDEX($P$2:$P$1001,MATCH(ROWS($N$2:N284),$N$2:$N$1001,0),0), INDEX($U$1004:$AC$1004,1,MATCH(COLUMNS($U$1006:X1006),$U$1006:$AC$1006,0)))),"Fix")))</f>
        <v>0</v>
      </c>
      <c r="F284" s="3">
        <f>IF(OR(INDEX($O$2:$O$1001,MATCH(ROWS($N$2:N284),$N$2:$N$1001,0),1)&gt;=100000,INDEX($U$1005:$AC$1005,1,MATCH(COLUMNS($U$1006:Y1006),$U$1006:$AC$1006,0))&gt;=100000), " ",IF(INDEX($U$2:$AC$1001,MATCH(ROWS($N$2:N284),$N$2:$N$1001,0),MATCH(COLUMNS($U$1006:Y1006),$U$1006:$AC$1006,0)), HYPERLINK("#",""), HYPERLINK(CONCATENATE("#metadata!", ADDRESS(INDEX($P$2:$P$1001,MATCH(ROWS($N$2:N284),$N$2:$N$1001,0),0), INDEX($U$1004:$AC$1004,1,MATCH(COLUMNS($U$1006:Y1006),$U$1006:$AC$1006,0)))),"Fix")))</f>
        <v>0</v>
      </c>
      <c r="G284" s="3">
        <f>IF(OR(INDEX($O$2:$O$1001,MATCH(ROWS($N$2:N284),$N$2:$N$1001,0),1)&gt;=100000,INDEX($U$1005:$AC$1005,1,MATCH(COLUMNS($U$1006:Z1006),$U$1006:$AC$1006,0))&gt;=100000), " ",IF(INDEX($U$2:$AC$1001,MATCH(ROWS($N$2:N284),$N$2:$N$1001,0),MATCH(COLUMNS($U$1006:Z1006),$U$1006:$AC$1006,0)), HYPERLINK("#",""), HYPERLINK(CONCATENATE("#metadata!", ADDRESS(INDEX($P$2:$P$1001,MATCH(ROWS($N$2:N284),$N$2:$N$1001,0),0), INDEX($U$1004:$AC$1004,1,MATCH(COLUMNS($U$1006:Z1006),$U$1006:$AC$1006,0)))),"Fix")))</f>
        <v>0</v>
      </c>
      <c r="H284" s="3">
        <f>IF(OR(INDEX($O$2:$O$1001,MATCH(ROWS($N$2:N284),$N$2:$N$1001,0),1)&gt;=100000,INDEX($U$1005:$AC$1005,1,MATCH(COLUMNS($U$1006:AA1006),$U$1006:$AC$1006,0))&gt;=100000), " ",IF(INDEX($U$2:$AC$1001,MATCH(ROWS($N$2:N284),$N$2:$N$1001,0),MATCH(COLUMNS($U$1006:AA1006),$U$1006:$AC$1006,0)), HYPERLINK("#",""), HYPERLINK(CONCATENATE("#metadata!", ADDRESS(INDEX($P$2:$P$1001,MATCH(ROWS($N$2:N284),$N$2:$N$1001,0),0), INDEX($U$1004:$AC$1004,1,MATCH(COLUMNS($U$1006:AA1006),$U$1006:$AC$1006,0)))),"Fix")))</f>
        <v>0</v>
      </c>
      <c r="I284" s="3">
        <f>IF(OR(INDEX($O$2:$O$1001,MATCH(ROWS($N$2:N284),$N$2:$N$1001,0),1)&gt;=100000,INDEX($U$1005:$AC$1005,1,MATCH(COLUMNS($U$1006:AB1006),$U$1006:$AC$1006,0))&gt;=100000), " ",IF(INDEX($U$2:$AC$1001,MATCH(ROWS($N$2:N284),$N$2:$N$1001,0),MATCH(COLUMNS($U$1006:AB1006),$U$1006:$AC$1006,0)), HYPERLINK("#",""), HYPERLINK(CONCATENATE("#metadata!", ADDRESS(INDEX($P$2:$P$1001,MATCH(ROWS($N$2:N284),$N$2:$N$1001,0),0), INDEX($U$1004:$AC$1004,1,MATCH(COLUMNS($U$1006:AB1006),$U$1006:$AC$1006,0)))),"Fix")))</f>
        <v>0</v>
      </c>
      <c r="J284" s="3">
        <f>IF(OR(INDEX($O$2:$O$1001,MATCH(ROWS($N$2:N284),$N$2:$N$1001,0),1)&gt;=100000,INDEX($U$1005:$AC$1005,1,MATCH(COLUMNS($U$1006:AC1006),$U$1006:$AC$1006,0))&gt;=100000), " ",IF(INDEX($U$2:$AC$1001,MATCH(ROWS($N$2:N284),$N$2:$N$1001,0),MATCH(COLUMNS($U$1006:AC1006),$U$1006:$AC$1006,0)), HYPERLINK("#",""), HYPERLINK(CONCATENATE("#metadata!", ADDRESS(INDEX($P$2:$P$1001,MATCH(ROWS($N$2:N284),$N$2:$N$1001,0),0), INDEX($U$1004:$AC$1004,1,MATCH(COLUMNS($U$1006:AC1006),$U$1006:$AC$1006,0)))),"Fix")))</f>
        <v>0</v>
      </c>
      <c r="N284">
        <v>0</v>
      </c>
      <c r="O284">
        <v>0</v>
      </c>
      <c r="P284">
        <v>0</v>
      </c>
      <c r="Q284">
        <f>IF(R284,TRUE,AND(U284:AC284))</f>
        <v>0</v>
      </c>
      <c r="R284">
        <f>COUNTBLANK(metadata!B284:J284)=COLUMNS(metadata!B284:J284)</f>
        <v>0</v>
      </c>
      <c r="S284">
        <v>0</v>
      </c>
      <c r="U284">
        <f>AND(IF(metadata!B284="",FALSE,TRUE),COUNTIF(metadata!B:B, metadata!B284) = 1,NOT(ISERROR(SUMPRODUCT(SEARCH(MID(metadata!B284,ROW(INDIRECT("1:"&amp;LEN(metadata!B284))), 1),"0123456789abcdefghijklmnopqrstuvwxyzABCDEFGHIJKLMNOPQRSTUVWXYZ.")))))</f>
        <v>0</v>
      </c>
      <c r="V284">
        <f>AND(IF(metadata!C284="",FALSE,TRUE),exact(metadata!C284,"UBERON:genitourinary"))</f>
        <v>0</v>
      </c>
      <c r="W284">
        <f>AND(IF(metadata!D284="",FALSE,TRUE),exact(metadata!D284,"UBERON:urine"))</f>
        <v>0</v>
      </c>
      <c r="X284">
        <f>AND(IF(metadata!E284="",FALSE,TRUE),exact(metadata!E284,"UBERON:kidney"))</f>
        <v>0</v>
      </c>
      <c r="Y284">
        <f>AND(IF(metadata!F284="",FALSE,TRUE),exact(metadata!F284,"animal corpus"))</f>
        <v>0</v>
      </c>
      <c r="Z284">
        <f>AND(IF(metadata!G284="",FALSE,TRUE),exact(metadata!G284,"urine"))</f>
        <v>0</v>
      </c>
      <c r="AA284">
        <f>AND(IF(metadata!H284="",FALSE,TRUE),exact(metadata!H284,"urine"))</f>
        <v>0</v>
      </c>
      <c r="AB284">
        <f>AND(IF(metadata!I284="",FALSE,TRUE),exact(metadata!I284,"urine metagenome"))</f>
        <v>0</v>
      </c>
      <c r="AC284">
        <f>AND(IF(metadata!J284="",FALSE,TRUE),exact(metadata!J284,"1346744"))</f>
        <v>0</v>
      </c>
    </row>
    <row r="285" spans="1:29">
      <c r="A285" s="4">
        <f>IF(B285=" "," ",HYPERLINK(CONCATENATE("#metadata!",ADDRESS(INDEX($P$2:$P$1001,MATCH(ROWS($N$2:N285),$N$2:$N$1001,0),0),1)),INDEX($S$2:$S$1001,MATCH(ROWS($N$2:N285),$N$2:$N$1001,0),0)))</f>
        <v>0</v>
      </c>
      <c r="B285" s="3">
        <f>IF(OR(INDEX($O$2:$O$1001,MATCH(ROWS($N$2:N285),$N$2:$N$1001,0),1)&gt;=100000,INDEX($U$1005:$AC$1005,1,MATCH(COLUMNS($U$1006:U1006),$U$1006:$AC$1006,0))&gt;=100000), " ",IF(INDEX($U$2:$AC$1001,MATCH(ROWS($N$2:N285),$N$2:$N$1001,0),MATCH(COLUMNS($U$1006:U1006),$U$1006:$AC$1006,0)), HYPERLINK("#",""), HYPERLINK(CONCATENATE("#metadata!", ADDRESS(INDEX($P$2:$P$1001,MATCH(ROWS($N$2:N285),$N$2:$N$1001,0),0), INDEX($U$1004:$AC$1004,1,MATCH(COLUMNS($U$1006:U1006),$U$1006:$AC$1006,0)))),"Fix")))</f>
        <v>0</v>
      </c>
      <c r="C285" s="3">
        <f>IF(OR(INDEX($O$2:$O$1001,MATCH(ROWS($N$2:N285),$N$2:$N$1001,0),1)&gt;=100000,INDEX($U$1005:$AC$1005,1,MATCH(COLUMNS($U$1006:V1006),$U$1006:$AC$1006,0))&gt;=100000), " ",IF(INDEX($U$2:$AC$1001,MATCH(ROWS($N$2:N285),$N$2:$N$1001,0),MATCH(COLUMNS($U$1006:V1006),$U$1006:$AC$1006,0)), HYPERLINK("#",""), HYPERLINK(CONCATENATE("#metadata!", ADDRESS(INDEX($P$2:$P$1001,MATCH(ROWS($N$2:N285),$N$2:$N$1001,0),0), INDEX($U$1004:$AC$1004,1,MATCH(COLUMNS($U$1006:V1006),$U$1006:$AC$1006,0)))),"Fix")))</f>
        <v>0</v>
      </c>
      <c r="D285" s="3">
        <f>IF(OR(INDEX($O$2:$O$1001,MATCH(ROWS($N$2:N285),$N$2:$N$1001,0),1)&gt;=100000,INDEX($U$1005:$AC$1005,1,MATCH(COLUMNS($U$1006:W1006),$U$1006:$AC$1006,0))&gt;=100000), " ",IF(INDEX($U$2:$AC$1001,MATCH(ROWS($N$2:N285),$N$2:$N$1001,0),MATCH(COLUMNS($U$1006:W1006),$U$1006:$AC$1006,0)), HYPERLINK("#",""), HYPERLINK(CONCATENATE("#metadata!", ADDRESS(INDEX($P$2:$P$1001,MATCH(ROWS($N$2:N285),$N$2:$N$1001,0),0), INDEX($U$1004:$AC$1004,1,MATCH(COLUMNS($U$1006:W1006),$U$1006:$AC$1006,0)))),"Fix")))</f>
        <v>0</v>
      </c>
      <c r="E285" s="3">
        <f>IF(OR(INDEX($O$2:$O$1001,MATCH(ROWS($N$2:N285),$N$2:$N$1001,0),1)&gt;=100000,INDEX($U$1005:$AC$1005,1,MATCH(COLUMNS($U$1006:X1006),$U$1006:$AC$1006,0))&gt;=100000), " ",IF(INDEX($U$2:$AC$1001,MATCH(ROWS($N$2:N285),$N$2:$N$1001,0),MATCH(COLUMNS($U$1006:X1006),$U$1006:$AC$1006,0)), HYPERLINK("#",""), HYPERLINK(CONCATENATE("#metadata!", ADDRESS(INDEX($P$2:$P$1001,MATCH(ROWS($N$2:N285),$N$2:$N$1001,0),0), INDEX($U$1004:$AC$1004,1,MATCH(COLUMNS($U$1006:X1006),$U$1006:$AC$1006,0)))),"Fix")))</f>
        <v>0</v>
      </c>
      <c r="F285" s="3">
        <f>IF(OR(INDEX($O$2:$O$1001,MATCH(ROWS($N$2:N285),$N$2:$N$1001,0),1)&gt;=100000,INDEX($U$1005:$AC$1005,1,MATCH(COLUMNS($U$1006:Y1006),$U$1006:$AC$1006,0))&gt;=100000), " ",IF(INDEX($U$2:$AC$1001,MATCH(ROWS($N$2:N285),$N$2:$N$1001,0),MATCH(COLUMNS($U$1006:Y1006),$U$1006:$AC$1006,0)), HYPERLINK("#",""), HYPERLINK(CONCATENATE("#metadata!", ADDRESS(INDEX($P$2:$P$1001,MATCH(ROWS($N$2:N285),$N$2:$N$1001,0),0), INDEX($U$1004:$AC$1004,1,MATCH(COLUMNS($U$1006:Y1006),$U$1006:$AC$1006,0)))),"Fix")))</f>
        <v>0</v>
      </c>
      <c r="G285" s="3">
        <f>IF(OR(INDEX($O$2:$O$1001,MATCH(ROWS($N$2:N285),$N$2:$N$1001,0),1)&gt;=100000,INDEX($U$1005:$AC$1005,1,MATCH(COLUMNS($U$1006:Z1006),$U$1006:$AC$1006,0))&gt;=100000), " ",IF(INDEX($U$2:$AC$1001,MATCH(ROWS($N$2:N285),$N$2:$N$1001,0),MATCH(COLUMNS($U$1006:Z1006),$U$1006:$AC$1006,0)), HYPERLINK("#",""), HYPERLINK(CONCATENATE("#metadata!", ADDRESS(INDEX($P$2:$P$1001,MATCH(ROWS($N$2:N285),$N$2:$N$1001,0),0), INDEX($U$1004:$AC$1004,1,MATCH(COLUMNS($U$1006:Z1006),$U$1006:$AC$1006,0)))),"Fix")))</f>
        <v>0</v>
      </c>
      <c r="H285" s="3">
        <f>IF(OR(INDEX($O$2:$O$1001,MATCH(ROWS($N$2:N285),$N$2:$N$1001,0),1)&gt;=100000,INDEX($U$1005:$AC$1005,1,MATCH(COLUMNS($U$1006:AA1006),$U$1006:$AC$1006,0))&gt;=100000), " ",IF(INDEX($U$2:$AC$1001,MATCH(ROWS($N$2:N285),$N$2:$N$1001,0),MATCH(COLUMNS($U$1006:AA1006),$U$1006:$AC$1006,0)), HYPERLINK("#",""), HYPERLINK(CONCATENATE("#metadata!", ADDRESS(INDEX($P$2:$P$1001,MATCH(ROWS($N$2:N285),$N$2:$N$1001,0),0), INDEX($U$1004:$AC$1004,1,MATCH(COLUMNS($U$1006:AA1006),$U$1006:$AC$1006,0)))),"Fix")))</f>
        <v>0</v>
      </c>
      <c r="I285" s="3">
        <f>IF(OR(INDEX($O$2:$O$1001,MATCH(ROWS($N$2:N285),$N$2:$N$1001,0),1)&gt;=100000,INDEX($U$1005:$AC$1005,1,MATCH(COLUMNS($U$1006:AB1006),$U$1006:$AC$1006,0))&gt;=100000), " ",IF(INDEX($U$2:$AC$1001,MATCH(ROWS($N$2:N285),$N$2:$N$1001,0),MATCH(COLUMNS($U$1006:AB1006),$U$1006:$AC$1006,0)), HYPERLINK("#",""), HYPERLINK(CONCATENATE("#metadata!", ADDRESS(INDEX($P$2:$P$1001,MATCH(ROWS($N$2:N285),$N$2:$N$1001,0),0), INDEX($U$1004:$AC$1004,1,MATCH(COLUMNS($U$1006:AB1006),$U$1006:$AC$1006,0)))),"Fix")))</f>
        <v>0</v>
      </c>
      <c r="J285" s="3">
        <f>IF(OR(INDEX($O$2:$O$1001,MATCH(ROWS($N$2:N285),$N$2:$N$1001,0),1)&gt;=100000,INDEX($U$1005:$AC$1005,1,MATCH(COLUMNS($U$1006:AC1006),$U$1006:$AC$1006,0))&gt;=100000), " ",IF(INDEX($U$2:$AC$1001,MATCH(ROWS($N$2:N285),$N$2:$N$1001,0),MATCH(COLUMNS($U$1006:AC1006),$U$1006:$AC$1006,0)), HYPERLINK("#",""), HYPERLINK(CONCATENATE("#metadata!", ADDRESS(INDEX($P$2:$P$1001,MATCH(ROWS($N$2:N285),$N$2:$N$1001,0),0), INDEX($U$1004:$AC$1004,1,MATCH(COLUMNS($U$1006:AC1006),$U$1006:$AC$1006,0)))),"Fix")))</f>
        <v>0</v>
      </c>
      <c r="N285">
        <v>0</v>
      </c>
      <c r="O285">
        <v>0</v>
      </c>
      <c r="P285">
        <v>0</v>
      </c>
      <c r="Q285">
        <f>IF(R285,TRUE,AND(U285:AC285))</f>
        <v>0</v>
      </c>
      <c r="R285">
        <f>COUNTBLANK(metadata!B285:J285)=COLUMNS(metadata!B285:J285)</f>
        <v>0</v>
      </c>
      <c r="S285">
        <v>0</v>
      </c>
      <c r="U285">
        <f>AND(IF(metadata!B285="",FALSE,TRUE),COUNTIF(metadata!B:B, metadata!B285) = 1,NOT(ISERROR(SUMPRODUCT(SEARCH(MID(metadata!B285,ROW(INDIRECT("1:"&amp;LEN(metadata!B285))), 1),"0123456789abcdefghijklmnopqrstuvwxyzABCDEFGHIJKLMNOPQRSTUVWXYZ.")))))</f>
        <v>0</v>
      </c>
      <c r="V285">
        <f>AND(IF(metadata!C285="",FALSE,TRUE),exact(metadata!C285,"UBERON:genitourinary"))</f>
        <v>0</v>
      </c>
      <c r="W285">
        <f>AND(IF(metadata!D285="",FALSE,TRUE),exact(metadata!D285,"UBERON:urine"))</f>
        <v>0</v>
      </c>
      <c r="X285">
        <f>AND(IF(metadata!E285="",FALSE,TRUE),exact(metadata!E285,"UBERON:kidney"))</f>
        <v>0</v>
      </c>
      <c r="Y285">
        <f>AND(IF(metadata!F285="",FALSE,TRUE),exact(metadata!F285,"animal corpus"))</f>
        <v>0</v>
      </c>
      <c r="Z285">
        <f>AND(IF(metadata!G285="",FALSE,TRUE),exact(metadata!G285,"urine"))</f>
        <v>0</v>
      </c>
      <c r="AA285">
        <f>AND(IF(metadata!H285="",FALSE,TRUE),exact(metadata!H285,"urine"))</f>
        <v>0</v>
      </c>
      <c r="AB285">
        <f>AND(IF(metadata!I285="",FALSE,TRUE),exact(metadata!I285,"urine metagenome"))</f>
        <v>0</v>
      </c>
      <c r="AC285">
        <f>AND(IF(metadata!J285="",FALSE,TRUE),exact(metadata!J285,"1346744"))</f>
        <v>0</v>
      </c>
    </row>
    <row r="286" spans="1:29">
      <c r="A286" s="4">
        <f>IF(B286=" "," ",HYPERLINK(CONCATENATE("#metadata!",ADDRESS(INDEX($P$2:$P$1001,MATCH(ROWS($N$2:N286),$N$2:$N$1001,0),0),1)),INDEX($S$2:$S$1001,MATCH(ROWS($N$2:N286),$N$2:$N$1001,0),0)))</f>
        <v>0</v>
      </c>
      <c r="B286" s="3">
        <f>IF(OR(INDEX($O$2:$O$1001,MATCH(ROWS($N$2:N286),$N$2:$N$1001,0),1)&gt;=100000,INDEX($U$1005:$AC$1005,1,MATCH(COLUMNS($U$1006:U1006),$U$1006:$AC$1006,0))&gt;=100000), " ",IF(INDEX($U$2:$AC$1001,MATCH(ROWS($N$2:N286),$N$2:$N$1001,0),MATCH(COLUMNS($U$1006:U1006),$U$1006:$AC$1006,0)), HYPERLINK("#",""), HYPERLINK(CONCATENATE("#metadata!", ADDRESS(INDEX($P$2:$P$1001,MATCH(ROWS($N$2:N286),$N$2:$N$1001,0),0), INDEX($U$1004:$AC$1004,1,MATCH(COLUMNS($U$1006:U1006),$U$1006:$AC$1006,0)))),"Fix")))</f>
        <v>0</v>
      </c>
      <c r="C286" s="3">
        <f>IF(OR(INDEX($O$2:$O$1001,MATCH(ROWS($N$2:N286),$N$2:$N$1001,0),1)&gt;=100000,INDEX($U$1005:$AC$1005,1,MATCH(COLUMNS($U$1006:V1006),$U$1006:$AC$1006,0))&gt;=100000), " ",IF(INDEX($U$2:$AC$1001,MATCH(ROWS($N$2:N286),$N$2:$N$1001,0),MATCH(COLUMNS($U$1006:V1006),$U$1006:$AC$1006,0)), HYPERLINK("#",""), HYPERLINK(CONCATENATE("#metadata!", ADDRESS(INDEX($P$2:$P$1001,MATCH(ROWS($N$2:N286),$N$2:$N$1001,0),0), INDEX($U$1004:$AC$1004,1,MATCH(COLUMNS($U$1006:V1006),$U$1006:$AC$1006,0)))),"Fix")))</f>
        <v>0</v>
      </c>
      <c r="D286" s="3">
        <f>IF(OR(INDEX($O$2:$O$1001,MATCH(ROWS($N$2:N286),$N$2:$N$1001,0),1)&gt;=100000,INDEX($U$1005:$AC$1005,1,MATCH(COLUMNS($U$1006:W1006),$U$1006:$AC$1006,0))&gt;=100000), " ",IF(INDEX($U$2:$AC$1001,MATCH(ROWS($N$2:N286),$N$2:$N$1001,0),MATCH(COLUMNS($U$1006:W1006),$U$1006:$AC$1006,0)), HYPERLINK("#",""), HYPERLINK(CONCATENATE("#metadata!", ADDRESS(INDEX($P$2:$P$1001,MATCH(ROWS($N$2:N286),$N$2:$N$1001,0),0), INDEX($U$1004:$AC$1004,1,MATCH(COLUMNS($U$1006:W1006),$U$1006:$AC$1006,0)))),"Fix")))</f>
        <v>0</v>
      </c>
      <c r="E286" s="3">
        <f>IF(OR(INDEX($O$2:$O$1001,MATCH(ROWS($N$2:N286),$N$2:$N$1001,0),1)&gt;=100000,INDEX($U$1005:$AC$1005,1,MATCH(COLUMNS($U$1006:X1006),$U$1006:$AC$1006,0))&gt;=100000), " ",IF(INDEX($U$2:$AC$1001,MATCH(ROWS($N$2:N286),$N$2:$N$1001,0),MATCH(COLUMNS($U$1006:X1006),$U$1006:$AC$1006,0)), HYPERLINK("#",""), HYPERLINK(CONCATENATE("#metadata!", ADDRESS(INDEX($P$2:$P$1001,MATCH(ROWS($N$2:N286),$N$2:$N$1001,0),0), INDEX($U$1004:$AC$1004,1,MATCH(COLUMNS($U$1006:X1006),$U$1006:$AC$1006,0)))),"Fix")))</f>
        <v>0</v>
      </c>
      <c r="F286" s="3">
        <f>IF(OR(INDEX($O$2:$O$1001,MATCH(ROWS($N$2:N286),$N$2:$N$1001,0),1)&gt;=100000,INDEX($U$1005:$AC$1005,1,MATCH(COLUMNS($U$1006:Y1006),$U$1006:$AC$1006,0))&gt;=100000), " ",IF(INDEX($U$2:$AC$1001,MATCH(ROWS($N$2:N286),$N$2:$N$1001,0),MATCH(COLUMNS($U$1006:Y1006),$U$1006:$AC$1006,0)), HYPERLINK("#",""), HYPERLINK(CONCATENATE("#metadata!", ADDRESS(INDEX($P$2:$P$1001,MATCH(ROWS($N$2:N286),$N$2:$N$1001,0),0), INDEX($U$1004:$AC$1004,1,MATCH(COLUMNS($U$1006:Y1006),$U$1006:$AC$1006,0)))),"Fix")))</f>
        <v>0</v>
      </c>
      <c r="G286" s="3">
        <f>IF(OR(INDEX($O$2:$O$1001,MATCH(ROWS($N$2:N286),$N$2:$N$1001,0),1)&gt;=100000,INDEX($U$1005:$AC$1005,1,MATCH(COLUMNS($U$1006:Z1006),$U$1006:$AC$1006,0))&gt;=100000), " ",IF(INDEX($U$2:$AC$1001,MATCH(ROWS($N$2:N286),$N$2:$N$1001,0),MATCH(COLUMNS($U$1006:Z1006),$U$1006:$AC$1006,0)), HYPERLINK("#",""), HYPERLINK(CONCATENATE("#metadata!", ADDRESS(INDEX($P$2:$P$1001,MATCH(ROWS($N$2:N286),$N$2:$N$1001,0),0), INDEX($U$1004:$AC$1004,1,MATCH(COLUMNS($U$1006:Z1006),$U$1006:$AC$1006,0)))),"Fix")))</f>
        <v>0</v>
      </c>
      <c r="H286" s="3">
        <f>IF(OR(INDEX($O$2:$O$1001,MATCH(ROWS($N$2:N286),$N$2:$N$1001,0),1)&gt;=100000,INDEX($U$1005:$AC$1005,1,MATCH(COLUMNS($U$1006:AA1006),$U$1006:$AC$1006,0))&gt;=100000), " ",IF(INDEX($U$2:$AC$1001,MATCH(ROWS($N$2:N286),$N$2:$N$1001,0),MATCH(COLUMNS($U$1006:AA1006),$U$1006:$AC$1006,0)), HYPERLINK("#",""), HYPERLINK(CONCATENATE("#metadata!", ADDRESS(INDEX($P$2:$P$1001,MATCH(ROWS($N$2:N286),$N$2:$N$1001,0),0), INDEX($U$1004:$AC$1004,1,MATCH(COLUMNS($U$1006:AA1006),$U$1006:$AC$1006,0)))),"Fix")))</f>
        <v>0</v>
      </c>
      <c r="I286" s="3">
        <f>IF(OR(INDEX($O$2:$O$1001,MATCH(ROWS($N$2:N286),$N$2:$N$1001,0),1)&gt;=100000,INDEX($U$1005:$AC$1005,1,MATCH(COLUMNS($U$1006:AB1006),$U$1006:$AC$1006,0))&gt;=100000), " ",IF(INDEX($U$2:$AC$1001,MATCH(ROWS($N$2:N286),$N$2:$N$1001,0),MATCH(COLUMNS($U$1006:AB1006),$U$1006:$AC$1006,0)), HYPERLINK("#",""), HYPERLINK(CONCATENATE("#metadata!", ADDRESS(INDEX($P$2:$P$1001,MATCH(ROWS($N$2:N286),$N$2:$N$1001,0),0), INDEX($U$1004:$AC$1004,1,MATCH(COLUMNS($U$1006:AB1006),$U$1006:$AC$1006,0)))),"Fix")))</f>
        <v>0</v>
      </c>
      <c r="J286" s="3">
        <f>IF(OR(INDEX($O$2:$O$1001,MATCH(ROWS($N$2:N286),$N$2:$N$1001,0),1)&gt;=100000,INDEX($U$1005:$AC$1005,1,MATCH(COLUMNS($U$1006:AC1006),$U$1006:$AC$1006,0))&gt;=100000), " ",IF(INDEX($U$2:$AC$1001,MATCH(ROWS($N$2:N286),$N$2:$N$1001,0),MATCH(COLUMNS($U$1006:AC1006),$U$1006:$AC$1006,0)), HYPERLINK("#",""), HYPERLINK(CONCATENATE("#metadata!", ADDRESS(INDEX($P$2:$P$1001,MATCH(ROWS($N$2:N286),$N$2:$N$1001,0),0), INDEX($U$1004:$AC$1004,1,MATCH(COLUMNS($U$1006:AC1006),$U$1006:$AC$1006,0)))),"Fix")))</f>
        <v>0</v>
      </c>
      <c r="N286">
        <v>0</v>
      </c>
      <c r="O286">
        <v>0</v>
      </c>
      <c r="P286">
        <v>0</v>
      </c>
      <c r="Q286">
        <f>IF(R286,TRUE,AND(U286:AC286))</f>
        <v>0</v>
      </c>
      <c r="R286">
        <f>COUNTBLANK(metadata!B286:J286)=COLUMNS(metadata!B286:J286)</f>
        <v>0</v>
      </c>
      <c r="S286">
        <v>0</v>
      </c>
      <c r="U286">
        <f>AND(IF(metadata!B286="",FALSE,TRUE),COUNTIF(metadata!B:B, metadata!B286) = 1,NOT(ISERROR(SUMPRODUCT(SEARCH(MID(metadata!B286,ROW(INDIRECT("1:"&amp;LEN(metadata!B286))), 1),"0123456789abcdefghijklmnopqrstuvwxyzABCDEFGHIJKLMNOPQRSTUVWXYZ.")))))</f>
        <v>0</v>
      </c>
      <c r="V286">
        <f>AND(IF(metadata!C286="",FALSE,TRUE),exact(metadata!C286,"UBERON:genitourinary"))</f>
        <v>0</v>
      </c>
      <c r="W286">
        <f>AND(IF(metadata!D286="",FALSE,TRUE),exact(metadata!D286,"UBERON:urine"))</f>
        <v>0</v>
      </c>
      <c r="X286">
        <f>AND(IF(metadata!E286="",FALSE,TRUE),exact(metadata!E286,"UBERON:kidney"))</f>
        <v>0</v>
      </c>
      <c r="Y286">
        <f>AND(IF(metadata!F286="",FALSE,TRUE),exact(metadata!F286,"animal corpus"))</f>
        <v>0</v>
      </c>
      <c r="Z286">
        <f>AND(IF(metadata!G286="",FALSE,TRUE),exact(metadata!G286,"urine"))</f>
        <v>0</v>
      </c>
      <c r="AA286">
        <f>AND(IF(metadata!H286="",FALSE,TRUE),exact(metadata!H286,"urine"))</f>
        <v>0</v>
      </c>
      <c r="AB286">
        <f>AND(IF(metadata!I286="",FALSE,TRUE),exact(metadata!I286,"urine metagenome"))</f>
        <v>0</v>
      </c>
      <c r="AC286">
        <f>AND(IF(metadata!J286="",FALSE,TRUE),exact(metadata!J286,"1346744"))</f>
        <v>0</v>
      </c>
    </row>
    <row r="287" spans="1:29">
      <c r="A287" s="4">
        <f>IF(B287=" "," ",HYPERLINK(CONCATENATE("#metadata!",ADDRESS(INDEX($P$2:$P$1001,MATCH(ROWS($N$2:N287),$N$2:$N$1001,0),0),1)),INDEX($S$2:$S$1001,MATCH(ROWS($N$2:N287),$N$2:$N$1001,0),0)))</f>
        <v>0</v>
      </c>
      <c r="B287" s="3">
        <f>IF(OR(INDEX($O$2:$O$1001,MATCH(ROWS($N$2:N287),$N$2:$N$1001,0),1)&gt;=100000,INDEX($U$1005:$AC$1005,1,MATCH(COLUMNS($U$1006:U1006),$U$1006:$AC$1006,0))&gt;=100000), " ",IF(INDEX($U$2:$AC$1001,MATCH(ROWS($N$2:N287),$N$2:$N$1001,0),MATCH(COLUMNS($U$1006:U1006),$U$1006:$AC$1006,0)), HYPERLINK("#",""), HYPERLINK(CONCATENATE("#metadata!", ADDRESS(INDEX($P$2:$P$1001,MATCH(ROWS($N$2:N287),$N$2:$N$1001,0),0), INDEX($U$1004:$AC$1004,1,MATCH(COLUMNS($U$1006:U1006),$U$1006:$AC$1006,0)))),"Fix")))</f>
        <v>0</v>
      </c>
      <c r="C287" s="3">
        <f>IF(OR(INDEX($O$2:$O$1001,MATCH(ROWS($N$2:N287),$N$2:$N$1001,0),1)&gt;=100000,INDEX($U$1005:$AC$1005,1,MATCH(COLUMNS($U$1006:V1006),$U$1006:$AC$1006,0))&gt;=100000), " ",IF(INDEX($U$2:$AC$1001,MATCH(ROWS($N$2:N287),$N$2:$N$1001,0),MATCH(COLUMNS($U$1006:V1006),$U$1006:$AC$1006,0)), HYPERLINK("#",""), HYPERLINK(CONCATENATE("#metadata!", ADDRESS(INDEX($P$2:$P$1001,MATCH(ROWS($N$2:N287),$N$2:$N$1001,0),0), INDEX($U$1004:$AC$1004,1,MATCH(COLUMNS($U$1006:V1006),$U$1006:$AC$1006,0)))),"Fix")))</f>
        <v>0</v>
      </c>
      <c r="D287" s="3">
        <f>IF(OR(INDEX($O$2:$O$1001,MATCH(ROWS($N$2:N287),$N$2:$N$1001,0),1)&gt;=100000,INDEX($U$1005:$AC$1005,1,MATCH(COLUMNS($U$1006:W1006),$U$1006:$AC$1006,0))&gt;=100000), " ",IF(INDEX($U$2:$AC$1001,MATCH(ROWS($N$2:N287),$N$2:$N$1001,0),MATCH(COLUMNS($U$1006:W1006),$U$1006:$AC$1006,0)), HYPERLINK("#",""), HYPERLINK(CONCATENATE("#metadata!", ADDRESS(INDEX($P$2:$P$1001,MATCH(ROWS($N$2:N287),$N$2:$N$1001,0),0), INDEX($U$1004:$AC$1004,1,MATCH(COLUMNS($U$1006:W1006),$U$1006:$AC$1006,0)))),"Fix")))</f>
        <v>0</v>
      </c>
      <c r="E287" s="3">
        <f>IF(OR(INDEX($O$2:$O$1001,MATCH(ROWS($N$2:N287),$N$2:$N$1001,0),1)&gt;=100000,INDEX($U$1005:$AC$1005,1,MATCH(COLUMNS($U$1006:X1006),$U$1006:$AC$1006,0))&gt;=100000), " ",IF(INDEX($U$2:$AC$1001,MATCH(ROWS($N$2:N287),$N$2:$N$1001,0),MATCH(COLUMNS($U$1006:X1006),$U$1006:$AC$1006,0)), HYPERLINK("#",""), HYPERLINK(CONCATENATE("#metadata!", ADDRESS(INDEX($P$2:$P$1001,MATCH(ROWS($N$2:N287),$N$2:$N$1001,0),0), INDEX($U$1004:$AC$1004,1,MATCH(COLUMNS($U$1006:X1006),$U$1006:$AC$1006,0)))),"Fix")))</f>
        <v>0</v>
      </c>
      <c r="F287" s="3">
        <f>IF(OR(INDEX($O$2:$O$1001,MATCH(ROWS($N$2:N287),$N$2:$N$1001,0),1)&gt;=100000,INDEX($U$1005:$AC$1005,1,MATCH(COLUMNS($U$1006:Y1006),$U$1006:$AC$1006,0))&gt;=100000), " ",IF(INDEX($U$2:$AC$1001,MATCH(ROWS($N$2:N287),$N$2:$N$1001,0),MATCH(COLUMNS($U$1006:Y1006),$U$1006:$AC$1006,0)), HYPERLINK("#",""), HYPERLINK(CONCATENATE("#metadata!", ADDRESS(INDEX($P$2:$P$1001,MATCH(ROWS($N$2:N287),$N$2:$N$1001,0),0), INDEX($U$1004:$AC$1004,1,MATCH(COLUMNS($U$1006:Y1006),$U$1006:$AC$1006,0)))),"Fix")))</f>
        <v>0</v>
      </c>
      <c r="G287" s="3">
        <f>IF(OR(INDEX($O$2:$O$1001,MATCH(ROWS($N$2:N287),$N$2:$N$1001,0),1)&gt;=100000,INDEX($U$1005:$AC$1005,1,MATCH(COLUMNS($U$1006:Z1006),$U$1006:$AC$1006,0))&gt;=100000), " ",IF(INDEX($U$2:$AC$1001,MATCH(ROWS($N$2:N287),$N$2:$N$1001,0),MATCH(COLUMNS($U$1006:Z1006),$U$1006:$AC$1006,0)), HYPERLINK("#",""), HYPERLINK(CONCATENATE("#metadata!", ADDRESS(INDEX($P$2:$P$1001,MATCH(ROWS($N$2:N287),$N$2:$N$1001,0),0), INDEX($U$1004:$AC$1004,1,MATCH(COLUMNS($U$1006:Z1006),$U$1006:$AC$1006,0)))),"Fix")))</f>
        <v>0</v>
      </c>
      <c r="H287" s="3">
        <f>IF(OR(INDEX($O$2:$O$1001,MATCH(ROWS($N$2:N287),$N$2:$N$1001,0),1)&gt;=100000,INDEX($U$1005:$AC$1005,1,MATCH(COLUMNS($U$1006:AA1006),$U$1006:$AC$1006,0))&gt;=100000), " ",IF(INDEX($U$2:$AC$1001,MATCH(ROWS($N$2:N287),$N$2:$N$1001,0),MATCH(COLUMNS($U$1006:AA1006),$U$1006:$AC$1006,0)), HYPERLINK("#",""), HYPERLINK(CONCATENATE("#metadata!", ADDRESS(INDEX($P$2:$P$1001,MATCH(ROWS($N$2:N287),$N$2:$N$1001,0),0), INDEX($U$1004:$AC$1004,1,MATCH(COLUMNS($U$1006:AA1006),$U$1006:$AC$1006,0)))),"Fix")))</f>
        <v>0</v>
      </c>
      <c r="I287" s="3">
        <f>IF(OR(INDEX($O$2:$O$1001,MATCH(ROWS($N$2:N287),$N$2:$N$1001,0),1)&gt;=100000,INDEX($U$1005:$AC$1005,1,MATCH(COLUMNS($U$1006:AB1006),$U$1006:$AC$1006,0))&gt;=100000), " ",IF(INDEX($U$2:$AC$1001,MATCH(ROWS($N$2:N287),$N$2:$N$1001,0),MATCH(COLUMNS($U$1006:AB1006),$U$1006:$AC$1006,0)), HYPERLINK("#",""), HYPERLINK(CONCATENATE("#metadata!", ADDRESS(INDEX($P$2:$P$1001,MATCH(ROWS($N$2:N287),$N$2:$N$1001,0),0), INDEX($U$1004:$AC$1004,1,MATCH(COLUMNS($U$1006:AB1006),$U$1006:$AC$1006,0)))),"Fix")))</f>
        <v>0</v>
      </c>
      <c r="J287" s="3">
        <f>IF(OR(INDEX($O$2:$O$1001,MATCH(ROWS($N$2:N287),$N$2:$N$1001,0),1)&gt;=100000,INDEX($U$1005:$AC$1005,1,MATCH(COLUMNS($U$1006:AC1006),$U$1006:$AC$1006,0))&gt;=100000), " ",IF(INDEX($U$2:$AC$1001,MATCH(ROWS($N$2:N287),$N$2:$N$1001,0),MATCH(COLUMNS($U$1006:AC1006),$U$1006:$AC$1006,0)), HYPERLINK("#",""), HYPERLINK(CONCATENATE("#metadata!", ADDRESS(INDEX($P$2:$P$1001,MATCH(ROWS($N$2:N287),$N$2:$N$1001,0),0), INDEX($U$1004:$AC$1004,1,MATCH(COLUMNS($U$1006:AC1006),$U$1006:$AC$1006,0)))),"Fix")))</f>
        <v>0</v>
      </c>
      <c r="N287">
        <v>0</v>
      </c>
      <c r="O287">
        <v>0</v>
      </c>
      <c r="P287">
        <v>0</v>
      </c>
      <c r="Q287">
        <f>IF(R287,TRUE,AND(U287:AC287))</f>
        <v>0</v>
      </c>
      <c r="R287">
        <f>COUNTBLANK(metadata!B287:J287)=COLUMNS(metadata!B287:J287)</f>
        <v>0</v>
      </c>
      <c r="S287">
        <v>0</v>
      </c>
      <c r="U287">
        <f>AND(IF(metadata!B287="",FALSE,TRUE),COUNTIF(metadata!B:B, metadata!B287) = 1,NOT(ISERROR(SUMPRODUCT(SEARCH(MID(metadata!B287,ROW(INDIRECT("1:"&amp;LEN(metadata!B287))), 1),"0123456789abcdefghijklmnopqrstuvwxyzABCDEFGHIJKLMNOPQRSTUVWXYZ.")))))</f>
        <v>0</v>
      </c>
      <c r="V287">
        <f>AND(IF(metadata!C287="",FALSE,TRUE),exact(metadata!C287,"UBERON:genitourinary"))</f>
        <v>0</v>
      </c>
      <c r="W287">
        <f>AND(IF(metadata!D287="",FALSE,TRUE),exact(metadata!D287,"UBERON:urine"))</f>
        <v>0</v>
      </c>
      <c r="X287">
        <f>AND(IF(metadata!E287="",FALSE,TRUE),exact(metadata!E287,"UBERON:kidney"))</f>
        <v>0</v>
      </c>
      <c r="Y287">
        <f>AND(IF(metadata!F287="",FALSE,TRUE),exact(metadata!F287,"animal corpus"))</f>
        <v>0</v>
      </c>
      <c r="Z287">
        <f>AND(IF(metadata!G287="",FALSE,TRUE),exact(metadata!G287,"urine"))</f>
        <v>0</v>
      </c>
      <c r="AA287">
        <f>AND(IF(metadata!H287="",FALSE,TRUE),exact(metadata!H287,"urine"))</f>
        <v>0</v>
      </c>
      <c r="AB287">
        <f>AND(IF(metadata!I287="",FALSE,TRUE),exact(metadata!I287,"urine metagenome"))</f>
        <v>0</v>
      </c>
      <c r="AC287">
        <f>AND(IF(metadata!J287="",FALSE,TRUE),exact(metadata!J287,"1346744"))</f>
        <v>0</v>
      </c>
    </row>
    <row r="288" spans="1:29">
      <c r="A288" s="4">
        <f>IF(B288=" "," ",HYPERLINK(CONCATENATE("#metadata!",ADDRESS(INDEX($P$2:$P$1001,MATCH(ROWS($N$2:N288),$N$2:$N$1001,0),0),1)),INDEX($S$2:$S$1001,MATCH(ROWS($N$2:N288),$N$2:$N$1001,0),0)))</f>
        <v>0</v>
      </c>
      <c r="B288" s="3">
        <f>IF(OR(INDEX($O$2:$O$1001,MATCH(ROWS($N$2:N288),$N$2:$N$1001,0),1)&gt;=100000,INDEX($U$1005:$AC$1005,1,MATCH(COLUMNS($U$1006:U1006),$U$1006:$AC$1006,0))&gt;=100000), " ",IF(INDEX($U$2:$AC$1001,MATCH(ROWS($N$2:N288),$N$2:$N$1001,0),MATCH(COLUMNS($U$1006:U1006),$U$1006:$AC$1006,0)), HYPERLINK("#",""), HYPERLINK(CONCATENATE("#metadata!", ADDRESS(INDEX($P$2:$P$1001,MATCH(ROWS($N$2:N288),$N$2:$N$1001,0),0), INDEX($U$1004:$AC$1004,1,MATCH(COLUMNS($U$1006:U1006),$U$1006:$AC$1006,0)))),"Fix")))</f>
        <v>0</v>
      </c>
      <c r="C288" s="3">
        <f>IF(OR(INDEX($O$2:$O$1001,MATCH(ROWS($N$2:N288),$N$2:$N$1001,0),1)&gt;=100000,INDEX($U$1005:$AC$1005,1,MATCH(COLUMNS($U$1006:V1006),$U$1006:$AC$1006,0))&gt;=100000), " ",IF(INDEX($U$2:$AC$1001,MATCH(ROWS($N$2:N288),$N$2:$N$1001,0),MATCH(COLUMNS($U$1006:V1006),$U$1006:$AC$1006,0)), HYPERLINK("#",""), HYPERLINK(CONCATENATE("#metadata!", ADDRESS(INDEX($P$2:$P$1001,MATCH(ROWS($N$2:N288),$N$2:$N$1001,0),0), INDEX($U$1004:$AC$1004,1,MATCH(COLUMNS($U$1006:V1006),$U$1006:$AC$1006,0)))),"Fix")))</f>
        <v>0</v>
      </c>
      <c r="D288" s="3">
        <f>IF(OR(INDEX($O$2:$O$1001,MATCH(ROWS($N$2:N288),$N$2:$N$1001,0),1)&gt;=100000,INDEX($U$1005:$AC$1005,1,MATCH(COLUMNS($U$1006:W1006),$U$1006:$AC$1006,0))&gt;=100000), " ",IF(INDEX($U$2:$AC$1001,MATCH(ROWS($N$2:N288),$N$2:$N$1001,0),MATCH(COLUMNS($U$1006:W1006),$U$1006:$AC$1006,0)), HYPERLINK("#",""), HYPERLINK(CONCATENATE("#metadata!", ADDRESS(INDEX($P$2:$P$1001,MATCH(ROWS($N$2:N288),$N$2:$N$1001,0),0), INDEX($U$1004:$AC$1004,1,MATCH(COLUMNS($U$1006:W1006),$U$1006:$AC$1006,0)))),"Fix")))</f>
        <v>0</v>
      </c>
      <c r="E288" s="3">
        <f>IF(OR(INDEX($O$2:$O$1001,MATCH(ROWS($N$2:N288),$N$2:$N$1001,0),1)&gt;=100000,INDEX($U$1005:$AC$1005,1,MATCH(COLUMNS($U$1006:X1006),$U$1006:$AC$1006,0))&gt;=100000), " ",IF(INDEX($U$2:$AC$1001,MATCH(ROWS($N$2:N288),$N$2:$N$1001,0),MATCH(COLUMNS($U$1006:X1006),$U$1006:$AC$1006,0)), HYPERLINK("#",""), HYPERLINK(CONCATENATE("#metadata!", ADDRESS(INDEX($P$2:$P$1001,MATCH(ROWS($N$2:N288),$N$2:$N$1001,0),0), INDEX($U$1004:$AC$1004,1,MATCH(COLUMNS($U$1006:X1006),$U$1006:$AC$1006,0)))),"Fix")))</f>
        <v>0</v>
      </c>
      <c r="F288" s="3">
        <f>IF(OR(INDEX($O$2:$O$1001,MATCH(ROWS($N$2:N288),$N$2:$N$1001,0),1)&gt;=100000,INDEX($U$1005:$AC$1005,1,MATCH(COLUMNS($U$1006:Y1006),$U$1006:$AC$1006,0))&gt;=100000), " ",IF(INDEX($U$2:$AC$1001,MATCH(ROWS($N$2:N288),$N$2:$N$1001,0),MATCH(COLUMNS($U$1006:Y1006),$U$1006:$AC$1006,0)), HYPERLINK("#",""), HYPERLINK(CONCATENATE("#metadata!", ADDRESS(INDEX($P$2:$P$1001,MATCH(ROWS($N$2:N288),$N$2:$N$1001,0),0), INDEX($U$1004:$AC$1004,1,MATCH(COLUMNS($U$1006:Y1006),$U$1006:$AC$1006,0)))),"Fix")))</f>
        <v>0</v>
      </c>
      <c r="G288" s="3">
        <f>IF(OR(INDEX($O$2:$O$1001,MATCH(ROWS($N$2:N288),$N$2:$N$1001,0),1)&gt;=100000,INDEX($U$1005:$AC$1005,1,MATCH(COLUMNS($U$1006:Z1006),$U$1006:$AC$1006,0))&gt;=100000), " ",IF(INDEX($U$2:$AC$1001,MATCH(ROWS($N$2:N288),$N$2:$N$1001,0),MATCH(COLUMNS($U$1006:Z1006),$U$1006:$AC$1006,0)), HYPERLINK("#",""), HYPERLINK(CONCATENATE("#metadata!", ADDRESS(INDEX($P$2:$P$1001,MATCH(ROWS($N$2:N288),$N$2:$N$1001,0),0), INDEX($U$1004:$AC$1004,1,MATCH(COLUMNS($U$1006:Z1006),$U$1006:$AC$1006,0)))),"Fix")))</f>
        <v>0</v>
      </c>
      <c r="H288" s="3">
        <f>IF(OR(INDEX($O$2:$O$1001,MATCH(ROWS($N$2:N288),$N$2:$N$1001,0),1)&gt;=100000,INDEX($U$1005:$AC$1005,1,MATCH(COLUMNS($U$1006:AA1006),$U$1006:$AC$1006,0))&gt;=100000), " ",IF(INDEX($U$2:$AC$1001,MATCH(ROWS($N$2:N288),$N$2:$N$1001,0),MATCH(COLUMNS($U$1006:AA1006),$U$1006:$AC$1006,0)), HYPERLINK("#",""), HYPERLINK(CONCATENATE("#metadata!", ADDRESS(INDEX($P$2:$P$1001,MATCH(ROWS($N$2:N288),$N$2:$N$1001,0),0), INDEX($U$1004:$AC$1004,1,MATCH(COLUMNS($U$1006:AA1006),$U$1006:$AC$1006,0)))),"Fix")))</f>
        <v>0</v>
      </c>
      <c r="I288" s="3">
        <f>IF(OR(INDEX($O$2:$O$1001,MATCH(ROWS($N$2:N288),$N$2:$N$1001,0),1)&gt;=100000,INDEX($U$1005:$AC$1005,1,MATCH(COLUMNS($U$1006:AB1006),$U$1006:$AC$1006,0))&gt;=100000), " ",IF(INDEX($U$2:$AC$1001,MATCH(ROWS($N$2:N288),$N$2:$N$1001,0),MATCH(COLUMNS($U$1006:AB1006),$U$1006:$AC$1006,0)), HYPERLINK("#",""), HYPERLINK(CONCATENATE("#metadata!", ADDRESS(INDEX($P$2:$P$1001,MATCH(ROWS($N$2:N288),$N$2:$N$1001,0),0), INDEX($U$1004:$AC$1004,1,MATCH(COLUMNS($U$1006:AB1006),$U$1006:$AC$1006,0)))),"Fix")))</f>
        <v>0</v>
      </c>
      <c r="J288" s="3">
        <f>IF(OR(INDEX($O$2:$O$1001,MATCH(ROWS($N$2:N288),$N$2:$N$1001,0),1)&gt;=100000,INDEX($U$1005:$AC$1005,1,MATCH(COLUMNS($U$1006:AC1006),$U$1006:$AC$1006,0))&gt;=100000), " ",IF(INDEX($U$2:$AC$1001,MATCH(ROWS($N$2:N288),$N$2:$N$1001,0),MATCH(COLUMNS($U$1006:AC1006),$U$1006:$AC$1006,0)), HYPERLINK("#",""), HYPERLINK(CONCATENATE("#metadata!", ADDRESS(INDEX($P$2:$P$1001,MATCH(ROWS($N$2:N288),$N$2:$N$1001,0),0), INDEX($U$1004:$AC$1004,1,MATCH(COLUMNS($U$1006:AC1006),$U$1006:$AC$1006,0)))),"Fix")))</f>
        <v>0</v>
      </c>
      <c r="N288">
        <v>0</v>
      </c>
      <c r="O288">
        <v>0</v>
      </c>
      <c r="P288">
        <v>0</v>
      </c>
      <c r="Q288">
        <f>IF(R288,TRUE,AND(U288:AC288))</f>
        <v>0</v>
      </c>
      <c r="R288">
        <f>COUNTBLANK(metadata!B288:J288)=COLUMNS(metadata!B288:J288)</f>
        <v>0</v>
      </c>
      <c r="S288">
        <v>0</v>
      </c>
      <c r="U288">
        <f>AND(IF(metadata!B288="",FALSE,TRUE),COUNTIF(metadata!B:B, metadata!B288) = 1,NOT(ISERROR(SUMPRODUCT(SEARCH(MID(metadata!B288,ROW(INDIRECT("1:"&amp;LEN(metadata!B288))), 1),"0123456789abcdefghijklmnopqrstuvwxyzABCDEFGHIJKLMNOPQRSTUVWXYZ.")))))</f>
        <v>0</v>
      </c>
      <c r="V288">
        <f>AND(IF(metadata!C288="",FALSE,TRUE),exact(metadata!C288,"UBERON:genitourinary"))</f>
        <v>0</v>
      </c>
      <c r="W288">
        <f>AND(IF(metadata!D288="",FALSE,TRUE),exact(metadata!D288,"UBERON:urine"))</f>
        <v>0</v>
      </c>
      <c r="X288">
        <f>AND(IF(metadata!E288="",FALSE,TRUE),exact(metadata!E288,"UBERON:kidney"))</f>
        <v>0</v>
      </c>
      <c r="Y288">
        <f>AND(IF(metadata!F288="",FALSE,TRUE),exact(metadata!F288,"animal corpus"))</f>
        <v>0</v>
      </c>
      <c r="Z288">
        <f>AND(IF(metadata!G288="",FALSE,TRUE),exact(metadata!G288,"urine"))</f>
        <v>0</v>
      </c>
      <c r="AA288">
        <f>AND(IF(metadata!H288="",FALSE,TRUE),exact(metadata!H288,"urine"))</f>
        <v>0</v>
      </c>
      <c r="AB288">
        <f>AND(IF(metadata!I288="",FALSE,TRUE),exact(metadata!I288,"urine metagenome"))</f>
        <v>0</v>
      </c>
      <c r="AC288">
        <f>AND(IF(metadata!J288="",FALSE,TRUE),exact(metadata!J288,"1346744"))</f>
        <v>0</v>
      </c>
    </row>
    <row r="289" spans="1:29">
      <c r="A289" s="4">
        <f>IF(B289=" "," ",HYPERLINK(CONCATENATE("#metadata!",ADDRESS(INDEX($P$2:$P$1001,MATCH(ROWS($N$2:N289),$N$2:$N$1001,0),0),1)),INDEX($S$2:$S$1001,MATCH(ROWS($N$2:N289),$N$2:$N$1001,0),0)))</f>
        <v>0</v>
      </c>
      <c r="B289" s="3">
        <f>IF(OR(INDEX($O$2:$O$1001,MATCH(ROWS($N$2:N289),$N$2:$N$1001,0),1)&gt;=100000,INDEX($U$1005:$AC$1005,1,MATCH(COLUMNS($U$1006:U1006),$U$1006:$AC$1006,0))&gt;=100000), " ",IF(INDEX($U$2:$AC$1001,MATCH(ROWS($N$2:N289),$N$2:$N$1001,0),MATCH(COLUMNS($U$1006:U1006),$U$1006:$AC$1006,0)), HYPERLINK("#",""), HYPERLINK(CONCATENATE("#metadata!", ADDRESS(INDEX($P$2:$P$1001,MATCH(ROWS($N$2:N289),$N$2:$N$1001,0),0), INDEX($U$1004:$AC$1004,1,MATCH(COLUMNS($U$1006:U1006),$U$1006:$AC$1006,0)))),"Fix")))</f>
        <v>0</v>
      </c>
      <c r="C289" s="3">
        <f>IF(OR(INDEX($O$2:$O$1001,MATCH(ROWS($N$2:N289),$N$2:$N$1001,0),1)&gt;=100000,INDEX($U$1005:$AC$1005,1,MATCH(COLUMNS($U$1006:V1006),$U$1006:$AC$1006,0))&gt;=100000), " ",IF(INDEX($U$2:$AC$1001,MATCH(ROWS($N$2:N289),$N$2:$N$1001,0),MATCH(COLUMNS($U$1006:V1006),$U$1006:$AC$1006,0)), HYPERLINK("#",""), HYPERLINK(CONCATENATE("#metadata!", ADDRESS(INDEX($P$2:$P$1001,MATCH(ROWS($N$2:N289),$N$2:$N$1001,0),0), INDEX($U$1004:$AC$1004,1,MATCH(COLUMNS($U$1006:V1006),$U$1006:$AC$1006,0)))),"Fix")))</f>
        <v>0</v>
      </c>
      <c r="D289" s="3">
        <f>IF(OR(INDEX($O$2:$O$1001,MATCH(ROWS($N$2:N289),$N$2:$N$1001,0),1)&gt;=100000,INDEX($U$1005:$AC$1005,1,MATCH(COLUMNS($U$1006:W1006),$U$1006:$AC$1006,0))&gt;=100000), " ",IF(INDEX($U$2:$AC$1001,MATCH(ROWS($N$2:N289),$N$2:$N$1001,0),MATCH(COLUMNS($U$1006:W1006),$U$1006:$AC$1006,0)), HYPERLINK("#",""), HYPERLINK(CONCATENATE("#metadata!", ADDRESS(INDEX($P$2:$P$1001,MATCH(ROWS($N$2:N289),$N$2:$N$1001,0),0), INDEX($U$1004:$AC$1004,1,MATCH(COLUMNS($U$1006:W1006),$U$1006:$AC$1006,0)))),"Fix")))</f>
        <v>0</v>
      </c>
      <c r="E289" s="3">
        <f>IF(OR(INDEX($O$2:$O$1001,MATCH(ROWS($N$2:N289),$N$2:$N$1001,0),1)&gt;=100000,INDEX($U$1005:$AC$1005,1,MATCH(COLUMNS($U$1006:X1006),$U$1006:$AC$1006,0))&gt;=100000), " ",IF(INDEX($U$2:$AC$1001,MATCH(ROWS($N$2:N289),$N$2:$N$1001,0),MATCH(COLUMNS($U$1006:X1006),$U$1006:$AC$1006,0)), HYPERLINK("#",""), HYPERLINK(CONCATENATE("#metadata!", ADDRESS(INDEX($P$2:$P$1001,MATCH(ROWS($N$2:N289),$N$2:$N$1001,0),0), INDEX($U$1004:$AC$1004,1,MATCH(COLUMNS($U$1006:X1006),$U$1006:$AC$1006,0)))),"Fix")))</f>
        <v>0</v>
      </c>
      <c r="F289" s="3">
        <f>IF(OR(INDEX($O$2:$O$1001,MATCH(ROWS($N$2:N289),$N$2:$N$1001,0),1)&gt;=100000,INDEX($U$1005:$AC$1005,1,MATCH(COLUMNS($U$1006:Y1006),$U$1006:$AC$1006,0))&gt;=100000), " ",IF(INDEX($U$2:$AC$1001,MATCH(ROWS($N$2:N289),$N$2:$N$1001,0),MATCH(COLUMNS($U$1006:Y1006),$U$1006:$AC$1006,0)), HYPERLINK("#",""), HYPERLINK(CONCATENATE("#metadata!", ADDRESS(INDEX($P$2:$P$1001,MATCH(ROWS($N$2:N289),$N$2:$N$1001,0),0), INDEX($U$1004:$AC$1004,1,MATCH(COLUMNS($U$1006:Y1006),$U$1006:$AC$1006,0)))),"Fix")))</f>
        <v>0</v>
      </c>
      <c r="G289" s="3">
        <f>IF(OR(INDEX($O$2:$O$1001,MATCH(ROWS($N$2:N289),$N$2:$N$1001,0),1)&gt;=100000,INDEX($U$1005:$AC$1005,1,MATCH(COLUMNS($U$1006:Z1006),$U$1006:$AC$1006,0))&gt;=100000), " ",IF(INDEX($U$2:$AC$1001,MATCH(ROWS($N$2:N289),$N$2:$N$1001,0),MATCH(COLUMNS($U$1006:Z1006),$U$1006:$AC$1006,0)), HYPERLINK("#",""), HYPERLINK(CONCATENATE("#metadata!", ADDRESS(INDEX($P$2:$P$1001,MATCH(ROWS($N$2:N289),$N$2:$N$1001,0),0), INDEX($U$1004:$AC$1004,1,MATCH(COLUMNS($U$1006:Z1006),$U$1006:$AC$1006,0)))),"Fix")))</f>
        <v>0</v>
      </c>
      <c r="H289" s="3">
        <f>IF(OR(INDEX($O$2:$O$1001,MATCH(ROWS($N$2:N289),$N$2:$N$1001,0),1)&gt;=100000,INDEX($U$1005:$AC$1005,1,MATCH(COLUMNS($U$1006:AA1006),$U$1006:$AC$1006,0))&gt;=100000), " ",IF(INDEX($U$2:$AC$1001,MATCH(ROWS($N$2:N289),$N$2:$N$1001,0),MATCH(COLUMNS($U$1006:AA1006),$U$1006:$AC$1006,0)), HYPERLINK("#",""), HYPERLINK(CONCATENATE("#metadata!", ADDRESS(INDEX($P$2:$P$1001,MATCH(ROWS($N$2:N289),$N$2:$N$1001,0),0), INDEX($U$1004:$AC$1004,1,MATCH(COLUMNS($U$1006:AA1006),$U$1006:$AC$1006,0)))),"Fix")))</f>
        <v>0</v>
      </c>
      <c r="I289" s="3">
        <f>IF(OR(INDEX($O$2:$O$1001,MATCH(ROWS($N$2:N289),$N$2:$N$1001,0),1)&gt;=100000,INDEX($U$1005:$AC$1005,1,MATCH(COLUMNS($U$1006:AB1006),$U$1006:$AC$1006,0))&gt;=100000), " ",IF(INDEX($U$2:$AC$1001,MATCH(ROWS($N$2:N289),$N$2:$N$1001,0),MATCH(COLUMNS($U$1006:AB1006),$U$1006:$AC$1006,0)), HYPERLINK("#",""), HYPERLINK(CONCATENATE("#metadata!", ADDRESS(INDEX($P$2:$P$1001,MATCH(ROWS($N$2:N289),$N$2:$N$1001,0),0), INDEX($U$1004:$AC$1004,1,MATCH(COLUMNS($U$1006:AB1006),$U$1006:$AC$1006,0)))),"Fix")))</f>
        <v>0</v>
      </c>
      <c r="J289" s="3">
        <f>IF(OR(INDEX($O$2:$O$1001,MATCH(ROWS($N$2:N289),$N$2:$N$1001,0),1)&gt;=100000,INDEX($U$1005:$AC$1005,1,MATCH(COLUMNS($U$1006:AC1006),$U$1006:$AC$1006,0))&gt;=100000), " ",IF(INDEX($U$2:$AC$1001,MATCH(ROWS($N$2:N289),$N$2:$N$1001,0),MATCH(COLUMNS($U$1006:AC1006),$U$1006:$AC$1006,0)), HYPERLINK("#",""), HYPERLINK(CONCATENATE("#metadata!", ADDRESS(INDEX($P$2:$P$1001,MATCH(ROWS($N$2:N289),$N$2:$N$1001,0),0), INDEX($U$1004:$AC$1004,1,MATCH(COLUMNS($U$1006:AC1006),$U$1006:$AC$1006,0)))),"Fix")))</f>
        <v>0</v>
      </c>
      <c r="N289">
        <v>0</v>
      </c>
      <c r="O289">
        <v>0</v>
      </c>
      <c r="P289">
        <v>0</v>
      </c>
      <c r="Q289">
        <f>IF(R289,TRUE,AND(U289:AC289))</f>
        <v>0</v>
      </c>
      <c r="R289">
        <f>COUNTBLANK(metadata!B289:J289)=COLUMNS(metadata!B289:J289)</f>
        <v>0</v>
      </c>
      <c r="S289">
        <v>0</v>
      </c>
      <c r="U289">
        <f>AND(IF(metadata!B289="",FALSE,TRUE),COUNTIF(metadata!B:B, metadata!B289) = 1,NOT(ISERROR(SUMPRODUCT(SEARCH(MID(metadata!B289,ROW(INDIRECT("1:"&amp;LEN(metadata!B289))), 1),"0123456789abcdefghijklmnopqrstuvwxyzABCDEFGHIJKLMNOPQRSTUVWXYZ.")))))</f>
        <v>0</v>
      </c>
      <c r="V289">
        <f>AND(IF(metadata!C289="",FALSE,TRUE),exact(metadata!C289,"UBERON:genitourinary"))</f>
        <v>0</v>
      </c>
      <c r="W289">
        <f>AND(IF(metadata!D289="",FALSE,TRUE),exact(metadata!D289,"UBERON:urine"))</f>
        <v>0</v>
      </c>
      <c r="X289">
        <f>AND(IF(metadata!E289="",FALSE,TRUE),exact(metadata!E289,"UBERON:kidney"))</f>
        <v>0</v>
      </c>
      <c r="Y289">
        <f>AND(IF(metadata!F289="",FALSE,TRUE),exact(metadata!F289,"animal corpus"))</f>
        <v>0</v>
      </c>
      <c r="Z289">
        <f>AND(IF(metadata!G289="",FALSE,TRUE),exact(metadata!G289,"urine"))</f>
        <v>0</v>
      </c>
      <c r="AA289">
        <f>AND(IF(metadata!H289="",FALSE,TRUE),exact(metadata!H289,"urine"))</f>
        <v>0</v>
      </c>
      <c r="AB289">
        <f>AND(IF(metadata!I289="",FALSE,TRUE),exact(metadata!I289,"urine metagenome"))</f>
        <v>0</v>
      </c>
      <c r="AC289">
        <f>AND(IF(metadata!J289="",FALSE,TRUE),exact(metadata!J289,"1346744"))</f>
        <v>0</v>
      </c>
    </row>
    <row r="290" spans="1:29">
      <c r="A290" s="4">
        <f>IF(B290=" "," ",HYPERLINK(CONCATENATE("#metadata!",ADDRESS(INDEX($P$2:$P$1001,MATCH(ROWS($N$2:N290),$N$2:$N$1001,0),0),1)),INDEX($S$2:$S$1001,MATCH(ROWS($N$2:N290),$N$2:$N$1001,0),0)))</f>
        <v>0</v>
      </c>
      <c r="B290" s="3">
        <f>IF(OR(INDEX($O$2:$O$1001,MATCH(ROWS($N$2:N290),$N$2:$N$1001,0),1)&gt;=100000,INDEX($U$1005:$AC$1005,1,MATCH(COLUMNS($U$1006:U1006),$U$1006:$AC$1006,0))&gt;=100000), " ",IF(INDEX($U$2:$AC$1001,MATCH(ROWS($N$2:N290),$N$2:$N$1001,0),MATCH(COLUMNS($U$1006:U1006),$U$1006:$AC$1006,0)), HYPERLINK("#",""), HYPERLINK(CONCATENATE("#metadata!", ADDRESS(INDEX($P$2:$P$1001,MATCH(ROWS($N$2:N290),$N$2:$N$1001,0),0), INDEX($U$1004:$AC$1004,1,MATCH(COLUMNS($U$1006:U1006),$U$1006:$AC$1006,0)))),"Fix")))</f>
        <v>0</v>
      </c>
      <c r="C290" s="3">
        <f>IF(OR(INDEX($O$2:$O$1001,MATCH(ROWS($N$2:N290),$N$2:$N$1001,0),1)&gt;=100000,INDEX($U$1005:$AC$1005,1,MATCH(COLUMNS($U$1006:V1006),$U$1006:$AC$1006,0))&gt;=100000), " ",IF(INDEX($U$2:$AC$1001,MATCH(ROWS($N$2:N290),$N$2:$N$1001,0),MATCH(COLUMNS($U$1006:V1006),$U$1006:$AC$1006,0)), HYPERLINK("#",""), HYPERLINK(CONCATENATE("#metadata!", ADDRESS(INDEX($P$2:$P$1001,MATCH(ROWS($N$2:N290),$N$2:$N$1001,0),0), INDEX($U$1004:$AC$1004,1,MATCH(COLUMNS($U$1006:V1006),$U$1006:$AC$1006,0)))),"Fix")))</f>
        <v>0</v>
      </c>
      <c r="D290" s="3">
        <f>IF(OR(INDEX($O$2:$O$1001,MATCH(ROWS($N$2:N290),$N$2:$N$1001,0),1)&gt;=100000,INDEX($U$1005:$AC$1005,1,MATCH(COLUMNS($U$1006:W1006),$U$1006:$AC$1006,0))&gt;=100000), " ",IF(INDEX($U$2:$AC$1001,MATCH(ROWS($N$2:N290),$N$2:$N$1001,0),MATCH(COLUMNS($U$1006:W1006),$U$1006:$AC$1006,0)), HYPERLINK("#",""), HYPERLINK(CONCATENATE("#metadata!", ADDRESS(INDEX($P$2:$P$1001,MATCH(ROWS($N$2:N290),$N$2:$N$1001,0),0), INDEX($U$1004:$AC$1004,1,MATCH(COLUMNS($U$1006:W1006),$U$1006:$AC$1006,0)))),"Fix")))</f>
        <v>0</v>
      </c>
      <c r="E290" s="3">
        <f>IF(OR(INDEX($O$2:$O$1001,MATCH(ROWS($N$2:N290),$N$2:$N$1001,0),1)&gt;=100000,INDEX($U$1005:$AC$1005,1,MATCH(COLUMNS($U$1006:X1006),$U$1006:$AC$1006,0))&gt;=100000), " ",IF(INDEX($U$2:$AC$1001,MATCH(ROWS($N$2:N290),$N$2:$N$1001,0),MATCH(COLUMNS($U$1006:X1006),$U$1006:$AC$1006,0)), HYPERLINK("#",""), HYPERLINK(CONCATENATE("#metadata!", ADDRESS(INDEX($P$2:$P$1001,MATCH(ROWS($N$2:N290),$N$2:$N$1001,0),0), INDEX($U$1004:$AC$1004,1,MATCH(COLUMNS($U$1006:X1006),$U$1006:$AC$1006,0)))),"Fix")))</f>
        <v>0</v>
      </c>
      <c r="F290" s="3">
        <f>IF(OR(INDEX($O$2:$O$1001,MATCH(ROWS($N$2:N290),$N$2:$N$1001,0),1)&gt;=100000,INDEX($U$1005:$AC$1005,1,MATCH(COLUMNS($U$1006:Y1006),$U$1006:$AC$1006,0))&gt;=100000), " ",IF(INDEX($U$2:$AC$1001,MATCH(ROWS($N$2:N290),$N$2:$N$1001,0),MATCH(COLUMNS($U$1006:Y1006),$U$1006:$AC$1006,0)), HYPERLINK("#",""), HYPERLINK(CONCATENATE("#metadata!", ADDRESS(INDEX($P$2:$P$1001,MATCH(ROWS($N$2:N290),$N$2:$N$1001,0),0), INDEX($U$1004:$AC$1004,1,MATCH(COLUMNS($U$1006:Y1006),$U$1006:$AC$1006,0)))),"Fix")))</f>
        <v>0</v>
      </c>
      <c r="G290" s="3">
        <f>IF(OR(INDEX($O$2:$O$1001,MATCH(ROWS($N$2:N290),$N$2:$N$1001,0),1)&gt;=100000,INDEX($U$1005:$AC$1005,1,MATCH(COLUMNS($U$1006:Z1006),$U$1006:$AC$1006,0))&gt;=100000), " ",IF(INDEX($U$2:$AC$1001,MATCH(ROWS($N$2:N290),$N$2:$N$1001,0),MATCH(COLUMNS($U$1006:Z1006),$U$1006:$AC$1006,0)), HYPERLINK("#",""), HYPERLINK(CONCATENATE("#metadata!", ADDRESS(INDEX($P$2:$P$1001,MATCH(ROWS($N$2:N290),$N$2:$N$1001,0),0), INDEX($U$1004:$AC$1004,1,MATCH(COLUMNS($U$1006:Z1006),$U$1006:$AC$1006,0)))),"Fix")))</f>
        <v>0</v>
      </c>
      <c r="H290" s="3">
        <f>IF(OR(INDEX($O$2:$O$1001,MATCH(ROWS($N$2:N290),$N$2:$N$1001,0),1)&gt;=100000,INDEX($U$1005:$AC$1005,1,MATCH(COLUMNS($U$1006:AA1006),$U$1006:$AC$1006,0))&gt;=100000), " ",IF(INDEX($U$2:$AC$1001,MATCH(ROWS($N$2:N290),$N$2:$N$1001,0),MATCH(COLUMNS($U$1006:AA1006),$U$1006:$AC$1006,0)), HYPERLINK("#",""), HYPERLINK(CONCATENATE("#metadata!", ADDRESS(INDEX($P$2:$P$1001,MATCH(ROWS($N$2:N290),$N$2:$N$1001,0),0), INDEX($U$1004:$AC$1004,1,MATCH(COLUMNS($U$1006:AA1006),$U$1006:$AC$1006,0)))),"Fix")))</f>
        <v>0</v>
      </c>
      <c r="I290" s="3">
        <f>IF(OR(INDEX($O$2:$O$1001,MATCH(ROWS($N$2:N290),$N$2:$N$1001,0),1)&gt;=100000,INDEX($U$1005:$AC$1005,1,MATCH(COLUMNS($U$1006:AB1006),$U$1006:$AC$1006,0))&gt;=100000), " ",IF(INDEX($U$2:$AC$1001,MATCH(ROWS($N$2:N290),$N$2:$N$1001,0),MATCH(COLUMNS($U$1006:AB1006),$U$1006:$AC$1006,0)), HYPERLINK("#",""), HYPERLINK(CONCATENATE("#metadata!", ADDRESS(INDEX($P$2:$P$1001,MATCH(ROWS($N$2:N290),$N$2:$N$1001,0),0), INDEX($U$1004:$AC$1004,1,MATCH(COLUMNS($U$1006:AB1006),$U$1006:$AC$1006,0)))),"Fix")))</f>
        <v>0</v>
      </c>
      <c r="J290" s="3">
        <f>IF(OR(INDEX($O$2:$O$1001,MATCH(ROWS($N$2:N290),$N$2:$N$1001,0),1)&gt;=100000,INDEX($U$1005:$AC$1005,1,MATCH(COLUMNS($U$1006:AC1006),$U$1006:$AC$1006,0))&gt;=100000), " ",IF(INDEX($U$2:$AC$1001,MATCH(ROWS($N$2:N290),$N$2:$N$1001,0),MATCH(COLUMNS($U$1006:AC1006),$U$1006:$AC$1006,0)), HYPERLINK("#",""), HYPERLINK(CONCATENATE("#metadata!", ADDRESS(INDEX($P$2:$P$1001,MATCH(ROWS($N$2:N290),$N$2:$N$1001,0),0), INDEX($U$1004:$AC$1004,1,MATCH(COLUMNS($U$1006:AC1006),$U$1006:$AC$1006,0)))),"Fix")))</f>
        <v>0</v>
      </c>
      <c r="N290">
        <v>0</v>
      </c>
      <c r="O290">
        <v>0</v>
      </c>
      <c r="P290">
        <v>0</v>
      </c>
      <c r="Q290">
        <f>IF(R290,TRUE,AND(U290:AC290))</f>
        <v>0</v>
      </c>
      <c r="R290">
        <f>COUNTBLANK(metadata!B290:J290)=COLUMNS(metadata!B290:J290)</f>
        <v>0</v>
      </c>
      <c r="S290">
        <v>0</v>
      </c>
      <c r="U290">
        <f>AND(IF(metadata!B290="",FALSE,TRUE),COUNTIF(metadata!B:B, metadata!B290) = 1,NOT(ISERROR(SUMPRODUCT(SEARCH(MID(metadata!B290,ROW(INDIRECT("1:"&amp;LEN(metadata!B290))), 1),"0123456789abcdefghijklmnopqrstuvwxyzABCDEFGHIJKLMNOPQRSTUVWXYZ.")))))</f>
        <v>0</v>
      </c>
      <c r="V290">
        <f>AND(IF(metadata!C290="",FALSE,TRUE),exact(metadata!C290,"UBERON:genitourinary"))</f>
        <v>0</v>
      </c>
      <c r="W290">
        <f>AND(IF(metadata!D290="",FALSE,TRUE),exact(metadata!D290,"UBERON:urine"))</f>
        <v>0</v>
      </c>
      <c r="X290">
        <f>AND(IF(metadata!E290="",FALSE,TRUE),exact(metadata!E290,"UBERON:kidney"))</f>
        <v>0</v>
      </c>
      <c r="Y290">
        <f>AND(IF(metadata!F290="",FALSE,TRUE),exact(metadata!F290,"animal corpus"))</f>
        <v>0</v>
      </c>
      <c r="Z290">
        <f>AND(IF(metadata!G290="",FALSE,TRUE),exact(metadata!G290,"urine"))</f>
        <v>0</v>
      </c>
      <c r="AA290">
        <f>AND(IF(metadata!H290="",FALSE,TRUE),exact(metadata!H290,"urine"))</f>
        <v>0</v>
      </c>
      <c r="AB290">
        <f>AND(IF(metadata!I290="",FALSE,TRUE),exact(metadata!I290,"urine metagenome"))</f>
        <v>0</v>
      </c>
      <c r="AC290">
        <f>AND(IF(metadata!J290="",FALSE,TRUE),exact(metadata!J290,"1346744"))</f>
        <v>0</v>
      </c>
    </row>
    <row r="291" spans="1:29">
      <c r="A291" s="4">
        <f>IF(B291=" "," ",HYPERLINK(CONCATENATE("#metadata!",ADDRESS(INDEX($P$2:$P$1001,MATCH(ROWS($N$2:N291),$N$2:$N$1001,0),0),1)),INDEX($S$2:$S$1001,MATCH(ROWS($N$2:N291),$N$2:$N$1001,0),0)))</f>
        <v>0</v>
      </c>
      <c r="B291" s="3">
        <f>IF(OR(INDEX($O$2:$O$1001,MATCH(ROWS($N$2:N291),$N$2:$N$1001,0),1)&gt;=100000,INDEX($U$1005:$AC$1005,1,MATCH(COLUMNS($U$1006:U1006),$U$1006:$AC$1006,0))&gt;=100000), " ",IF(INDEX($U$2:$AC$1001,MATCH(ROWS($N$2:N291),$N$2:$N$1001,0),MATCH(COLUMNS($U$1006:U1006),$U$1006:$AC$1006,0)), HYPERLINK("#",""), HYPERLINK(CONCATENATE("#metadata!", ADDRESS(INDEX($P$2:$P$1001,MATCH(ROWS($N$2:N291),$N$2:$N$1001,0),0), INDEX($U$1004:$AC$1004,1,MATCH(COLUMNS($U$1006:U1006),$U$1006:$AC$1006,0)))),"Fix")))</f>
        <v>0</v>
      </c>
      <c r="C291" s="3">
        <f>IF(OR(INDEX($O$2:$O$1001,MATCH(ROWS($N$2:N291),$N$2:$N$1001,0),1)&gt;=100000,INDEX($U$1005:$AC$1005,1,MATCH(COLUMNS($U$1006:V1006),$U$1006:$AC$1006,0))&gt;=100000), " ",IF(INDEX($U$2:$AC$1001,MATCH(ROWS($N$2:N291),$N$2:$N$1001,0),MATCH(COLUMNS($U$1006:V1006),$U$1006:$AC$1006,0)), HYPERLINK("#",""), HYPERLINK(CONCATENATE("#metadata!", ADDRESS(INDEX($P$2:$P$1001,MATCH(ROWS($N$2:N291),$N$2:$N$1001,0),0), INDEX($U$1004:$AC$1004,1,MATCH(COLUMNS($U$1006:V1006),$U$1006:$AC$1006,0)))),"Fix")))</f>
        <v>0</v>
      </c>
      <c r="D291" s="3">
        <f>IF(OR(INDEX($O$2:$O$1001,MATCH(ROWS($N$2:N291),$N$2:$N$1001,0),1)&gt;=100000,INDEX($U$1005:$AC$1005,1,MATCH(COLUMNS($U$1006:W1006),$U$1006:$AC$1006,0))&gt;=100000), " ",IF(INDEX($U$2:$AC$1001,MATCH(ROWS($N$2:N291),$N$2:$N$1001,0),MATCH(COLUMNS($U$1006:W1006),$U$1006:$AC$1006,0)), HYPERLINK("#",""), HYPERLINK(CONCATENATE("#metadata!", ADDRESS(INDEX($P$2:$P$1001,MATCH(ROWS($N$2:N291),$N$2:$N$1001,0),0), INDEX($U$1004:$AC$1004,1,MATCH(COLUMNS($U$1006:W1006),$U$1006:$AC$1006,0)))),"Fix")))</f>
        <v>0</v>
      </c>
      <c r="E291" s="3">
        <f>IF(OR(INDEX($O$2:$O$1001,MATCH(ROWS($N$2:N291),$N$2:$N$1001,0),1)&gt;=100000,INDEX($U$1005:$AC$1005,1,MATCH(COLUMNS($U$1006:X1006),$U$1006:$AC$1006,0))&gt;=100000), " ",IF(INDEX($U$2:$AC$1001,MATCH(ROWS($N$2:N291),$N$2:$N$1001,0),MATCH(COLUMNS($U$1006:X1006),$U$1006:$AC$1006,0)), HYPERLINK("#",""), HYPERLINK(CONCATENATE("#metadata!", ADDRESS(INDEX($P$2:$P$1001,MATCH(ROWS($N$2:N291),$N$2:$N$1001,0),0), INDEX($U$1004:$AC$1004,1,MATCH(COLUMNS($U$1006:X1006),$U$1006:$AC$1006,0)))),"Fix")))</f>
        <v>0</v>
      </c>
      <c r="F291" s="3">
        <f>IF(OR(INDEX($O$2:$O$1001,MATCH(ROWS($N$2:N291),$N$2:$N$1001,0),1)&gt;=100000,INDEX($U$1005:$AC$1005,1,MATCH(COLUMNS($U$1006:Y1006),$U$1006:$AC$1006,0))&gt;=100000), " ",IF(INDEX($U$2:$AC$1001,MATCH(ROWS($N$2:N291),$N$2:$N$1001,0),MATCH(COLUMNS($U$1006:Y1006),$U$1006:$AC$1006,0)), HYPERLINK("#",""), HYPERLINK(CONCATENATE("#metadata!", ADDRESS(INDEX($P$2:$P$1001,MATCH(ROWS($N$2:N291),$N$2:$N$1001,0),0), INDEX($U$1004:$AC$1004,1,MATCH(COLUMNS($U$1006:Y1006),$U$1006:$AC$1006,0)))),"Fix")))</f>
        <v>0</v>
      </c>
      <c r="G291" s="3">
        <f>IF(OR(INDEX($O$2:$O$1001,MATCH(ROWS($N$2:N291),$N$2:$N$1001,0),1)&gt;=100000,INDEX($U$1005:$AC$1005,1,MATCH(COLUMNS($U$1006:Z1006),$U$1006:$AC$1006,0))&gt;=100000), " ",IF(INDEX($U$2:$AC$1001,MATCH(ROWS($N$2:N291),$N$2:$N$1001,0),MATCH(COLUMNS($U$1006:Z1006),$U$1006:$AC$1006,0)), HYPERLINK("#",""), HYPERLINK(CONCATENATE("#metadata!", ADDRESS(INDEX($P$2:$P$1001,MATCH(ROWS($N$2:N291),$N$2:$N$1001,0),0), INDEX($U$1004:$AC$1004,1,MATCH(COLUMNS($U$1006:Z1006),$U$1006:$AC$1006,0)))),"Fix")))</f>
        <v>0</v>
      </c>
      <c r="H291" s="3">
        <f>IF(OR(INDEX($O$2:$O$1001,MATCH(ROWS($N$2:N291),$N$2:$N$1001,0),1)&gt;=100000,INDEX($U$1005:$AC$1005,1,MATCH(COLUMNS($U$1006:AA1006),$U$1006:$AC$1006,0))&gt;=100000), " ",IF(INDEX($U$2:$AC$1001,MATCH(ROWS($N$2:N291),$N$2:$N$1001,0),MATCH(COLUMNS($U$1006:AA1006),$U$1006:$AC$1006,0)), HYPERLINK("#",""), HYPERLINK(CONCATENATE("#metadata!", ADDRESS(INDEX($P$2:$P$1001,MATCH(ROWS($N$2:N291),$N$2:$N$1001,0),0), INDEX($U$1004:$AC$1004,1,MATCH(COLUMNS($U$1006:AA1006),$U$1006:$AC$1006,0)))),"Fix")))</f>
        <v>0</v>
      </c>
      <c r="I291" s="3">
        <f>IF(OR(INDEX($O$2:$O$1001,MATCH(ROWS($N$2:N291),$N$2:$N$1001,0),1)&gt;=100000,INDEX($U$1005:$AC$1005,1,MATCH(COLUMNS($U$1006:AB1006),$U$1006:$AC$1006,0))&gt;=100000), " ",IF(INDEX($U$2:$AC$1001,MATCH(ROWS($N$2:N291),$N$2:$N$1001,0),MATCH(COLUMNS($U$1006:AB1006),$U$1006:$AC$1006,0)), HYPERLINK("#",""), HYPERLINK(CONCATENATE("#metadata!", ADDRESS(INDEX($P$2:$P$1001,MATCH(ROWS($N$2:N291),$N$2:$N$1001,0),0), INDEX($U$1004:$AC$1004,1,MATCH(COLUMNS($U$1006:AB1006),$U$1006:$AC$1006,0)))),"Fix")))</f>
        <v>0</v>
      </c>
      <c r="J291" s="3">
        <f>IF(OR(INDEX($O$2:$O$1001,MATCH(ROWS($N$2:N291),$N$2:$N$1001,0),1)&gt;=100000,INDEX($U$1005:$AC$1005,1,MATCH(COLUMNS($U$1006:AC1006),$U$1006:$AC$1006,0))&gt;=100000), " ",IF(INDEX($U$2:$AC$1001,MATCH(ROWS($N$2:N291),$N$2:$N$1001,0),MATCH(COLUMNS($U$1006:AC1006),$U$1006:$AC$1006,0)), HYPERLINK("#",""), HYPERLINK(CONCATENATE("#metadata!", ADDRESS(INDEX($P$2:$P$1001,MATCH(ROWS($N$2:N291),$N$2:$N$1001,0),0), INDEX($U$1004:$AC$1004,1,MATCH(COLUMNS($U$1006:AC1006),$U$1006:$AC$1006,0)))),"Fix")))</f>
        <v>0</v>
      </c>
      <c r="N291">
        <v>0</v>
      </c>
      <c r="O291">
        <v>0</v>
      </c>
      <c r="P291">
        <v>0</v>
      </c>
      <c r="Q291">
        <f>IF(R291,TRUE,AND(U291:AC291))</f>
        <v>0</v>
      </c>
      <c r="R291">
        <f>COUNTBLANK(metadata!B291:J291)=COLUMNS(metadata!B291:J291)</f>
        <v>0</v>
      </c>
      <c r="S291">
        <v>0</v>
      </c>
      <c r="U291">
        <f>AND(IF(metadata!B291="",FALSE,TRUE),COUNTIF(metadata!B:B, metadata!B291) = 1,NOT(ISERROR(SUMPRODUCT(SEARCH(MID(metadata!B291,ROW(INDIRECT("1:"&amp;LEN(metadata!B291))), 1),"0123456789abcdefghijklmnopqrstuvwxyzABCDEFGHIJKLMNOPQRSTUVWXYZ.")))))</f>
        <v>0</v>
      </c>
      <c r="V291">
        <f>AND(IF(metadata!C291="",FALSE,TRUE),exact(metadata!C291,"UBERON:genitourinary"))</f>
        <v>0</v>
      </c>
      <c r="W291">
        <f>AND(IF(metadata!D291="",FALSE,TRUE),exact(metadata!D291,"UBERON:urine"))</f>
        <v>0</v>
      </c>
      <c r="X291">
        <f>AND(IF(metadata!E291="",FALSE,TRUE),exact(metadata!E291,"UBERON:kidney"))</f>
        <v>0</v>
      </c>
      <c r="Y291">
        <f>AND(IF(metadata!F291="",FALSE,TRUE),exact(metadata!F291,"animal corpus"))</f>
        <v>0</v>
      </c>
      <c r="Z291">
        <f>AND(IF(metadata!G291="",FALSE,TRUE),exact(metadata!G291,"urine"))</f>
        <v>0</v>
      </c>
      <c r="AA291">
        <f>AND(IF(metadata!H291="",FALSE,TRUE),exact(metadata!H291,"urine"))</f>
        <v>0</v>
      </c>
      <c r="AB291">
        <f>AND(IF(metadata!I291="",FALSE,TRUE),exact(metadata!I291,"urine metagenome"))</f>
        <v>0</v>
      </c>
      <c r="AC291">
        <f>AND(IF(metadata!J291="",FALSE,TRUE),exact(metadata!J291,"1346744"))</f>
        <v>0</v>
      </c>
    </row>
    <row r="292" spans="1:29">
      <c r="A292" s="4">
        <f>IF(B292=" "," ",HYPERLINK(CONCATENATE("#metadata!",ADDRESS(INDEX($P$2:$P$1001,MATCH(ROWS($N$2:N292),$N$2:$N$1001,0),0),1)),INDEX($S$2:$S$1001,MATCH(ROWS($N$2:N292),$N$2:$N$1001,0),0)))</f>
        <v>0</v>
      </c>
      <c r="B292" s="3">
        <f>IF(OR(INDEX($O$2:$O$1001,MATCH(ROWS($N$2:N292),$N$2:$N$1001,0),1)&gt;=100000,INDEX($U$1005:$AC$1005,1,MATCH(COLUMNS($U$1006:U1006),$U$1006:$AC$1006,0))&gt;=100000), " ",IF(INDEX($U$2:$AC$1001,MATCH(ROWS($N$2:N292),$N$2:$N$1001,0),MATCH(COLUMNS($U$1006:U1006),$U$1006:$AC$1006,0)), HYPERLINK("#",""), HYPERLINK(CONCATENATE("#metadata!", ADDRESS(INDEX($P$2:$P$1001,MATCH(ROWS($N$2:N292),$N$2:$N$1001,0),0), INDEX($U$1004:$AC$1004,1,MATCH(COLUMNS($U$1006:U1006),$U$1006:$AC$1006,0)))),"Fix")))</f>
        <v>0</v>
      </c>
      <c r="C292" s="3">
        <f>IF(OR(INDEX($O$2:$O$1001,MATCH(ROWS($N$2:N292),$N$2:$N$1001,0),1)&gt;=100000,INDEX($U$1005:$AC$1005,1,MATCH(COLUMNS($U$1006:V1006),$U$1006:$AC$1006,0))&gt;=100000), " ",IF(INDEX($U$2:$AC$1001,MATCH(ROWS($N$2:N292),$N$2:$N$1001,0),MATCH(COLUMNS($U$1006:V1006),$U$1006:$AC$1006,0)), HYPERLINK("#",""), HYPERLINK(CONCATENATE("#metadata!", ADDRESS(INDEX($P$2:$P$1001,MATCH(ROWS($N$2:N292),$N$2:$N$1001,0),0), INDEX($U$1004:$AC$1004,1,MATCH(COLUMNS($U$1006:V1006),$U$1006:$AC$1006,0)))),"Fix")))</f>
        <v>0</v>
      </c>
      <c r="D292" s="3">
        <f>IF(OR(INDEX($O$2:$O$1001,MATCH(ROWS($N$2:N292),$N$2:$N$1001,0),1)&gt;=100000,INDEX($U$1005:$AC$1005,1,MATCH(COLUMNS($U$1006:W1006),$U$1006:$AC$1006,0))&gt;=100000), " ",IF(INDEX($U$2:$AC$1001,MATCH(ROWS($N$2:N292),$N$2:$N$1001,0),MATCH(COLUMNS($U$1006:W1006),$U$1006:$AC$1006,0)), HYPERLINK("#",""), HYPERLINK(CONCATENATE("#metadata!", ADDRESS(INDEX($P$2:$P$1001,MATCH(ROWS($N$2:N292),$N$2:$N$1001,0),0), INDEX($U$1004:$AC$1004,1,MATCH(COLUMNS($U$1006:W1006),$U$1006:$AC$1006,0)))),"Fix")))</f>
        <v>0</v>
      </c>
      <c r="E292" s="3">
        <f>IF(OR(INDEX($O$2:$O$1001,MATCH(ROWS($N$2:N292),$N$2:$N$1001,0),1)&gt;=100000,INDEX($U$1005:$AC$1005,1,MATCH(COLUMNS($U$1006:X1006),$U$1006:$AC$1006,0))&gt;=100000), " ",IF(INDEX($U$2:$AC$1001,MATCH(ROWS($N$2:N292),$N$2:$N$1001,0),MATCH(COLUMNS($U$1006:X1006),$U$1006:$AC$1006,0)), HYPERLINK("#",""), HYPERLINK(CONCATENATE("#metadata!", ADDRESS(INDEX($P$2:$P$1001,MATCH(ROWS($N$2:N292),$N$2:$N$1001,0),0), INDEX($U$1004:$AC$1004,1,MATCH(COLUMNS($U$1006:X1006),$U$1006:$AC$1006,0)))),"Fix")))</f>
        <v>0</v>
      </c>
      <c r="F292" s="3">
        <f>IF(OR(INDEX($O$2:$O$1001,MATCH(ROWS($N$2:N292),$N$2:$N$1001,0),1)&gt;=100000,INDEX($U$1005:$AC$1005,1,MATCH(COLUMNS($U$1006:Y1006),$U$1006:$AC$1006,0))&gt;=100000), " ",IF(INDEX($U$2:$AC$1001,MATCH(ROWS($N$2:N292),$N$2:$N$1001,0),MATCH(COLUMNS($U$1006:Y1006),$U$1006:$AC$1006,0)), HYPERLINK("#",""), HYPERLINK(CONCATENATE("#metadata!", ADDRESS(INDEX($P$2:$P$1001,MATCH(ROWS($N$2:N292),$N$2:$N$1001,0),0), INDEX($U$1004:$AC$1004,1,MATCH(COLUMNS($U$1006:Y1006),$U$1006:$AC$1006,0)))),"Fix")))</f>
        <v>0</v>
      </c>
      <c r="G292" s="3">
        <f>IF(OR(INDEX($O$2:$O$1001,MATCH(ROWS($N$2:N292),$N$2:$N$1001,0),1)&gt;=100000,INDEX($U$1005:$AC$1005,1,MATCH(COLUMNS($U$1006:Z1006),$U$1006:$AC$1006,0))&gt;=100000), " ",IF(INDEX($U$2:$AC$1001,MATCH(ROWS($N$2:N292),$N$2:$N$1001,0),MATCH(COLUMNS($U$1006:Z1006),$U$1006:$AC$1006,0)), HYPERLINK("#",""), HYPERLINK(CONCATENATE("#metadata!", ADDRESS(INDEX($P$2:$P$1001,MATCH(ROWS($N$2:N292),$N$2:$N$1001,0),0), INDEX($U$1004:$AC$1004,1,MATCH(COLUMNS($U$1006:Z1006),$U$1006:$AC$1006,0)))),"Fix")))</f>
        <v>0</v>
      </c>
      <c r="H292" s="3">
        <f>IF(OR(INDEX($O$2:$O$1001,MATCH(ROWS($N$2:N292),$N$2:$N$1001,0),1)&gt;=100000,INDEX($U$1005:$AC$1005,1,MATCH(COLUMNS($U$1006:AA1006),$U$1006:$AC$1006,0))&gt;=100000), " ",IF(INDEX($U$2:$AC$1001,MATCH(ROWS($N$2:N292),$N$2:$N$1001,0),MATCH(COLUMNS($U$1006:AA1006),$U$1006:$AC$1006,0)), HYPERLINK("#",""), HYPERLINK(CONCATENATE("#metadata!", ADDRESS(INDEX($P$2:$P$1001,MATCH(ROWS($N$2:N292),$N$2:$N$1001,0),0), INDEX($U$1004:$AC$1004,1,MATCH(COLUMNS($U$1006:AA1006),$U$1006:$AC$1006,0)))),"Fix")))</f>
        <v>0</v>
      </c>
      <c r="I292" s="3">
        <f>IF(OR(INDEX($O$2:$O$1001,MATCH(ROWS($N$2:N292),$N$2:$N$1001,0),1)&gt;=100000,INDEX($U$1005:$AC$1005,1,MATCH(COLUMNS($U$1006:AB1006),$U$1006:$AC$1006,0))&gt;=100000), " ",IF(INDEX($U$2:$AC$1001,MATCH(ROWS($N$2:N292),$N$2:$N$1001,0),MATCH(COLUMNS($U$1006:AB1006),$U$1006:$AC$1006,0)), HYPERLINK("#",""), HYPERLINK(CONCATENATE("#metadata!", ADDRESS(INDEX($P$2:$P$1001,MATCH(ROWS($N$2:N292),$N$2:$N$1001,0),0), INDEX($U$1004:$AC$1004,1,MATCH(COLUMNS($U$1006:AB1006),$U$1006:$AC$1006,0)))),"Fix")))</f>
        <v>0</v>
      </c>
      <c r="J292" s="3">
        <f>IF(OR(INDEX($O$2:$O$1001,MATCH(ROWS($N$2:N292),$N$2:$N$1001,0),1)&gt;=100000,INDEX($U$1005:$AC$1005,1,MATCH(COLUMNS($U$1006:AC1006),$U$1006:$AC$1006,0))&gt;=100000), " ",IF(INDEX($U$2:$AC$1001,MATCH(ROWS($N$2:N292),$N$2:$N$1001,0),MATCH(COLUMNS($U$1006:AC1006),$U$1006:$AC$1006,0)), HYPERLINK("#",""), HYPERLINK(CONCATENATE("#metadata!", ADDRESS(INDEX($P$2:$P$1001,MATCH(ROWS($N$2:N292),$N$2:$N$1001,0),0), INDEX($U$1004:$AC$1004,1,MATCH(COLUMNS($U$1006:AC1006),$U$1006:$AC$1006,0)))),"Fix")))</f>
        <v>0</v>
      </c>
      <c r="N292">
        <v>0</v>
      </c>
      <c r="O292">
        <v>0</v>
      </c>
      <c r="P292">
        <v>0</v>
      </c>
      <c r="Q292">
        <f>IF(R292,TRUE,AND(U292:AC292))</f>
        <v>0</v>
      </c>
      <c r="R292">
        <f>COUNTBLANK(metadata!B292:J292)=COLUMNS(metadata!B292:J292)</f>
        <v>0</v>
      </c>
      <c r="S292">
        <v>0</v>
      </c>
      <c r="U292">
        <f>AND(IF(metadata!B292="",FALSE,TRUE),COUNTIF(metadata!B:B, metadata!B292) = 1,NOT(ISERROR(SUMPRODUCT(SEARCH(MID(metadata!B292,ROW(INDIRECT("1:"&amp;LEN(metadata!B292))), 1),"0123456789abcdefghijklmnopqrstuvwxyzABCDEFGHIJKLMNOPQRSTUVWXYZ.")))))</f>
        <v>0</v>
      </c>
      <c r="V292">
        <f>AND(IF(metadata!C292="",FALSE,TRUE),exact(metadata!C292,"UBERON:genitourinary"))</f>
        <v>0</v>
      </c>
      <c r="W292">
        <f>AND(IF(metadata!D292="",FALSE,TRUE),exact(metadata!D292,"UBERON:urine"))</f>
        <v>0</v>
      </c>
      <c r="X292">
        <f>AND(IF(metadata!E292="",FALSE,TRUE),exact(metadata!E292,"UBERON:kidney"))</f>
        <v>0</v>
      </c>
      <c r="Y292">
        <f>AND(IF(metadata!F292="",FALSE,TRUE),exact(metadata!F292,"animal corpus"))</f>
        <v>0</v>
      </c>
      <c r="Z292">
        <f>AND(IF(metadata!G292="",FALSE,TRUE),exact(metadata!G292,"urine"))</f>
        <v>0</v>
      </c>
      <c r="AA292">
        <f>AND(IF(metadata!H292="",FALSE,TRUE),exact(metadata!H292,"urine"))</f>
        <v>0</v>
      </c>
      <c r="AB292">
        <f>AND(IF(metadata!I292="",FALSE,TRUE),exact(metadata!I292,"urine metagenome"))</f>
        <v>0</v>
      </c>
      <c r="AC292">
        <f>AND(IF(metadata!J292="",FALSE,TRUE),exact(metadata!J292,"1346744"))</f>
        <v>0</v>
      </c>
    </row>
    <row r="293" spans="1:29">
      <c r="A293" s="4">
        <f>IF(B293=" "," ",HYPERLINK(CONCATENATE("#metadata!",ADDRESS(INDEX($P$2:$P$1001,MATCH(ROWS($N$2:N293),$N$2:$N$1001,0),0),1)),INDEX($S$2:$S$1001,MATCH(ROWS($N$2:N293),$N$2:$N$1001,0),0)))</f>
        <v>0</v>
      </c>
      <c r="B293" s="3">
        <f>IF(OR(INDEX($O$2:$O$1001,MATCH(ROWS($N$2:N293),$N$2:$N$1001,0),1)&gt;=100000,INDEX($U$1005:$AC$1005,1,MATCH(COLUMNS($U$1006:U1006),$U$1006:$AC$1006,0))&gt;=100000), " ",IF(INDEX($U$2:$AC$1001,MATCH(ROWS($N$2:N293),$N$2:$N$1001,0),MATCH(COLUMNS($U$1006:U1006),$U$1006:$AC$1006,0)), HYPERLINK("#",""), HYPERLINK(CONCATENATE("#metadata!", ADDRESS(INDEX($P$2:$P$1001,MATCH(ROWS($N$2:N293),$N$2:$N$1001,0),0), INDEX($U$1004:$AC$1004,1,MATCH(COLUMNS($U$1006:U1006),$U$1006:$AC$1006,0)))),"Fix")))</f>
        <v>0</v>
      </c>
      <c r="C293" s="3">
        <f>IF(OR(INDEX($O$2:$O$1001,MATCH(ROWS($N$2:N293),$N$2:$N$1001,0),1)&gt;=100000,INDEX($U$1005:$AC$1005,1,MATCH(COLUMNS($U$1006:V1006),$U$1006:$AC$1006,0))&gt;=100000), " ",IF(INDEX($U$2:$AC$1001,MATCH(ROWS($N$2:N293),$N$2:$N$1001,0),MATCH(COLUMNS($U$1006:V1006),$U$1006:$AC$1006,0)), HYPERLINK("#",""), HYPERLINK(CONCATENATE("#metadata!", ADDRESS(INDEX($P$2:$P$1001,MATCH(ROWS($N$2:N293),$N$2:$N$1001,0),0), INDEX($U$1004:$AC$1004,1,MATCH(COLUMNS($U$1006:V1006),$U$1006:$AC$1006,0)))),"Fix")))</f>
        <v>0</v>
      </c>
      <c r="D293" s="3">
        <f>IF(OR(INDEX($O$2:$O$1001,MATCH(ROWS($N$2:N293),$N$2:$N$1001,0),1)&gt;=100000,INDEX($U$1005:$AC$1005,1,MATCH(COLUMNS($U$1006:W1006),$U$1006:$AC$1006,0))&gt;=100000), " ",IF(INDEX($U$2:$AC$1001,MATCH(ROWS($N$2:N293),$N$2:$N$1001,0),MATCH(COLUMNS($U$1006:W1006),$U$1006:$AC$1006,0)), HYPERLINK("#",""), HYPERLINK(CONCATENATE("#metadata!", ADDRESS(INDEX($P$2:$P$1001,MATCH(ROWS($N$2:N293),$N$2:$N$1001,0),0), INDEX($U$1004:$AC$1004,1,MATCH(COLUMNS($U$1006:W1006),$U$1006:$AC$1006,0)))),"Fix")))</f>
        <v>0</v>
      </c>
      <c r="E293" s="3">
        <f>IF(OR(INDEX($O$2:$O$1001,MATCH(ROWS($N$2:N293),$N$2:$N$1001,0),1)&gt;=100000,INDEX($U$1005:$AC$1005,1,MATCH(COLUMNS($U$1006:X1006),$U$1006:$AC$1006,0))&gt;=100000), " ",IF(INDEX($U$2:$AC$1001,MATCH(ROWS($N$2:N293),$N$2:$N$1001,0),MATCH(COLUMNS($U$1006:X1006),$U$1006:$AC$1006,0)), HYPERLINK("#",""), HYPERLINK(CONCATENATE("#metadata!", ADDRESS(INDEX($P$2:$P$1001,MATCH(ROWS($N$2:N293),$N$2:$N$1001,0),0), INDEX($U$1004:$AC$1004,1,MATCH(COLUMNS($U$1006:X1006),$U$1006:$AC$1006,0)))),"Fix")))</f>
        <v>0</v>
      </c>
      <c r="F293" s="3">
        <f>IF(OR(INDEX($O$2:$O$1001,MATCH(ROWS($N$2:N293),$N$2:$N$1001,0),1)&gt;=100000,INDEX($U$1005:$AC$1005,1,MATCH(COLUMNS($U$1006:Y1006),$U$1006:$AC$1006,0))&gt;=100000), " ",IF(INDEX($U$2:$AC$1001,MATCH(ROWS($N$2:N293),$N$2:$N$1001,0),MATCH(COLUMNS($U$1006:Y1006),$U$1006:$AC$1006,0)), HYPERLINK("#",""), HYPERLINK(CONCATENATE("#metadata!", ADDRESS(INDEX($P$2:$P$1001,MATCH(ROWS($N$2:N293),$N$2:$N$1001,0),0), INDEX($U$1004:$AC$1004,1,MATCH(COLUMNS($U$1006:Y1006),$U$1006:$AC$1006,0)))),"Fix")))</f>
        <v>0</v>
      </c>
      <c r="G293" s="3">
        <f>IF(OR(INDEX($O$2:$O$1001,MATCH(ROWS($N$2:N293),$N$2:$N$1001,0),1)&gt;=100000,INDEX($U$1005:$AC$1005,1,MATCH(COLUMNS($U$1006:Z1006),$U$1006:$AC$1006,0))&gt;=100000), " ",IF(INDEX($U$2:$AC$1001,MATCH(ROWS($N$2:N293),$N$2:$N$1001,0),MATCH(COLUMNS($U$1006:Z1006),$U$1006:$AC$1006,0)), HYPERLINK("#",""), HYPERLINK(CONCATENATE("#metadata!", ADDRESS(INDEX($P$2:$P$1001,MATCH(ROWS($N$2:N293),$N$2:$N$1001,0),0), INDEX($U$1004:$AC$1004,1,MATCH(COLUMNS($U$1006:Z1006),$U$1006:$AC$1006,0)))),"Fix")))</f>
        <v>0</v>
      </c>
      <c r="H293" s="3">
        <f>IF(OR(INDEX($O$2:$O$1001,MATCH(ROWS($N$2:N293),$N$2:$N$1001,0),1)&gt;=100000,INDEX($U$1005:$AC$1005,1,MATCH(COLUMNS($U$1006:AA1006),$U$1006:$AC$1006,0))&gt;=100000), " ",IF(INDEX($U$2:$AC$1001,MATCH(ROWS($N$2:N293),$N$2:$N$1001,0),MATCH(COLUMNS($U$1006:AA1006),$U$1006:$AC$1006,0)), HYPERLINK("#",""), HYPERLINK(CONCATENATE("#metadata!", ADDRESS(INDEX($P$2:$P$1001,MATCH(ROWS($N$2:N293),$N$2:$N$1001,0),0), INDEX($U$1004:$AC$1004,1,MATCH(COLUMNS($U$1006:AA1006),$U$1006:$AC$1006,0)))),"Fix")))</f>
        <v>0</v>
      </c>
      <c r="I293" s="3">
        <f>IF(OR(INDEX($O$2:$O$1001,MATCH(ROWS($N$2:N293),$N$2:$N$1001,0),1)&gt;=100000,INDEX($U$1005:$AC$1005,1,MATCH(COLUMNS($U$1006:AB1006),$U$1006:$AC$1006,0))&gt;=100000), " ",IF(INDEX($U$2:$AC$1001,MATCH(ROWS($N$2:N293),$N$2:$N$1001,0),MATCH(COLUMNS($U$1006:AB1006),$U$1006:$AC$1006,0)), HYPERLINK("#",""), HYPERLINK(CONCATENATE("#metadata!", ADDRESS(INDEX($P$2:$P$1001,MATCH(ROWS($N$2:N293),$N$2:$N$1001,0),0), INDEX($U$1004:$AC$1004,1,MATCH(COLUMNS($U$1006:AB1006),$U$1006:$AC$1006,0)))),"Fix")))</f>
        <v>0</v>
      </c>
      <c r="J293" s="3">
        <f>IF(OR(INDEX($O$2:$O$1001,MATCH(ROWS($N$2:N293),$N$2:$N$1001,0),1)&gt;=100000,INDEX($U$1005:$AC$1005,1,MATCH(COLUMNS($U$1006:AC1006),$U$1006:$AC$1006,0))&gt;=100000), " ",IF(INDEX($U$2:$AC$1001,MATCH(ROWS($N$2:N293),$N$2:$N$1001,0),MATCH(COLUMNS($U$1006:AC1006),$U$1006:$AC$1006,0)), HYPERLINK("#",""), HYPERLINK(CONCATENATE("#metadata!", ADDRESS(INDEX($P$2:$P$1001,MATCH(ROWS($N$2:N293),$N$2:$N$1001,0),0), INDEX($U$1004:$AC$1004,1,MATCH(COLUMNS($U$1006:AC1006),$U$1006:$AC$1006,0)))),"Fix")))</f>
        <v>0</v>
      </c>
      <c r="N293">
        <v>0</v>
      </c>
      <c r="O293">
        <v>0</v>
      </c>
      <c r="P293">
        <v>0</v>
      </c>
      <c r="Q293">
        <f>IF(R293,TRUE,AND(U293:AC293))</f>
        <v>0</v>
      </c>
      <c r="R293">
        <f>COUNTBLANK(metadata!B293:J293)=COLUMNS(metadata!B293:J293)</f>
        <v>0</v>
      </c>
      <c r="S293">
        <v>0</v>
      </c>
      <c r="U293">
        <f>AND(IF(metadata!B293="",FALSE,TRUE),COUNTIF(metadata!B:B, metadata!B293) = 1,NOT(ISERROR(SUMPRODUCT(SEARCH(MID(metadata!B293,ROW(INDIRECT("1:"&amp;LEN(metadata!B293))), 1),"0123456789abcdefghijklmnopqrstuvwxyzABCDEFGHIJKLMNOPQRSTUVWXYZ.")))))</f>
        <v>0</v>
      </c>
      <c r="V293">
        <f>AND(IF(metadata!C293="",FALSE,TRUE),exact(metadata!C293,"UBERON:genitourinary"))</f>
        <v>0</v>
      </c>
      <c r="W293">
        <f>AND(IF(metadata!D293="",FALSE,TRUE),exact(metadata!D293,"UBERON:urine"))</f>
        <v>0</v>
      </c>
      <c r="X293">
        <f>AND(IF(metadata!E293="",FALSE,TRUE),exact(metadata!E293,"UBERON:kidney"))</f>
        <v>0</v>
      </c>
      <c r="Y293">
        <f>AND(IF(metadata!F293="",FALSE,TRUE),exact(metadata!F293,"animal corpus"))</f>
        <v>0</v>
      </c>
      <c r="Z293">
        <f>AND(IF(metadata!G293="",FALSE,TRUE),exact(metadata!G293,"urine"))</f>
        <v>0</v>
      </c>
      <c r="AA293">
        <f>AND(IF(metadata!H293="",FALSE,TRUE),exact(metadata!H293,"urine"))</f>
        <v>0</v>
      </c>
      <c r="AB293">
        <f>AND(IF(metadata!I293="",FALSE,TRUE),exact(metadata!I293,"urine metagenome"))</f>
        <v>0</v>
      </c>
      <c r="AC293">
        <f>AND(IF(metadata!J293="",FALSE,TRUE),exact(metadata!J293,"1346744"))</f>
        <v>0</v>
      </c>
    </row>
    <row r="294" spans="1:29">
      <c r="A294" s="4">
        <f>IF(B294=" "," ",HYPERLINK(CONCATENATE("#metadata!",ADDRESS(INDEX($P$2:$P$1001,MATCH(ROWS($N$2:N294),$N$2:$N$1001,0),0),1)),INDEX($S$2:$S$1001,MATCH(ROWS($N$2:N294),$N$2:$N$1001,0),0)))</f>
        <v>0</v>
      </c>
      <c r="B294" s="3">
        <f>IF(OR(INDEX($O$2:$O$1001,MATCH(ROWS($N$2:N294),$N$2:$N$1001,0),1)&gt;=100000,INDEX($U$1005:$AC$1005,1,MATCH(COLUMNS($U$1006:U1006),$U$1006:$AC$1006,0))&gt;=100000), " ",IF(INDEX($U$2:$AC$1001,MATCH(ROWS($N$2:N294),$N$2:$N$1001,0),MATCH(COLUMNS($U$1006:U1006),$U$1006:$AC$1006,0)), HYPERLINK("#",""), HYPERLINK(CONCATENATE("#metadata!", ADDRESS(INDEX($P$2:$P$1001,MATCH(ROWS($N$2:N294),$N$2:$N$1001,0),0), INDEX($U$1004:$AC$1004,1,MATCH(COLUMNS($U$1006:U1006),$U$1006:$AC$1006,0)))),"Fix")))</f>
        <v>0</v>
      </c>
      <c r="C294" s="3">
        <f>IF(OR(INDEX($O$2:$O$1001,MATCH(ROWS($N$2:N294),$N$2:$N$1001,0),1)&gt;=100000,INDEX($U$1005:$AC$1005,1,MATCH(COLUMNS($U$1006:V1006),$U$1006:$AC$1006,0))&gt;=100000), " ",IF(INDEX($U$2:$AC$1001,MATCH(ROWS($N$2:N294),$N$2:$N$1001,0),MATCH(COLUMNS($U$1006:V1006),$U$1006:$AC$1006,0)), HYPERLINK("#",""), HYPERLINK(CONCATENATE("#metadata!", ADDRESS(INDEX($P$2:$P$1001,MATCH(ROWS($N$2:N294),$N$2:$N$1001,0),0), INDEX($U$1004:$AC$1004,1,MATCH(COLUMNS($U$1006:V1006),$U$1006:$AC$1006,0)))),"Fix")))</f>
        <v>0</v>
      </c>
      <c r="D294" s="3">
        <f>IF(OR(INDEX($O$2:$O$1001,MATCH(ROWS($N$2:N294),$N$2:$N$1001,0),1)&gt;=100000,INDEX($U$1005:$AC$1005,1,MATCH(COLUMNS($U$1006:W1006),$U$1006:$AC$1006,0))&gt;=100000), " ",IF(INDEX($U$2:$AC$1001,MATCH(ROWS($N$2:N294),$N$2:$N$1001,0),MATCH(COLUMNS($U$1006:W1006),$U$1006:$AC$1006,0)), HYPERLINK("#",""), HYPERLINK(CONCATENATE("#metadata!", ADDRESS(INDEX($P$2:$P$1001,MATCH(ROWS($N$2:N294),$N$2:$N$1001,0),0), INDEX($U$1004:$AC$1004,1,MATCH(COLUMNS($U$1006:W1006),$U$1006:$AC$1006,0)))),"Fix")))</f>
        <v>0</v>
      </c>
      <c r="E294" s="3">
        <f>IF(OR(INDEX($O$2:$O$1001,MATCH(ROWS($N$2:N294),$N$2:$N$1001,0),1)&gt;=100000,INDEX($U$1005:$AC$1005,1,MATCH(COLUMNS($U$1006:X1006),$U$1006:$AC$1006,0))&gt;=100000), " ",IF(INDEX($U$2:$AC$1001,MATCH(ROWS($N$2:N294),$N$2:$N$1001,0),MATCH(COLUMNS($U$1006:X1006),$U$1006:$AC$1006,0)), HYPERLINK("#",""), HYPERLINK(CONCATENATE("#metadata!", ADDRESS(INDEX($P$2:$P$1001,MATCH(ROWS($N$2:N294),$N$2:$N$1001,0),0), INDEX($U$1004:$AC$1004,1,MATCH(COLUMNS($U$1006:X1006),$U$1006:$AC$1006,0)))),"Fix")))</f>
        <v>0</v>
      </c>
      <c r="F294" s="3">
        <f>IF(OR(INDEX($O$2:$O$1001,MATCH(ROWS($N$2:N294),$N$2:$N$1001,0),1)&gt;=100000,INDEX($U$1005:$AC$1005,1,MATCH(COLUMNS($U$1006:Y1006),$U$1006:$AC$1006,0))&gt;=100000), " ",IF(INDEX($U$2:$AC$1001,MATCH(ROWS($N$2:N294),$N$2:$N$1001,0),MATCH(COLUMNS($U$1006:Y1006),$U$1006:$AC$1006,0)), HYPERLINK("#",""), HYPERLINK(CONCATENATE("#metadata!", ADDRESS(INDEX($P$2:$P$1001,MATCH(ROWS($N$2:N294),$N$2:$N$1001,0),0), INDEX($U$1004:$AC$1004,1,MATCH(COLUMNS($U$1006:Y1006),$U$1006:$AC$1006,0)))),"Fix")))</f>
        <v>0</v>
      </c>
      <c r="G294" s="3">
        <f>IF(OR(INDEX($O$2:$O$1001,MATCH(ROWS($N$2:N294),$N$2:$N$1001,0),1)&gt;=100000,INDEX($U$1005:$AC$1005,1,MATCH(COLUMNS($U$1006:Z1006),$U$1006:$AC$1006,0))&gt;=100000), " ",IF(INDEX($U$2:$AC$1001,MATCH(ROWS($N$2:N294),$N$2:$N$1001,0),MATCH(COLUMNS($U$1006:Z1006),$U$1006:$AC$1006,0)), HYPERLINK("#",""), HYPERLINK(CONCATENATE("#metadata!", ADDRESS(INDEX($P$2:$P$1001,MATCH(ROWS($N$2:N294),$N$2:$N$1001,0),0), INDEX($U$1004:$AC$1004,1,MATCH(COLUMNS($U$1006:Z1006),$U$1006:$AC$1006,0)))),"Fix")))</f>
        <v>0</v>
      </c>
      <c r="H294" s="3">
        <f>IF(OR(INDEX($O$2:$O$1001,MATCH(ROWS($N$2:N294),$N$2:$N$1001,0),1)&gt;=100000,INDEX($U$1005:$AC$1005,1,MATCH(COLUMNS($U$1006:AA1006),$U$1006:$AC$1006,0))&gt;=100000), " ",IF(INDEX($U$2:$AC$1001,MATCH(ROWS($N$2:N294),$N$2:$N$1001,0),MATCH(COLUMNS($U$1006:AA1006),$U$1006:$AC$1006,0)), HYPERLINK("#",""), HYPERLINK(CONCATENATE("#metadata!", ADDRESS(INDEX($P$2:$P$1001,MATCH(ROWS($N$2:N294),$N$2:$N$1001,0),0), INDEX($U$1004:$AC$1004,1,MATCH(COLUMNS($U$1006:AA1006),$U$1006:$AC$1006,0)))),"Fix")))</f>
        <v>0</v>
      </c>
      <c r="I294" s="3">
        <f>IF(OR(INDEX($O$2:$O$1001,MATCH(ROWS($N$2:N294),$N$2:$N$1001,0),1)&gt;=100000,INDEX($U$1005:$AC$1005,1,MATCH(COLUMNS($U$1006:AB1006),$U$1006:$AC$1006,0))&gt;=100000), " ",IF(INDEX($U$2:$AC$1001,MATCH(ROWS($N$2:N294),$N$2:$N$1001,0),MATCH(COLUMNS($U$1006:AB1006),$U$1006:$AC$1006,0)), HYPERLINK("#",""), HYPERLINK(CONCATENATE("#metadata!", ADDRESS(INDEX($P$2:$P$1001,MATCH(ROWS($N$2:N294),$N$2:$N$1001,0),0), INDEX($U$1004:$AC$1004,1,MATCH(COLUMNS($U$1006:AB1006),$U$1006:$AC$1006,0)))),"Fix")))</f>
        <v>0</v>
      </c>
      <c r="J294" s="3">
        <f>IF(OR(INDEX($O$2:$O$1001,MATCH(ROWS($N$2:N294),$N$2:$N$1001,0),1)&gt;=100000,INDEX($U$1005:$AC$1005,1,MATCH(COLUMNS($U$1006:AC1006),$U$1006:$AC$1006,0))&gt;=100000), " ",IF(INDEX($U$2:$AC$1001,MATCH(ROWS($N$2:N294),$N$2:$N$1001,0),MATCH(COLUMNS($U$1006:AC1006),$U$1006:$AC$1006,0)), HYPERLINK("#",""), HYPERLINK(CONCATENATE("#metadata!", ADDRESS(INDEX($P$2:$P$1001,MATCH(ROWS($N$2:N294),$N$2:$N$1001,0),0), INDEX($U$1004:$AC$1004,1,MATCH(COLUMNS($U$1006:AC1006),$U$1006:$AC$1006,0)))),"Fix")))</f>
        <v>0</v>
      </c>
      <c r="N294">
        <v>0</v>
      </c>
      <c r="O294">
        <v>0</v>
      </c>
      <c r="P294">
        <v>0</v>
      </c>
      <c r="Q294">
        <f>IF(R294,TRUE,AND(U294:AC294))</f>
        <v>0</v>
      </c>
      <c r="R294">
        <f>COUNTBLANK(metadata!B294:J294)=COLUMNS(metadata!B294:J294)</f>
        <v>0</v>
      </c>
      <c r="S294">
        <v>0</v>
      </c>
      <c r="U294">
        <f>AND(IF(metadata!B294="",FALSE,TRUE),COUNTIF(metadata!B:B, metadata!B294) = 1,NOT(ISERROR(SUMPRODUCT(SEARCH(MID(metadata!B294,ROW(INDIRECT("1:"&amp;LEN(metadata!B294))), 1),"0123456789abcdefghijklmnopqrstuvwxyzABCDEFGHIJKLMNOPQRSTUVWXYZ.")))))</f>
        <v>0</v>
      </c>
      <c r="V294">
        <f>AND(IF(metadata!C294="",FALSE,TRUE),exact(metadata!C294,"UBERON:genitourinary"))</f>
        <v>0</v>
      </c>
      <c r="W294">
        <f>AND(IF(metadata!D294="",FALSE,TRUE),exact(metadata!D294,"UBERON:urine"))</f>
        <v>0</v>
      </c>
      <c r="X294">
        <f>AND(IF(metadata!E294="",FALSE,TRUE),exact(metadata!E294,"UBERON:kidney"))</f>
        <v>0</v>
      </c>
      <c r="Y294">
        <f>AND(IF(metadata!F294="",FALSE,TRUE),exact(metadata!F294,"animal corpus"))</f>
        <v>0</v>
      </c>
      <c r="Z294">
        <f>AND(IF(metadata!G294="",FALSE,TRUE),exact(metadata!G294,"urine"))</f>
        <v>0</v>
      </c>
      <c r="AA294">
        <f>AND(IF(metadata!H294="",FALSE,TRUE),exact(metadata!H294,"urine"))</f>
        <v>0</v>
      </c>
      <c r="AB294">
        <f>AND(IF(metadata!I294="",FALSE,TRUE),exact(metadata!I294,"urine metagenome"))</f>
        <v>0</v>
      </c>
      <c r="AC294">
        <f>AND(IF(metadata!J294="",FALSE,TRUE),exact(metadata!J294,"1346744"))</f>
        <v>0</v>
      </c>
    </row>
    <row r="295" spans="1:29">
      <c r="A295" s="4">
        <f>IF(B295=" "," ",HYPERLINK(CONCATENATE("#metadata!",ADDRESS(INDEX($P$2:$P$1001,MATCH(ROWS($N$2:N295),$N$2:$N$1001,0),0),1)),INDEX($S$2:$S$1001,MATCH(ROWS($N$2:N295),$N$2:$N$1001,0),0)))</f>
        <v>0</v>
      </c>
      <c r="B295" s="3">
        <f>IF(OR(INDEX($O$2:$O$1001,MATCH(ROWS($N$2:N295),$N$2:$N$1001,0),1)&gt;=100000,INDEX($U$1005:$AC$1005,1,MATCH(COLUMNS($U$1006:U1006),$U$1006:$AC$1006,0))&gt;=100000), " ",IF(INDEX($U$2:$AC$1001,MATCH(ROWS($N$2:N295),$N$2:$N$1001,0),MATCH(COLUMNS($U$1006:U1006),$U$1006:$AC$1006,0)), HYPERLINK("#",""), HYPERLINK(CONCATENATE("#metadata!", ADDRESS(INDEX($P$2:$P$1001,MATCH(ROWS($N$2:N295),$N$2:$N$1001,0),0), INDEX($U$1004:$AC$1004,1,MATCH(COLUMNS($U$1006:U1006),$U$1006:$AC$1006,0)))),"Fix")))</f>
        <v>0</v>
      </c>
      <c r="C295" s="3">
        <f>IF(OR(INDEX($O$2:$O$1001,MATCH(ROWS($N$2:N295),$N$2:$N$1001,0),1)&gt;=100000,INDEX($U$1005:$AC$1005,1,MATCH(COLUMNS($U$1006:V1006),$U$1006:$AC$1006,0))&gt;=100000), " ",IF(INDEX($U$2:$AC$1001,MATCH(ROWS($N$2:N295),$N$2:$N$1001,0),MATCH(COLUMNS($U$1006:V1006),$U$1006:$AC$1006,0)), HYPERLINK("#",""), HYPERLINK(CONCATENATE("#metadata!", ADDRESS(INDEX($P$2:$P$1001,MATCH(ROWS($N$2:N295),$N$2:$N$1001,0),0), INDEX($U$1004:$AC$1004,1,MATCH(COLUMNS($U$1006:V1006),$U$1006:$AC$1006,0)))),"Fix")))</f>
        <v>0</v>
      </c>
      <c r="D295" s="3">
        <f>IF(OR(INDEX($O$2:$O$1001,MATCH(ROWS($N$2:N295),$N$2:$N$1001,0),1)&gt;=100000,INDEX($U$1005:$AC$1005,1,MATCH(COLUMNS($U$1006:W1006),$U$1006:$AC$1006,0))&gt;=100000), " ",IF(INDEX($U$2:$AC$1001,MATCH(ROWS($N$2:N295),$N$2:$N$1001,0),MATCH(COLUMNS($U$1006:W1006),$U$1006:$AC$1006,0)), HYPERLINK("#",""), HYPERLINK(CONCATENATE("#metadata!", ADDRESS(INDEX($P$2:$P$1001,MATCH(ROWS($N$2:N295),$N$2:$N$1001,0),0), INDEX($U$1004:$AC$1004,1,MATCH(COLUMNS($U$1006:W1006),$U$1006:$AC$1006,0)))),"Fix")))</f>
        <v>0</v>
      </c>
      <c r="E295" s="3">
        <f>IF(OR(INDEX($O$2:$O$1001,MATCH(ROWS($N$2:N295),$N$2:$N$1001,0),1)&gt;=100000,INDEX($U$1005:$AC$1005,1,MATCH(COLUMNS($U$1006:X1006),$U$1006:$AC$1006,0))&gt;=100000), " ",IF(INDEX($U$2:$AC$1001,MATCH(ROWS($N$2:N295),$N$2:$N$1001,0),MATCH(COLUMNS($U$1006:X1006),$U$1006:$AC$1006,0)), HYPERLINK("#",""), HYPERLINK(CONCATENATE("#metadata!", ADDRESS(INDEX($P$2:$P$1001,MATCH(ROWS($N$2:N295),$N$2:$N$1001,0),0), INDEX($U$1004:$AC$1004,1,MATCH(COLUMNS($U$1006:X1006),$U$1006:$AC$1006,0)))),"Fix")))</f>
        <v>0</v>
      </c>
      <c r="F295" s="3">
        <f>IF(OR(INDEX($O$2:$O$1001,MATCH(ROWS($N$2:N295),$N$2:$N$1001,0),1)&gt;=100000,INDEX($U$1005:$AC$1005,1,MATCH(COLUMNS($U$1006:Y1006),$U$1006:$AC$1006,0))&gt;=100000), " ",IF(INDEX($U$2:$AC$1001,MATCH(ROWS($N$2:N295),$N$2:$N$1001,0),MATCH(COLUMNS($U$1006:Y1006),$U$1006:$AC$1006,0)), HYPERLINK("#",""), HYPERLINK(CONCATENATE("#metadata!", ADDRESS(INDEX($P$2:$P$1001,MATCH(ROWS($N$2:N295),$N$2:$N$1001,0),0), INDEX($U$1004:$AC$1004,1,MATCH(COLUMNS($U$1006:Y1006),$U$1006:$AC$1006,0)))),"Fix")))</f>
        <v>0</v>
      </c>
      <c r="G295" s="3">
        <f>IF(OR(INDEX($O$2:$O$1001,MATCH(ROWS($N$2:N295),$N$2:$N$1001,0),1)&gt;=100000,INDEX($U$1005:$AC$1005,1,MATCH(COLUMNS($U$1006:Z1006),$U$1006:$AC$1006,0))&gt;=100000), " ",IF(INDEX($U$2:$AC$1001,MATCH(ROWS($N$2:N295),$N$2:$N$1001,0),MATCH(COLUMNS($U$1006:Z1006),$U$1006:$AC$1006,0)), HYPERLINK("#",""), HYPERLINK(CONCATENATE("#metadata!", ADDRESS(INDEX($P$2:$P$1001,MATCH(ROWS($N$2:N295),$N$2:$N$1001,0),0), INDEX($U$1004:$AC$1004,1,MATCH(COLUMNS($U$1006:Z1006),$U$1006:$AC$1006,0)))),"Fix")))</f>
        <v>0</v>
      </c>
      <c r="H295" s="3">
        <f>IF(OR(INDEX($O$2:$O$1001,MATCH(ROWS($N$2:N295),$N$2:$N$1001,0),1)&gt;=100000,INDEX($U$1005:$AC$1005,1,MATCH(COLUMNS($U$1006:AA1006),$U$1006:$AC$1006,0))&gt;=100000), " ",IF(INDEX($U$2:$AC$1001,MATCH(ROWS($N$2:N295),$N$2:$N$1001,0),MATCH(COLUMNS($U$1006:AA1006),$U$1006:$AC$1006,0)), HYPERLINK("#",""), HYPERLINK(CONCATENATE("#metadata!", ADDRESS(INDEX($P$2:$P$1001,MATCH(ROWS($N$2:N295),$N$2:$N$1001,0),0), INDEX($U$1004:$AC$1004,1,MATCH(COLUMNS($U$1006:AA1006),$U$1006:$AC$1006,0)))),"Fix")))</f>
        <v>0</v>
      </c>
      <c r="I295" s="3">
        <f>IF(OR(INDEX($O$2:$O$1001,MATCH(ROWS($N$2:N295),$N$2:$N$1001,0),1)&gt;=100000,INDEX($U$1005:$AC$1005,1,MATCH(COLUMNS($U$1006:AB1006),$U$1006:$AC$1006,0))&gt;=100000), " ",IF(INDEX($U$2:$AC$1001,MATCH(ROWS($N$2:N295),$N$2:$N$1001,0),MATCH(COLUMNS($U$1006:AB1006),$U$1006:$AC$1006,0)), HYPERLINK("#",""), HYPERLINK(CONCATENATE("#metadata!", ADDRESS(INDEX($P$2:$P$1001,MATCH(ROWS($N$2:N295),$N$2:$N$1001,0),0), INDEX($U$1004:$AC$1004,1,MATCH(COLUMNS($U$1006:AB1006),$U$1006:$AC$1006,0)))),"Fix")))</f>
        <v>0</v>
      </c>
      <c r="J295" s="3">
        <f>IF(OR(INDEX($O$2:$O$1001,MATCH(ROWS($N$2:N295),$N$2:$N$1001,0),1)&gt;=100000,INDEX($U$1005:$AC$1005,1,MATCH(COLUMNS($U$1006:AC1006),$U$1006:$AC$1006,0))&gt;=100000), " ",IF(INDEX($U$2:$AC$1001,MATCH(ROWS($N$2:N295),$N$2:$N$1001,0),MATCH(COLUMNS($U$1006:AC1006),$U$1006:$AC$1006,0)), HYPERLINK("#",""), HYPERLINK(CONCATENATE("#metadata!", ADDRESS(INDEX($P$2:$P$1001,MATCH(ROWS($N$2:N295),$N$2:$N$1001,0),0), INDEX($U$1004:$AC$1004,1,MATCH(COLUMNS($U$1006:AC1006),$U$1006:$AC$1006,0)))),"Fix")))</f>
        <v>0</v>
      </c>
      <c r="N295">
        <v>0</v>
      </c>
      <c r="O295">
        <v>0</v>
      </c>
      <c r="P295">
        <v>0</v>
      </c>
      <c r="Q295">
        <f>IF(R295,TRUE,AND(U295:AC295))</f>
        <v>0</v>
      </c>
      <c r="R295">
        <f>COUNTBLANK(metadata!B295:J295)=COLUMNS(metadata!B295:J295)</f>
        <v>0</v>
      </c>
      <c r="S295">
        <v>0</v>
      </c>
      <c r="U295">
        <f>AND(IF(metadata!B295="",FALSE,TRUE),COUNTIF(metadata!B:B, metadata!B295) = 1,NOT(ISERROR(SUMPRODUCT(SEARCH(MID(metadata!B295,ROW(INDIRECT("1:"&amp;LEN(metadata!B295))), 1),"0123456789abcdefghijklmnopqrstuvwxyzABCDEFGHIJKLMNOPQRSTUVWXYZ.")))))</f>
        <v>0</v>
      </c>
      <c r="V295">
        <f>AND(IF(metadata!C295="",FALSE,TRUE),exact(metadata!C295,"UBERON:genitourinary"))</f>
        <v>0</v>
      </c>
      <c r="W295">
        <f>AND(IF(metadata!D295="",FALSE,TRUE),exact(metadata!D295,"UBERON:urine"))</f>
        <v>0</v>
      </c>
      <c r="X295">
        <f>AND(IF(metadata!E295="",FALSE,TRUE),exact(metadata!E295,"UBERON:kidney"))</f>
        <v>0</v>
      </c>
      <c r="Y295">
        <f>AND(IF(metadata!F295="",FALSE,TRUE),exact(metadata!F295,"animal corpus"))</f>
        <v>0</v>
      </c>
      <c r="Z295">
        <f>AND(IF(metadata!G295="",FALSE,TRUE),exact(metadata!G295,"urine"))</f>
        <v>0</v>
      </c>
      <c r="AA295">
        <f>AND(IF(metadata!H295="",FALSE,TRUE),exact(metadata!H295,"urine"))</f>
        <v>0</v>
      </c>
      <c r="AB295">
        <f>AND(IF(metadata!I295="",FALSE,TRUE),exact(metadata!I295,"urine metagenome"))</f>
        <v>0</v>
      </c>
      <c r="AC295">
        <f>AND(IF(metadata!J295="",FALSE,TRUE),exact(metadata!J295,"1346744"))</f>
        <v>0</v>
      </c>
    </row>
    <row r="296" spans="1:29">
      <c r="A296" s="4">
        <f>IF(B296=" "," ",HYPERLINK(CONCATENATE("#metadata!",ADDRESS(INDEX($P$2:$P$1001,MATCH(ROWS($N$2:N296),$N$2:$N$1001,0),0),1)),INDEX($S$2:$S$1001,MATCH(ROWS($N$2:N296),$N$2:$N$1001,0),0)))</f>
        <v>0</v>
      </c>
      <c r="B296" s="3">
        <f>IF(OR(INDEX($O$2:$O$1001,MATCH(ROWS($N$2:N296),$N$2:$N$1001,0),1)&gt;=100000,INDEX($U$1005:$AC$1005,1,MATCH(COLUMNS($U$1006:U1006),$U$1006:$AC$1006,0))&gt;=100000), " ",IF(INDEX($U$2:$AC$1001,MATCH(ROWS($N$2:N296),$N$2:$N$1001,0),MATCH(COLUMNS($U$1006:U1006),$U$1006:$AC$1006,0)), HYPERLINK("#",""), HYPERLINK(CONCATENATE("#metadata!", ADDRESS(INDEX($P$2:$P$1001,MATCH(ROWS($N$2:N296),$N$2:$N$1001,0),0), INDEX($U$1004:$AC$1004,1,MATCH(COLUMNS($U$1006:U1006),$U$1006:$AC$1006,0)))),"Fix")))</f>
        <v>0</v>
      </c>
      <c r="C296" s="3">
        <f>IF(OR(INDEX($O$2:$O$1001,MATCH(ROWS($N$2:N296),$N$2:$N$1001,0),1)&gt;=100000,INDEX($U$1005:$AC$1005,1,MATCH(COLUMNS($U$1006:V1006),$U$1006:$AC$1006,0))&gt;=100000), " ",IF(INDEX($U$2:$AC$1001,MATCH(ROWS($N$2:N296),$N$2:$N$1001,0),MATCH(COLUMNS($U$1006:V1006),$U$1006:$AC$1006,0)), HYPERLINK("#",""), HYPERLINK(CONCATENATE("#metadata!", ADDRESS(INDEX($P$2:$P$1001,MATCH(ROWS($N$2:N296),$N$2:$N$1001,0),0), INDEX($U$1004:$AC$1004,1,MATCH(COLUMNS($U$1006:V1006),$U$1006:$AC$1006,0)))),"Fix")))</f>
        <v>0</v>
      </c>
      <c r="D296" s="3">
        <f>IF(OR(INDEX($O$2:$O$1001,MATCH(ROWS($N$2:N296),$N$2:$N$1001,0),1)&gt;=100000,INDEX($U$1005:$AC$1005,1,MATCH(COLUMNS($U$1006:W1006),$U$1006:$AC$1006,0))&gt;=100000), " ",IF(INDEX($U$2:$AC$1001,MATCH(ROWS($N$2:N296),$N$2:$N$1001,0),MATCH(COLUMNS($U$1006:W1006),$U$1006:$AC$1006,0)), HYPERLINK("#",""), HYPERLINK(CONCATENATE("#metadata!", ADDRESS(INDEX($P$2:$P$1001,MATCH(ROWS($N$2:N296),$N$2:$N$1001,0),0), INDEX($U$1004:$AC$1004,1,MATCH(COLUMNS($U$1006:W1006),$U$1006:$AC$1006,0)))),"Fix")))</f>
        <v>0</v>
      </c>
      <c r="E296" s="3">
        <f>IF(OR(INDEX($O$2:$O$1001,MATCH(ROWS($N$2:N296),$N$2:$N$1001,0),1)&gt;=100000,INDEX($U$1005:$AC$1005,1,MATCH(COLUMNS($U$1006:X1006),$U$1006:$AC$1006,0))&gt;=100000), " ",IF(INDEX($U$2:$AC$1001,MATCH(ROWS($N$2:N296),$N$2:$N$1001,0),MATCH(COLUMNS($U$1006:X1006),$U$1006:$AC$1006,0)), HYPERLINK("#",""), HYPERLINK(CONCATENATE("#metadata!", ADDRESS(INDEX($P$2:$P$1001,MATCH(ROWS($N$2:N296),$N$2:$N$1001,0),0), INDEX($U$1004:$AC$1004,1,MATCH(COLUMNS($U$1006:X1006),$U$1006:$AC$1006,0)))),"Fix")))</f>
        <v>0</v>
      </c>
      <c r="F296" s="3">
        <f>IF(OR(INDEX($O$2:$O$1001,MATCH(ROWS($N$2:N296),$N$2:$N$1001,0),1)&gt;=100000,INDEX($U$1005:$AC$1005,1,MATCH(COLUMNS($U$1006:Y1006),$U$1006:$AC$1006,0))&gt;=100000), " ",IF(INDEX($U$2:$AC$1001,MATCH(ROWS($N$2:N296),$N$2:$N$1001,0),MATCH(COLUMNS($U$1006:Y1006),$U$1006:$AC$1006,0)), HYPERLINK("#",""), HYPERLINK(CONCATENATE("#metadata!", ADDRESS(INDEX($P$2:$P$1001,MATCH(ROWS($N$2:N296),$N$2:$N$1001,0),0), INDEX($U$1004:$AC$1004,1,MATCH(COLUMNS($U$1006:Y1006),$U$1006:$AC$1006,0)))),"Fix")))</f>
        <v>0</v>
      </c>
      <c r="G296" s="3">
        <f>IF(OR(INDEX($O$2:$O$1001,MATCH(ROWS($N$2:N296),$N$2:$N$1001,0),1)&gt;=100000,INDEX($U$1005:$AC$1005,1,MATCH(COLUMNS($U$1006:Z1006),$U$1006:$AC$1006,0))&gt;=100000), " ",IF(INDEX($U$2:$AC$1001,MATCH(ROWS($N$2:N296),$N$2:$N$1001,0),MATCH(COLUMNS($U$1006:Z1006),$U$1006:$AC$1006,0)), HYPERLINK("#",""), HYPERLINK(CONCATENATE("#metadata!", ADDRESS(INDEX($P$2:$P$1001,MATCH(ROWS($N$2:N296),$N$2:$N$1001,0),0), INDEX($U$1004:$AC$1004,1,MATCH(COLUMNS($U$1006:Z1006),$U$1006:$AC$1006,0)))),"Fix")))</f>
        <v>0</v>
      </c>
      <c r="H296" s="3">
        <f>IF(OR(INDEX($O$2:$O$1001,MATCH(ROWS($N$2:N296),$N$2:$N$1001,0),1)&gt;=100000,INDEX($U$1005:$AC$1005,1,MATCH(COLUMNS($U$1006:AA1006),$U$1006:$AC$1006,0))&gt;=100000), " ",IF(INDEX($U$2:$AC$1001,MATCH(ROWS($N$2:N296),$N$2:$N$1001,0),MATCH(COLUMNS($U$1006:AA1006),$U$1006:$AC$1006,0)), HYPERLINK("#",""), HYPERLINK(CONCATENATE("#metadata!", ADDRESS(INDEX($P$2:$P$1001,MATCH(ROWS($N$2:N296),$N$2:$N$1001,0),0), INDEX($U$1004:$AC$1004,1,MATCH(COLUMNS($U$1006:AA1006),$U$1006:$AC$1006,0)))),"Fix")))</f>
        <v>0</v>
      </c>
      <c r="I296" s="3">
        <f>IF(OR(INDEX($O$2:$O$1001,MATCH(ROWS($N$2:N296),$N$2:$N$1001,0),1)&gt;=100000,INDEX($U$1005:$AC$1005,1,MATCH(COLUMNS($U$1006:AB1006),$U$1006:$AC$1006,0))&gt;=100000), " ",IF(INDEX($U$2:$AC$1001,MATCH(ROWS($N$2:N296),$N$2:$N$1001,0),MATCH(COLUMNS($U$1006:AB1006),$U$1006:$AC$1006,0)), HYPERLINK("#",""), HYPERLINK(CONCATENATE("#metadata!", ADDRESS(INDEX($P$2:$P$1001,MATCH(ROWS($N$2:N296),$N$2:$N$1001,0),0), INDEX($U$1004:$AC$1004,1,MATCH(COLUMNS($U$1006:AB1006),$U$1006:$AC$1006,0)))),"Fix")))</f>
        <v>0</v>
      </c>
      <c r="J296" s="3">
        <f>IF(OR(INDEX($O$2:$O$1001,MATCH(ROWS($N$2:N296),$N$2:$N$1001,0),1)&gt;=100000,INDEX($U$1005:$AC$1005,1,MATCH(COLUMNS($U$1006:AC1006),$U$1006:$AC$1006,0))&gt;=100000), " ",IF(INDEX($U$2:$AC$1001,MATCH(ROWS($N$2:N296),$N$2:$N$1001,0),MATCH(COLUMNS($U$1006:AC1006),$U$1006:$AC$1006,0)), HYPERLINK("#",""), HYPERLINK(CONCATENATE("#metadata!", ADDRESS(INDEX($P$2:$P$1001,MATCH(ROWS($N$2:N296),$N$2:$N$1001,0),0), INDEX($U$1004:$AC$1004,1,MATCH(COLUMNS($U$1006:AC1006),$U$1006:$AC$1006,0)))),"Fix")))</f>
        <v>0</v>
      </c>
      <c r="N296">
        <v>0</v>
      </c>
      <c r="O296">
        <v>0</v>
      </c>
      <c r="P296">
        <v>0</v>
      </c>
      <c r="Q296">
        <f>IF(R296,TRUE,AND(U296:AC296))</f>
        <v>0</v>
      </c>
      <c r="R296">
        <f>COUNTBLANK(metadata!B296:J296)=COLUMNS(metadata!B296:J296)</f>
        <v>0</v>
      </c>
      <c r="S296">
        <v>0</v>
      </c>
      <c r="U296">
        <f>AND(IF(metadata!B296="",FALSE,TRUE),COUNTIF(metadata!B:B, metadata!B296) = 1,NOT(ISERROR(SUMPRODUCT(SEARCH(MID(metadata!B296,ROW(INDIRECT("1:"&amp;LEN(metadata!B296))), 1),"0123456789abcdefghijklmnopqrstuvwxyzABCDEFGHIJKLMNOPQRSTUVWXYZ.")))))</f>
        <v>0</v>
      </c>
      <c r="V296">
        <f>AND(IF(metadata!C296="",FALSE,TRUE),exact(metadata!C296,"UBERON:genitourinary"))</f>
        <v>0</v>
      </c>
      <c r="W296">
        <f>AND(IF(metadata!D296="",FALSE,TRUE),exact(metadata!D296,"UBERON:urine"))</f>
        <v>0</v>
      </c>
      <c r="X296">
        <f>AND(IF(metadata!E296="",FALSE,TRUE),exact(metadata!E296,"UBERON:kidney"))</f>
        <v>0</v>
      </c>
      <c r="Y296">
        <f>AND(IF(metadata!F296="",FALSE,TRUE),exact(metadata!F296,"animal corpus"))</f>
        <v>0</v>
      </c>
      <c r="Z296">
        <f>AND(IF(metadata!G296="",FALSE,TRUE),exact(metadata!G296,"urine"))</f>
        <v>0</v>
      </c>
      <c r="AA296">
        <f>AND(IF(metadata!H296="",FALSE,TRUE),exact(metadata!H296,"urine"))</f>
        <v>0</v>
      </c>
      <c r="AB296">
        <f>AND(IF(metadata!I296="",FALSE,TRUE),exact(metadata!I296,"urine metagenome"))</f>
        <v>0</v>
      </c>
      <c r="AC296">
        <f>AND(IF(metadata!J296="",FALSE,TRUE),exact(metadata!J296,"1346744"))</f>
        <v>0</v>
      </c>
    </row>
    <row r="297" spans="1:29">
      <c r="A297" s="4">
        <f>IF(B297=" "," ",HYPERLINK(CONCATENATE("#metadata!",ADDRESS(INDEX($P$2:$P$1001,MATCH(ROWS($N$2:N297),$N$2:$N$1001,0),0),1)),INDEX($S$2:$S$1001,MATCH(ROWS($N$2:N297),$N$2:$N$1001,0),0)))</f>
        <v>0</v>
      </c>
      <c r="B297" s="3">
        <f>IF(OR(INDEX($O$2:$O$1001,MATCH(ROWS($N$2:N297),$N$2:$N$1001,0),1)&gt;=100000,INDEX($U$1005:$AC$1005,1,MATCH(COLUMNS($U$1006:U1006),$U$1006:$AC$1006,0))&gt;=100000), " ",IF(INDEX($U$2:$AC$1001,MATCH(ROWS($N$2:N297),$N$2:$N$1001,0),MATCH(COLUMNS($U$1006:U1006),$U$1006:$AC$1006,0)), HYPERLINK("#",""), HYPERLINK(CONCATENATE("#metadata!", ADDRESS(INDEX($P$2:$P$1001,MATCH(ROWS($N$2:N297),$N$2:$N$1001,0),0), INDEX($U$1004:$AC$1004,1,MATCH(COLUMNS($U$1006:U1006),$U$1006:$AC$1006,0)))),"Fix")))</f>
        <v>0</v>
      </c>
      <c r="C297" s="3">
        <f>IF(OR(INDEX($O$2:$O$1001,MATCH(ROWS($N$2:N297),$N$2:$N$1001,0),1)&gt;=100000,INDEX($U$1005:$AC$1005,1,MATCH(COLUMNS($U$1006:V1006),$U$1006:$AC$1006,0))&gt;=100000), " ",IF(INDEX($U$2:$AC$1001,MATCH(ROWS($N$2:N297),$N$2:$N$1001,0),MATCH(COLUMNS($U$1006:V1006),$U$1006:$AC$1006,0)), HYPERLINK("#",""), HYPERLINK(CONCATENATE("#metadata!", ADDRESS(INDEX($P$2:$P$1001,MATCH(ROWS($N$2:N297),$N$2:$N$1001,0),0), INDEX($U$1004:$AC$1004,1,MATCH(COLUMNS($U$1006:V1006),$U$1006:$AC$1006,0)))),"Fix")))</f>
        <v>0</v>
      </c>
      <c r="D297" s="3">
        <f>IF(OR(INDEX($O$2:$O$1001,MATCH(ROWS($N$2:N297),$N$2:$N$1001,0),1)&gt;=100000,INDEX($U$1005:$AC$1005,1,MATCH(COLUMNS($U$1006:W1006),$U$1006:$AC$1006,0))&gt;=100000), " ",IF(INDEX($U$2:$AC$1001,MATCH(ROWS($N$2:N297),$N$2:$N$1001,0),MATCH(COLUMNS($U$1006:W1006),$U$1006:$AC$1006,0)), HYPERLINK("#",""), HYPERLINK(CONCATENATE("#metadata!", ADDRESS(INDEX($P$2:$P$1001,MATCH(ROWS($N$2:N297),$N$2:$N$1001,0),0), INDEX($U$1004:$AC$1004,1,MATCH(COLUMNS($U$1006:W1006),$U$1006:$AC$1006,0)))),"Fix")))</f>
        <v>0</v>
      </c>
      <c r="E297" s="3">
        <f>IF(OR(INDEX($O$2:$O$1001,MATCH(ROWS($N$2:N297),$N$2:$N$1001,0),1)&gt;=100000,INDEX($U$1005:$AC$1005,1,MATCH(COLUMNS($U$1006:X1006),$U$1006:$AC$1006,0))&gt;=100000), " ",IF(INDEX($U$2:$AC$1001,MATCH(ROWS($N$2:N297),$N$2:$N$1001,0),MATCH(COLUMNS($U$1006:X1006),$U$1006:$AC$1006,0)), HYPERLINK("#",""), HYPERLINK(CONCATENATE("#metadata!", ADDRESS(INDEX($P$2:$P$1001,MATCH(ROWS($N$2:N297),$N$2:$N$1001,0),0), INDEX($U$1004:$AC$1004,1,MATCH(COLUMNS($U$1006:X1006),$U$1006:$AC$1006,0)))),"Fix")))</f>
        <v>0</v>
      </c>
      <c r="F297" s="3">
        <f>IF(OR(INDEX($O$2:$O$1001,MATCH(ROWS($N$2:N297),$N$2:$N$1001,0),1)&gt;=100000,INDEX($U$1005:$AC$1005,1,MATCH(COLUMNS($U$1006:Y1006),$U$1006:$AC$1006,0))&gt;=100000), " ",IF(INDEX($U$2:$AC$1001,MATCH(ROWS($N$2:N297),$N$2:$N$1001,0),MATCH(COLUMNS($U$1006:Y1006),$U$1006:$AC$1006,0)), HYPERLINK("#",""), HYPERLINK(CONCATENATE("#metadata!", ADDRESS(INDEX($P$2:$P$1001,MATCH(ROWS($N$2:N297),$N$2:$N$1001,0),0), INDEX($U$1004:$AC$1004,1,MATCH(COLUMNS($U$1006:Y1006),$U$1006:$AC$1006,0)))),"Fix")))</f>
        <v>0</v>
      </c>
      <c r="G297" s="3">
        <f>IF(OR(INDEX($O$2:$O$1001,MATCH(ROWS($N$2:N297),$N$2:$N$1001,0),1)&gt;=100000,INDEX($U$1005:$AC$1005,1,MATCH(COLUMNS($U$1006:Z1006),$U$1006:$AC$1006,0))&gt;=100000), " ",IF(INDEX($U$2:$AC$1001,MATCH(ROWS($N$2:N297),$N$2:$N$1001,0),MATCH(COLUMNS($U$1006:Z1006),$U$1006:$AC$1006,0)), HYPERLINK("#",""), HYPERLINK(CONCATENATE("#metadata!", ADDRESS(INDEX($P$2:$P$1001,MATCH(ROWS($N$2:N297),$N$2:$N$1001,0),0), INDEX($U$1004:$AC$1004,1,MATCH(COLUMNS($U$1006:Z1006),$U$1006:$AC$1006,0)))),"Fix")))</f>
        <v>0</v>
      </c>
      <c r="H297" s="3">
        <f>IF(OR(INDEX($O$2:$O$1001,MATCH(ROWS($N$2:N297),$N$2:$N$1001,0),1)&gt;=100000,INDEX($U$1005:$AC$1005,1,MATCH(COLUMNS($U$1006:AA1006),$U$1006:$AC$1006,0))&gt;=100000), " ",IF(INDEX($U$2:$AC$1001,MATCH(ROWS($N$2:N297),$N$2:$N$1001,0),MATCH(COLUMNS($U$1006:AA1006),$U$1006:$AC$1006,0)), HYPERLINK("#",""), HYPERLINK(CONCATENATE("#metadata!", ADDRESS(INDEX($P$2:$P$1001,MATCH(ROWS($N$2:N297),$N$2:$N$1001,0),0), INDEX($U$1004:$AC$1004,1,MATCH(COLUMNS($U$1006:AA1006),$U$1006:$AC$1006,0)))),"Fix")))</f>
        <v>0</v>
      </c>
      <c r="I297" s="3">
        <f>IF(OR(INDEX($O$2:$O$1001,MATCH(ROWS($N$2:N297),$N$2:$N$1001,0),1)&gt;=100000,INDEX($U$1005:$AC$1005,1,MATCH(COLUMNS($U$1006:AB1006),$U$1006:$AC$1006,0))&gt;=100000), " ",IF(INDEX($U$2:$AC$1001,MATCH(ROWS($N$2:N297),$N$2:$N$1001,0),MATCH(COLUMNS($U$1006:AB1006),$U$1006:$AC$1006,0)), HYPERLINK("#",""), HYPERLINK(CONCATENATE("#metadata!", ADDRESS(INDEX($P$2:$P$1001,MATCH(ROWS($N$2:N297),$N$2:$N$1001,0),0), INDEX($U$1004:$AC$1004,1,MATCH(COLUMNS($U$1006:AB1006),$U$1006:$AC$1006,0)))),"Fix")))</f>
        <v>0</v>
      </c>
      <c r="J297" s="3">
        <f>IF(OR(INDEX($O$2:$O$1001,MATCH(ROWS($N$2:N297),$N$2:$N$1001,0),1)&gt;=100000,INDEX($U$1005:$AC$1005,1,MATCH(COLUMNS($U$1006:AC1006),$U$1006:$AC$1006,0))&gt;=100000), " ",IF(INDEX($U$2:$AC$1001,MATCH(ROWS($N$2:N297),$N$2:$N$1001,0),MATCH(COLUMNS($U$1006:AC1006),$U$1006:$AC$1006,0)), HYPERLINK("#",""), HYPERLINK(CONCATENATE("#metadata!", ADDRESS(INDEX($P$2:$P$1001,MATCH(ROWS($N$2:N297),$N$2:$N$1001,0),0), INDEX($U$1004:$AC$1004,1,MATCH(COLUMNS($U$1006:AC1006),$U$1006:$AC$1006,0)))),"Fix")))</f>
        <v>0</v>
      </c>
      <c r="N297">
        <v>0</v>
      </c>
      <c r="O297">
        <v>0</v>
      </c>
      <c r="P297">
        <v>0</v>
      </c>
      <c r="Q297">
        <f>IF(R297,TRUE,AND(U297:AC297))</f>
        <v>0</v>
      </c>
      <c r="R297">
        <f>COUNTBLANK(metadata!B297:J297)=COLUMNS(metadata!B297:J297)</f>
        <v>0</v>
      </c>
      <c r="S297">
        <v>0</v>
      </c>
      <c r="U297">
        <f>AND(IF(metadata!B297="",FALSE,TRUE),COUNTIF(metadata!B:B, metadata!B297) = 1,NOT(ISERROR(SUMPRODUCT(SEARCH(MID(metadata!B297,ROW(INDIRECT("1:"&amp;LEN(metadata!B297))), 1),"0123456789abcdefghijklmnopqrstuvwxyzABCDEFGHIJKLMNOPQRSTUVWXYZ.")))))</f>
        <v>0</v>
      </c>
      <c r="V297">
        <f>AND(IF(metadata!C297="",FALSE,TRUE),exact(metadata!C297,"UBERON:genitourinary"))</f>
        <v>0</v>
      </c>
      <c r="W297">
        <f>AND(IF(metadata!D297="",FALSE,TRUE),exact(metadata!D297,"UBERON:urine"))</f>
        <v>0</v>
      </c>
      <c r="X297">
        <f>AND(IF(metadata!E297="",FALSE,TRUE),exact(metadata!E297,"UBERON:kidney"))</f>
        <v>0</v>
      </c>
      <c r="Y297">
        <f>AND(IF(metadata!F297="",FALSE,TRUE),exact(metadata!F297,"animal corpus"))</f>
        <v>0</v>
      </c>
      <c r="Z297">
        <f>AND(IF(metadata!G297="",FALSE,TRUE),exact(metadata!G297,"urine"))</f>
        <v>0</v>
      </c>
      <c r="AA297">
        <f>AND(IF(metadata!H297="",FALSE,TRUE),exact(metadata!H297,"urine"))</f>
        <v>0</v>
      </c>
      <c r="AB297">
        <f>AND(IF(metadata!I297="",FALSE,TRUE),exact(metadata!I297,"urine metagenome"))</f>
        <v>0</v>
      </c>
      <c r="AC297">
        <f>AND(IF(metadata!J297="",FALSE,TRUE),exact(metadata!J297,"1346744"))</f>
        <v>0</v>
      </c>
    </row>
    <row r="298" spans="1:29">
      <c r="A298" s="4">
        <f>IF(B298=" "," ",HYPERLINK(CONCATENATE("#metadata!",ADDRESS(INDEX($P$2:$P$1001,MATCH(ROWS($N$2:N298),$N$2:$N$1001,0),0),1)),INDEX($S$2:$S$1001,MATCH(ROWS($N$2:N298),$N$2:$N$1001,0),0)))</f>
        <v>0</v>
      </c>
      <c r="B298" s="3">
        <f>IF(OR(INDEX($O$2:$O$1001,MATCH(ROWS($N$2:N298),$N$2:$N$1001,0),1)&gt;=100000,INDEX($U$1005:$AC$1005,1,MATCH(COLUMNS($U$1006:U1006),$U$1006:$AC$1006,0))&gt;=100000), " ",IF(INDEX($U$2:$AC$1001,MATCH(ROWS($N$2:N298),$N$2:$N$1001,0),MATCH(COLUMNS($U$1006:U1006),$U$1006:$AC$1006,0)), HYPERLINK("#",""), HYPERLINK(CONCATENATE("#metadata!", ADDRESS(INDEX($P$2:$P$1001,MATCH(ROWS($N$2:N298),$N$2:$N$1001,0),0), INDEX($U$1004:$AC$1004,1,MATCH(COLUMNS($U$1006:U1006),$U$1006:$AC$1006,0)))),"Fix")))</f>
        <v>0</v>
      </c>
      <c r="C298" s="3">
        <f>IF(OR(INDEX($O$2:$O$1001,MATCH(ROWS($N$2:N298),$N$2:$N$1001,0),1)&gt;=100000,INDEX($U$1005:$AC$1005,1,MATCH(COLUMNS($U$1006:V1006),$U$1006:$AC$1006,0))&gt;=100000), " ",IF(INDEX($U$2:$AC$1001,MATCH(ROWS($N$2:N298),$N$2:$N$1001,0),MATCH(COLUMNS($U$1006:V1006),$U$1006:$AC$1006,0)), HYPERLINK("#",""), HYPERLINK(CONCATENATE("#metadata!", ADDRESS(INDEX($P$2:$P$1001,MATCH(ROWS($N$2:N298),$N$2:$N$1001,0),0), INDEX($U$1004:$AC$1004,1,MATCH(COLUMNS($U$1006:V1006),$U$1006:$AC$1006,0)))),"Fix")))</f>
        <v>0</v>
      </c>
      <c r="D298" s="3">
        <f>IF(OR(INDEX($O$2:$O$1001,MATCH(ROWS($N$2:N298),$N$2:$N$1001,0),1)&gt;=100000,INDEX($U$1005:$AC$1005,1,MATCH(COLUMNS($U$1006:W1006),$U$1006:$AC$1006,0))&gt;=100000), " ",IF(INDEX($U$2:$AC$1001,MATCH(ROWS($N$2:N298),$N$2:$N$1001,0),MATCH(COLUMNS($U$1006:W1006),$U$1006:$AC$1006,0)), HYPERLINK("#",""), HYPERLINK(CONCATENATE("#metadata!", ADDRESS(INDEX($P$2:$P$1001,MATCH(ROWS($N$2:N298),$N$2:$N$1001,0),0), INDEX($U$1004:$AC$1004,1,MATCH(COLUMNS($U$1006:W1006),$U$1006:$AC$1006,0)))),"Fix")))</f>
        <v>0</v>
      </c>
      <c r="E298" s="3">
        <f>IF(OR(INDEX($O$2:$O$1001,MATCH(ROWS($N$2:N298),$N$2:$N$1001,0),1)&gt;=100000,INDEX($U$1005:$AC$1005,1,MATCH(COLUMNS($U$1006:X1006),$U$1006:$AC$1006,0))&gt;=100000), " ",IF(INDEX($U$2:$AC$1001,MATCH(ROWS($N$2:N298),$N$2:$N$1001,0),MATCH(COLUMNS($U$1006:X1006),$U$1006:$AC$1006,0)), HYPERLINK("#",""), HYPERLINK(CONCATENATE("#metadata!", ADDRESS(INDEX($P$2:$P$1001,MATCH(ROWS($N$2:N298),$N$2:$N$1001,0),0), INDEX($U$1004:$AC$1004,1,MATCH(COLUMNS($U$1006:X1006),$U$1006:$AC$1006,0)))),"Fix")))</f>
        <v>0</v>
      </c>
      <c r="F298" s="3">
        <f>IF(OR(INDEX($O$2:$O$1001,MATCH(ROWS($N$2:N298),$N$2:$N$1001,0),1)&gt;=100000,INDEX($U$1005:$AC$1005,1,MATCH(COLUMNS($U$1006:Y1006),$U$1006:$AC$1006,0))&gt;=100000), " ",IF(INDEX($U$2:$AC$1001,MATCH(ROWS($N$2:N298),$N$2:$N$1001,0),MATCH(COLUMNS($U$1006:Y1006),$U$1006:$AC$1006,0)), HYPERLINK("#",""), HYPERLINK(CONCATENATE("#metadata!", ADDRESS(INDEX($P$2:$P$1001,MATCH(ROWS($N$2:N298),$N$2:$N$1001,0),0), INDEX($U$1004:$AC$1004,1,MATCH(COLUMNS($U$1006:Y1006),$U$1006:$AC$1006,0)))),"Fix")))</f>
        <v>0</v>
      </c>
      <c r="G298" s="3">
        <f>IF(OR(INDEX($O$2:$O$1001,MATCH(ROWS($N$2:N298),$N$2:$N$1001,0),1)&gt;=100000,INDEX($U$1005:$AC$1005,1,MATCH(COLUMNS($U$1006:Z1006),$U$1006:$AC$1006,0))&gt;=100000), " ",IF(INDEX($U$2:$AC$1001,MATCH(ROWS($N$2:N298),$N$2:$N$1001,0),MATCH(COLUMNS($U$1006:Z1006),$U$1006:$AC$1006,0)), HYPERLINK("#",""), HYPERLINK(CONCATENATE("#metadata!", ADDRESS(INDEX($P$2:$P$1001,MATCH(ROWS($N$2:N298),$N$2:$N$1001,0),0), INDEX($U$1004:$AC$1004,1,MATCH(COLUMNS($U$1006:Z1006),$U$1006:$AC$1006,0)))),"Fix")))</f>
        <v>0</v>
      </c>
      <c r="H298" s="3">
        <f>IF(OR(INDEX($O$2:$O$1001,MATCH(ROWS($N$2:N298),$N$2:$N$1001,0),1)&gt;=100000,INDEX($U$1005:$AC$1005,1,MATCH(COLUMNS($U$1006:AA1006),$U$1006:$AC$1006,0))&gt;=100000), " ",IF(INDEX($U$2:$AC$1001,MATCH(ROWS($N$2:N298),$N$2:$N$1001,0),MATCH(COLUMNS($U$1006:AA1006),$U$1006:$AC$1006,0)), HYPERLINK("#",""), HYPERLINK(CONCATENATE("#metadata!", ADDRESS(INDEX($P$2:$P$1001,MATCH(ROWS($N$2:N298),$N$2:$N$1001,0),0), INDEX($U$1004:$AC$1004,1,MATCH(COLUMNS($U$1006:AA1006),$U$1006:$AC$1006,0)))),"Fix")))</f>
        <v>0</v>
      </c>
      <c r="I298" s="3">
        <f>IF(OR(INDEX($O$2:$O$1001,MATCH(ROWS($N$2:N298),$N$2:$N$1001,0),1)&gt;=100000,INDEX($U$1005:$AC$1005,1,MATCH(COLUMNS($U$1006:AB1006),$U$1006:$AC$1006,0))&gt;=100000), " ",IF(INDEX($U$2:$AC$1001,MATCH(ROWS($N$2:N298),$N$2:$N$1001,0),MATCH(COLUMNS($U$1006:AB1006),$U$1006:$AC$1006,0)), HYPERLINK("#",""), HYPERLINK(CONCATENATE("#metadata!", ADDRESS(INDEX($P$2:$P$1001,MATCH(ROWS($N$2:N298),$N$2:$N$1001,0),0), INDEX($U$1004:$AC$1004,1,MATCH(COLUMNS($U$1006:AB1006),$U$1006:$AC$1006,0)))),"Fix")))</f>
        <v>0</v>
      </c>
      <c r="J298" s="3">
        <f>IF(OR(INDEX($O$2:$O$1001,MATCH(ROWS($N$2:N298),$N$2:$N$1001,0),1)&gt;=100000,INDEX($U$1005:$AC$1005,1,MATCH(COLUMNS($U$1006:AC1006),$U$1006:$AC$1006,0))&gt;=100000), " ",IF(INDEX($U$2:$AC$1001,MATCH(ROWS($N$2:N298),$N$2:$N$1001,0),MATCH(COLUMNS($U$1006:AC1006),$U$1006:$AC$1006,0)), HYPERLINK("#",""), HYPERLINK(CONCATENATE("#metadata!", ADDRESS(INDEX($P$2:$P$1001,MATCH(ROWS($N$2:N298),$N$2:$N$1001,0),0), INDEX($U$1004:$AC$1004,1,MATCH(COLUMNS($U$1006:AC1006),$U$1006:$AC$1006,0)))),"Fix")))</f>
        <v>0</v>
      </c>
      <c r="N298">
        <v>0</v>
      </c>
      <c r="O298">
        <v>0</v>
      </c>
      <c r="P298">
        <v>0</v>
      </c>
      <c r="Q298">
        <f>IF(R298,TRUE,AND(U298:AC298))</f>
        <v>0</v>
      </c>
      <c r="R298">
        <f>COUNTBLANK(metadata!B298:J298)=COLUMNS(metadata!B298:J298)</f>
        <v>0</v>
      </c>
      <c r="S298">
        <v>0</v>
      </c>
      <c r="U298">
        <f>AND(IF(metadata!B298="",FALSE,TRUE),COUNTIF(metadata!B:B, metadata!B298) = 1,NOT(ISERROR(SUMPRODUCT(SEARCH(MID(metadata!B298,ROW(INDIRECT("1:"&amp;LEN(metadata!B298))), 1),"0123456789abcdefghijklmnopqrstuvwxyzABCDEFGHIJKLMNOPQRSTUVWXYZ.")))))</f>
        <v>0</v>
      </c>
      <c r="V298">
        <f>AND(IF(metadata!C298="",FALSE,TRUE),exact(metadata!C298,"UBERON:genitourinary"))</f>
        <v>0</v>
      </c>
      <c r="W298">
        <f>AND(IF(metadata!D298="",FALSE,TRUE),exact(metadata!D298,"UBERON:urine"))</f>
        <v>0</v>
      </c>
      <c r="X298">
        <f>AND(IF(metadata!E298="",FALSE,TRUE),exact(metadata!E298,"UBERON:kidney"))</f>
        <v>0</v>
      </c>
      <c r="Y298">
        <f>AND(IF(metadata!F298="",FALSE,TRUE),exact(metadata!F298,"animal corpus"))</f>
        <v>0</v>
      </c>
      <c r="Z298">
        <f>AND(IF(metadata!G298="",FALSE,TRUE),exact(metadata!G298,"urine"))</f>
        <v>0</v>
      </c>
      <c r="AA298">
        <f>AND(IF(metadata!H298="",FALSE,TRUE),exact(metadata!H298,"urine"))</f>
        <v>0</v>
      </c>
      <c r="AB298">
        <f>AND(IF(metadata!I298="",FALSE,TRUE),exact(metadata!I298,"urine metagenome"))</f>
        <v>0</v>
      </c>
      <c r="AC298">
        <f>AND(IF(metadata!J298="",FALSE,TRUE),exact(metadata!J298,"1346744"))</f>
        <v>0</v>
      </c>
    </row>
    <row r="299" spans="1:29">
      <c r="A299" s="4">
        <f>IF(B299=" "," ",HYPERLINK(CONCATENATE("#metadata!",ADDRESS(INDEX($P$2:$P$1001,MATCH(ROWS($N$2:N299),$N$2:$N$1001,0),0),1)),INDEX($S$2:$S$1001,MATCH(ROWS($N$2:N299),$N$2:$N$1001,0),0)))</f>
        <v>0</v>
      </c>
      <c r="B299" s="3">
        <f>IF(OR(INDEX($O$2:$O$1001,MATCH(ROWS($N$2:N299),$N$2:$N$1001,0),1)&gt;=100000,INDEX($U$1005:$AC$1005,1,MATCH(COLUMNS($U$1006:U1006),$U$1006:$AC$1006,0))&gt;=100000), " ",IF(INDEX($U$2:$AC$1001,MATCH(ROWS($N$2:N299),$N$2:$N$1001,0),MATCH(COLUMNS($U$1006:U1006),$U$1006:$AC$1006,0)), HYPERLINK("#",""), HYPERLINK(CONCATENATE("#metadata!", ADDRESS(INDEX($P$2:$P$1001,MATCH(ROWS($N$2:N299),$N$2:$N$1001,0),0), INDEX($U$1004:$AC$1004,1,MATCH(COLUMNS($U$1006:U1006),$U$1006:$AC$1006,0)))),"Fix")))</f>
        <v>0</v>
      </c>
      <c r="C299" s="3">
        <f>IF(OR(INDEX($O$2:$O$1001,MATCH(ROWS($N$2:N299),$N$2:$N$1001,0),1)&gt;=100000,INDEX($U$1005:$AC$1005,1,MATCH(COLUMNS($U$1006:V1006),$U$1006:$AC$1006,0))&gt;=100000), " ",IF(INDEX($U$2:$AC$1001,MATCH(ROWS($N$2:N299),$N$2:$N$1001,0),MATCH(COLUMNS($U$1006:V1006),$U$1006:$AC$1006,0)), HYPERLINK("#",""), HYPERLINK(CONCATENATE("#metadata!", ADDRESS(INDEX($P$2:$P$1001,MATCH(ROWS($N$2:N299),$N$2:$N$1001,0),0), INDEX($U$1004:$AC$1004,1,MATCH(COLUMNS($U$1006:V1006),$U$1006:$AC$1006,0)))),"Fix")))</f>
        <v>0</v>
      </c>
      <c r="D299" s="3">
        <f>IF(OR(INDEX($O$2:$O$1001,MATCH(ROWS($N$2:N299),$N$2:$N$1001,0),1)&gt;=100000,INDEX($U$1005:$AC$1005,1,MATCH(COLUMNS($U$1006:W1006),$U$1006:$AC$1006,0))&gt;=100000), " ",IF(INDEX($U$2:$AC$1001,MATCH(ROWS($N$2:N299),$N$2:$N$1001,0),MATCH(COLUMNS($U$1006:W1006),$U$1006:$AC$1006,0)), HYPERLINK("#",""), HYPERLINK(CONCATENATE("#metadata!", ADDRESS(INDEX($P$2:$P$1001,MATCH(ROWS($N$2:N299),$N$2:$N$1001,0),0), INDEX($U$1004:$AC$1004,1,MATCH(COLUMNS($U$1006:W1006),$U$1006:$AC$1006,0)))),"Fix")))</f>
        <v>0</v>
      </c>
      <c r="E299" s="3">
        <f>IF(OR(INDEX($O$2:$O$1001,MATCH(ROWS($N$2:N299),$N$2:$N$1001,0),1)&gt;=100000,INDEX($U$1005:$AC$1005,1,MATCH(COLUMNS($U$1006:X1006),$U$1006:$AC$1006,0))&gt;=100000), " ",IF(INDEX($U$2:$AC$1001,MATCH(ROWS($N$2:N299),$N$2:$N$1001,0),MATCH(COLUMNS($U$1006:X1006),$U$1006:$AC$1006,0)), HYPERLINK("#",""), HYPERLINK(CONCATENATE("#metadata!", ADDRESS(INDEX($P$2:$P$1001,MATCH(ROWS($N$2:N299),$N$2:$N$1001,0),0), INDEX($U$1004:$AC$1004,1,MATCH(COLUMNS($U$1006:X1006),$U$1006:$AC$1006,0)))),"Fix")))</f>
        <v>0</v>
      </c>
      <c r="F299" s="3">
        <f>IF(OR(INDEX($O$2:$O$1001,MATCH(ROWS($N$2:N299),$N$2:$N$1001,0),1)&gt;=100000,INDEX($U$1005:$AC$1005,1,MATCH(COLUMNS($U$1006:Y1006),$U$1006:$AC$1006,0))&gt;=100000), " ",IF(INDEX($U$2:$AC$1001,MATCH(ROWS($N$2:N299),$N$2:$N$1001,0),MATCH(COLUMNS($U$1006:Y1006),$U$1006:$AC$1006,0)), HYPERLINK("#",""), HYPERLINK(CONCATENATE("#metadata!", ADDRESS(INDEX($P$2:$P$1001,MATCH(ROWS($N$2:N299),$N$2:$N$1001,0),0), INDEX($U$1004:$AC$1004,1,MATCH(COLUMNS($U$1006:Y1006),$U$1006:$AC$1006,0)))),"Fix")))</f>
        <v>0</v>
      </c>
      <c r="G299" s="3">
        <f>IF(OR(INDEX($O$2:$O$1001,MATCH(ROWS($N$2:N299),$N$2:$N$1001,0),1)&gt;=100000,INDEX($U$1005:$AC$1005,1,MATCH(COLUMNS($U$1006:Z1006),$U$1006:$AC$1006,0))&gt;=100000), " ",IF(INDEX($U$2:$AC$1001,MATCH(ROWS($N$2:N299),$N$2:$N$1001,0),MATCH(COLUMNS($U$1006:Z1006),$U$1006:$AC$1006,0)), HYPERLINK("#",""), HYPERLINK(CONCATENATE("#metadata!", ADDRESS(INDEX($P$2:$P$1001,MATCH(ROWS($N$2:N299),$N$2:$N$1001,0),0), INDEX($U$1004:$AC$1004,1,MATCH(COLUMNS($U$1006:Z1006),$U$1006:$AC$1006,0)))),"Fix")))</f>
        <v>0</v>
      </c>
      <c r="H299" s="3">
        <f>IF(OR(INDEX($O$2:$O$1001,MATCH(ROWS($N$2:N299),$N$2:$N$1001,0),1)&gt;=100000,INDEX($U$1005:$AC$1005,1,MATCH(COLUMNS($U$1006:AA1006),$U$1006:$AC$1006,0))&gt;=100000), " ",IF(INDEX($U$2:$AC$1001,MATCH(ROWS($N$2:N299),$N$2:$N$1001,0),MATCH(COLUMNS($U$1006:AA1006),$U$1006:$AC$1006,0)), HYPERLINK("#",""), HYPERLINK(CONCATENATE("#metadata!", ADDRESS(INDEX($P$2:$P$1001,MATCH(ROWS($N$2:N299),$N$2:$N$1001,0),0), INDEX($U$1004:$AC$1004,1,MATCH(COLUMNS($U$1006:AA1006),$U$1006:$AC$1006,0)))),"Fix")))</f>
        <v>0</v>
      </c>
      <c r="I299" s="3">
        <f>IF(OR(INDEX($O$2:$O$1001,MATCH(ROWS($N$2:N299),$N$2:$N$1001,0),1)&gt;=100000,INDEX($U$1005:$AC$1005,1,MATCH(COLUMNS($U$1006:AB1006),$U$1006:$AC$1006,0))&gt;=100000), " ",IF(INDEX($U$2:$AC$1001,MATCH(ROWS($N$2:N299),$N$2:$N$1001,0),MATCH(COLUMNS($U$1006:AB1006),$U$1006:$AC$1006,0)), HYPERLINK("#",""), HYPERLINK(CONCATENATE("#metadata!", ADDRESS(INDEX($P$2:$P$1001,MATCH(ROWS($N$2:N299),$N$2:$N$1001,0),0), INDEX($U$1004:$AC$1004,1,MATCH(COLUMNS($U$1006:AB1006),$U$1006:$AC$1006,0)))),"Fix")))</f>
        <v>0</v>
      </c>
      <c r="J299" s="3">
        <f>IF(OR(INDEX($O$2:$O$1001,MATCH(ROWS($N$2:N299),$N$2:$N$1001,0),1)&gt;=100000,INDEX($U$1005:$AC$1005,1,MATCH(COLUMNS($U$1006:AC1006),$U$1006:$AC$1006,0))&gt;=100000), " ",IF(INDEX($U$2:$AC$1001,MATCH(ROWS($N$2:N299),$N$2:$N$1001,0),MATCH(COLUMNS($U$1006:AC1006),$U$1006:$AC$1006,0)), HYPERLINK("#",""), HYPERLINK(CONCATENATE("#metadata!", ADDRESS(INDEX($P$2:$P$1001,MATCH(ROWS($N$2:N299),$N$2:$N$1001,0),0), INDEX($U$1004:$AC$1004,1,MATCH(COLUMNS($U$1006:AC1006),$U$1006:$AC$1006,0)))),"Fix")))</f>
        <v>0</v>
      </c>
      <c r="N299">
        <v>0</v>
      </c>
      <c r="O299">
        <v>0</v>
      </c>
      <c r="P299">
        <v>0</v>
      </c>
      <c r="Q299">
        <f>IF(R299,TRUE,AND(U299:AC299))</f>
        <v>0</v>
      </c>
      <c r="R299">
        <f>COUNTBLANK(metadata!B299:J299)=COLUMNS(metadata!B299:J299)</f>
        <v>0</v>
      </c>
      <c r="S299">
        <v>0</v>
      </c>
      <c r="U299">
        <f>AND(IF(metadata!B299="",FALSE,TRUE),COUNTIF(metadata!B:B, metadata!B299) = 1,NOT(ISERROR(SUMPRODUCT(SEARCH(MID(metadata!B299,ROW(INDIRECT("1:"&amp;LEN(metadata!B299))), 1),"0123456789abcdefghijklmnopqrstuvwxyzABCDEFGHIJKLMNOPQRSTUVWXYZ.")))))</f>
        <v>0</v>
      </c>
      <c r="V299">
        <f>AND(IF(metadata!C299="",FALSE,TRUE),exact(metadata!C299,"UBERON:genitourinary"))</f>
        <v>0</v>
      </c>
      <c r="W299">
        <f>AND(IF(metadata!D299="",FALSE,TRUE),exact(metadata!D299,"UBERON:urine"))</f>
        <v>0</v>
      </c>
      <c r="X299">
        <f>AND(IF(metadata!E299="",FALSE,TRUE),exact(metadata!E299,"UBERON:kidney"))</f>
        <v>0</v>
      </c>
      <c r="Y299">
        <f>AND(IF(metadata!F299="",FALSE,TRUE),exact(metadata!F299,"animal corpus"))</f>
        <v>0</v>
      </c>
      <c r="Z299">
        <f>AND(IF(metadata!G299="",FALSE,TRUE),exact(metadata!G299,"urine"))</f>
        <v>0</v>
      </c>
      <c r="AA299">
        <f>AND(IF(metadata!H299="",FALSE,TRUE),exact(metadata!H299,"urine"))</f>
        <v>0</v>
      </c>
      <c r="AB299">
        <f>AND(IF(metadata!I299="",FALSE,TRUE),exact(metadata!I299,"urine metagenome"))</f>
        <v>0</v>
      </c>
      <c r="AC299">
        <f>AND(IF(metadata!J299="",FALSE,TRUE),exact(metadata!J299,"1346744"))</f>
        <v>0</v>
      </c>
    </row>
    <row r="300" spans="1:29">
      <c r="A300" s="4">
        <f>IF(B300=" "," ",HYPERLINK(CONCATENATE("#metadata!",ADDRESS(INDEX($P$2:$P$1001,MATCH(ROWS($N$2:N300),$N$2:$N$1001,0),0),1)),INDEX($S$2:$S$1001,MATCH(ROWS($N$2:N300),$N$2:$N$1001,0),0)))</f>
        <v>0</v>
      </c>
      <c r="B300" s="3">
        <f>IF(OR(INDEX($O$2:$O$1001,MATCH(ROWS($N$2:N300),$N$2:$N$1001,0),1)&gt;=100000,INDEX($U$1005:$AC$1005,1,MATCH(COLUMNS($U$1006:U1006),$U$1006:$AC$1006,0))&gt;=100000), " ",IF(INDEX($U$2:$AC$1001,MATCH(ROWS($N$2:N300),$N$2:$N$1001,0),MATCH(COLUMNS($U$1006:U1006),$U$1006:$AC$1006,0)), HYPERLINK("#",""), HYPERLINK(CONCATENATE("#metadata!", ADDRESS(INDEX($P$2:$P$1001,MATCH(ROWS($N$2:N300),$N$2:$N$1001,0),0), INDEX($U$1004:$AC$1004,1,MATCH(COLUMNS($U$1006:U1006),$U$1006:$AC$1006,0)))),"Fix")))</f>
        <v>0</v>
      </c>
      <c r="C300" s="3">
        <f>IF(OR(INDEX($O$2:$O$1001,MATCH(ROWS($N$2:N300),$N$2:$N$1001,0),1)&gt;=100000,INDEX($U$1005:$AC$1005,1,MATCH(COLUMNS($U$1006:V1006),$U$1006:$AC$1006,0))&gt;=100000), " ",IF(INDEX($U$2:$AC$1001,MATCH(ROWS($N$2:N300),$N$2:$N$1001,0),MATCH(COLUMNS($U$1006:V1006),$U$1006:$AC$1006,0)), HYPERLINK("#",""), HYPERLINK(CONCATENATE("#metadata!", ADDRESS(INDEX($P$2:$P$1001,MATCH(ROWS($N$2:N300),$N$2:$N$1001,0),0), INDEX($U$1004:$AC$1004,1,MATCH(COLUMNS($U$1006:V1006),$U$1006:$AC$1006,0)))),"Fix")))</f>
        <v>0</v>
      </c>
      <c r="D300" s="3">
        <f>IF(OR(INDEX($O$2:$O$1001,MATCH(ROWS($N$2:N300),$N$2:$N$1001,0),1)&gt;=100000,INDEX($U$1005:$AC$1005,1,MATCH(COLUMNS($U$1006:W1006),$U$1006:$AC$1006,0))&gt;=100000), " ",IF(INDEX($U$2:$AC$1001,MATCH(ROWS($N$2:N300),$N$2:$N$1001,0),MATCH(COLUMNS($U$1006:W1006),$U$1006:$AC$1006,0)), HYPERLINK("#",""), HYPERLINK(CONCATENATE("#metadata!", ADDRESS(INDEX($P$2:$P$1001,MATCH(ROWS($N$2:N300),$N$2:$N$1001,0),0), INDEX($U$1004:$AC$1004,1,MATCH(COLUMNS($U$1006:W1006),$U$1006:$AC$1006,0)))),"Fix")))</f>
        <v>0</v>
      </c>
      <c r="E300" s="3">
        <f>IF(OR(INDEX($O$2:$O$1001,MATCH(ROWS($N$2:N300),$N$2:$N$1001,0),1)&gt;=100000,INDEX($U$1005:$AC$1005,1,MATCH(COLUMNS($U$1006:X1006),$U$1006:$AC$1006,0))&gt;=100000), " ",IF(INDEX($U$2:$AC$1001,MATCH(ROWS($N$2:N300),$N$2:$N$1001,0),MATCH(COLUMNS($U$1006:X1006),$U$1006:$AC$1006,0)), HYPERLINK("#",""), HYPERLINK(CONCATENATE("#metadata!", ADDRESS(INDEX($P$2:$P$1001,MATCH(ROWS($N$2:N300),$N$2:$N$1001,0),0), INDEX($U$1004:$AC$1004,1,MATCH(COLUMNS($U$1006:X1006),$U$1006:$AC$1006,0)))),"Fix")))</f>
        <v>0</v>
      </c>
      <c r="F300" s="3">
        <f>IF(OR(INDEX($O$2:$O$1001,MATCH(ROWS($N$2:N300),$N$2:$N$1001,0),1)&gt;=100000,INDEX($U$1005:$AC$1005,1,MATCH(COLUMNS($U$1006:Y1006),$U$1006:$AC$1006,0))&gt;=100000), " ",IF(INDEX($U$2:$AC$1001,MATCH(ROWS($N$2:N300),$N$2:$N$1001,0),MATCH(COLUMNS($U$1006:Y1006),$U$1006:$AC$1006,0)), HYPERLINK("#",""), HYPERLINK(CONCATENATE("#metadata!", ADDRESS(INDEX($P$2:$P$1001,MATCH(ROWS($N$2:N300),$N$2:$N$1001,0),0), INDEX($U$1004:$AC$1004,1,MATCH(COLUMNS($U$1006:Y1006),$U$1006:$AC$1006,0)))),"Fix")))</f>
        <v>0</v>
      </c>
      <c r="G300" s="3">
        <f>IF(OR(INDEX($O$2:$O$1001,MATCH(ROWS($N$2:N300),$N$2:$N$1001,0),1)&gt;=100000,INDEX($U$1005:$AC$1005,1,MATCH(COLUMNS($U$1006:Z1006),$U$1006:$AC$1006,0))&gt;=100000), " ",IF(INDEX($U$2:$AC$1001,MATCH(ROWS($N$2:N300),$N$2:$N$1001,0),MATCH(COLUMNS($U$1006:Z1006),$U$1006:$AC$1006,0)), HYPERLINK("#",""), HYPERLINK(CONCATENATE("#metadata!", ADDRESS(INDEX($P$2:$P$1001,MATCH(ROWS($N$2:N300),$N$2:$N$1001,0),0), INDEX($U$1004:$AC$1004,1,MATCH(COLUMNS($U$1006:Z1006),$U$1006:$AC$1006,0)))),"Fix")))</f>
        <v>0</v>
      </c>
      <c r="H300" s="3">
        <f>IF(OR(INDEX($O$2:$O$1001,MATCH(ROWS($N$2:N300),$N$2:$N$1001,0),1)&gt;=100000,INDEX($U$1005:$AC$1005,1,MATCH(COLUMNS($U$1006:AA1006),$U$1006:$AC$1006,0))&gt;=100000), " ",IF(INDEX($U$2:$AC$1001,MATCH(ROWS($N$2:N300),$N$2:$N$1001,0),MATCH(COLUMNS($U$1006:AA1006),$U$1006:$AC$1006,0)), HYPERLINK("#",""), HYPERLINK(CONCATENATE("#metadata!", ADDRESS(INDEX($P$2:$P$1001,MATCH(ROWS($N$2:N300),$N$2:$N$1001,0),0), INDEX($U$1004:$AC$1004,1,MATCH(COLUMNS($U$1006:AA1006),$U$1006:$AC$1006,0)))),"Fix")))</f>
        <v>0</v>
      </c>
      <c r="I300" s="3">
        <f>IF(OR(INDEX($O$2:$O$1001,MATCH(ROWS($N$2:N300),$N$2:$N$1001,0),1)&gt;=100000,INDEX($U$1005:$AC$1005,1,MATCH(COLUMNS($U$1006:AB1006),$U$1006:$AC$1006,0))&gt;=100000), " ",IF(INDEX($U$2:$AC$1001,MATCH(ROWS($N$2:N300),$N$2:$N$1001,0),MATCH(COLUMNS($U$1006:AB1006),$U$1006:$AC$1006,0)), HYPERLINK("#",""), HYPERLINK(CONCATENATE("#metadata!", ADDRESS(INDEX($P$2:$P$1001,MATCH(ROWS($N$2:N300),$N$2:$N$1001,0),0), INDEX($U$1004:$AC$1004,1,MATCH(COLUMNS($U$1006:AB1006),$U$1006:$AC$1006,0)))),"Fix")))</f>
        <v>0</v>
      </c>
      <c r="J300" s="3">
        <f>IF(OR(INDEX($O$2:$O$1001,MATCH(ROWS($N$2:N300),$N$2:$N$1001,0),1)&gt;=100000,INDEX($U$1005:$AC$1005,1,MATCH(COLUMNS($U$1006:AC1006),$U$1006:$AC$1006,0))&gt;=100000), " ",IF(INDEX($U$2:$AC$1001,MATCH(ROWS($N$2:N300),$N$2:$N$1001,0),MATCH(COLUMNS($U$1006:AC1006),$U$1006:$AC$1006,0)), HYPERLINK("#",""), HYPERLINK(CONCATENATE("#metadata!", ADDRESS(INDEX($P$2:$P$1001,MATCH(ROWS($N$2:N300),$N$2:$N$1001,0),0), INDEX($U$1004:$AC$1004,1,MATCH(COLUMNS($U$1006:AC1006),$U$1006:$AC$1006,0)))),"Fix")))</f>
        <v>0</v>
      </c>
      <c r="N300">
        <v>0</v>
      </c>
      <c r="O300">
        <v>0</v>
      </c>
      <c r="P300">
        <v>0</v>
      </c>
      <c r="Q300">
        <f>IF(R300,TRUE,AND(U300:AC300))</f>
        <v>0</v>
      </c>
      <c r="R300">
        <f>COUNTBLANK(metadata!B300:J300)=COLUMNS(metadata!B300:J300)</f>
        <v>0</v>
      </c>
      <c r="S300">
        <v>0</v>
      </c>
      <c r="U300">
        <f>AND(IF(metadata!B300="",FALSE,TRUE),COUNTIF(metadata!B:B, metadata!B300) = 1,NOT(ISERROR(SUMPRODUCT(SEARCH(MID(metadata!B300,ROW(INDIRECT("1:"&amp;LEN(metadata!B300))), 1),"0123456789abcdefghijklmnopqrstuvwxyzABCDEFGHIJKLMNOPQRSTUVWXYZ.")))))</f>
        <v>0</v>
      </c>
      <c r="V300">
        <f>AND(IF(metadata!C300="",FALSE,TRUE),exact(metadata!C300,"UBERON:genitourinary"))</f>
        <v>0</v>
      </c>
      <c r="W300">
        <f>AND(IF(metadata!D300="",FALSE,TRUE),exact(metadata!D300,"UBERON:urine"))</f>
        <v>0</v>
      </c>
      <c r="X300">
        <f>AND(IF(metadata!E300="",FALSE,TRUE),exact(metadata!E300,"UBERON:kidney"))</f>
        <v>0</v>
      </c>
      <c r="Y300">
        <f>AND(IF(metadata!F300="",FALSE,TRUE),exact(metadata!F300,"animal corpus"))</f>
        <v>0</v>
      </c>
      <c r="Z300">
        <f>AND(IF(metadata!G300="",FALSE,TRUE),exact(metadata!G300,"urine"))</f>
        <v>0</v>
      </c>
      <c r="AA300">
        <f>AND(IF(metadata!H300="",FALSE,TRUE),exact(metadata!H300,"urine"))</f>
        <v>0</v>
      </c>
      <c r="AB300">
        <f>AND(IF(metadata!I300="",FALSE,TRUE),exact(metadata!I300,"urine metagenome"))</f>
        <v>0</v>
      </c>
      <c r="AC300">
        <f>AND(IF(metadata!J300="",FALSE,TRUE),exact(metadata!J300,"1346744"))</f>
        <v>0</v>
      </c>
    </row>
    <row r="301" spans="1:29">
      <c r="A301" s="4">
        <f>IF(B301=" "," ",HYPERLINK(CONCATENATE("#metadata!",ADDRESS(INDEX($P$2:$P$1001,MATCH(ROWS($N$2:N301),$N$2:$N$1001,0),0),1)),INDEX($S$2:$S$1001,MATCH(ROWS($N$2:N301),$N$2:$N$1001,0),0)))</f>
        <v>0</v>
      </c>
      <c r="B301" s="3">
        <f>IF(OR(INDEX($O$2:$O$1001,MATCH(ROWS($N$2:N301),$N$2:$N$1001,0),1)&gt;=100000,INDEX($U$1005:$AC$1005,1,MATCH(COLUMNS($U$1006:U1006),$U$1006:$AC$1006,0))&gt;=100000), " ",IF(INDEX($U$2:$AC$1001,MATCH(ROWS($N$2:N301),$N$2:$N$1001,0),MATCH(COLUMNS($U$1006:U1006),$U$1006:$AC$1006,0)), HYPERLINK("#",""), HYPERLINK(CONCATENATE("#metadata!", ADDRESS(INDEX($P$2:$P$1001,MATCH(ROWS($N$2:N301),$N$2:$N$1001,0),0), INDEX($U$1004:$AC$1004,1,MATCH(COLUMNS($U$1006:U1006),$U$1006:$AC$1006,0)))),"Fix")))</f>
        <v>0</v>
      </c>
      <c r="C301" s="3">
        <f>IF(OR(INDEX($O$2:$O$1001,MATCH(ROWS($N$2:N301),$N$2:$N$1001,0),1)&gt;=100000,INDEX($U$1005:$AC$1005,1,MATCH(COLUMNS($U$1006:V1006),$U$1006:$AC$1006,0))&gt;=100000), " ",IF(INDEX($U$2:$AC$1001,MATCH(ROWS($N$2:N301),$N$2:$N$1001,0),MATCH(COLUMNS($U$1006:V1006),$U$1006:$AC$1006,0)), HYPERLINK("#",""), HYPERLINK(CONCATENATE("#metadata!", ADDRESS(INDEX($P$2:$P$1001,MATCH(ROWS($N$2:N301),$N$2:$N$1001,0),0), INDEX($U$1004:$AC$1004,1,MATCH(COLUMNS($U$1006:V1006),$U$1006:$AC$1006,0)))),"Fix")))</f>
        <v>0</v>
      </c>
      <c r="D301" s="3">
        <f>IF(OR(INDEX($O$2:$O$1001,MATCH(ROWS($N$2:N301),$N$2:$N$1001,0),1)&gt;=100000,INDEX($U$1005:$AC$1005,1,MATCH(COLUMNS($U$1006:W1006),$U$1006:$AC$1006,0))&gt;=100000), " ",IF(INDEX($U$2:$AC$1001,MATCH(ROWS($N$2:N301),$N$2:$N$1001,0),MATCH(COLUMNS($U$1006:W1006),$U$1006:$AC$1006,0)), HYPERLINK("#",""), HYPERLINK(CONCATENATE("#metadata!", ADDRESS(INDEX($P$2:$P$1001,MATCH(ROWS($N$2:N301),$N$2:$N$1001,0),0), INDEX($U$1004:$AC$1004,1,MATCH(COLUMNS($U$1006:W1006),$U$1006:$AC$1006,0)))),"Fix")))</f>
        <v>0</v>
      </c>
      <c r="E301" s="3">
        <f>IF(OR(INDEX($O$2:$O$1001,MATCH(ROWS($N$2:N301),$N$2:$N$1001,0),1)&gt;=100000,INDEX($U$1005:$AC$1005,1,MATCH(COLUMNS($U$1006:X1006),$U$1006:$AC$1006,0))&gt;=100000), " ",IF(INDEX($U$2:$AC$1001,MATCH(ROWS($N$2:N301),$N$2:$N$1001,0),MATCH(COLUMNS($U$1006:X1006),$U$1006:$AC$1006,0)), HYPERLINK("#",""), HYPERLINK(CONCATENATE("#metadata!", ADDRESS(INDEX($P$2:$P$1001,MATCH(ROWS($N$2:N301),$N$2:$N$1001,0),0), INDEX($U$1004:$AC$1004,1,MATCH(COLUMNS($U$1006:X1006),$U$1006:$AC$1006,0)))),"Fix")))</f>
        <v>0</v>
      </c>
      <c r="F301" s="3">
        <f>IF(OR(INDEX($O$2:$O$1001,MATCH(ROWS($N$2:N301),$N$2:$N$1001,0),1)&gt;=100000,INDEX($U$1005:$AC$1005,1,MATCH(COLUMNS($U$1006:Y1006),$U$1006:$AC$1006,0))&gt;=100000), " ",IF(INDEX($U$2:$AC$1001,MATCH(ROWS($N$2:N301),$N$2:$N$1001,0),MATCH(COLUMNS($U$1006:Y1006),$U$1006:$AC$1006,0)), HYPERLINK("#",""), HYPERLINK(CONCATENATE("#metadata!", ADDRESS(INDEX($P$2:$P$1001,MATCH(ROWS($N$2:N301),$N$2:$N$1001,0),0), INDEX($U$1004:$AC$1004,1,MATCH(COLUMNS($U$1006:Y1006),$U$1006:$AC$1006,0)))),"Fix")))</f>
        <v>0</v>
      </c>
      <c r="G301" s="3">
        <f>IF(OR(INDEX($O$2:$O$1001,MATCH(ROWS($N$2:N301),$N$2:$N$1001,0),1)&gt;=100000,INDEX($U$1005:$AC$1005,1,MATCH(COLUMNS($U$1006:Z1006),$U$1006:$AC$1006,0))&gt;=100000), " ",IF(INDEX($U$2:$AC$1001,MATCH(ROWS($N$2:N301),$N$2:$N$1001,0),MATCH(COLUMNS($U$1006:Z1006),$U$1006:$AC$1006,0)), HYPERLINK("#",""), HYPERLINK(CONCATENATE("#metadata!", ADDRESS(INDEX($P$2:$P$1001,MATCH(ROWS($N$2:N301),$N$2:$N$1001,0),0), INDEX($U$1004:$AC$1004,1,MATCH(COLUMNS($U$1006:Z1006),$U$1006:$AC$1006,0)))),"Fix")))</f>
        <v>0</v>
      </c>
      <c r="H301" s="3">
        <f>IF(OR(INDEX($O$2:$O$1001,MATCH(ROWS($N$2:N301),$N$2:$N$1001,0),1)&gt;=100000,INDEX($U$1005:$AC$1005,1,MATCH(COLUMNS($U$1006:AA1006),$U$1006:$AC$1006,0))&gt;=100000), " ",IF(INDEX($U$2:$AC$1001,MATCH(ROWS($N$2:N301),$N$2:$N$1001,0),MATCH(COLUMNS($U$1006:AA1006),$U$1006:$AC$1006,0)), HYPERLINK("#",""), HYPERLINK(CONCATENATE("#metadata!", ADDRESS(INDEX($P$2:$P$1001,MATCH(ROWS($N$2:N301),$N$2:$N$1001,0),0), INDEX($U$1004:$AC$1004,1,MATCH(COLUMNS($U$1006:AA1006),$U$1006:$AC$1006,0)))),"Fix")))</f>
        <v>0</v>
      </c>
      <c r="I301" s="3">
        <f>IF(OR(INDEX($O$2:$O$1001,MATCH(ROWS($N$2:N301),$N$2:$N$1001,0),1)&gt;=100000,INDEX($U$1005:$AC$1005,1,MATCH(COLUMNS($U$1006:AB1006),$U$1006:$AC$1006,0))&gt;=100000), " ",IF(INDEX($U$2:$AC$1001,MATCH(ROWS($N$2:N301),$N$2:$N$1001,0),MATCH(COLUMNS($U$1006:AB1006),$U$1006:$AC$1006,0)), HYPERLINK("#",""), HYPERLINK(CONCATENATE("#metadata!", ADDRESS(INDEX($P$2:$P$1001,MATCH(ROWS($N$2:N301),$N$2:$N$1001,0),0), INDEX($U$1004:$AC$1004,1,MATCH(COLUMNS($U$1006:AB1006),$U$1006:$AC$1006,0)))),"Fix")))</f>
        <v>0</v>
      </c>
      <c r="J301" s="3">
        <f>IF(OR(INDEX($O$2:$O$1001,MATCH(ROWS($N$2:N301),$N$2:$N$1001,0),1)&gt;=100000,INDEX($U$1005:$AC$1005,1,MATCH(COLUMNS($U$1006:AC1006),$U$1006:$AC$1006,0))&gt;=100000), " ",IF(INDEX($U$2:$AC$1001,MATCH(ROWS($N$2:N301),$N$2:$N$1001,0),MATCH(COLUMNS($U$1006:AC1006),$U$1006:$AC$1006,0)), HYPERLINK("#",""), HYPERLINK(CONCATENATE("#metadata!", ADDRESS(INDEX($P$2:$P$1001,MATCH(ROWS($N$2:N301),$N$2:$N$1001,0),0), INDEX($U$1004:$AC$1004,1,MATCH(COLUMNS($U$1006:AC1006),$U$1006:$AC$1006,0)))),"Fix")))</f>
        <v>0</v>
      </c>
      <c r="N301">
        <v>0</v>
      </c>
      <c r="O301">
        <v>0</v>
      </c>
      <c r="P301">
        <v>0</v>
      </c>
      <c r="Q301">
        <f>IF(R301,TRUE,AND(U301:AC301))</f>
        <v>0</v>
      </c>
      <c r="R301">
        <f>COUNTBLANK(metadata!B301:J301)=COLUMNS(metadata!B301:J301)</f>
        <v>0</v>
      </c>
      <c r="S301">
        <v>0</v>
      </c>
      <c r="U301">
        <f>AND(IF(metadata!B301="",FALSE,TRUE),COUNTIF(metadata!B:B, metadata!B301) = 1,NOT(ISERROR(SUMPRODUCT(SEARCH(MID(metadata!B301,ROW(INDIRECT("1:"&amp;LEN(metadata!B301))), 1),"0123456789abcdefghijklmnopqrstuvwxyzABCDEFGHIJKLMNOPQRSTUVWXYZ.")))))</f>
        <v>0</v>
      </c>
      <c r="V301">
        <f>AND(IF(metadata!C301="",FALSE,TRUE),exact(metadata!C301,"UBERON:genitourinary"))</f>
        <v>0</v>
      </c>
      <c r="W301">
        <f>AND(IF(metadata!D301="",FALSE,TRUE),exact(metadata!D301,"UBERON:urine"))</f>
        <v>0</v>
      </c>
      <c r="X301">
        <f>AND(IF(metadata!E301="",FALSE,TRUE),exact(metadata!E301,"UBERON:kidney"))</f>
        <v>0</v>
      </c>
      <c r="Y301">
        <f>AND(IF(metadata!F301="",FALSE,TRUE),exact(metadata!F301,"animal corpus"))</f>
        <v>0</v>
      </c>
      <c r="Z301">
        <f>AND(IF(metadata!G301="",FALSE,TRUE),exact(metadata!G301,"urine"))</f>
        <v>0</v>
      </c>
      <c r="AA301">
        <f>AND(IF(metadata!H301="",FALSE,TRUE),exact(metadata!H301,"urine"))</f>
        <v>0</v>
      </c>
      <c r="AB301">
        <f>AND(IF(metadata!I301="",FALSE,TRUE),exact(metadata!I301,"urine metagenome"))</f>
        <v>0</v>
      </c>
      <c r="AC301">
        <f>AND(IF(metadata!J301="",FALSE,TRUE),exact(metadata!J301,"1346744"))</f>
        <v>0</v>
      </c>
    </row>
    <row r="302" spans="1:29">
      <c r="A302" s="4">
        <f>IF(B302=" "," ",HYPERLINK(CONCATENATE("#metadata!",ADDRESS(INDEX($P$2:$P$1001,MATCH(ROWS($N$2:N302),$N$2:$N$1001,0),0),1)),INDEX($S$2:$S$1001,MATCH(ROWS($N$2:N302),$N$2:$N$1001,0),0)))</f>
        <v>0</v>
      </c>
      <c r="B302" s="3">
        <f>IF(OR(INDEX($O$2:$O$1001,MATCH(ROWS($N$2:N302),$N$2:$N$1001,0),1)&gt;=100000,INDEX($U$1005:$AC$1005,1,MATCH(COLUMNS($U$1006:U1006),$U$1006:$AC$1006,0))&gt;=100000), " ",IF(INDEX($U$2:$AC$1001,MATCH(ROWS($N$2:N302),$N$2:$N$1001,0),MATCH(COLUMNS($U$1006:U1006),$U$1006:$AC$1006,0)), HYPERLINK("#",""), HYPERLINK(CONCATENATE("#metadata!", ADDRESS(INDEX($P$2:$P$1001,MATCH(ROWS($N$2:N302),$N$2:$N$1001,0),0), INDEX($U$1004:$AC$1004,1,MATCH(COLUMNS($U$1006:U1006),$U$1006:$AC$1006,0)))),"Fix")))</f>
        <v>0</v>
      </c>
      <c r="C302" s="3">
        <f>IF(OR(INDEX($O$2:$O$1001,MATCH(ROWS($N$2:N302),$N$2:$N$1001,0),1)&gt;=100000,INDEX($U$1005:$AC$1005,1,MATCH(COLUMNS($U$1006:V1006),$U$1006:$AC$1006,0))&gt;=100000), " ",IF(INDEX($U$2:$AC$1001,MATCH(ROWS($N$2:N302),$N$2:$N$1001,0),MATCH(COLUMNS($U$1006:V1006),$U$1006:$AC$1006,0)), HYPERLINK("#",""), HYPERLINK(CONCATENATE("#metadata!", ADDRESS(INDEX($P$2:$P$1001,MATCH(ROWS($N$2:N302),$N$2:$N$1001,0),0), INDEX($U$1004:$AC$1004,1,MATCH(COLUMNS($U$1006:V1006),$U$1006:$AC$1006,0)))),"Fix")))</f>
        <v>0</v>
      </c>
      <c r="D302" s="3">
        <f>IF(OR(INDEX($O$2:$O$1001,MATCH(ROWS($N$2:N302),$N$2:$N$1001,0),1)&gt;=100000,INDEX($U$1005:$AC$1005,1,MATCH(COLUMNS($U$1006:W1006),$U$1006:$AC$1006,0))&gt;=100000), " ",IF(INDEX($U$2:$AC$1001,MATCH(ROWS($N$2:N302),$N$2:$N$1001,0),MATCH(COLUMNS($U$1006:W1006),$U$1006:$AC$1006,0)), HYPERLINK("#",""), HYPERLINK(CONCATENATE("#metadata!", ADDRESS(INDEX($P$2:$P$1001,MATCH(ROWS($N$2:N302),$N$2:$N$1001,0),0), INDEX($U$1004:$AC$1004,1,MATCH(COLUMNS($U$1006:W1006),$U$1006:$AC$1006,0)))),"Fix")))</f>
        <v>0</v>
      </c>
      <c r="E302" s="3">
        <f>IF(OR(INDEX($O$2:$O$1001,MATCH(ROWS($N$2:N302),$N$2:$N$1001,0),1)&gt;=100000,INDEX($U$1005:$AC$1005,1,MATCH(COLUMNS($U$1006:X1006),$U$1006:$AC$1006,0))&gt;=100000), " ",IF(INDEX($U$2:$AC$1001,MATCH(ROWS($N$2:N302),$N$2:$N$1001,0),MATCH(COLUMNS($U$1006:X1006),$U$1006:$AC$1006,0)), HYPERLINK("#",""), HYPERLINK(CONCATENATE("#metadata!", ADDRESS(INDEX($P$2:$P$1001,MATCH(ROWS($N$2:N302),$N$2:$N$1001,0),0), INDEX($U$1004:$AC$1004,1,MATCH(COLUMNS($U$1006:X1006),$U$1006:$AC$1006,0)))),"Fix")))</f>
        <v>0</v>
      </c>
      <c r="F302" s="3">
        <f>IF(OR(INDEX($O$2:$O$1001,MATCH(ROWS($N$2:N302),$N$2:$N$1001,0),1)&gt;=100000,INDEX($U$1005:$AC$1005,1,MATCH(COLUMNS($U$1006:Y1006),$U$1006:$AC$1006,0))&gt;=100000), " ",IF(INDEX($U$2:$AC$1001,MATCH(ROWS($N$2:N302),$N$2:$N$1001,0),MATCH(COLUMNS($U$1006:Y1006),$U$1006:$AC$1006,0)), HYPERLINK("#",""), HYPERLINK(CONCATENATE("#metadata!", ADDRESS(INDEX($P$2:$P$1001,MATCH(ROWS($N$2:N302),$N$2:$N$1001,0),0), INDEX($U$1004:$AC$1004,1,MATCH(COLUMNS($U$1006:Y1006),$U$1006:$AC$1006,0)))),"Fix")))</f>
        <v>0</v>
      </c>
      <c r="G302" s="3">
        <f>IF(OR(INDEX($O$2:$O$1001,MATCH(ROWS($N$2:N302),$N$2:$N$1001,0),1)&gt;=100000,INDEX($U$1005:$AC$1005,1,MATCH(COLUMNS($U$1006:Z1006),$U$1006:$AC$1006,0))&gt;=100000), " ",IF(INDEX($U$2:$AC$1001,MATCH(ROWS($N$2:N302),$N$2:$N$1001,0),MATCH(COLUMNS($U$1006:Z1006),$U$1006:$AC$1006,0)), HYPERLINK("#",""), HYPERLINK(CONCATENATE("#metadata!", ADDRESS(INDEX($P$2:$P$1001,MATCH(ROWS($N$2:N302),$N$2:$N$1001,0),0), INDEX($U$1004:$AC$1004,1,MATCH(COLUMNS($U$1006:Z1006),$U$1006:$AC$1006,0)))),"Fix")))</f>
        <v>0</v>
      </c>
      <c r="H302" s="3">
        <f>IF(OR(INDEX($O$2:$O$1001,MATCH(ROWS($N$2:N302),$N$2:$N$1001,0),1)&gt;=100000,INDEX($U$1005:$AC$1005,1,MATCH(COLUMNS($U$1006:AA1006),$U$1006:$AC$1006,0))&gt;=100000), " ",IF(INDEX($U$2:$AC$1001,MATCH(ROWS($N$2:N302),$N$2:$N$1001,0),MATCH(COLUMNS($U$1006:AA1006),$U$1006:$AC$1006,0)), HYPERLINK("#",""), HYPERLINK(CONCATENATE("#metadata!", ADDRESS(INDEX($P$2:$P$1001,MATCH(ROWS($N$2:N302),$N$2:$N$1001,0),0), INDEX($U$1004:$AC$1004,1,MATCH(COLUMNS($U$1006:AA1006),$U$1006:$AC$1006,0)))),"Fix")))</f>
        <v>0</v>
      </c>
      <c r="I302" s="3">
        <f>IF(OR(INDEX($O$2:$O$1001,MATCH(ROWS($N$2:N302),$N$2:$N$1001,0),1)&gt;=100000,INDEX($U$1005:$AC$1005,1,MATCH(COLUMNS($U$1006:AB1006),$U$1006:$AC$1006,0))&gt;=100000), " ",IF(INDEX($U$2:$AC$1001,MATCH(ROWS($N$2:N302),$N$2:$N$1001,0),MATCH(COLUMNS($U$1006:AB1006),$U$1006:$AC$1006,0)), HYPERLINK("#",""), HYPERLINK(CONCATENATE("#metadata!", ADDRESS(INDEX($P$2:$P$1001,MATCH(ROWS($N$2:N302),$N$2:$N$1001,0),0), INDEX($U$1004:$AC$1004,1,MATCH(COLUMNS($U$1006:AB1006),$U$1006:$AC$1006,0)))),"Fix")))</f>
        <v>0</v>
      </c>
      <c r="J302" s="3">
        <f>IF(OR(INDEX($O$2:$O$1001,MATCH(ROWS($N$2:N302),$N$2:$N$1001,0),1)&gt;=100000,INDEX($U$1005:$AC$1005,1,MATCH(COLUMNS($U$1006:AC1006),$U$1006:$AC$1006,0))&gt;=100000), " ",IF(INDEX($U$2:$AC$1001,MATCH(ROWS($N$2:N302),$N$2:$N$1001,0),MATCH(COLUMNS($U$1006:AC1006),$U$1006:$AC$1006,0)), HYPERLINK("#",""), HYPERLINK(CONCATENATE("#metadata!", ADDRESS(INDEX($P$2:$P$1001,MATCH(ROWS($N$2:N302),$N$2:$N$1001,0),0), INDEX($U$1004:$AC$1004,1,MATCH(COLUMNS($U$1006:AC1006),$U$1006:$AC$1006,0)))),"Fix")))</f>
        <v>0</v>
      </c>
      <c r="N302">
        <v>0</v>
      </c>
      <c r="O302">
        <v>0</v>
      </c>
      <c r="P302">
        <v>0</v>
      </c>
      <c r="Q302">
        <f>IF(R302,TRUE,AND(U302:AC302))</f>
        <v>0</v>
      </c>
      <c r="R302">
        <f>COUNTBLANK(metadata!B302:J302)=COLUMNS(metadata!B302:J302)</f>
        <v>0</v>
      </c>
      <c r="S302">
        <v>0</v>
      </c>
      <c r="U302">
        <f>AND(IF(metadata!B302="",FALSE,TRUE),COUNTIF(metadata!B:B, metadata!B302) = 1,NOT(ISERROR(SUMPRODUCT(SEARCH(MID(metadata!B302,ROW(INDIRECT("1:"&amp;LEN(metadata!B302))), 1),"0123456789abcdefghijklmnopqrstuvwxyzABCDEFGHIJKLMNOPQRSTUVWXYZ.")))))</f>
        <v>0</v>
      </c>
      <c r="V302">
        <f>AND(IF(metadata!C302="",FALSE,TRUE),exact(metadata!C302,"UBERON:genitourinary"))</f>
        <v>0</v>
      </c>
      <c r="W302">
        <f>AND(IF(metadata!D302="",FALSE,TRUE),exact(metadata!D302,"UBERON:urine"))</f>
        <v>0</v>
      </c>
      <c r="X302">
        <f>AND(IF(metadata!E302="",FALSE,TRUE),exact(metadata!E302,"UBERON:kidney"))</f>
        <v>0</v>
      </c>
      <c r="Y302">
        <f>AND(IF(metadata!F302="",FALSE,TRUE),exact(metadata!F302,"animal corpus"))</f>
        <v>0</v>
      </c>
      <c r="Z302">
        <f>AND(IF(metadata!G302="",FALSE,TRUE),exact(metadata!G302,"urine"))</f>
        <v>0</v>
      </c>
      <c r="AA302">
        <f>AND(IF(metadata!H302="",FALSE,TRUE),exact(metadata!H302,"urine"))</f>
        <v>0</v>
      </c>
      <c r="AB302">
        <f>AND(IF(metadata!I302="",FALSE,TRUE),exact(metadata!I302,"urine metagenome"))</f>
        <v>0</v>
      </c>
      <c r="AC302">
        <f>AND(IF(metadata!J302="",FALSE,TRUE),exact(metadata!J302,"1346744"))</f>
        <v>0</v>
      </c>
    </row>
    <row r="303" spans="1:29">
      <c r="A303" s="4">
        <f>IF(B303=" "," ",HYPERLINK(CONCATENATE("#metadata!",ADDRESS(INDEX($P$2:$P$1001,MATCH(ROWS($N$2:N303),$N$2:$N$1001,0),0),1)),INDEX($S$2:$S$1001,MATCH(ROWS($N$2:N303),$N$2:$N$1001,0),0)))</f>
        <v>0</v>
      </c>
      <c r="B303" s="3">
        <f>IF(OR(INDEX($O$2:$O$1001,MATCH(ROWS($N$2:N303),$N$2:$N$1001,0),1)&gt;=100000,INDEX($U$1005:$AC$1005,1,MATCH(COLUMNS($U$1006:U1006),$U$1006:$AC$1006,0))&gt;=100000), " ",IF(INDEX($U$2:$AC$1001,MATCH(ROWS($N$2:N303),$N$2:$N$1001,0),MATCH(COLUMNS($U$1006:U1006),$U$1006:$AC$1006,0)), HYPERLINK("#",""), HYPERLINK(CONCATENATE("#metadata!", ADDRESS(INDEX($P$2:$P$1001,MATCH(ROWS($N$2:N303),$N$2:$N$1001,0),0), INDEX($U$1004:$AC$1004,1,MATCH(COLUMNS($U$1006:U1006),$U$1006:$AC$1006,0)))),"Fix")))</f>
        <v>0</v>
      </c>
      <c r="C303" s="3">
        <f>IF(OR(INDEX($O$2:$O$1001,MATCH(ROWS($N$2:N303),$N$2:$N$1001,0),1)&gt;=100000,INDEX($U$1005:$AC$1005,1,MATCH(COLUMNS($U$1006:V1006),$U$1006:$AC$1006,0))&gt;=100000), " ",IF(INDEX($U$2:$AC$1001,MATCH(ROWS($N$2:N303),$N$2:$N$1001,0),MATCH(COLUMNS($U$1006:V1006),$U$1006:$AC$1006,0)), HYPERLINK("#",""), HYPERLINK(CONCATENATE("#metadata!", ADDRESS(INDEX($P$2:$P$1001,MATCH(ROWS($N$2:N303),$N$2:$N$1001,0),0), INDEX($U$1004:$AC$1004,1,MATCH(COLUMNS($U$1006:V1006),$U$1006:$AC$1006,0)))),"Fix")))</f>
        <v>0</v>
      </c>
      <c r="D303" s="3">
        <f>IF(OR(INDEX($O$2:$O$1001,MATCH(ROWS($N$2:N303),$N$2:$N$1001,0),1)&gt;=100000,INDEX($U$1005:$AC$1005,1,MATCH(COLUMNS($U$1006:W1006),$U$1006:$AC$1006,0))&gt;=100000), " ",IF(INDEX($U$2:$AC$1001,MATCH(ROWS($N$2:N303),$N$2:$N$1001,0),MATCH(COLUMNS($U$1006:W1006),$U$1006:$AC$1006,0)), HYPERLINK("#",""), HYPERLINK(CONCATENATE("#metadata!", ADDRESS(INDEX($P$2:$P$1001,MATCH(ROWS($N$2:N303),$N$2:$N$1001,0),0), INDEX($U$1004:$AC$1004,1,MATCH(COLUMNS($U$1006:W1006),$U$1006:$AC$1006,0)))),"Fix")))</f>
        <v>0</v>
      </c>
      <c r="E303" s="3">
        <f>IF(OR(INDEX($O$2:$O$1001,MATCH(ROWS($N$2:N303),$N$2:$N$1001,0),1)&gt;=100000,INDEX($U$1005:$AC$1005,1,MATCH(COLUMNS($U$1006:X1006),$U$1006:$AC$1006,0))&gt;=100000), " ",IF(INDEX($U$2:$AC$1001,MATCH(ROWS($N$2:N303),$N$2:$N$1001,0),MATCH(COLUMNS($U$1006:X1006),$U$1006:$AC$1006,0)), HYPERLINK("#",""), HYPERLINK(CONCATENATE("#metadata!", ADDRESS(INDEX($P$2:$P$1001,MATCH(ROWS($N$2:N303),$N$2:$N$1001,0),0), INDEX($U$1004:$AC$1004,1,MATCH(COLUMNS($U$1006:X1006),$U$1006:$AC$1006,0)))),"Fix")))</f>
        <v>0</v>
      </c>
      <c r="F303" s="3">
        <f>IF(OR(INDEX($O$2:$O$1001,MATCH(ROWS($N$2:N303),$N$2:$N$1001,0),1)&gt;=100000,INDEX($U$1005:$AC$1005,1,MATCH(COLUMNS($U$1006:Y1006),$U$1006:$AC$1006,0))&gt;=100000), " ",IF(INDEX($U$2:$AC$1001,MATCH(ROWS($N$2:N303),$N$2:$N$1001,0),MATCH(COLUMNS($U$1006:Y1006),$U$1006:$AC$1006,0)), HYPERLINK("#",""), HYPERLINK(CONCATENATE("#metadata!", ADDRESS(INDEX($P$2:$P$1001,MATCH(ROWS($N$2:N303),$N$2:$N$1001,0),0), INDEX($U$1004:$AC$1004,1,MATCH(COLUMNS($U$1006:Y1006),$U$1006:$AC$1006,0)))),"Fix")))</f>
        <v>0</v>
      </c>
      <c r="G303" s="3">
        <f>IF(OR(INDEX($O$2:$O$1001,MATCH(ROWS($N$2:N303),$N$2:$N$1001,0),1)&gt;=100000,INDEX($U$1005:$AC$1005,1,MATCH(COLUMNS($U$1006:Z1006),$U$1006:$AC$1006,0))&gt;=100000), " ",IF(INDEX($U$2:$AC$1001,MATCH(ROWS($N$2:N303),$N$2:$N$1001,0),MATCH(COLUMNS($U$1006:Z1006),$U$1006:$AC$1006,0)), HYPERLINK("#",""), HYPERLINK(CONCATENATE("#metadata!", ADDRESS(INDEX($P$2:$P$1001,MATCH(ROWS($N$2:N303),$N$2:$N$1001,0),0), INDEX($U$1004:$AC$1004,1,MATCH(COLUMNS($U$1006:Z1006),$U$1006:$AC$1006,0)))),"Fix")))</f>
        <v>0</v>
      </c>
      <c r="H303" s="3">
        <f>IF(OR(INDEX($O$2:$O$1001,MATCH(ROWS($N$2:N303),$N$2:$N$1001,0),1)&gt;=100000,INDEX($U$1005:$AC$1005,1,MATCH(COLUMNS($U$1006:AA1006),$U$1006:$AC$1006,0))&gt;=100000), " ",IF(INDEX($U$2:$AC$1001,MATCH(ROWS($N$2:N303),$N$2:$N$1001,0),MATCH(COLUMNS($U$1006:AA1006),$U$1006:$AC$1006,0)), HYPERLINK("#",""), HYPERLINK(CONCATENATE("#metadata!", ADDRESS(INDEX($P$2:$P$1001,MATCH(ROWS($N$2:N303),$N$2:$N$1001,0),0), INDEX($U$1004:$AC$1004,1,MATCH(COLUMNS($U$1006:AA1006),$U$1006:$AC$1006,0)))),"Fix")))</f>
        <v>0</v>
      </c>
      <c r="I303" s="3">
        <f>IF(OR(INDEX($O$2:$O$1001,MATCH(ROWS($N$2:N303),$N$2:$N$1001,0),1)&gt;=100000,INDEX($U$1005:$AC$1005,1,MATCH(COLUMNS($U$1006:AB1006),$U$1006:$AC$1006,0))&gt;=100000), " ",IF(INDEX($U$2:$AC$1001,MATCH(ROWS($N$2:N303),$N$2:$N$1001,0),MATCH(COLUMNS($U$1006:AB1006),$U$1006:$AC$1006,0)), HYPERLINK("#",""), HYPERLINK(CONCATENATE("#metadata!", ADDRESS(INDEX($P$2:$P$1001,MATCH(ROWS($N$2:N303),$N$2:$N$1001,0),0), INDEX($U$1004:$AC$1004,1,MATCH(COLUMNS($U$1006:AB1006),$U$1006:$AC$1006,0)))),"Fix")))</f>
        <v>0</v>
      </c>
      <c r="J303" s="3">
        <f>IF(OR(INDEX($O$2:$O$1001,MATCH(ROWS($N$2:N303),$N$2:$N$1001,0),1)&gt;=100000,INDEX($U$1005:$AC$1005,1,MATCH(COLUMNS($U$1006:AC1006),$U$1006:$AC$1006,0))&gt;=100000), " ",IF(INDEX($U$2:$AC$1001,MATCH(ROWS($N$2:N303),$N$2:$N$1001,0),MATCH(COLUMNS($U$1006:AC1006),$U$1006:$AC$1006,0)), HYPERLINK("#",""), HYPERLINK(CONCATENATE("#metadata!", ADDRESS(INDEX($P$2:$P$1001,MATCH(ROWS($N$2:N303),$N$2:$N$1001,0),0), INDEX($U$1004:$AC$1004,1,MATCH(COLUMNS($U$1006:AC1006),$U$1006:$AC$1006,0)))),"Fix")))</f>
        <v>0</v>
      </c>
      <c r="N303">
        <v>0</v>
      </c>
      <c r="O303">
        <v>0</v>
      </c>
      <c r="P303">
        <v>0</v>
      </c>
      <c r="Q303">
        <f>IF(R303,TRUE,AND(U303:AC303))</f>
        <v>0</v>
      </c>
      <c r="R303">
        <f>COUNTBLANK(metadata!B303:J303)=COLUMNS(metadata!B303:J303)</f>
        <v>0</v>
      </c>
      <c r="S303">
        <v>0</v>
      </c>
      <c r="U303">
        <f>AND(IF(metadata!B303="",FALSE,TRUE),COUNTIF(metadata!B:B, metadata!B303) = 1,NOT(ISERROR(SUMPRODUCT(SEARCH(MID(metadata!B303,ROW(INDIRECT("1:"&amp;LEN(metadata!B303))), 1),"0123456789abcdefghijklmnopqrstuvwxyzABCDEFGHIJKLMNOPQRSTUVWXYZ.")))))</f>
        <v>0</v>
      </c>
      <c r="V303">
        <f>AND(IF(metadata!C303="",FALSE,TRUE),exact(metadata!C303,"UBERON:genitourinary"))</f>
        <v>0</v>
      </c>
      <c r="W303">
        <f>AND(IF(metadata!D303="",FALSE,TRUE),exact(metadata!D303,"UBERON:urine"))</f>
        <v>0</v>
      </c>
      <c r="X303">
        <f>AND(IF(metadata!E303="",FALSE,TRUE),exact(metadata!E303,"UBERON:kidney"))</f>
        <v>0</v>
      </c>
      <c r="Y303">
        <f>AND(IF(metadata!F303="",FALSE,TRUE),exact(metadata!F303,"animal corpus"))</f>
        <v>0</v>
      </c>
      <c r="Z303">
        <f>AND(IF(metadata!G303="",FALSE,TRUE),exact(metadata!G303,"urine"))</f>
        <v>0</v>
      </c>
      <c r="AA303">
        <f>AND(IF(metadata!H303="",FALSE,TRUE),exact(metadata!H303,"urine"))</f>
        <v>0</v>
      </c>
      <c r="AB303">
        <f>AND(IF(metadata!I303="",FALSE,TRUE),exact(metadata!I303,"urine metagenome"))</f>
        <v>0</v>
      </c>
      <c r="AC303">
        <f>AND(IF(metadata!J303="",FALSE,TRUE),exact(metadata!J303,"1346744"))</f>
        <v>0</v>
      </c>
    </row>
    <row r="304" spans="1:29">
      <c r="A304" s="4">
        <f>IF(B304=" "," ",HYPERLINK(CONCATENATE("#metadata!",ADDRESS(INDEX($P$2:$P$1001,MATCH(ROWS($N$2:N304),$N$2:$N$1001,0),0),1)),INDEX($S$2:$S$1001,MATCH(ROWS($N$2:N304),$N$2:$N$1001,0),0)))</f>
        <v>0</v>
      </c>
      <c r="B304" s="3">
        <f>IF(OR(INDEX($O$2:$O$1001,MATCH(ROWS($N$2:N304),$N$2:$N$1001,0),1)&gt;=100000,INDEX($U$1005:$AC$1005,1,MATCH(COLUMNS($U$1006:U1006),$U$1006:$AC$1006,0))&gt;=100000), " ",IF(INDEX($U$2:$AC$1001,MATCH(ROWS($N$2:N304),$N$2:$N$1001,0),MATCH(COLUMNS($U$1006:U1006),$U$1006:$AC$1006,0)), HYPERLINK("#",""), HYPERLINK(CONCATENATE("#metadata!", ADDRESS(INDEX($P$2:$P$1001,MATCH(ROWS($N$2:N304),$N$2:$N$1001,0),0), INDEX($U$1004:$AC$1004,1,MATCH(COLUMNS($U$1006:U1006),$U$1006:$AC$1006,0)))),"Fix")))</f>
        <v>0</v>
      </c>
      <c r="C304" s="3">
        <f>IF(OR(INDEX($O$2:$O$1001,MATCH(ROWS($N$2:N304),$N$2:$N$1001,0),1)&gt;=100000,INDEX($U$1005:$AC$1005,1,MATCH(COLUMNS($U$1006:V1006),$U$1006:$AC$1006,0))&gt;=100000), " ",IF(INDEX($U$2:$AC$1001,MATCH(ROWS($N$2:N304),$N$2:$N$1001,0),MATCH(COLUMNS($U$1006:V1006),$U$1006:$AC$1006,0)), HYPERLINK("#",""), HYPERLINK(CONCATENATE("#metadata!", ADDRESS(INDEX($P$2:$P$1001,MATCH(ROWS($N$2:N304),$N$2:$N$1001,0),0), INDEX($U$1004:$AC$1004,1,MATCH(COLUMNS($U$1006:V1006),$U$1006:$AC$1006,0)))),"Fix")))</f>
        <v>0</v>
      </c>
      <c r="D304" s="3">
        <f>IF(OR(INDEX($O$2:$O$1001,MATCH(ROWS($N$2:N304),$N$2:$N$1001,0),1)&gt;=100000,INDEX($U$1005:$AC$1005,1,MATCH(COLUMNS($U$1006:W1006),$U$1006:$AC$1006,0))&gt;=100000), " ",IF(INDEX($U$2:$AC$1001,MATCH(ROWS($N$2:N304),$N$2:$N$1001,0),MATCH(COLUMNS($U$1006:W1006),$U$1006:$AC$1006,0)), HYPERLINK("#",""), HYPERLINK(CONCATENATE("#metadata!", ADDRESS(INDEX($P$2:$P$1001,MATCH(ROWS($N$2:N304),$N$2:$N$1001,0),0), INDEX($U$1004:$AC$1004,1,MATCH(COLUMNS($U$1006:W1006),$U$1006:$AC$1006,0)))),"Fix")))</f>
        <v>0</v>
      </c>
      <c r="E304" s="3">
        <f>IF(OR(INDEX($O$2:$O$1001,MATCH(ROWS($N$2:N304),$N$2:$N$1001,0),1)&gt;=100000,INDEX($U$1005:$AC$1005,1,MATCH(COLUMNS($U$1006:X1006),$U$1006:$AC$1006,0))&gt;=100000), " ",IF(INDEX($U$2:$AC$1001,MATCH(ROWS($N$2:N304),$N$2:$N$1001,0),MATCH(COLUMNS($U$1006:X1006),$U$1006:$AC$1006,0)), HYPERLINK("#",""), HYPERLINK(CONCATENATE("#metadata!", ADDRESS(INDEX($P$2:$P$1001,MATCH(ROWS($N$2:N304),$N$2:$N$1001,0),0), INDEX($U$1004:$AC$1004,1,MATCH(COLUMNS($U$1006:X1006),$U$1006:$AC$1006,0)))),"Fix")))</f>
        <v>0</v>
      </c>
      <c r="F304" s="3">
        <f>IF(OR(INDEX($O$2:$O$1001,MATCH(ROWS($N$2:N304),$N$2:$N$1001,0),1)&gt;=100000,INDEX($U$1005:$AC$1005,1,MATCH(COLUMNS($U$1006:Y1006),$U$1006:$AC$1006,0))&gt;=100000), " ",IF(INDEX($U$2:$AC$1001,MATCH(ROWS($N$2:N304),$N$2:$N$1001,0),MATCH(COLUMNS($U$1006:Y1006),$U$1006:$AC$1006,0)), HYPERLINK("#",""), HYPERLINK(CONCATENATE("#metadata!", ADDRESS(INDEX($P$2:$P$1001,MATCH(ROWS($N$2:N304),$N$2:$N$1001,0),0), INDEX($U$1004:$AC$1004,1,MATCH(COLUMNS($U$1006:Y1006),$U$1006:$AC$1006,0)))),"Fix")))</f>
        <v>0</v>
      </c>
      <c r="G304" s="3">
        <f>IF(OR(INDEX($O$2:$O$1001,MATCH(ROWS($N$2:N304),$N$2:$N$1001,0),1)&gt;=100000,INDEX($U$1005:$AC$1005,1,MATCH(COLUMNS($U$1006:Z1006),$U$1006:$AC$1006,0))&gt;=100000), " ",IF(INDEX($U$2:$AC$1001,MATCH(ROWS($N$2:N304),$N$2:$N$1001,0),MATCH(COLUMNS($U$1006:Z1006),$U$1006:$AC$1006,0)), HYPERLINK("#",""), HYPERLINK(CONCATENATE("#metadata!", ADDRESS(INDEX($P$2:$P$1001,MATCH(ROWS($N$2:N304),$N$2:$N$1001,0),0), INDEX($U$1004:$AC$1004,1,MATCH(COLUMNS($U$1006:Z1006),$U$1006:$AC$1006,0)))),"Fix")))</f>
        <v>0</v>
      </c>
      <c r="H304" s="3">
        <f>IF(OR(INDEX($O$2:$O$1001,MATCH(ROWS($N$2:N304),$N$2:$N$1001,0),1)&gt;=100000,INDEX($U$1005:$AC$1005,1,MATCH(COLUMNS($U$1006:AA1006),$U$1006:$AC$1006,0))&gt;=100000), " ",IF(INDEX($U$2:$AC$1001,MATCH(ROWS($N$2:N304),$N$2:$N$1001,0),MATCH(COLUMNS($U$1006:AA1006),$U$1006:$AC$1006,0)), HYPERLINK("#",""), HYPERLINK(CONCATENATE("#metadata!", ADDRESS(INDEX($P$2:$P$1001,MATCH(ROWS($N$2:N304),$N$2:$N$1001,0),0), INDEX($U$1004:$AC$1004,1,MATCH(COLUMNS($U$1006:AA1006),$U$1006:$AC$1006,0)))),"Fix")))</f>
        <v>0</v>
      </c>
      <c r="I304" s="3">
        <f>IF(OR(INDEX($O$2:$O$1001,MATCH(ROWS($N$2:N304),$N$2:$N$1001,0),1)&gt;=100000,INDEX($U$1005:$AC$1005,1,MATCH(COLUMNS($U$1006:AB1006),$U$1006:$AC$1006,0))&gt;=100000), " ",IF(INDEX($U$2:$AC$1001,MATCH(ROWS($N$2:N304),$N$2:$N$1001,0),MATCH(COLUMNS($U$1006:AB1006),$U$1006:$AC$1006,0)), HYPERLINK("#",""), HYPERLINK(CONCATENATE("#metadata!", ADDRESS(INDEX($P$2:$P$1001,MATCH(ROWS($N$2:N304),$N$2:$N$1001,0),0), INDEX($U$1004:$AC$1004,1,MATCH(COLUMNS($U$1006:AB1006),$U$1006:$AC$1006,0)))),"Fix")))</f>
        <v>0</v>
      </c>
      <c r="J304" s="3">
        <f>IF(OR(INDEX($O$2:$O$1001,MATCH(ROWS($N$2:N304),$N$2:$N$1001,0),1)&gt;=100000,INDEX($U$1005:$AC$1005,1,MATCH(COLUMNS($U$1006:AC1006),$U$1006:$AC$1006,0))&gt;=100000), " ",IF(INDEX($U$2:$AC$1001,MATCH(ROWS($N$2:N304),$N$2:$N$1001,0),MATCH(COLUMNS($U$1006:AC1006),$U$1006:$AC$1006,0)), HYPERLINK("#",""), HYPERLINK(CONCATENATE("#metadata!", ADDRESS(INDEX($P$2:$P$1001,MATCH(ROWS($N$2:N304),$N$2:$N$1001,0),0), INDEX($U$1004:$AC$1004,1,MATCH(COLUMNS($U$1006:AC1006),$U$1006:$AC$1006,0)))),"Fix")))</f>
        <v>0</v>
      </c>
      <c r="N304">
        <v>0</v>
      </c>
      <c r="O304">
        <v>0</v>
      </c>
      <c r="P304">
        <v>0</v>
      </c>
      <c r="Q304">
        <f>IF(R304,TRUE,AND(U304:AC304))</f>
        <v>0</v>
      </c>
      <c r="R304">
        <f>COUNTBLANK(metadata!B304:J304)=COLUMNS(metadata!B304:J304)</f>
        <v>0</v>
      </c>
      <c r="S304">
        <v>0</v>
      </c>
      <c r="U304">
        <f>AND(IF(metadata!B304="",FALSE,TRUE),COUNTIF(metadata!B:B, metadata!B304) = 1,NOT(ISERROR(SUMPRODUCT(SEARCH(MID(metadata!B304,ROW(INDIRECT("1:"&amp;LEN(metadata!B304))), 1),"0123456789abcdefghijklmnopqrstuvwxyzABCDEFGHIJKLMNOPQRSTUVWXYZ.")))))</f>
        <v>0</v>
      </c>
      <c r="V304">
        <f>AND(IF(metadata!C304="",FALSE,TRUE),exact(metadata!C304,"UBERON:genitourinary"))</f>
        <v>0</v>
      </c>
      <c r="W304">
        <f>AND(IF(metadata!D304="",FALSE,TRUE),exact(metadata!D304,"UBERON:urine"))</f>
        <v>0</v>
      </c>
      <c r="X304">
        <f>AND(IF(metadata!E304="",FALSE,TRUE),exact(metadata!E304,"UBERON:kidney"))</f>
        <v>0</v>
      </c>
      <c r="Y304">
        <f>AND(IF(metadata!F304="",FALSE,TRUE),exact(metadata!F304,"animal corpus"))</f>
        <v>0</v>
      </c>
      <c r="Z304">
        <f>AND(IF(metadata!G304="",FALSE,TRUE),exact(metadata!G304,"urine"))</f>
        <v>0</v>
      </c>
      <c r="AA304">
        <f>AND(IF(metadata!H304="",FALSE,TRUE),exact(metadata!H304,"urine"))</f>
        <v>0</v>
      </c>
      <c r="AB304">
        <f>AND(IF(metadata!I304="",FALSE,TRUE),exact(metadata!I304,"urine metagenome"))</f>
        <v>0</v>
      </c>
      <c r="AC304">
        <f>AND(IF(metadata!J304="",FALSE,TRUE),exact(metadata!J304,"1346744"))</f>
        <v>0</v>
      </c>
    </row>
    <row r="305" spans="1:29">
      <c r="A305" s="4">
        <f>IF(B305=" "," ",HYPERLINK(CONCATENATE("#metadata!",ADDRESS(INDEX($P$2:$P$1001,MATCH(ROWS($N$2:N305),$N$2:$N$1001,0),0),1)),INDEX($S$2:$S$1001,MATCH(ROWS($N$2:N305),$N$2:$N$1001,0),0)))</f>
        <v>0</v>
      </c>
      <c r="B305" s="3">
        <f>IF(OR(INDEX($O$2:$O$1001,MATCH(ROWS($N$2:N305),$N$2:$N$1001,0),1)&gt;=100000,INDEX($U$1005:$AC$1005,1,MATCH(COLUMNS($U$1006:U1006),$U$1006:$AC$1006,0))&gt;=100000), " ",IF(INDEX($U$2:$AC$1001,MATCH(ROWS($N$2:N305),$N$2:$N$1001,0),MATCH(COLUMNS($U$1006:U1006),$U$1006:$AC$1006,0)), HYPERLINK("#",""), HYPERLINK(CONCATENATE("#metadata!", ADDRESS(INDEX($P$2:$P$1001,MATCH(ROWS($N$2:N305),$N$2:$N$1001,0),0), INDEX($U$1004:$AC$1004,1,MATCH(COLUMNS($U$1006:U1006),$U$1006:$AC$1006,0)))),"Fix")))</f>
        <v>0</v>
      </c>
      <c r="C305" s="3">
        <f>IF(OR(INDEX($O$2:$O$1001,MATCH(ROWS($N$2:N305),$N$2:$N$1001,0),1)&gt;=100000,INDEX($U$1005:$AC$1005,1,MATCH(COLUMNS($U$1006:V1006),$U$1006:$AC$1006,0))&gt;=100000), " ",IF(INDEX($U$2:$AC$1001,MATCH(ROWS($N$2:N305),$N$2:$N$1001,0),MATCH(COLUMNS($U$1006:V1006),$U$1006:$AC$1006,0)), HYPERLINK("#",""), HYPERLINK(CONCATENATE("#metadata!", ADDRESS(INDEX($P$2:$P$1001,MATCH(ROWS($N$2:N305),$N$2:$N$1001,0),0), INDEX($U$1004:$AC$1004,1,MATCH(COLUMNS($U$1006:V1006),$U$1006:$AC$1006,0)))),"Fix")))</f>
        <v>0</v>
      </c>
      <c r="D305" s="3">
        <f>IF(OR(INDEX($O$2:$O$1001,MATCH(ROWS($N$2:N305),$N$2:$N$1001,0),1)&gt;=100000,INDEX($U$1005:$AC$1005,1,MATCH(COLUMNS($U$1006:W1006),$U$1006:$AC$1006,0))&gt;=100000), " ",IF(INDEX($U$2:$AC$1001,MATCH(ROWS($N$2:N305),$N$2:$N$1001,0),MATCH(COLUMNS($U$1006:W1006),$U$1006:$AC$1006,0)), HYPERLINK("#",""), HYPERLINK(CONCATENATE("#metadata!", ADDRESS(INDEX($P$2:$P$1001,MATCH(ROWS($N$2:N305),$N$2:$N$1001,0),0), INDEX($U$1004:$AC$1004,1,MATCH(COLUMNS($U$1006:W1006),$U$1006:$AC$1006,0)))),"Fix")))</f>
        <v>0</v>
      </c>
      <c r="E305" s="3">
        <f>IF(OR(INDEX($O$2:$O$1001,MATCH(ROWS($N$2:N305),$N$2:$N$1001,0),1)&gt;=100000,INDEX($U$1005:$AC$1005,1,MATCH(COLUMNS($U$1006:X1006),$U$1006:$AC$1006,0))&gt;=100000), " ",IF(INDEX($U$2:$AC$1001,MATCH(ROWS($N$2:N305),$N$2:$N$1001,0),MATCH(COLUMNS($U$1006:X1006),$U$1006:$AC$1006,0)), HYPERLINK("#",""), HYPERLINK(CONCATENATE("#metadata!", ADDRESS(INDEX($P$2:$P$1001,MATCH(ROWS($N$2:N305),$N$2:$N$1001,0),0), INDEX($U$1004:$AC$1004,1,MATCH(COLUMNS($U$1006:X1006),$U$1006:$AC$1006,0)))),"Fix")))</f>
        <v>0</v>
      </c>
      <c r="F305" s="3">
        <f>IF(OR(INDEX($O$2:$O$1001,MATCH(ROWS($N$2:N305),$N$2:$N$1001,0),1)&gt;=100000,INDEX($U$1005:$AC$1005,1,MATCH(COLUMNS($U$1006:Y1006),$U$1006:$AC$1006,0))&gt;=100000), " ",IF(INDEX($U$2:$AC$1001,MATCH(ROWS($N$2:N305),$N$2:$N$1001,0),MATCH(COLUMNS($U$1006:Y1006),$U$1006:$AC$1006,0)), HYPERLINK("#",""), HYPERLINK(CONCATENATE("#metadata!", ADDRESS(INDEX($P$2:$P$1001,MATCH(ROWS($N$2:N305),$N$2:$N$1001,0),0), INDEX($U$1004:$AC$1004,1,MATCH(COLUMNS($U$1006:Y1006),$U$1006:$AC$1006,0)))),"Fix")))</f>
        <v>0</v>
      </c>
      <c r="G305" s="3">
        <f>IF(OR(INDEX($O$2:$O$1001,MATCH(ROWS($N$2:N305),$N$2:$N$1001,0),1)&gt;=100000,INDEX($U$1005:$AC$1005,1,MATCH(COLUMNS($U$1006:Z1006),$U$1006:$AC$1006,0))&gt;=100000), " ",IF(INDEX($U$2:$AC$1001,MATCH(ROWS($N$2:N305),$N$2:$N$1001,0),MATCH(COLUMNS($U$1006:Z1006),$U$1006:$AC$1006,0)), HYPERLINK("#",""), HYPERLINK(CONCATENATE("#metadata!", ADDRESS(INDEX($P$2:$P$1001,MATCH(ROWS($N$2:N305),$N$2:$N$1001,0),0), INDEX($U$1004:$AC$1004,1,MATCH(COLUMNS($U$1006:Z1006),$U$1006:$AC$1006,0)))),"Fix")))</f>
        <v>0</v>
      </c>
      <c r="H305" s="3">
        <f>IF(OR(INDEX($O$2:$O$1001,MATCH(ROWS($N$2:N305),$N$2:$N$1001,0),1)&gt;=100000,INDEX($U$1005:$AC$1005,1,MATCH(COLUMNS($U$1006:AA1006),$U$1006:$AC$1006,0))&gt;=100000), " ",IF(INDEX($U$2:$AC$1001,MATCH(ROWS($N$2:N305),$N$2:$N$1001,0),MATCH(COLUMNS($U$1006:AA1006),$U$1006:$AC$1006,0)), HYPERLINK("#",""), HYPERLINK(CONCATENATE("#metadata!", ADDRESS(INDEX($P$2:$P$1001,MATCH(ROWS($N$2:N305),$N$2:$N$1001,0),0), INDEX($U$1004:$AC$1004,1,MATCH(COLUMNS($U$1006:AA1006),$U$1006:$AC$1006,0)))),"Fix")))</f>
        <v>0</v>
      </c>
      <c r="I305" s="3">
        <f>IF(OR(INDEX($O$2:$O$1001,MATCH(ROWS($N$2:N305),$N$2:$N$1001,0),1)&gt;=100000,INDEX($U$1005:$AC$1005,1,MATCH(COLUMNS($U$1006:AB1006),$U$1006:$AC$1006,0))&gt;=100000), " ",IF(INDEX($U$2:$AC$1001,MATCH(ROWS($N$2:N305),$N$2:$N$1001,0),MATCH(COLUMNS($U$1006:AB1006),$U$1006:$AC$1006,0)), HYPERLINK("#",""), HYPERLINK(CONCATENATE("#metadata!", ADDRESS(INDEX($P$2:$P$1001,MATCH(ROWS($N$2:N305),$N$2:$N$1001,0),0), INDEX($U$1004:$AC$1004,1,MATCH(COLUMNS($U$1006:AB1006),$U$1006:$AC$1006,0)))),"Fix")))</f>
        <v>0</v>
      </c>
      <c r="J305" s="3">
        <f>IF(OR(INDEX($O$2:$O$1001,MATCH(ROWS($N$2:N305),$N$2:$N$1001,0),1)&gt;=100000,INDEX($U$1005:$AC$1005,1,MATCH(COLUMNS($U$1006:AC1006),$U$1006:$AC$1006,0))&gt;=100000), " ",IF(INDEX($U$2:$AC$1001,MATCH(ROWS($N$2:N305),$N$2:$N$1001,0),MATCH(COLUMNS($U$1006:AC1006),$U$1006:$AC$1006,0)), HYPERLINK("#",""), HYPERLINK(CONCATENATE("#metadata!", ADDRESS(INDEX($P$2:$P$1001,MATCH(ROWS($N$2:N305),$N$2:$N$1001,0),0), INDEX($U$1004:$AC$1004,1,MATCH(COLUMNS($U$1006:AC1006),$U$1006:$AC$1006,0)))),"Fix")))</f>
        <v>0</v>
      </c>
      <c r="N305">
        <v>0</v>
      </c>
      <c r="O305">
        <v>0</v>
      </c>
      <c r="P305">
        <v>0</v>
      </c>
      <c r="Q305">
        <f>IF(R305,TRUE,AND(U305:AC305))</f>
        <v>0</v>
      </c>
      <c r="R305">
        <f>COUNTBLANK(metadata!B305:J305)=COLUMNS(metadata!B305:J305)</f>
        <v>0</v>
      </c>
      <c r="S305">
        <v>0</v>
      </c>
      <c r="U305">
        <f>AND(IF(metadata!B305="",FALSE,TRUE),COUNTIF(metadata!B:B, metadata!B305) = 1,NOT(ISERROR(SUMPRODUCT(SEARCH(MID(metadata!B305,ROW(INDIRECT("1:"&amp;LEN(metadata!B305))), 1),"0123456789abcdefghijklmnopqrstuvwxyzABCDEFGHIJKLMNOPQRSTUVWXYZ.")))))</f>
        <v>0</v>
      </c>
      <c r="V305">
        <f>AND(IF(metadata!C305="",FALSE,TRUE),exact(metadata!C305,"UBERON:genitourinary"))</f>
        <v>0</v>
      </c>
      <c r="W305">
        <f>AND(IF(metadata!D305="",FALSE,TRUE),exact(metadata!D305,"UBERON:urine"))</f>
        <v>0</v>
      </c>
      <c r="X305">
        <f>AND(IF(metadata!E305="",FALSE,TRUE),exact(metadata!E305,"UBERON:kidney"))</f>
        <v>0</v>
      </c>
      <c r="Y305">
        <f>AND(IF(metadata!F305="",FALSE,TRUE),exact(metadata!F305,"animal corpus"))</f>
        <v>0</v>
      </c>
      <c r="Z305">
        <f>AND(IF(metadata!G305="",FALSE,TRUE),exact(metadata!G305,"urine"))</f>
        <v>0</v>
      </c>
      <c r="AA305">
        <f>AND(IF(metadata!H305="",FALSE,TRUE),exact(metadata!H305,"urine"))</f>
        <v>0</v>
      </c>
      <c r="AB305">
        <f>AND(IF(metadata!I305="",FALSE,TRUE),exact(metadata!I305,"urine metagenome"))</f>
        <v>0</v>
      </c>
      <c r="AC305">
        <f>AND(IF(metadata!J305="",FALSE,TRUE),exact(metadata!J305,"1346744"))</f>
        <v>0</v>
      </c>
    </row>
    <row r="306" spans="1:29">
      <c r="A306" s="4">
        <f>IF(B306=" "," ",HYPERLINK(CONCATENATE("#metadata!",ADDRESS(INDEX($P$2:$P$1001,MATCH(ROWS($N$2:N306),$N$2:$N$1001,0),0),1)),INDEX($S$2:$S$1001,MATCH(ROWS($N$2:N306),$N$2:$N$1001,0),0)))</f>
        <v>0</v>
      </c>
      <c r="B306" s="3">
        <f>IF(OR(INDEX($O$2:$O$1001,MATCH(ROWS($N$2:N306),$N$2:$N$1001,0),1)&gt;=100000,INDEX($U$1005:$AC$1005,1,MATCH(COLUMNS($U$1006:U1006),$U$1006:$AC$1006,0))&gt;=100000), " ",IF(INDEX($U$2:$AC$1001,MATCH(ROWS($N$2:N306),$N$2:$N$1001,0),MATCH(COLUMNS($U$1006:U1006),$U$1006:$AC$1006,0)), HYPERLINK("#",""), HYPERLINK(CONCATENATE("#metadata!", ADDRESS(INDEX($P$2:$P$1001,MATCH(ROWS($N$2:N306),$N$2:$N$1001,0),0), INDEX($U$1004:$AC$1004,1,MATCH(COLUMNS($U$1006:U1006),$U$1006:$AC$1006,0)))),"Fix")))</f>
        <v>0</v>
      </c>
      <c r="C306" s="3">
        <f>IF(OR(INDEX($O$2:$O$1001,MATCH(ROWS($N$2:N306),$N$2:$N$1001,0),1)&gt;=100000,INDEX($U$1005:$AC$1005,1,MATCH(COLUMNS($U$1006:V1006),$U$1006:$AC$1006,0))&gt;=100000), " ",IF(INDEX($U$2:$AC$1001,MATCH(ROWS($N$2:N306),$N$2:$N$1001,0),MATCH(COLUMNS($U$1006:V1006),$U$1006:$AC$1006,0)), HYPERLINK("#",""), HYPERLINK(CONCATENATE("#metadata!", ADDRESS(INDEX($P$2:$P$1001,MATCH(ROWS($N$2:N306),$N$2:$N$1001,0),0), INDEX($U$1004:$AC$1004,1,MATCH(COLUMNS($U$1006:V1006),$U$1006:$AC$1006,0)))),"Fix")))</f>
        <v>0</v>
      </c>
      <c r="D306" s="3">
        <f>IF(OR(INDEX($O$2:$O$1001,MATCH(ROWS($N$2:N306),$N$2:$N$1001,0),1)&gt;=100000,INDEX($U$1005:$AC$1005,1,MATCH(COLUMNS($U$1006:W1006),$U$1006:$AC$1006,0))&gt;=100000), " ",IF(INDEX($U$2:$AC$1001,MATCH(ROWS($N$2:N306),$N$2:$N$1001,0),MATCH(COLUMNS($U$1006:W1006),$U$1006:$AC$1006,0)), HYPERLINK("#",""), HYPERLINK(CONCATENATE("#metadata!", ADDRESS(INDEX($P$2:$P$1001,MATCH(ROWS($N$2:N306),$N$2:$N$1001,0),0), INDEX($U$1004:$AC$1004,1,MATCH(COLUMNS($U$1006:W1006),$U$1006:$AC$1006,0)))),"Fix")))</f>
        <v>0</v>
      </c>
      <c r="E306" s="3">
        <f>IF(OR(INDEX($O$2:$O$1001,MATCH(ROWS($N$2:N306),$N$2:$N$1001,0),1)&gt;=100000,INDEX($U$1005:$AC$1005,1,MATCH(COLUMNS($U$1006:X1006),$U$1006:$AC$1006,0))&gt;=100000), " ",IF(INDEX($U$2:$AC$1001,MATCH(ROWS($N$2:N306),$N$2:$N$1001,0),MATCH(COLUMNS($U$1006:X1006),$U$1006:$AC$1006,0)), HYPERLINK("#",""), HYPERLINK(CONCATENATE("#metadata!", ADDRESS(INDEX($P$2:$P$1001,MATCH(ROWS($N$2:N306),$N$2:$N$1001,0),0), INDEX($U$1004:$AC$1004,1,MATCH(COLUMNS($U$1006:X1006),$U$1006:$AC$1006,0)))),"Fix")))</f>
        <v>0</v>
      </c>
      <c r="F306" s="3">
        <f>IF(OR(INDEX($O$2:$O$1001,MATCH(ROWS($N$2:N306),$N$2:$N$1001,0),1)&gt;=100000,INDEX($U$1005:$AC$1005,1,MATCH(COLUMNS($U$1006:Y1006),$U$1006:$AC$1006,0))&gt;=100000), " ",IF(INDEX($U$2:$AC$1001,MATCH(ROWS($N$2:N306),$N$2:$N$1001,0),MATCH(COLUMNS($U$1006:Y1006),$U$1006:$AC$1006,0)), HYPERLINK("#",""), HYPERLINK(CONCATENATE("#metadata!", ADDRESS(INDEX($P$2:$P$1001,MATCH(ROWS($N$2:N306),$N$2:$N$1001,0),0), INDEX($U$1004:$AC$1004,1,MATCH(COLUMNS($U$1006:Y1006),$U$1006:$AC$1006,0)))),"Fix")))</f>
        <v>0</v>
      </c>
      <c r="G306" s="3">
        <f>IF(OR(INDEX($O$2:$O$1001,MATCH(ROWS($N$2:N306),$N$2:$N$1001,0),1)&gt;=100000,INDEX($U$1005:$AC$1005,1,MATCH(COLUMNS($U$1006:Z1006),$U$1006:$AC$1006,0))&gt;=100000), " ",IF(INDEX($U$2:$AC$1001,MATCH(ROWS($N$2:N306),$N$2:$N$1001,0),MATCH(COLUMNS($U$1006:Z1006),$U$1006:$AC$1006,0)), HYPERLINK("#",""), HYPERLINK(CONCATENATE("#metadata!", ADDRESS(INDEX($P$2:$P$1001,MATCH(ROWS($N$2:N306),$N$2:$N$1001,0),0), INDEX($U$1004:$AC$1004,1,MATCH(COLUMNS($U$1006:Z1006),$U$1006:$AC$1006,0)))),"Fix")))</f>
        <v>0</v>
      </c>
      <c r="H306" s="3">
        <f>IF(OR(INDEX($O$2:$O$1001,MATCH(ROWS($N$2:N306),$N$2:$N$1001,0),1)&gt;=100000,INDEX($U$1005:$AC$1005,1,MATCH(COLUMNS($U$1006:AA1006),$U$1006:$AC$1006,0))&gt;=100000), " ",IF(INDEX($U$2:$AC$1001,MATCH(ROWS($N$2:N306),$N$2:$N$1001,0),MATCH(COLUMNS($U$1006:AA1006),$U$1006:$AC$1006,0)), HYPERLINK("#",""), HYPERLINK(CONCATENATE("#metadata!", ADDRESS(INDEX($P$2:$P$1001,MATCH(ROWS($N$2:N306),$N$2:$N$1001,0),0), INDEX($U$1004:$AC$1004,1,MATCH(COLUMNS($U$1006:AA1006),$U$1006:$AC$1006,0)))),"Fix")))</f>
        <v>0</v>
      </c>
      <c r="I306" s="3">
        <f>IF(OR(INDEX($O$2:$O$1001,MATCH(ROWS($N$2:N306),$N$2:$N$1001,0),1)&gt;=100000,INDEX($U$1005:$AC$1005,1,MATCH(COLUMNS($U$1006:AB1006),$U$1006:$AC$1006,0))&gt;=100000), " ",IF(INDEX($U$2:$AC$1001,MATCH(ROWS($N$2:N306),$N$2:$N$1001,0),MATCH(COLUMNS($U$1006:AB1006),$U$1006:$AC$1006,0)), HYPERLINK("#",""), HYPERLINK(CONCATENATE("#metadata!", ADDRESS(INDEX($P$2:$P$1001,MATCH(ROWS($N$2:N306),$N$2:$N$1001,0),0), INDEX($U$1004:$AC$1004,1,MATCH(COLUMNS($U$1006:AB1006),$U$1006:$AC$1006,0)))),"Fix")))</f>
        <v>0</v>
      </c>
      <c r="J306" s="3">
        <f>IF(OR(INDEX($O$2:$O$1001,MATCH(ROWS($N$2:N306),$N$2:$N$1001,0),1)&gt;=100000,INDEX($U$1005:$AC$1005,1,MATCH(COLUMNS($U$1006:AC1006),$U$1006:$AC$1006,0))&gt;=100000), " ",IF(INDEX($U$2:$AC$1001,MATCH(ROWS($N$2:N306),$N$2:$N$1001,0),MATCH(COLUMNS($U$1006:AC1006),$U$1006:$AC$1006,0)), HYPERLINK("#",""), HYPERLINK(CONCATENATE("#metadata!", ADDRESS(INDEX($P$2:$P$1001,MATCH(ROWS($N$2:N306),$N$2:$N$1001,0),0), INDEX($U$1004:$AC$1004,1,MATCH(COLUMNS($U$1006:AC1006),$U$1006:$AC$1006,0)))),"Fix")))</f>
        <v>0</v>
      </c>
      <c r="N306">
        <v>0</v>
      </c>
      <c r="O306">
        <v>0</v>
      </c>
      <c r="P306">
        <v>0</v>
      </c>
      <c r="Q306">
        <f>IF(R306,TRUE,AND(U306:AC306))</f>
        <v>0</v>
      </c>
      <c r="R306">
        <f>COUNTBLANK(metadata!B306:J306)=COLUMNS(metadata!B306:J306)</f>
        <v>0</v>
      </c>
      <c r="S306">
        <v>0</v>
      </c>
      <c r="U306">
        <f>AND(IF(metadata!B306="",FALSE,TRUE),COUNTIF(metadata!B:B, metadata!B306) = 1,NOT(ISERROR(SUMPRODUCT(SEARCH(MID(metadata!B306,ROW(INDIRECT("1:"&amp;LEN(metadata!B306))), 1),"0123456789abcdefghijklmnopqrstuvwxyzABCDEFGHIJKLMNOPQRSTUVWXYZ.")))))</f>
        <v>0</v>
      </c>
      <c r="V306">
        <f>AND(IF(metadata!C306="",FALSE,TRUE),exact(metadata!C306,"UBERON:genitourinary"))</f>
        <v>0</v>
      </c>
      <c r="W306">
        <f>AND(IF(metadata!D306="",FALSE,TRUE),exact(metadata!D306,"UBERON:urine"))</f>
        <v>0</v>
      </c>
      <c r="X306">
        <f>AND(IF(metadata!E306="",FALSE,TRUE),exact(metadata!E306,"UBERON:kidney"))</f>
        <v>0</v>
      </c>
      <c r="Y306">
        <f>AND(IF(metadata!F306="",FALSE,TRUE),exact(metadata!F306,"animal corpus"))</f>
        <v>0</v>
      </c>
      <c r="Z306">
        <f>AND(IF(metadata!G306="",FALSE,TRUE),exact(metadata!G306,"urine"))</f>
        <v>0</v>
      </c>
      <c r="AA306">
        <f>AND(IF(metadata!H306="",FALSE,TRUE),exact(metadata!H306,"urine"))</f>
        <v>0</v>
      </c>
      <c r="AB306">
        <f>AND(IF(metadata!I306="",FALSE,TRUE),exact(metadata!I306,"urine metagenome"))</f>
        <v>0</v>
      </c>
      <c r="AC306">
        <f>AND(IF(metadata!J306="",FALSE,TRUE),exact(metadata!J306,"1346744"))</f>
        <v>0</v>
      </c>
    </row>
    <row r="307" spans="1:29">
      <c r="A307" s="4">
        <f>IF(B307=" "," ",HYPERLINK(CONCATENATE("#metadata!",ADDRESS(INDEX($P$2:$P$1001,MATCH(ROWS($N$2:N307),$N$2:$N$1001,0),0),1)),INDEX($S$2:$S$1001,MATCH(ROWS($N$2:N307),$N$2:$N$1001,0),0)))</f>
        <v>0</v>
      </c>
      <c r="B307" s="3">
        <f>IF(OR(INDEX($O$2:$O$1001,MATCH(ROWS($N$2:N307),$N$2:$N$1001,0),1)&gt;=100000,INDEX($U$1005:$AC$1005,1,MATCH(COLUMNS($U$1006:U1006),$U$1006:$AC$1006,0))&gt;=100000), " ",IF(INDEX($U$2:$AC$1001,MATCH(ROWS($N$2:N307),$N$2:$N$1001,0),MATCH(COLUMNS($U$1006:U1006),$U$1006:$AC$1006,0)), HYPERLINK("#",""), HYPERLINK(CONCATENATE("#metadata!", ADDRESS(INDEX($P$2:$P$1001,MATCH(ROWS($N$2:N307),$N$2:$N$1001,0),0), INDEX($U$1004:$AC$1004,1,MATCH(COLUMNS($U$1006:U1006),$U$1006:$AC$1006,0)))),"Fix")))</f>
        <v>0</v>
      </c>
      <c r="C307" s="3">
        <f>IF(OR(INDEX($O$2:$O$1001,MATCH(ROWS($N$2:N307),$N$2:$N$1001,0),1)&gt;=100000,INDEX($U$1005:$AC$1005,1,MATCH(COLUMNS($U$1006:V1006),$U$1006:$AC$1006,0))&gt;=100000), " ",IF(INDEX($U$2:$AC$1001,MATCH(ROWS($N$2:N307),$N$2:$N$1001,0),MATCH(COLUMNS($U$1006:V1006),$U$1006:$AC$1006,0)), HYPERLINK("#",""), HYPERLINK(CONCATENATE("#metadata!", ADDRESS(INDEX($P$2:$P$1001,MATCH(ROWS($N$2:N307),$N$2:$N$1001,0),0), INDEX($U$1004:$AC$1004,1,MATCH(COLUMNS($U$1006:V1006),$U$1006:$AC$1006,0)))),"Fix")))</f>
        <v>0</v>
      </c>
      <c r="D307" s="3">
        <f>IF(OR(INDEX($O$2:$O$1001,MATCH(ROWS($N$2:N307),$N$2:$N$1001,0),1)&gt;=100000,INDEX($U$1005:$AC$1005,1,MATCH(COLUMNS($U$1006:W1006),$U$1006:$AC$1006,0))&gt;=100000), " ",IF(INDEX($U$2:$AC$1001,MATCH(ROWS($N$2:N307),$N$2:$N$1001,0),MATCH(COLUMNS($U$1006:W1006),$U$1006:$AC$1006,0)), HYPERLINK("#",""), HYPERLINK(CONCATENATE("#metadata!", ADDRESS(INDEX($P$2:$P$1001,MATCH(ROWS($N$2:N307),$N$2:$N$1001,0),0), INDEX($U$1004:$AC$1004,1,MATCH(COLUMNS($U$1006:W1006),$U$1006:$AC$1006,0)))),"Fix")))</f>
        <v>0</v>
      </c>
      <c r="E307" s="3">
        <f>IF(OR(INDEX($O$2:$O$1001,MATCH(ROWS($N$2:N307),$N$2:$N$1001,0),1)&gt;=100000,INDEX($U$1005:$AC$1005,1,MATCH(COLUMNS($U$1006:X1006),$U$1006:$AC$1006,0))&gt;=100000), " ",IF(INDEX($U$2:$AC$1001,MATCH(ROWS($N$2:N307),$N$2:$N$1001,0),MATCH(COLUMNS($U$1006:X1006),$U$1006:$AC$1006,0)), HYPERLINK("#",""), HYPERLINK(CONCATENATE("#metadata!", ADDRESS(INDEX($P$2:$P$1001,MATCH(ROWS($N$2:N307),$N$2:$N$1001,0),0), INDEX($U$1004:$AC$1004,1,MATCH(COLUMNS($U$1006:X1006),$U$1006:$AC$1006,0)))),"Fix")))</f>
        <v>0</v>
      </c>
      <c r="F307" s="3">
        <f>IF(OR(INDEX($O$2:$O$1001,MATCH(ROWS($N$2:N307),$N$2:$N$1001,0),1)&gt;=100000,INDEX($U$1005:$AC$1005,1,MATCH(COLUMNS($U$1006:Y1006),$U$1006:$AC$1006,0))&gt;=100000), " ",IF(INDEX($U$2:$AC$1001,MATCH(ROWS($N$2:N307),$N$2:$N$1001,0),MATCH(COLUMNS($U$1006:Y1006),$U$1006:$AC$1006,0)), HYPERLINK("#",""), HYPERLINK(CONCATENATE("#metadata!", ADDRESS(INDEX($P$2:$P$1001,MATCH(ROWS($N$2:N307),$N$2:$N$1001,0),0), INDEX($U$1004:$AC$1004,1,MATCH(COLUMNS($U$1006:Y1006),$U$1006:$AC$1006,0)))),"Fix")))</f>
        <v>0</v>
      </c>
      <c r="G307" s="3">
        <f>IF(OR(INDEX($O$2:$O$1001,MATCH(ROWS($N$2:N307),$N$2:$N$1001,0),1)&gt;=100000,INDEX($U$1005:$AC$1005,1,MATCH(COLUMNS($U$1006:Z1006),$U$1006:$AC$1006,0))&gt;=100000), " ",IF(INDEX($U$2:$AC$1001,MATCH(ROWS($N$2:N307),$N$2:$N$1001,0),MATCH(COLUMNS($U$1006:Z1006),$U$1006:$AC$1006,0)), HYPERLINK("#",""), HYPERLINK(CONCATENATE("#metadata!", ADDRESS(INDEX($P$2:$P$1001,MATCH(ROWS($N$2:N307),$N$2:$N$1001,0),0), INDEX($U$1004:$AC$1004,1,MATCH(COLUMNS($U$1006:Z1006),$U$1006:$AC$1006,0)))),"Fix")))</f>
        <v>0</v>
      </c>
      <c r="H307" s="3">
        <f>IF(OR(INDEX($O$2:$O$1001,MATCH(ROWS($N$2:N307),$N$2:$N$1001,0),1)&gt;=100000,INDEX($U$1005:$AC$1005,1,MATCH(COLUMNS($U$1006:AA1006),$U$1006:$AC$1006,0))&gt;=100000), " ",IF(INDEX($U$2:$AC$1001,MATCH(ROWS($N$2:N307),$N$2:$N$1001,0),MATCH(COLUMNS($U$1006:AA1006),$U$1006:$AC$1006,0)), HYPERLINK("#",""), HYPERLINK(CONCATENATE("#metadata!", ADDRESS(INDEX($P$2:$P$1001,MATCH(ROWS($N$2:N307),$N$2:$N$1001,0),0), INDEX($U$1004:$AC$1004,1,MATCH(COLUMNS($U$1006:AA1006),$U$1006:$AC$1006,0)))),"Fix")))</f>
        <v>0</v>
      </c>
      <c r="I307" s="3">
        <f>IF(OR(INDEX($O$2:$O$1001,MATCH(ROWS($N$2:N307),$N$2:$N$1001,0),1)&gt;=100000,INDEX($U$1005:$AC$1005,1,MATCH(COLUMNS($U$1006:AB1006),$U$1006:$AC$1006,0))&gt;=100000), " ",IF(INDEX($U$2:$AC$1001,MATCH(ROWS($N$2:N307),$N$2:$N$1001,0),MATCH(COLUMNS($U$1006:AB1006),$U$1006:$AC$1006,0)), HYPERLINK("#",""), HYPERLINK(CONCATENATE("#metadata!", ADDRESS(INDEX($P$2:$P$1001,MATCH(ROWS($N$2:N307),$N$2:$N$1001,0),0), INDEX($U$1004:$AC$1004,1,MATCH(COLUMNS($U$1006:AB1006),$U$1006:$AC$1006,0)))),"Fix")))</f>
        <v>0</v>
      </c>
      <c r="J307" s="3">
        <f>IF(OR(INDEX($O$2:$O$1001,MATCH(ROWS($N$2:N307),$N$2:$N$1001,0),1)&gt;=100000,INDEX($U$1005:$AC$1005,1,MATCH(COLUMNS($U$1006:AC1006),$U$1006:$AC$1006,0))&gt;=100000), " ",IF(INDEX($U$2:$AC$1001,MATCH(ROWS($N$2:N307),$N$2:$N$1001,0),MATCH(COLUMNS($U$1006:AC1006),$U$1006:$AC$1006,0)), HYPERLINK("#",""), HYPERLINK(CONCATENATE("#metadata!", ADDRESS(INDEX($P$2:$P$1001,MATCH(ROWS($N$2:N307),$N$2:$N$1001,0),0), INDEX($U$1004:$AC$1004,1,MATCH(COLUMNS($U$1006:AC1006),$U$1006:$AC$1006,0)))),"Fix")))</f>
        <v>0</v>
      </c>
      <c r="N307">
        <v>0</v>
      </c>
      <c r="O307">
        <v>0</v>
      </c>
      <c r="P307">
        <v>0</v>
      </c>
      <c r="Q307">
        <f>IF(R307,TRUE,AND(U307:AC307))</f>
        <v>0</v>
      </c>
      <c r="R307">
        <f>COUNTBLANK(metadata!B307:J307)=COLUMNS(metadata!B307:J307)</f>
        <v>0</v>
      </c>
      <c r="S307">
        <v>0</v>
      </c>
      <c r="U307">
        <f>AND(IF(metadata!B307="",FALSE,TRUE),COUNTIF(metadata!B:B, metadata!B307) = 1,NOT(ISERROR(SUMPRODUCT(SEARCH(MID(metadata!B307,ROW(INDIRECT("1:"&amp;LEN(metadata!B307))), 1),"0123456789abcdefghijklmnopqrstuvwxyzABCDEFGHIJKLMNOPQRSTUVWXYZ.")))))</f>
        <v>0</v>
      </c>
      <c r="V307">
        <f>AND(IF(metadata!C307="",FALSE,TRUE),exact(metadata!C307,"UBERON:genitourinary"))</f>
        <v>0</v>
      </c>
      <c r="W307">
        <f>AND(IF(metadata!D307="",FALSE,TRUE),exact(metadata!D307,"UBERON:urine"))</f>
        <v>0</v>
      </c>
      <c r="X307">
        <f>AND(IF(metadata!E307="",FALSE,TRUE),exact(metadata!E307,"UBERON:kidney"))</f>
        <v>0</v>
      </c>
      <c r="Y307">
        <f>AND(IF(metadata!F307="",FALSE,TRUE),exact(metadata!F307,"animal corpus"))</f>
        <v>0</v>
      </c>
      <c r="Z307">
        <f>AND(IF(metadata!G307="",FALSE,TRUE),exact(metadata!G307,"urine"))</f>
        <v>0</v>
      </c>
      <c r="AA307">
        <f>AND(IF(metadata!H307="",FALSE,TRUE),exact(metadata!H307,"urine"))</f>
        <v>0</v>
      </c>
      <c r="AB307">
        <f>AND(IF(metadata!I307="",FALSE,TRUE),exact(metadata!I307,"urine metagenome"))</f>
        <v>0</v>
      </c>
      <c r="AC307">
        <f>AND(IF(metadata!J307="",FALSE,TRUE),exact(metadata!J307,"1346744"))</f>
        <v>0</v>
      </c>
    </row>
    <row r="308" spans="1:29">
      <c r="A308" s="4">
        <f>IF(B308=" "," ",HYPERLINK(CONCATENATE("#metadata!",ADDRESS(INDEX($P$2:$P$1001,MATCH(ROWS($N$2:N308),$N$2:$N$1001,0),0),1)),INDEX($S$2:$S$1001,MATCH(ROWS($N$2:N308),$N$2:$N$1001,0),0)))</f>
        <v>0</v>
      </c>
      <c r="B308" s="3">
        <f>IF(OR(INDEX($O$2:$O$1001,MATCH(ROWS($N$2:N308),$N$2:$N$1001,0),1)&gt;=100000,INDEX($U$1005:$AC$1005,1,MATCH(COLUMNS($U$1006:U1006),$U$1006:$AC$1006,0))&gt;=100000), " ",IF(INDEX($U$2:$AC$1001,MATCH(ROWS($N$2:N308),$N$2:$N$1001,0),MATCH(COLUMNS($U$1006:U1006),$U$1006:$AC$1006,0)), HYPERLINK("#",""), HYPERLINK(CONCATENATE("#metadata!", ADDRESS(INDEX($P$2:$P$1001,MATCH(ROWS($N$2:N308),$N$2:$N$1001,0),0), INDEX($U$1004:$AC$1004,1,MATCH(COLUMNS($U$1006:U1006),$U$1006:$AC$1006,0)))),"Fix")))</f>
        <v>0</v>
      </c>
      <c r="C308" s="3">
        <f>IF(OR(INDEX($O$2:$O$1001,MATCH(ROWS($N$2:N308),$N$2:$N$1001,0),1)&gt;=100000,INDEX($U$1005:$AC$1005,1,MATCH(COLUMNS($U$1006:V1006),$U$1006:$AC$1006,0))&gt;=100000), " ",IF(INDEX($U$2:$AC$1001,MATCH(ROWS($N$2:N308),$N$2:$N$1001,0),MATCH(COLUMNS($U$1006:V1006),$U$1006:$AC$1006,0)), HYPERLINK("#",""), HYPERLINK(CONCATENATE("#metadata!", ADDRESS(INDEX($P$2:$P$1001,MATCH(ROWS($N$2:N308),$N$2:$N$1001,0),0), INDEX($U$1004:$AC$1004,1,MATCH(COLUMNS($U$1006:V1006),$U$1006:$AC$1006,0)))),"Fix")))</f>
        <v>0</v>
      </c>
      <c r="D308" s="3">
        <f>IF(OR(INDEX($O$2:$O$1001,MATCH(ROWS($N$2:N308),$N$2:$N$1001,0),1)&gt;=100000,INDEX($U$1005:$AC$1005,1,MATCH(COLUMNS($U$1006:W1006),$U$1006:$AC$1006,0))&gt;=100000), " ",IF(INDEX($U$2:$AC$1001,MATCH(ROWS($N$2:N308),$N$2:$N$1001,0),MATCH(COLUMNS($U$1006:W1006),$U$1006:$AC$1006,0)), HYPERLINK("#",""), HYPERLINK(CONCATENATE("#metadata!", ADDRESS(INDEX($P$2:$P$1001,MATCH(ROWS($N$2:N308),$N$2:$N$1001,0),0), INDEX($U$1004:$AC$1004,1,MATCH(COLUMNS($U$1006:W1006),$U$1006:$AC$1006,0)))),"Fix")))</f>
        <v>0</v>
      </c>
      <c r="E308" s="3">
        <f>IF(OR(INDEX($O$2:$O$1001,MATCH(ROWS($N$2:N308),$N$2:$N$1001,0),1)&gt;=100000,INDEX($U$1005:$AC$1005,1,MATCH(COLUMNS($U$1006:X1006),$U$1006:$AC$1006,0))&gt;=100000), " ",IF(INDEX($U$2:$AC$1001,MATCH(ROWS($N$2:N308),$N$2:$N$1001,0),MATCH(COLUMNS($U$1006:X1006),$U$1006:$AC$1006,0)), HYPERLINK("#",""), HYPERLINK(CONCATENATE("#metadata!", ADDRESS(INDEX($P$2:$P$1001,MATCH(ROWS($N$2:N308),$N$2:$N$1001,0),0), INDEX($U$1004:$AC$1004,1,MATCH(COLUMNS($U$1006:X1006),$U$1006:$AC$1006,0)))),"Fix")))</f>
        <v>0</v>
      </c>
      <c r="F308" s="3">
        <f>IF(OR(INDEX($O$2:$O$1001,MATCH(ROWS($N$2:N308),$N$2:$N$1001,0),1)&gt;=100000,INDEX($U$1005:$AC$1005,1,MATCH(COLUMNS($U$1006:Y1006),$U$1006:$AC$1006,0))&gt;=100000), " ",IF(INDEX($U$2:$AC$1001,MATCH(ROWS($N$2:N308),$N$2:$N$1001,0),MATCH(COLUMNS($U$1006:Y1006),$U$1006:$AC$1006,0)), HYPERLINK("#",""), HYPERLINK(CONCATENATE("#metadata!", ADDRESS(INDEX($P$2:$P$1001,MATCH(ROWS($N$2:N308),$N$2:$N$1001,0),0), INDEX($U$1004:$AC$1004,1,MATCH(COLUMNS($U$1006:Y1006),$U$1006:$AC$1006,0)))),"Fix")))</f>
        <v>0</v>
      </c>
      <c r="G308" s="3">
        <f>IF(OR(INDEX($O$2:$O$1001,MATCH(ROWS($N$2:N308),$N$2:$N$1001,0),1)&gt;=100000,INDEX($U$1005:$AC$1005,1,MATCH(COLUMNS($U$1006:Z1006),$U$1006:$AC$1006,0))&gt;=100000), " ",IF(INDEX($U$2:$AC$1001,MATCH(ROWS($N$2:N308),$N$2:$N$1001,0),MATCH(COLUMNS($U$1006:Z1006),$U$1006:$AC$1006,0)), HYPERLINK("#",""), HYPERLINK(CONCATENATE("#metadata!", ADDRESS(INDEX($P$2:$P$1001,MATCH(ROWS($N$2:N308),$N$2:$N$1001,0),0), INDEX($U$1004:$AC$1004,1,MATCH(COLUMNS($U$1006:Z1006),$U$1006:$AC$1006,0)))),"Fix")))</f>
        <v>0</v>
      </c>
      <c r="H308" s="3">
        <f>IF(OR(INDEX($O$2:$O$1001,MATCH(ROWS($N$2:N308),$N$2:$N$1001,0),1)&gt;=100000,INDEX($U$1005:$AC$1005,1,MATCH(COLUMNS($U$1006:AA1006),$U$1006:$AC$1006,0))&gt;=100000), " ",IF(INDEX($U$2:$AC$1001,MATCH(ROWS($N$2:N308),$N$2:$N$1001,0),MATCH(COLUMNS($U$1006:AA1006),$U$1006:$AC$1006,0)), HYPERLINK("#",""), HYPERLINK(CONCATENATE("#metadata!", ADDRESS(INDEX($P$2:$P$1001,MATCH(ROWS($N$2:N308),$N$2:$N$1001,0),0), INDEX($U$1004:$AC$1004,1,MATCH(COLUMNS($U$1006:AA1006),$U$1006:$AC$1006,0)))),"Fix")))</f>
        <v>0</v>
      </c>
      <c r="I308" s="3">
        <f>IF(OR(INDEX($O$2:$O$1001,MATCH(ROWS($N$2:N308),$N$2:$N$1001,0),1)&gt;=100000,INDEX($U$1005:$AC$1005,1,MATCH(COLUMNS($U$1006:AB1006),$U$1006:$AC$1006,0))&gt;=100000), " ",IF(INDEX($U$2:$AC$1001,MATCH(ROWS($N$2:N308),$N$2:$N$1001,0),MATCH(COLUMNS($U$1006:AB1006),$U$1006:$AC$1006,0)), HYPERLINK("#",""), HYPERLINK(CONCATENATE("#metadata!", ADDRESS(INDEX($P$2:$P$1001,MATCH(ROWS($N$2:N308),$N$2:$N$1001,0),0), INDEX($U$1004:$AC$1004,1,MATCH(COLUMNS($U$1006:AB1006),$U$1006:$AC$1006,0)))),"Fix")))</f>
        <v>0</v>
      </c>
      <c r="J308" s="3">
        <f>IF(OR(INDEX($O$2:$O$1001,MATCH(ROWS($N$2:N308),$N$2:$N$1001,0),1)&gt;=100000,INDEX($U$1005:$AC$1005,1,MATCH(COLUMNS($U$1006:AC1006),$U$1006:$AC$1006,0))&gt;=100000), " ",IF(INDEX($U$2:$AC$1001,MATCH(ROWS($N$2:N308),$N$2:$N$1001,0),MATCH(COLUMNS($U$1006:AC1006),$U$1006:$AC$1006,0)), HYPERLINK("#",""), HYPERLINK(CONCATENATE("#metadata!", ADDRESS(INDEX($P$2:$P$1001,MATCH(ROWS($N$2:N308),$N$2:$N$1001,0),0), INDEX($U$1004:$AC$1004,1,MATCH(COLUMNS($U$1006:AC1006),$U$1006:$AC$1006,0)))),"Fix")))</f>
        <v>0</v>
      </c>
      <c r="N308">
        <v>0</v>
      </c>
      <c r="O308">
        <v>0</v>
      </c>
      <c r="P308">
        <v>0</v>
      </c>
      <c r="Q308">
        <f>IF(R308,TRUE,AND(U308:AC308))</f>
        <v>0</v>
      </c>
      <c r="R308">
        <f>COUNTBLANK(metadata!B308:J308)=COLUMNS(metadata!B308:J308)</f>
        <v>0</v>
      </c>
      <c r="S308">
        <v>0</v>
      </c>
      <c r="U308">
        <f>AND(IF(metadata!B308="",FALSE,TRUE),COUNTIF(metadata!B:B, metadata!B308) = 1,NOT(ISERROR(SUMPRODUCT(SEARCH(MID(metadata!B308,ROW(INDIRECT("1:"&amp;LEN(metadata!B308))), 1),"0123456789abcdefghijklmnopqrstuvwxyzABCDEFGHIJKLMNOPQRSTUVWXYZ.")))))</f>
        <v>0</v>
      </c>
      <c r="V308">
        <f>AND(IF(metadata!C308="",FALSE,TRUE),exact(metadata!C308,"UBERON:genitourinary"))</f>
        <v>0</v>
      </c>
      <c r="W308">
        <f>AND(IF(metadata!D308="",FALSE,TRUE),exact(metadata!D308,"UBERON:urine"))</f>
        <v>0</v>
      </c>
      <c r="X308">
        <f>AND(IF(metadata!E308="",FALSE,TRUE),exact(metadata!E308,"UBERON:kidney"))</f>
        <v>0</v>
      </c>
      <c r="Y308">
        <f>AND(IF(metadata!F308="",FALSE,TRUE),exact(metadata!F308,"animal corpus"))</f>
        <v>0</v>
      </c>
      <c r="Z308">
        <f>AND(IF(metadata!G308="",FALSE,TRUE),exact(metadata!G308,"urine"))</f>
        <v>0</v>
      </c>
      <c r="AA308">
        <f>AND(IF(metadata!H308="",FALSE,TRUE),exact(metadata!H308,"urine"))</f>
        <v>0</v>
      </c>
      <c r="AB308">
        <f>AND(IF(metadata!I308="",FALSE,TRUE),exact(metadata!I308,"urine metagenome"))</f>
        <v>0</v>
      </c>
      <c r="AC308">
        <f>AND(IF(metadata!J308="",FALSE,TRUE),exact(metadata!J308,"1346744"))</f>
        <v>0</v>
      </c>
    </row>
    <row r="309" spans="1:29">
      <c r="A309" s="4">
        <f>IF(B309=" "," ",HYPERLINK(CONCATENATE("#metadata!",ADDRESS(INDEX($P$2:$P$1001,MATCH(ROWS($N$2:N309),$N$2:$N$1001,0),0),1)),INDEX($S$2:$S$1001,MATCH(ROWS($N$2:N309),$N$2:$N$1001,0),0)))</f>
        <v>0</v>
      </c>
      <c r="B309" s="3">
        <f>IF(OR(INDEX($O$2:$O$1001,MATCH(ROWS($N$2:N309),$N$2:$N$1001,0),1)&gt;=100000,INDEX($U$1005:$AC$1005,1,MATCH(COLUMNS($U$1006:U1006),$U$1006:$AC$1006,0))&gt;=100000), " ",IF(INDEX($U$2:$AC$1001,MATCH(ROWS($N$2:N309),$N$2:$N$1001,0),MATCH(COLUMNS($U$1006:U1006),$U$1006:$AC$1006,0)), HYPERLINK("#",""), HYPERLINK(CONCATENATE("#metadata!", ADDRESS(INDEX($P$2:$P$1001,MATCH(ROWS($N$2:N309),$N$2:$N$1001,0),0), INDEX($U$1004:$AC$1004,1,MATCH(COLUMNS($U$1006:U1006),$U$1006:$AC$1006,0)))),"Fix")))</f>
        <v>0</v>
      </c>
      <c r="C309" s="3">
        <f>IF(OR(INDEX($O$2:$O$1001,MATCH(ROWS($N$2:N309),$N$2:$N$1001,0),1)&gt;=100000,INDEX($U$1005:$AC$1005,1,MATCH(COLUMNS($U$1006:V1006),$U$1006:$AC$1006,0))&gt;=100000), " ",IF(INDEX($U$2:$AC$1001,MATCH(ROWS($N$2:N309),$N$2:$N$1001,0),MATCH(COLUMNS($U$1006:V1006),$U$1006:$AC$1006,0)), HYPERLINK("#",""), HYPERLINK(CONCATENATE("#metadata!", ADDRESS(INDEX($P$2:$P$1001,MATCH(ROWS($N$2:N309),$N$2:$N$1001,0),0), INDEX($U$1004:$AC$1004,1,MATCH(COLUMNS($U$1006:V1006),$U$1006:$AC$1006,0)))),"Fix")))</f>
        <v>0</v>
      </c>
      <c r="D309" s="3">
        <f>IF(OR(INDEX($O$2:$O$1001,MATCH(ROWS($N$2:N309),$N$2:$N$1001,0),1)&gt;=100000,INDEX($U$1005:$AC$1005,1,MATCH(COLUMNS($U$1006:W1006),$U$1006:$AC$1006,0))&gt;=100000), " ",IF(INDEX($U$2:$AC$1001,MATCH(ROWS($N$2:N309),$N$2:$N$1001,0),MATCH(COLUMNS($U$1006:W1006),$U$1006:$AC$1006,0)), HYPERLINK("#",""), HYPERLINK(CONCATENATE("#metadata!", ADDRESS(INDEX($P$2:$P$1001,MATCH(ROWS($N$2:N309),$N$2:$N$1001,0),0), INDEX($U$1004:$AC$1004,1,MATCH(COLUMNS($U$1006:W1006),$U$1006:$AC$1006,0)))),"Fix")))</f>
        <v>0</v>
      </c>
      <c r="E309" s="3">
        <f>IF(OR(INDEX($O$2:$O$1001,MATCH(ROWS($N$2:N309),$N$2:$N$1001,0),1)&gt;=100000,INDEX($U$1005:$AC$1005,1,MATCH(COLUMNS($U$1006:X1006),$U$1006:$AC$1006,0))&gt;=100000), " ",IF(INDEX($U$2:$AC$1001,MATCH(ROWS($N$2:N309),$N$2:$N$1001,0),MATCH(COLUMNS($U$1006:X1006),$U$1006:$AC$1006,0)), HYPERLINK("#",""), HYPERLINK(CONCATENATE("#metadata!", ADDRESS(INDEX($P$2:$P$1001,MATCH(ROWS($N$2:N309),$N$2:$N$1001,0),0), INDEX($U$1004:$AC$1004,1,MATCH(COLUMNS($U$1006:X1006),$U$1006:$AC$1006,0)))),"Fix")))</f>
        <v>0</v>
      </c>
      <c r="F309" s="3">
        <f>IF(OR(INDEX($O$2:$O$1001,MATCH(ROWS($N$2:N309),$N$2:$N$1001,0),1)&gt;=100000,INDEX($U$1005:$AC$1005,1,MATCH(COLUMNS($U$1006:Y1006),$U$1006:$AC$1006,0))&gt;=100000), " ",IF(INDEX($U$2:$AC$1001,MATCH(ROWS($N$2:N309),$N$2:$N$1001,0),MATCH(COLUMNS($U$1006:Y1006),$U$1006:$AC$1006,0)), HYPERLINK("#",""), HYPERLINK(CONCATENATE("#metadata!", ADDRESS(INDEX($P$2:$P$1001,MATCH(ROWS($N$2:N309),$N$2:$N$1001,0),0), INDEX($U$1004:$AC$1004,1,MATCH(COLUMNS($U$1006:Y1006),$U$1006:$AC$1006,0)))),"Fix")))</f>
        <v>0</v>
      </c>
      <c r="G309" s="3">
        <f>IF(OR(INDEX($O$2:$O$1001,MATCH(ROWS($N$2:N309),$N$2:$N$1001,0),1)&gt;=100000,INDEX($U$1005:$AC$1005,1,MATCH(COLUMNS($U$1006:Z1006),$U$1006:$AC$1006,0))&gt;=100000), " ",IF(INDEX($U$2:$AC$1001,MATCH(ROWS($N$2:N309),$N$2:$N$1001,0),MATCH(COLUMNS($U$1006:Z1006),$U$1006:$AC$1006,0)), HYPERLINK("#",""), HYPERLINK(CONCATENATE("#metadata!", ADDRESS(INDEX($P$2:$P$1001,MATCH(ROWS($N$2:N309),$N$2:$N$1001,0),0), INDEX($U$1004:$AC$1004,1,MATCH(COLUMNS($U$1006:Z1006),$U$1006:$AC$1006,0)))),"Fix")))</f>
        <v>0</v>
      </c>
      <c r="H309" s="3">
        <f>IF(OR(INDEX($O$2:$O$1001,MATCH(ROWS($N$2:N309),$N$2:$N$1001,0),1)&gt;=100000,INDEX($U$1005:$AC$1005,1,MATCH(COLUMNS($U$1006:AA1006),$U$1006:$AC$1006,0))&gt;=100000), " ",IF(INDEX($U$2:$AC$1001,MATCH(ROWS($N$2:N309),$N$2:$N$1001,0),MATCH(COLUMNS($U$1006:AA1006),$U$1006:$AC$1006,0)), HYPERLINK("#",""), HYPERLINK(CONCATENATE("#metadata!", ADDRESS(INDEX($P$2:$P$1001,MATCH(ROWS($N$2:N309),$N$2:$N$1001,0),0), INDEX($U$1004:$AC$1004,1,MATCH(COLUMNS($U$1006:AA1006),$U$1006:$AC$1006,0)))),"Fix")))</f>
        <v>0</v>
      </c>
      <c r="I309" s="3">
        <f>IF(OR(INDEX($O$2:$O$1001,MATCH(ROWS($N$2:N309),$N$2:$N$1001,0),1)&gt;=100000,INDEX($U$1005:$AC$1005,1,MATCH(COLUMNS($U$1006:AB1006),$U$1006:$AC$1006,0))&gt;=100000), " ",IF(INDEX($U$2:$AC$1001,MATCH(ROWS($N$2:N309),$N$2:$N$1001,0),MATCH(COLUMNS($U$1006:AB1006),$U$1006:$AC$1006,0)), HYPERLINK("#",""), HYPERLINK(CONCATENATE("#metadata!", ADDRESS(INDEX($P$2:$P$1001,MATCH(ROWS($N$2:N309),$N$2:$N$1001,0),0), INDEX($U$1004:$AC$1004,1,MATCH(COLUMNS($U$1006:AB1006),$U$1006:$AC$1006,0)))),"Fix")))</f>
        <v>0</v>
      </c>
      <c r="J309" s="3">
        <f>IF(OR(INDEX($O$2:$O$1001,MATCH(ROWS($N$2:N309),$N$2:$N$1001,0),1)&gt;=100000,INDEX($U$1005:$AC$1005,1,MATCH(COLUMNS($U$1006:AC1006),$U$1006:$AC$1006,0))&gt;=100000), " ",IF(INDEX($U$2:$AC$1001,MATCH(ROWS($N$2:N309),$N$2:$N$1001,0),MATCH(COLUMNS($U$1006:AC1006),$U$1006:$AC$1006,0)), HYPERLINK("#",""), HYPERLINK(CONCATENATE("#metadata!", ADDRESS(INDEX($P$2:$P$1001,MATCH(ROWS($N$2:N309),$N$2:$N$1001,0),0), INDEX($U$1004:$AC$1004,1,MATCH(COLUMNS($U$1006:AC1006),$U$1006:$AC$1006,0)))),"Fix")))</f>
        <v>0</v>
      </c>
      <c r="N309">
        <v>0</v>
      </c>
      <c r="O309">
        <v>0</v>
      </c>
      <c r="P309">
        <v>0</v>
      </c>
      <c r="Q309">
        <f>IF(R309,TRUE,AND(U309:AC309))</f>
        <v>0</v>
      </c>
      <c r="R309">
        <f>COUNTBLANK(metadata!B309:J309)=COLUMNS(metadata!B309:J309)</f>
        <v>0</v>
      </c>
      <c r="S309">
        <v>0</v>
      </c>
      <c r="U309">
        <f>AND(IF(metadata!B309="",FALSE,TRUE),COUNTIF(metadata!B:B, metadata!B309) = 1,NOT(ISERROR(SUMPRODUCT(SEARCH(MID(metadata!B309,ROW(INDIRECT("1:"&amp;LEN(metadata!B309))), 1),"0123456789abcdefghijklmnopqrstuvwxyzABCDEFGHIJKLMNOPQRSTUVWXYZ.")))))</f>
        <v>0</v>
      </c>
      <c r="V309">
        <f>AND(IF(metadata!C309="",FALSE,TRUE),exact(metadata!C309,"UBERON:genitourinary"))</f>
        <v>0</v>
      </c>
      <c r="W309">
        <f>AND(IF(metadata!D309="",FALSE,TRUE),exact(metadata!D309,"UBERON:urine"))</f>
        <v>0</v>
      </c>
      <c r="X309">
        <f>AND(IF(metadata!E309="",FALSE,TRUE),exact(metadata!E309,"UBERON:kidney"))</f>
        <v>0</v>
      </c>
      <c r="Y309">
        <f>AND(IF(metadata!F309="",FALSE,TRUE),exact(metadata!F309,"animal corpus"))</f>
        <v>0</v>
      </c>
      <c r="Z309">
        <f>AND(IF(metadata!G309="",FALSE,TRUE),exact(metadata!G309,"urine"))</f>
        <v>0</v>
      </c>
      <c r="AA309">
        <f>AND(IF(metadata!H309="",FALSE,TRUE),exact(metadata!H309,"urine"))</f>
        <v>0</v>
      </c>
      <c r="AB309">
        <f>AND(IF(metadata!I309="",FALSE,TRUE),exact(metadata!I309,"urine metagenome"))</f>
        <v>0</v>
      </c>
      <c r="AC309">
        <f>AND(IF(metadata!J309="",FALSE,TRUE),exact(metadata!J309,"1346744"))</f>
        <v>0</v>
      </c>
    </row>
    <row r="310" spans="1:29">
      <c r="A310" s="4">
        <f>IF(B310=" "," ",HYPERLINK(CONCATENATE("#metadata!",ADDRESS(INDEX($P$2:$P$1001,MATCH(ROWS($N$2:N310),$N$2:$N$1001,0),0),1)),INDEX($S$2:$S$1001,MATCH(ROWS($N$2:N310),$N$2:$N$1001,0),0)))</f>
        <v>0</v>
      </c>
      <c r="B310" s="3">
        <f>IF(OR(INDEX($O$2:$O$1001,MATCH(ROWS($N$2:N310),$N$2:$N$1001,0),1)&gt;=100000,INDEX($U$1005:$AC$1005,1,MATCH(COLUMNS($U$1006:U1006),$U$1006:$AC$1006,0))&gt;=100000), " ",IF(INDEX($U$2:$AC$1001,MATCH(ROWS($N$2:N310),$N$2:$N$1001,0),MATCH(COLUMNS($U$1006:U1006),$U$1006:$AC$1006,0)), HYPERLINK("#",""), HYPERLINK(CONCATENATE("#metadata!", ADDRESS(INDEX($P$2:$P$1001,MATCH(ROWS($N$2:N310),$N$2:$N$1001,0),0), INDEX($U$1004:$AC$1004,1,MATCH(COLUMNS($U$1006:U1006),$U$1006:$AC$1006,0)))),"Fix")))</f>
        <v>0</v>
      </c>
      <c r="C310" s="3">
        <f>IF(OR(INDEX($O$2:$O$1001,MATCH(ROWS($N$2:N310),$N$2:$N$1001,0),1)&gt;=100000,INDEX($U$1005:$AC$1005,1,MATCH(COLUMNS($U$1006:V1006),$U$1006:$AC$1006,0))&gt;=100000), " ",IF(INDEX($U$2:$AC$1001,MATCH(ROWS($N$2:N310),$N$2:$N$1001,0),MATCH(COLUMNS($U$1006:V1006),$U$1006:$AC$1006,0)), HYPERLINK("#",""), HYPERLINK(CONCATENATE("#metadata!", ADDRESS(INDEX($P$2:$P$1001,MATCH(ROWS($N$2:N310),$N$2:$N$1001,0),0), INDEX($U$1004:$AC$1004,1,MATCH(COLUMNS($U$1006:V1006),$U$1006:$AC$1006,0)))),"Fix")))</f>
        <v>0</v>
      </c>
      <c r="D310" s="3">
        <f>IF(OR(INDEX($O$2:$O$1001,MATCH(ROWS($N$2:N310),$N$2:$N$1001,0),1)&gt;=100000,INDEX($U$1005:$AC$1005,1,MATCH(COLUMNS($U$1006:W1006),$U$1006:$AC$1006,0))&gt;=100000), " ",IF(INDEX($U$2:$AC$1001,MATCH(ROWS($N$2:N310),$N$2:$N$1001,0),MATCH(COLUMNS($U$1006:W1006),$U$1006:$AC$1006,0)), HYPERLINK("#",""), HYPERLINK(CONCATENATE("#metadata!", ADDRESS(INDEX($P$2:$P$1001,MATCH(ROWS($N$2:N310),$N$2:$N$1001,0),0), INDEX($U$1004:$AC$1004,1,MATCH(COLUMNS($U$1006:W1006),$U$1006:$AC$1006,0)))),"Fix")))</f>
        <v>0</v>
      </c>
      <c r="E310" s="3">
        <f>IF(OR(INDEX($O$2:$O$1001,MATCH(ROWS($N$2:N310),$N$2:$N$1001,0),1)&gt;=100000,INDEX($U$1005:$AC$1005,1,MATCH(COLUMNS($U$1006:X1006),$U$1006:$AC$1006,0))&gt;=100000), " ",IF(INDEX($U$2:$AC$1001,MATCH(ROWS($N$2:N310),$N$2:$N$1001,0),MATCH(COLUMNS($U$1006:X1006),$U$1006:$AC$1006,0)), HYPERLINK("#",""), HYPERLINK(CONCATENATE("#metadata!", ADDRESS(INDEX($P$2:$P$1001,MATCH(ROWS($N$2:N310),$N$2:$N$1001,0),0), INDEX($U$1004:$AC$1004,1,MATCH(COLUMNS($U$1006:X1006),$U$1006:$AC$1006,0)))),"Fix")))</f>
        <v>0</v>
      </c>
      <c r="F310" s="3">
        <f>IF(OR(INDEX($O$2:$O$1001,MATCH(ROWS($N$2:N310),$N$2:$N$1001,0),1)&gt;=100000,INDEX($U$1005:$AC$1005,1,MATCH(COLUMNS($U$1006:Y1006),$U$1006:$AC$1006,0))&gt;=100000), " ",IF(INDEX($U$2:$AC$1001,MATCH(ROWS($N$2:N310),$N$2:$N$1001,0),MATCH(COLUMNS($U$1006:Y1006),$U$1006:$AC$1006,0)), HYPERLINK("#",""), HYPERLINK(CONCATENATE("#metadata!", ADDRESS(INDEX($P$2:$P$1001,MATCH(ROWS($N$2:N310),$N$2:$N$1001,0),0), INDEX($U$1004:$AC$1004,1,MATCH(COLUMNS($U$1006:Y1006),$U$1006:$AC$1006,0)))),"Fix")))</f>
        <v>0</v>
      </c>
      <c r="G310" s="3">
        <f>IF(OR(INDEX($O$2:$O$1001,MATCH(ROWS($N$2:N310),$N$2:$N$1001,0),1)&gt;=100000,INDEX($U$1005:$AC$1005,1,MATCH(COLUMNS($U$1006:Z1006),$U$1006:$AC$1006,0))&gt;=100000), " ",IF(INDEX($U$2:$AC$1001,MATCH(ROWS($N$2:N310),$N$2:$N$1001,0),MATCH(COLUMNS($U$1006:Z1006),$U$1006:$AC$1006,0)), HYPERLINK("#",""), HYPERLINK(CONCATENATE("#metadata!", ADDRESS(INDEX($P$2:$P$1001,MATCH(ROWS($N$2:N310),$N$2:$N$1001,0),0), INDEX($U$1004:$AC$1004,1,MATCH(COLUMNS($U$1006:Z1006),$U$1006:$AC$1006,0)))),"Fix")))</f>
        <v>0</v>
      </c>
      <c r="H310" s="3">
        <f>IF(OR(INDEX($O$2:$O$1001,MATCH(ROWS($N$2:N310),$N$2:$N$1001,0),1)&gt;=100000,INDEX($U$1005:$AC$1005,1,MATCH(COLUMNS($U$1006:AA1006),$U$1006:$AC$1006,0))&gt;=100000), " ",IF(INDEX($U$2:$AC$1001,MATCH(ROWS($N$2:N310),$N$2:$N$1001,0),MATCH(COLUMNS($U$1006:AA1006),$U$1006:$AC$1006,0)), HYPERLINK("#",""), HYPERLINK(CONCATENATE("#metadata!", ADDRESS(INDEX($P$2:$P$1001,MATCH(ROWS($N$2:N310),$N$2:$N$1001,0),0), INDEX($U$1004:$AC$1004,1,MATCH(COLUMNS($U$1006:AA1006),$U$1006:$AC$1006,0)))),"Fix")))</f>
        <v>0</v>
      </c>
      <c r="I310" s="3">
        <f>IF(OR(INDEX($O$2:$O$1001,MATCH(ROWS($N$2:N310),$N$2:$N$1001,0),1)&gt;=100000,INDEX($U$1005:$AC$1005,1,MATCH(COLUMNS($U$1006:AB1006),$U$1006:$AC$1006,0))&gt;=100000), " ",IF(INDEX($U$2:$AC$1001,MATCH(ROWS($N$2:N310),$N$2:$N$1001,0),MATCH(COLUMNS($U$1006:AB1006),$U$1006:$AC$1006,0)), HYPERLINK("#",""), HYPERLINK(CONCATENATE("#metadata!", ADDRESS(INDEX($P$2:$P$1001,MATCH(ROWS($N$2:N310),$N$2:$N$1001,0),0), INDEX($U$1004:$AC$1004,1,MATCH(COLUMNS($U$1006:AB1006),$U$1006:$AC$1006,0)))),"Fix")))</f>
        <v>0</v>
      </c>
      <c r="J310" s="3">
        <f>IF(OR(INDEX($O$2:$O$1001,MATCH(ROWS($N$2:N310),$N$2:$N$1001,0),1)&gt;=100000,INDEX($U$1005:$AC$1005,1,MATCH(COLUMNS($U$1006:AC1006),$U$1006:$AC$1006,0))&gt;=100000), " ",IF(INDEX($U$2:$AC$1001,MATCH(ROWS($N$2:N310),$N$2:$N$1001,0),MATCH(COLUMNS($U$1006:AC1006),$U$1006:$AC$1006,0)), HYPERLINK("#",""), HYPERLINK(CONCATENATE("#metadata!", ADDRESS(INDEX($P$2:$P$1001,MATCH(ROWS($N$2:N310),$N$2:$N$1001,0),0), INDEX($U$1004:$AC$1004,1,MATCH(COLUMNS($U$1006:AC1006),$U$1006:$AC$1006,0)))),"Fix")))</f>
        <v>0</v>
      </c>
      <c r="N310">
        <v>0</v>
      </c>
      <c r="O310">
        <v>0</v>
      </c>
      <c r="P310">
        <v>0</v>
      </c>
      <c r="Q310">
        <f>IF(R310,TRUE,AND(U310:AC310))</f>
        <v>0</v>
      </c>
      <c r="R310">
        <f>COUNTBLANK(metadata!B310:J310)=COLUMNS(metadata!B310:J310)</f>
        <v>0</v>
      </c>
      <c r="S310">
        <v>0</v>
      </c>
      <c r="U310">
        <f>AND(IF(metadata!B310="",FALSE,TRUE),COUNTIF(metadata!B:B, metadata!B310) = 1,NOT(ISERROR(SUMPRODUCT(SEARCH(MID(metadata!B310,ROW(INDIRECT("1:"&amp;LEN(metadata!B310))), 1),"0123456789abcdefghijklmnopqrstuvwxyzABCDEFGHIJKLMNOPQRSTUVWXYZ.")))))</f>
        <v>0</v>
      </c>
      <c r="V310">
        <f>AND(IF(metadata!C310="",FALSE,TRUE),exact(metadata!C310,"UBERON:genitourinary"))</f>
        <v>0</v>
      </c>
      <c r="W310">
        <f>AND(IF(metadata!D310="",FALSE,TRUE),exact(metadata!D310,"UBERON:urine"))</f>
        <v>0</v>
      </c>
      <c r="X310">
        <f>AND(IF(metadata!E310="",FALSE,TRUE),exact(metadata!E310,"UBERON:kidney"))</f>
        <v>0</v>
      </c>
      <c r="Y310">
        <f>AND(IF(metadata!F310="",FALSE,TRUE),exact(metadata!F310,"animal corpus"))</f>
        <v>0</v>
      </c>
      <c r="Z310">
        <f>AND(IF(metadata!G310="",FALSE,TRUE),exact(metadata!G310,"urine"))</f>
        <v>0</v>
      </c>
      <c r="AA310">
        <f>AND(IF(metadata!H310="",FALSE,TRUE),exact(metadata!H310,"urine"))</f>
        <v>0</v>
      </c>
      <c r="AB310">
        <f>AND(IF(metadata!I310="",FALSE,TRUE),exact(metadata!I310,"urine metagenome"))</f>
        <v>0</v>
      </c>
      <c r="AC310">
        <f>AND(IF(metadata!J310="",FALSE,TRUE),exact(metadata!J310,"1346744"))</f>
        <v>0</v>
      </c>
    </row>
    <row r="311" spans="1:29">
      <c r="A311" s="4">
        <f>IF(B311=" "," ",HYPERLINK(CONCATENATE("#metadata!",ADDRESS(INDEX($P$2:$P$1001,MATCH(ROWS($N$2:N311),$N$2:$N$1001,0),0),1)),INDEX($S$2:$S$1001,MATCH(ROWS($N$2:N311),$N$2:$N$1001,0),0)))</f>
        <v>0</v>
      </c>
      <c r="B311" s="3">
        <f>IF(OR(INDEX($O$2:$O$1001,MATCH(ROWS($N$2:N311),$N$2:$N$1001,0),1)&gt;=100000,INDEX($U$1005:$AC$1005,1,MATCH(COLUMNS($U$1006:U1006),$U$1006:$AC$1006,0))&gt;=100000), " ",IF(INDEX($U$2:$AC$1001,MATCH(ROWS($N$2:N311),$N$2:$N$1001,0),MATCH(COLUMNS($U$1006:U1006),$U$1006:$AC$1006,0)), HYPERLINK("#",""), HYPERLINK(CONCATENATE("#metadata!", ADDRESS(INDEX($P$2:$P$1001,MATCH(ROWS($N$2:N311),$N$2:$N$1001,0),0), INDEX($U$1004:$AC$1004,1,MATCH(COLUMNS($U$1006:U1006),$U$1006:$AC$1006,0)))),"Fix")))</f>
        <v>0</v>
      </c>
      <c r="C311" s="3">
        <f>IF(OR(INDEX($O$2:$O$1001,MATCH(ROWS($N$2:N311),$N$2:$N$1001,0),1)&gt;=100000,INDEX($U$1005:$AC$1005,1,MATCH(COLUMNS($U$1006:V1006),$U$1006:$AC$1006,0))&gt;=100000), " ",IF(INDEX($U$2:$AC$1001,MATCH(ROWS($N$2:N311),$N$2:$N$1001,0),MATCH(COLUMNS($U$1006:V1006),$U$1006:$AC$1006,0)), HYPERLINK("#",""), HYPERLINK(CONCATENATE("#metadata!", ADDRESS(INDEX($P$2:$P$1001,MATCH(ROWS($N$2:N311),$N$2:$N$1001,0),0), INDEX($U$1004:$AC$1004,1,MATCH(COLUMNS($U$1006:V1006),$U$1006:$AC$1006,0)))),"Fix")))</f>
        <v>0</v>
      </c>
      <c r="D311" s="3">
        <f>IF(OR(INDEX($O$2:$O$1001,MATCH(ROWS($N$2:N311),$N$2:$N$1001,0),1)&gt;=100000,INDEX($U$1005:$AC$1005,1,MATCH(COLUMNS($U$1006:W1006),$U$1006:$AC$1006,0))&gt;=100000), " ",IF(INDEX($U$2:$AC$1001,MATCH(ROWS($N$2:N311),$N$2:$N$1001,0),MATCH(COLUMNS($U$1006:W1006),$U$1006:$AC$1006,0)), HYPERLINK("#",""), HYPERLINK(CONCATENATE("#metadata!", ADDRESS(INDEX($P$2:$P$1001,MATCH(ROWS($N$2:N311),$N$2:$N$1001,0),0), INDEX($U$1004:$AC$1004,1,MATCH(COLUMNS($U$1006:W1006),$U$1006:$AC$1006,0)))),"Fix")))</f>
        <v>0</v>
      </c>
      <c r="E311" s="3">
        <f>IF(OR(INDEX($O$2:$O$1001,MATCH(ROWS($N$2:N311),$N$2:$N$1001,0),1)&gt;=100000,INDEX($U$1005:$AC$1005,1,MATCH(COLUMNS($U$1006:X1006),$U$1006:$AC$1006,0))&gt;=100000), " ",IF(INDEX($U$2:$AC$1001,MATCH(ROWS($N$2:N311),$N$2:$N$1001,0),MATCH(COLUMNS($U$1006:X1006),$U$1006:$AC$1006,0)), HYPERLINK("#",""), HYPERLINK(CONCATENATE("#metadata!", ADDRESS(INDEX($P$2:$P$1001,MATCH(ROWS($N$2:N311),$N$2:$N$1001,0),0), INDEX($U$1004:$AC$1004,1,MATCH(COLUMNS($U$1006:X1006),$U$1006:$AC$1006,0)))),"Fix")))</f>
        <v>0</v>
      </c>
      <c r="F311" s="3">
        <f>IF(OR(INDEX($O$2:$O$1001,MATCH(ROWS($N$2:N311),$N$2:$N$1001,0),1)&gt;=100000,INDEX($U$1005:$AC$1005,1,MATCH(COLUMNS($U$1006:Y1006),$U$1006:$AC$1006,0))&gt;=100000), " ",IF(INDEX($U$2:$AC$1001,MATCH(ROWS($N$2:N311),$N$2:$N$1001,0),MATCH(COLUMNS($U$1006:Y1006),$U$1006:$AC$1006,0)), HYPERLINK("#",""), HYPERLINK(CONCATENATE("#metadata!", ADDRESS(INDEX($P$2:$P$1001,MATCH(ROWS($N$2:N311),$N$2:$N$1001,0),0), INDEX($U$1004:$AC$1004,1,MATCH(COLUMNS($U$1006:Y1006),$U$1006:$AC$1006,0)))),"Fix")))</f>
        <v>0</v>
      </c>
      <c r="G311" s="3">
        <f>IF(OR(INDEX($O$2:$O$1001,MATCH(ROWS($N$2:N311),$N$2:$N$1001,0),1)&gt;=100000,INDEX($U$1005:$AC$1005,1,MATCH(COLUMNS($U$1006:Z1006),$U$1006:$AC$1006,0))&gt;=100000), " ",IF(INDEX($U$2:$AC$1001,MATCH(ROWS($N$2:N311),$N$2:$N$1001,0),MATCH(COLUMNS($U$1006:Z1006),$U$1006:$AC$1006,0)), HYPERLINK("#",""), HYPERLINK(CONCATENATE("#metadata!", ADDRESS(INDEX($P$2:$P$1001,MATCH(ROWS($N$2:N311),$N$2:$N$1001,0),0), INDEX($U$1004:$AC$1004,1,MATCH(COLUMNS($U$1006:Z1006),$U$1006:$AC$1006,0)))),"Fix")))</f>
        <v>0</v>
      </c>
      <c r="H311" s="3">
        <f>IF(OR(INDEX($O$2:$O$1001,MATCH(ROWS($N$2:N311),$N$2:$N$1001,0),1)&gt;=100000,INDEX($U$1005:$AC$1005,1,MATCH(COLUMNS($U$1006:AA1006),$U$1006:$AC$1006,0))&gt;=100000), " ",IF(INDEX($U$2:$AC$1001,MATCH(ROWS($N$2:N311),$N$2:$N$1001,0),MATCH(COLUMNS($U$1006:AA1006),$U$1006:$AC$1006,0)), HYPERLINK("#",""), HYPERLINK(CONCATENATE("#metadata!", ADDRESS(INDEX($P$2:$P$1001,MATCH(ROWS($N$2:N311),$N$2:$N$1001,0),0), INDEX($U$1004:$AC$1004,1,MATCH(COLUMNS($U$1006:AA1006),$U$1006:$AC$1006,0)))),"Fix")))</f>
        <v>0</v>
      </c>
      <c r="I311" s="3">
        <f>IF(OR(INDEX($O$2:$O$1001,MATCH(ROWS($N$2:N311),$N$2:$N$1001,0),1)&gt;=100000,INDEX($U$1005:$AC$1005,1,MATCH(COLUMNS($U$1006:AB1006),$U$1006:$AC$1006,0))&gt;=100000), " ",IF(INDEX($U$2:$AC$1001,MATCH(ROWS($N$2:N311),$N$2:$N$1001,0),MATCH(COLUMNS($U$1006:AB1006),$U$1006:$AC$1006,0)), HYPERLINK("#",""), HYPERLINK(CONCATENATE("#metadata!", ADDRESS(INDEX($P$2:$P$1001,MATCH(ROWS($N$2:N311),$N$2:$N$1001,0),0), INDEX($U$1004:$AC$1004,1,MATCH(COLUMNS($U$1006:AB1006),$U$1006:$AC$1006,0)))),"Fix")))</f>
        <v>0</v>
      </c>
      <c r="J311" s="3">
        <f>IF(OR(INDEX($O$2:$O$1001,MATCH(ROWS($N$2:N311),$N$2:$N$1001,0),1)&gt;=100000,INDEX($U$1005:$AC$1005,1,MATCH(COLUMNS($U$1006:AC1006),$U$1006:$AC$1006,0))&gt;=100000), " ",IF(INDEX($U$2:$AC$1001,MATCH(ROWS($N$2:N311),$N$2:$N$1001,0),MATCH(COLUMNS($U$1006:AC1006),$U$1006:$AC$1006,0)), HYPERLINK("#",""), HYPERLINK(CONCATENATE("#metadata!", ADDRESS(INDEX($P$2:$P$1001,MATCH(ROWS($N$2:N311),$N$2:$N$1001,0),0), INDEX($U$1004:$AC$1004,1,MATCH(COLUMNS($U$1006:AC1006),$U$1006:$AC$1006,0)))),"Fix")))</f>
        <v>0</v>
      </c>
      <c r="N311">
        <v>0</v>
      </c>
      <c r="O311">
        <v>0</v>
      </c>
      <c r="P311">
        <v>0</v>
      </c>
      <c r="Q311">
        <f>IF(R311,TRUE,AND(U311:AC311))</f>
        <v>0</v>
      </c>
      <c r="R311">
        <f>COUNTBLANK(metadata!B311:J311)=COLUMNS(metadata!B311:J311)</f>
        <v>0</v>
      </c>
      <c r="S311">
        <v>0</v>
      </c>
      <c r="U311">
        <f>AND(IF(metadata!B311="",FALSE,TRUE),COUNTIF(metadata!B:B, metadata!B311) = 1,NOT(ISERROR(SUMPRODUCT(SEARCH(MID(metadata!B311,ROW(INDIRECT("1:"&amp;LEN(metadata!B311))), 1),"0123456789abcdefghijklmnopqrstuvwxyzABCDEFGHIJKLMNOPQRSTUVWXYZ.")))))</f>
        <v>0</v>
      </c>
      <c r="V311">
        <f>AND(IF(metadata!C311="",FALSE,TRUE),exact(metadata!C311,"UBERON:genitourinary"))</f>
        <v>0</v>
      </c>
      <c r="W311">
        <f>AND(IF(metadata!D311="",FALSE,TRUE),exact(metadata!D311,"UBERON:urine"))</f>
        <v>0</v>
      </c>
      <c r="X311">
        <f>AND(IF(metadata!E311="",FALSE,TRUE),exact(metadata!E311,"UBERON:kidney"))</f>
        <v>0</v>
      </c>
      <c r="Y311">
        <f>AND(IF(metadata!F311="",FALSE,TRUE),exact(metadata!F311,"animal corpus"))</f>
        <v>0</v>
      </c>
      <c r="Z311">
        <f>AND(IF(metadata!G311="",FALSE,TRUE),exact(metadata!G311,"urine"))</f>
        <v>0</v>
      </c>
      <c r="AA311">
        <f>AND(IF(metadata!H311="",FALSE,TRUE),exact(metadata!H311,"urine"))</f>
        <v>0</v>
      </c>
      <c r="AB311">
        <f>AND(IF(metadata!I311="",FALSE,TRUE),exact(metadata!I311,"urine metagenome"))</f>
        <v>0</v>
      </c>
      <c r="AC311">
        <f>AND(IF(metadata!J311="",FALSE,TRUE),exact(metadata!J311,"1346744"))</f>
        <v>0</v>
      </c>
    </row>
    <row r="312" spans="1:29">
      <c r="A312" s="4">
        <f>IF(B312=" "," ",HYPERLINK(CONCATENATE("#metadata!",ADDRESS(INDEX($P$2:$P$1001,MATCH(ROWS($N$2:N312),$N$2:$N$1001,0),0),1)),INDEX($S$2:$S$1001,MATCH(ROWS($N$2:N312),$N$2:$N$1001,0),0)))</f>
        <v>0</v>
      </c>
      <c r="B312" s="3">
        <f>IF(OR(INDEX($O$2:$O$1001,MATCH(ROWS($N$2:N312),$N$2:$N$1001,0),1)&gt;=100000,INDEX($U$1005:$AC$1005,1,MATCH(COLUMNS($U$1006:U1006),$U$1006:$AC$1006,0))&gt;=100000), " ",IF(INDEX($U$2:$AC$1001,MATCH(ROWS($N$2:N312),$N$2:$N$1001,0),MATCH(COLUMNS($U$1006:U1006),$U$1006:$AC$1006,0)), HYPERLINK("#",""), HYPERLINK(CONCATENATE("#metadata!", ADDRESS(INDEX($P$2:$P$1001,MATCH(ROWS($N$2:N312),$N$2:$N$1001,0),0), INDEX($U$1004:$AC$1004,1,MATCH(COLUMNS($U$1006:U1006),$U$1006:$AC$1006,0)))),"Fix")))</f>
        <v>0</v>
      </c>
      <c r="C312" s="3">
        <f>IF(OR(INDEX($O$2:$O$1001,MATCH(ROWS($N$2:N312),$N$2:$N$1001,0),1)&gt;=100000,INDEX($U$1005:$AC$1005,1,MATCH(COLUMNS($U$1006:V1006),$U$1006:$AC$1006,0))&gt;=100000), " ",IF(INDEX($U$2:$AC$1001,MATCH(ROWS($N$2:N312),$N$2:$N$1001,0),MATCH(COLUMNS($U$1006:V1006),$U$1006:$AC$1006,0)), HYPERLINK("#",""), HYPERLINK(CONCATENATE("#metadata!", ADDRESS(INDEX($P$2:$P$1001,MATCH(ROWS($N$2:N312),$N$2:$N$1001,0),0), INDEX($U$1004:$AC$1004,1,MATCH(COLUMNS($U$1006:V1006),$U$1006:$AC$1006,0)))),"Fix")))</f>
        <v>0</v>
      </c>
      <c r="D312" s="3">
        <f>IF(OR(INDEX($O$2:$O$1001,MATCH(ROWS($N$2:N312),$N$2:$N$1001,0),1)&gt;=100000,INDEX($U$1005:$AC$1005,1,MATCH(COLUMNS($U$1006:W1006),$U$1006:$AC$1006,0))&gt;=100000), " ",IF(INDEX($U$2:$AC$1001,MATCH(ROWS($N$2:N312),$N$2:$N$1001,0),MATCH(COLUMNS($U$1006:W1006),$U$1006:$AC$1006,0)), HYPERLINK("#",""), HYPERLINK(CONCATENATE("#metadata!", ADDRESS(INDEX($P$2:$P$1001,MATCH(ROWS($N$2:N312),$N$2:$N$1001,0),0), INDEX($U$1004:$AC$1004,1,MATCH(COLUMNS($U$1006:W1006),$U$1006:$AC$1006,0)))),"Fix")))</f>
        <v>0</v>
      </c>
      <c r="E312" s="3">
        <f>IF(OR(INDEX($O$2:$O$1001,MATCH(ROWS($N$2:N312),$N$2:$N$1001,0),1)&gt;=100000,INDEX($U$1005:$AC$1005,1,MATCH(COLUMNS($U$1006:X1006),$U$1006:$AC$1006,0))&gt;=100000), " ",IF(INDEX($U$2:$AC$1001,MATCH(ROWS($N$2:N312),$N$2:$N$1001,0),MATCH(COLUMNS($U$1006:X1006),$U$1006:$AC$1006,0)), HYPERLINK("#",""), HYPERLINK(CONCATENATE("#metadata!", ADDRESS(INDEX($P$2:$P$1001,MATCH(ROWS($N$2:N312),$N$2:$N$1001,0),0), INDEX($U$1004:$AC$1004,1,MATCH(COLUMNS($U$1006:X1006),$U$1006:$AC$1006,0)))),"Fix")))</f>
        <v>0</v>
      </c>
      <c r="F312" s="3">
        <f>IF(OR(INDEX($O$2:$O$1001,MATCH(ROWS($N$2:N312),$N$2:$N$1001,0),1)&gt;=100000,INDEX($U$1005:$AC$1005,1,MATCH(COLUMNS($U$1006:Y1006),$U$1006:$AC$1006,0))&gt;=100000), " ",IF(INDEX($U$2:$AC$1001,MATCH(ROWS($N$2:N312),$N$2:$N$1001,0),MATCH(COLUMNS($U$1006:Y1006),$U$1006:$AC$1006,0)), HYPERLINK("#",""), HYPERLINK(CONCATENATE("#metadata!", ADDRESS(INDEX($P$2:$P$1001,MATCH(ROWS($N$2:N312),$N$2:$N$1001,0),0), INDEX($U$1004:$AC$1004,1,MATCH(COLUMNS($U$1006:Y1006),$U$1006:$AC$1006,0)))),"Fix")))</f>
        <v>0</v>
      </c>
      <c r="G312" s="3">
        <f>IF(OR(INDEX($O$2:$O$1001,MATCH(ROWS($N$2:N312),$N$2:$N$1001,0),1)&gt;=100000,INDEX($U$1005:$AC$1005,1,MATCH(COLUMNS($U$1006:Z1006),$U$1006:$AC$1006,0))&gt;=100000), " ",IF(INDEX($U$2:$AC$1001,MATCH(ROWS($N$2:N312),$N$2:$N$1001,0),MATCH(COLUMNS($U$1006:Z1006),$U$1006:$AC$1006,0)), HYPERLINK("#",""), HYPERLINK(CONCATENATE("#metadata!", ADDRESS(INDEX($P$2:$P$1001,MATCH(ROWS($N$2:N312),$N$2:$N$1001,0),0), INDEX($U$1004:$AC$1004,1,MATCH(COLUMNS($U$1006:Z1006),$U$1006:$AC$1006,0)))),"Fix")))</f>
        <v>0</v>
      </c>
      <c r="H312" s="3">
        <f>IF(OR(INDEX($O$2:$O$1001,MATCH(ROWS($N$2:N312),$N$2:$N$1001,0),1)&gt;=100000,INDEX($U$1005:$AC$1005,1,MATCH(COLUMNS($U$1006:AA1006),$U$1006:$AC$1006,0))&gt;=100000), " ",IF(INDEX($U$2:$AC$1001,MATCH(ROWS($N$2:N312),$N$2:$N$1001,0),MATCH(COLUMNS($U$1006:AA1006),$U$1006:$AC$1006,0)), HYPERLINK("#",""), HYPERLINK(CONCATENATE("#metadata!", ADDRESS(INDEX($P$2:$P$1001,MATCH(ROWS($N$2:N312),$N$2:$N$1001,0),0), INDEX($U$1004:$AC$1004,1,MATCH(COLUMNS($U$1006:AA1006),$U$1006:$AC$1006,0)))),"Fix")))</f>
        <v>0</v>
      </c>
      <c r="I312" s="3">
        <f>IF(OR(INDEX($O$2:$O$1001,MATCH(ROWS($N$2:N312),$N$2:$N$1001,0),1)&gt;=100000,INDEX($U$1005:$AC$1005,1,MATCH(COLUMNS($U$1006:AB1006),$U$1006:$AC$1006,0))&gt;=100000), " ",IF(INDEX($U$2:$AC$1001,MATCH(ROWS($N$2:N312),$N$2:$N$1001,0),MATCH(COLUMNS($U$1006:AB1006),$U$1006:$AC$1006,0)), HYPERLINK("#",""), HYPERLINK(CONCATENATE("#metadata!", ADDRESS(INDEX($P$2:$P$1001,MATCH(ROWS($N$2:N312),$N$2:$N$1001,0),0), INDEX($U$1004:$AC$1004,1,MATCH(COLUMNS($U$1006:AB1006),$U$1006:$AC$1006,0)))),"Fix")))</f>
        <v>0</v>
      </c>
      <c r="J312" s="3">
        <f>IF(OR(INDEX($O$2:$O$1001,MATCH(ROWS($N$2:N312),$N$2:$N$1001,0),1)&gt;=100000,INDEX($U$1005:$AC$1005,1,MATCH(COLUMNS($U$1006:AC1006),$U$1006:$AC$1006,0))&gt;=100000), " ",IF(INDEX($U$2:$AC$1001,MATCH(ROWS($N$2:N312),$N$2:$N$1001,0),MATCH(COLUMNS($U$1006:AC1006),$U$1006:$AC$1006,0)), HYPERLINK("#",""), HYPERLINK(CONCATENATE("#metadata!", ADDRESS(INDEX($P$2:$P$1001,MATCH(ROWS($N$2:N312),$N$2:$N$1001,0),0), INDEX($U$1004:$AC$1004,1,MATCH(COLUMNS($U$1006:AC1006),$U$1006:$AC$1006,0)))),"Fix")))</f>
        <v>0</v>
      </c>
      <c r="N312">
        <v>0</v>
      </c>
      <c r="O312">
        <v>0</v>
      </c>
      <c r="P312">
        <v>0</v>
      </c>
      <c r="Q312">
        <f>IF(R312,TRUE,AND(U312:AC312))</f>
        <v>0</v>
      </c>
      <c r="R312">
        <f>COUNTBLANK(metadata!B312:J312)=COLUMNS(metadata!B312:J312)</f>
        <v>0</v>
      </c>
      <c r="S312">
        <v>0</v>
      </c>
      <c r="U312">
        <f>AND(IF(metadata!B312="",FALSE,TRUE),COUNTIF(metadata!B:B, metadata!B312) = 1,NOT(ISERROR(SUMPRODUCT(SEARCH(MID(metadata!B312,ROW(INDIRECT("1:"&amp;LEN(metadata!B312))), 1),"0123456789abcdefghijklmnopqrstuvwxyzABCDEFGHIJKLMNOPQRSTUVWXYZ.")))))</f>
        <v>0</v>
      </c>
      <c r="V312">
        <f>AND(IF(metadata!C312="",FALSE,TRUE),exact(metadata!C312,"UBERON:genitourinary"))</f>
        <v>0</v>
      </c>
      <c r="W312">
        <f>AND(IF(metadata!D312="",FALSE,TRUE),exact(metadata!D312,"UBERON:urine"))</f>
        <v>0</v>
      </c>
      <c r="X312">
        <f>AND(IF(metadata!E312="",FALSE,TRUE),exact(metadata!E312,"UBERON:kidney"))</f>
        <v>0</v>
      </c>
      <c r="Y312">
        <f>AND(IF(metadata!F312="",FALSE,TRUE),exact(metadata!F312,"animal corpus"))</f>
        <v>0</v>
      </c>
      <c r="Z312">
        <f>AND(IF(metadata!G312="",FALSE,TRUE),exact(metadata!G312,"urine"))</f>
        <v>0</v>
      </c>
      <c r="AA312">
        <f>AND(IF(metadata!H312="",FALSE,TRUE),exact(metadata!H312,"urine"))</f>
        <v>0</v>
      </c>
      <c r="AB312">
        <f>AND(IF(metadata!I312="",FALSE,TRUE),exact(metadata!I312,"urine metagenome"))</f>
        <v>0</v>
      </c>
      <c r="AC312">
        <f>AND(IF(metadata!J312="",FALSE,TRUE),exact(metadata!J312,"1346744"))</f>
        <v>0</v>
      </c>
    </row>
    <row r="313" spans="1:29">
      <c r="A313" s="4">
        <f>IF(B313=" "," ",HYPERLINK(CONCATENATE("#metadata!",ADDRESS(INDEX($P$2:$P$1001,MATCH(ROWS($N$2:N313),$N$2:$N$1001,0),0),1)),INDEX($S$2:$S$1001,MATCH(ROWS($N$2:N313),$N$2:$N$1001,0),0)))</f>
        <v>0</v>
      </c>
      <c r="B313" s="3">
        <f>IF(OR(INDEX($O$2:$O$1001,MATCH(ROWS($N$2:N313),$N$2:$N$1001,0),1)&gt;=100000,INDEX($U$1005:$AC$1005,1,MATCH(COLUMNS($U$1006:U1006),$U$1006:$AC$1006,0))&gt;=100000), " ",IF(INDEX($U$2:$AC$1001,MATCH(ROWS($N$2:N313),$N$2:$N$1001,0),MATCH(COLUMNS($U$1006:U1006),$U$1006:$AC$1006,0)), HYPERLINK("#",""), HYPERLINK(CONCATENATE("#metadata!", ADDRESS(INDEX($P$2:$P$1001,MATCH(ROWS($N$2:N313),$N$2:$N$1001,0),0), INDEX($U$1004:$AC$1004,1,MATCH(COLUMNS($U$1006:U1006),$U$1006:$AC$1006,0)))),"Fix")))</f>
        <v>0</v>
      </c>
      <c r="C313" s="3">
        <f>IF(OR(INDEX($O$2:$O$1001,MATCH(ROWS($N$2:N313),$N$2:$N$1001,0),1)&gt;=100000,INDEX($U$1005:$AC$1005,1,MATCH(COLUMNS($U$1006:V1006),$U$1006:$AC$1006,0))&gt;=100000), " ",IF(INDEX($U$2:$AC$1001,MATCH(ROWS($N$2:N313),$N$2:$N$1001,0),MATCH(COLUMNS($U$1006:V1006),$U$1006:$AC$1006,0)), HYPERLINK("#",""), HYPERLINK(CONCATENATE("#metadata!", ADDRESS(INDEX($P$2:$P$1001,MATCH(ROWS($N$2:N313),$N$2:$N$1001,0),0), INDEX($U$1004:$AC$1004,1,MATCH(COLUMNS($U$1006:V1006),$U$1006:$AC$1006,0)))),"Fix")))</f>
        <v>0</v>
      </c>
      <c r="D313" s="3">
        <f>IF(OR(INDEX($O$2:$O$1001,MATCH(ROWS($N$2:N313),$N$2:$N$1001,0),1)&gt;=100000,INDEX($U$1005:$AC$1005,1,MATCH(COLUMNS($U$1006:W1006),$U$1006:$AC$1006,0))&gt;=100000), " ",IF(INDEX($U$2:$AC$1001,MATCH(ROWS($N$2:N313),$N$2:$N$1001,0),MATCH(COLUMNS($U$1006:W1006),$U$1006:$AC$1006,0)), HYPERLINK("#",""), HYPERLINK(CONCATENATE("#metadata!", ADDRESS(INDEX($P$2:$P$1001,MATCH(ROWS($N$2:N313),$N$2:$N$1001,0),0), INDEX($U$1004:$AC$1004,1,MATCH(COLUMNS($U$1006:W1006),$U$1006:$AC$1006,0)))),"Fix")))</f>
        <v>0</v>
      </c>
      <c r="E313" s="3">
        <f>IF(OR(INDEX($O$2:$O$1001,MATCH(ROWS($N$2:N313),$N$2:$N$1001,0),1)&gt;=100000,INDEX($U$1005:$AC$1005,1,MATCH(COLUMNS($U$1006:X1006),$U$1006:$AC$1006,0))&gt;=100000), " ",IF(INDEX($U$2:$AC$1001,MATCH(ROWS($N$2:N313),$N$2:$N$1001,0),MATCH(COLUMNS($U$1006:X1006),$U$1006:$AC$1006,0)), HYPERLINK("#",""), HYPERLINK(CONCATENATE("#metadata!", ADDRESS(INDEX($P$2:$P$1001,MATCH(ROWS($N$2:N313),$N$2:$N$1001,0),0), INDEX($U$1004:$AC$1004,1,MATCH(COLUMNS($U$1006:X1006),$U$1006:$AC$1006,0)))),"Fix")))</f>
        <v>0</v>
      </c>
      <c r="F313" s="3">
        <f>IF(OR(INDEX($O$2:$O$1001,MATCH(ROWS($N$2:N313),$N$2:$N$1001,0),1)&gt;=100000,INDEX($U$1005:$AC$1005,1,MATCH(COLUMNS($U$1006:Y1006),$U$1006:$AC$1006,0))&gt;=100000), " ",IF(INDEX($U$2:$AC$1001,MATCH(ROWS($N$2:N313),$N$2:$N$1001,0),MATCH(COLUMNS($U$1006:Y1006),$U$1006:$AC$1006,0)), HYPERLINK("#",""), HYPERLINK(CONCATENATE("#metadata!", ADDRESS(INDEX($P$2:$P$1001,MATCH(ROWS($N$2:N313),$N$2:$N$1001,0),0), INDEX($U$1004:$AC$1004,1,MATCH(COLUMNS($U$1006:Y1006),$U$1006:$AC$1006,0)))),"Fix")))</f>
        <v>0</v>
      </c>
      <c r="G313" s="3">
        <f>IF(OR(INDEX($O$2:$O$1001,MATCH(ROWS($N$2:N313),$N$2:$N$1001,0),1)&gt;=100000,INDEX($U$1005:$AC$1005,1,MATCH(COLUMNS($U$1006:Z1006),$U$1006:$AC$1006,0))&gt;=100000), " ",IF(INDEX($U$2:$AC$1001,MATCH(ROWS($N$2:N313),$N$2:$N$1001,0),MATCH(COLUMNS($U$1006:Z1006),$U$1006:$AC$1006,0)), HYPERLINK("#",""), HYPERLINK(CONCATENATE("#metadata!", ADDRESS(INDEX($P$2:$P$1001,MATCH(ROWS($N$2:N313),$N$2:$N$1001,0),0), INDEX($U$1004:$AC$1004,1,MATCH(COLUMNS($U$1006:Z1006),$U$1006:$AC$1006,0)))),"Fix")))</f>
        <v>0</v>
      </c>
      <c r="H313" s="3">
        <f>IF(OR(INDEX($O$2:$O$1001,MATCH(ROWS($N$2:N313),$N$2:$N$1001,0),1)&gt;=100000,INDEX($U$1005:$AC$1005,1,MATCH(COLUMNS($U$1006:AA1006),$U$1006:$AC$1006,0))&gt;=100000), " ",IF(INDEX($U$2:$AC$1001,MATCH(ROWS($N$2:N313),$N$2:$N$1001,0),MATCH(COLUMNS($U$1006:AA1006),$U$1006:$AC$1006,0)), HYPERLINK("#",""), HYPERLINK(CONCATENATE("#metadata!", ADDRESS(INDEX($P$2:$P$1001,MATCH(ROWS($N$2:N313),$N$2:$N$1001,0),0), INDEX($U$1004:$AC$1004,1,MATCH(COLUMNS($U$1006:AA1006),$U$1006:$AC$1006,0)))),"Fix")))</f>
        <v>0</v>
      </c>
      <c r="I313" s="3">
        <f>IF(OR(INDEX($O$2:$O$1001,MATCH(ROWS($N$2:N313),$N$2:$N$1001,0),1)&gt;=100000,INDEX($U$1005:$AC$1005,1,MATCH(COLUMNS($U$1006:AB1006),$U$1006:$AC$1006,0))&gt;=100000), " ",IF(INDEX($U$2:$AC$1001,MATCH(ROWS($N$2:N313),$N$2:$N$1001,0),MATCH(COLUMNS($U$1006:AB1006),$U$1006:$AC$1006,0)), HYPERLINK("#",""), HYPERLINK(CONCATENATE("#metadata!", ADDRESS(INDEX($P$2:$P$1001,MATCH(ROWS($N$2:N313),$N$2:$N$1001,0),0), INDEX($U$1004:$AC$1004,1,MATCH(COLUMNS($U$1006:AB1006),$U$1006:$AC$1006,0)))),"Fix")))</f>
        <v>0</v>
      </c>
      <c r="J313" s="3">
        <f>IF(OR(INDEX($O$2:$O$1001,MATCH(ROWS($N$2:N313),$N$2:$N$1001,0),1)&gt;=100000,INDEX($U$1005:$AC$1005,1,MATCH(COLUMNS($U$1006:AC1006),$U$1006:$AC$1006,0))&gt;=100000), " ",IF(INDEX($U$2:$AC$1001,MATCH(ROWS($N$2:N313),$N$2:$N$1001,0),MATCH(COLUMNS($U$1006:AC1006),$U$1006:$AC$1006,0)), HYPERLINK("#",""), HYPERLINK(CONCATENATE("#metadata!", ADDRESS(INDEX($P$2:$P$1001,MATCH(ROWS($N$2:N313),$N$2:$N$1001,0),0), INDEX($U$1004:$AC$1004,1,MATCH(COLUMNS($U$1006:AC1006),$U$1006:$AC$1006,0)))),"Fix")))</f>
        <v>0</v>
      </c>
      <c r="N313">
        <v>0</v>
      </c>
      <c r="O313">
        <v>0</v>
      </c>
      <c r="P313">
        <v>0</v>
      </c>
      <c r="Q313">
        <f>IF(R313,TRUE,AND(U313:AC313))</f>
        <v>0</v>
      </c>
      <c r="R313">
        <f>COUNTBLANK(metadata!B313:J313)=COLUMNS(metadata!B313:J313)</f>
        <v>0</v>
      </c>
      <c r="S313">
        <v>0</v>
      </c>
      <c r="U313">
        <f>AND(IF(metadata!B313="",FALSE,TRUE),COUNTIF(metadata!B:B, metadata!B313) = 1,NOT(ISERROR(SUMPRODUCT(SEARCH(MID(metadata!B313,ROW(INDIRECT("1:"&amp;LEN(metadata!B313))), 1),"0123456789abcdefghijklmnopqrstuvwxyzABCDEFGHIJKLMNOPQRSTUVWXYZ.")))))</f>
        <v>0</v>
      </c>
      <c r="V313">
        <f>AND(IF(metadata!C313="",FALSE,TRUE),exact(metadata!C313,"UBERON:genitourinary"))</f>
        <v>0</v>
      </c>
      <c r="W313">
        <f>AND(IF(metadata!D313="",FALSE,TRUE),exact(metadata!D313,"UBERON:urine"))</f>
        <v>0</v>
      </c>
      <c r="X313">
        <f>AND(IF(metadata!E313="",FALSE,TRUE),exact(metadata!E313,"UBERON:kidney"))</f>
        <v>0</v>
      </c>
      <c r="Y313">
        <f>AND(IF(metadata!F313="",FALSE,TRUE),exact(metadata!F313,"animal corpus"))</f>
        <v>0</v>
      </c>
      <c r="Z313">
        <f>AND(IF(metadata!G313="",FALSE,TRUE),exact(metadata!G313,"urine"))</f>
        <v>0</v>
      </c>
      <c r="AA313">
        <f>AND(IF(metadata!H313="",FALSE,TRUE),exact(metadata!H313,"urine"))</f>
        <v>0</v>
      </c>
      <c r="AB313">
        <f>AND(IF(metadata!I313="",FALSE,TRUE),exact(metadata!I313,"urine metagenome"))</f>
        <v>0</v>
      </c>
      <c r="AC313">
        <f>AND(IF(metadata!J313="",FALSE,TRUE),exact(metadata!J313,"1346744"))</f>
        <v>0</v>
      </c>
    </row>
    <row r="314" spans="1:29">
      <c r="A314" s="4">
        <f>IF(B314=" "," ",HYPERLINK(CONCATENATE("#metadata!",ADDRESS(INDEX($P$2:$P$1001,MATCH(ROWS($N$2:N314),$N$2:$N$1001,0),0),1)),INDEX($S$2:$S$1001,MATCH(ROWS($N$2:N314),$N$2:$N$1001,0),0)))</f>
        <v>0</v>
      </c>
      <c r="B314" s="3">
        <f>IF(OR(INDEX($O$2:$O$1001,MATCH(ROWS($N$2:N314),$N$2:$N$1001,0),1)&gt;=100000,INDEX($U$1005:$AC$1005,1,MATCH(COLUMNS($U$1006:U1006),$U$1006:$AC$1006,0))&gt;=100000), " ",IF(INDEX($U$2:$AC$1001,MATCH(ROWS($N$2:N314),$N$2:$N$1001,0),MATCH(COLUMNS($U$1006:U1006),$U$1006:$AC$1006,0)), HYPERLINK("#",""), HYPERLINK(CONCATENATE("#metadata!", ADDRESS(INDEX($P$2:$P$1001,MATCH(ROWS($N$2:N314),$N$2:$N$1001,0),0), INDEX($U$1004:$AC$1004,1,MATCH(COLUMNS($U$1006:U1006),$U$1006:$AC$1006,0)))),"Fix")))</f>
        <v>0</v>
      </c>
      <c r="C314" s="3">
        <f>IF(OR(INDEX($O$2:$O$1001,MATCH(ROWS($N$2:N314),$N$2:$N$1001,0),1)&gt;=100000,INDEX($U$1005:$AC$1005,1,MATCH(COLUMNS($U$1006:V1006),$U$1006:$AC$1006,0))&gt;=100000), " ",IF(INDEX($U$2:$AC$1001,MATCH(ROWS($N$2:N314),$N$2:$N$1001,0),MATCH(COLUMNS($U$1006:V1006),$U$1006:$AC$1006,0)), HYPERLINK("#",""), HYPERLINK(CONCATENATE("#metadata!", ADDRESS(INDEX($P$2:$P$1001,MATCH(ROWS($N$2:N314),$N$2:$N$1001,0),0), INDEX($U$1004:$AC$1004,1,MATCH(COLUMNS($U$1006:V1006),$U$1006:$AC$1006,0)))),"Fix")))</f>
        <v>0</v>
      </c>
      <c r="D314" s="3">
        <f>IF(OR(INDEX($O$2:$O$1001,MATCH(ROWS($N$2:N314),$N$2:$N$1001,0),1)&gt;=100000,INDEX($U$1005:$AC$1005,1,MATCH(COLUMNS($U$1006:W1006),$U$1006:$AC$1006,0))&gt;=100000), " ",IF(INDEX($U$2:$AC$1001,MATCH(ROWS($N$2:N314),$N$2:$N$1001,0),MATCH(COLUMNS($U$1006:W1006),$U$1006:$AC$1006,0)), HYPERLINK("#",""), HYPERLINK(CONCATENATE("#metadata!", ADDRESS(INDEX($P$2:$P$1001,MATCH(ROWS($N$2:N314),$N$2:$N$1001,0),0), INDEX($U$1004:$AC$1004,1,MATCH(COLUMNS($U$1006:W1006),$U$1006:$AC$1006,0)))),"Fix")))</f>
        <v>0</v>
      </c>
      <c r="E314" s="3">
        <f>IF(OR(INDEX($O$2:$O$1001,MATCH(ROWS($N$2:N314),$N$2:$N$1001,0),1)&gt;=100000,INDEX($U$1005:$AC$1005,1,MATCH(COLUMNS($U$1006:X1006),$U$1006:$AC$1006,0))&gt;=100000), " ",IF(INDEX($U$2:$AC$1001,MATCH(ROWS($N$2:N314),$N$2:$N$1001,0),MATCH(COLUMNS($U$1006:X1006),$U$1006:$AC$1006,0)), HYPERLINK("#",""), HYPERLINK(CONCATENATE("#metadata!", ADDRESS(INDEX($P$2:$P$1001,MATCH(ROWS($N$2:N314),$N$2:$N$1001,0),0), INDEX($U$1004:$AC$1004,1,MATCH(COLUMNS($U$1006:X1006),$U$1006:$AC$1006,0)))),"Fix")))</f>
        <v>0</v>
      </c>
      <c r="F314" s="3">
        <f>IF(OR(INDEX($O$2:$O$1001,MATCH(ROWS($N$2:N314),$N$2:$N$1001,0),1)&gt;=100000,INDEX($U$1005:$AC$1005,1,MATCH(COLUMNS($U$1006:Y1006),$U$1006:$AC$1006,0))&gt;=100000), " ",IF(INDEX($U$2:$AC$1001,MATCH(ROWS($N$2:N314),$N$2:$N$1001,0),MATCH(COLUMNS($U$1006:Y1006),$U$1006:$AC$1006,0)), HYPERLINK("#",""), HYPERLINK(CONCATENATE("#metadata!", ADDRESS(INDEX($P$2:$P$1001,MATCH(ROWS($N$2:N314),$N$2:$N$1001,0),0), INDEX($U$1004:$AC$1004,1,MATCH(COLUMNS($U$1006:Y1006),$U$1006:$AC$1006,0)))),"Fix")))</f>
        <v>0</v>
      </c>
      <c r="G314" s="3">
        <f>IF(OR(INDEX($O$2:$O$1001,MATCH(ROWS($N$2:N314),$N$2:$N$1001,0),1)&gt;=100000,INDEX($U$1005:$AC$1005,1,MATCH(COLUMNS($U$1006:Z1006),$U$1006:$AC$1006,0))&gt;=100000), " ",IF(INDEX($U$2:$AC$1001,MATCH(ROWS($N$2:N314),$N$2:$N$1001,0),MATCH(COLUMNS($U$1006:Z1006),$U$1006:$AC$1006,0)), HYPERLINK("#",""), HYPERLINK(CONCATENATE("#metadata!", ADDRESS(INDEX($P$2:$P$1001,MATCH(ROWS($N$2:N314),$N$2:$N$1001,0),0), INDEX($U$1004:$AC$1004,1,MATCH(COLUMNS($U$1006:Z1006),$U$1006:$AC$1006,0)))),"Fix")))</f>
        <v>0</v>
      </c>
      <c r="H314" s="3">
        <f>IF(OR(INDEX($O$2:$O$1001,MATCH(ROWS($N$2:N314),$N$2:$N$1001,0),1)&gt;=100000,INDEX($U$1005:$AC$1005,1,MATCH(COLUMNS($U$1006:AA1006),$U$1006:$AC$1006,0))&gt;=100000), " ",IF(INDEX($U$2:$AC$1001,MATCH(ROWS($N$2:N314),$N$2:$N$1001,0),MATCH(COLUMNS($U$1006:AA1006),$U$1006:$AC$1006,0)), HYPERLINK("#",""), HYPERLINK(CONCATENATE("#metadata!", ADDRESS(INDEX($P$2:$P$1001,MATCH(ROWS($N$2:N314),$N$2:$N$1001,0),0), INDEX($U$1004:$AC$1004,1,MATCH(COLUMNS($U$1006:AA1006),$U$1006:$AC$1006,0)))),"Fix")))</f>
        <v>0</v>
      </c>
      <c r="I314" s="3">
        <f>IF(OR(INDEX($O$2:$O$1001,MATCH(ROWS($N$2:N314),$N$2:$N$1001,0),1)&gt;=100000,INDEX($U$1005:$AC$1005,1,MATCH(COLUMNS($U$1006:AB1006),$U$1006:$AC$1006,0))&gt;=100000), " ",IF(INDEX($U$2:$AC$1001,MATCH(ROWS($N$2:N314),$N$2:$N$1001,0),MATCH(COLUMNS($U$1006:AB1006),$U$1006:$AC$1006,0)), HYPERLINK("#",""), HYPERLINK(CONCATENATE("#metadata!", ADDRESS(INDEX($P$2:$P$1001,MATCH(ROWS($N$2:N314),$N$2:$N$1001,0),0), INDEX($U$1004:$AC$1004,1,MATCH(COLUMNS($U$1006:AB1006),$U$1006:$AC$1006,0)))),"Fix")))</f>
        <v>0</v>
      </c>
      <c r="J314" s="3">
        <f>IF(OR(INDEX($O$2:$O$1001,MATCH(ROWS($N$2:N314),$N$2:$N$1001,0),1)&gt;=100000,INDEX($U$1005:$AC$1005,1,MATCH(COLUMNS($U$1006:AC1006),$U$1006:$AC$1006,0))&gt;=100000), " ",IF(INDEX($U$2:$AC$1001,MATCH(ROWS($N$2:N314),$N$2:$N$1001,0),MATCH(COLUMNS($U$1006:AC1006),$U$1006:$AC$1006,0)), HYPERLINK("#",""), HYPERLINK(CONCATENATE("#metadata!", ADDRESS(INDEX($P$2:$P$1001,MATCH(ROWS($N$2:N314),$N$2:$N$1001,0),0), INDEX($U$1004:$AC$1004,1,MATCH(COLUMNS($U$1006:AC1006),$U$1006:$AC$1006,0)))),"Fix")))</f>
        <v>0</v>
      </c>
      <c r="N314">
        <v>0</v>
      </c>
      <c r="O314">
        <v>0</v>
      </c>
      <c r="P314">
        <v>0</v>
      </c>
      <c r="Q314">
        <f>IF(R314,TRUE,AND(U314:AC314))</f>
        <v>0</v>
      </c>
      <c r="R314">
        <f>COUNTBLANK(metadata!B314:J314)=COLUMNS(metadata!B314:J314)</f>
        <v>0</v>
      </c>
      <c r="S314">
        <v>0</v>
      </c>
      <c r="U314">
        <f>AND(IF(metadata!B314="",FALSE,TRUE),COUNTIF(metadata!B:B, metadata!B314) = 1,NOT(ISERROR(SUMPRODUCT(SEARCH(MID(metadata!B314,ROW(INDIRECT("1:"&amp;LEN(metadata!B314))), 1),"0123456789abcdefghijklmnopqrstuvwxyzABCDEFGHIJKLMNOPQRSTUVWXYZ.")))))</f>
        <v>0</v>
      </c>
      <c r="V314">
        <f>AND(IF(metadata!C314="",FALSE,TRUE),exact(metadata!C314,"UBERON:genitourinary"))</f>
        <v>0</v>
      </c>
      <c r="W314">
        <f>AND(IF(metadata!D314="",FALSE,TRUE),exact(metadata!D314,"UBERON:urine"))</f>
        <v>0</v>
      </c>
      <c r="X314">
        <f>AND(IF(metadata!E314="",FALSE,TRUE),exact(metadata!E314,"UBERON:kidney"))</f>
        <v>0</v>
      </c>
      <c r="Y314">
        <f>AND(IF(metadata!F314="",FALSE,TRUE),exact(metadata!F314,"animal corpus"))</f>
        <v>0</v>
      </c>
      <c r="Z314">
        <f>AND(IF(metadata!G314="",FALSE,TRUE),exact(metadata!G314,"urine"))</f>
        <v>0</v>
      </c>
      <c r="AA314">
        <f>AND(IF(metadata!H314="",FALSE,TRUE),exact(metadata!H314,"urine"))</f>
        <v>0</v>
      </c>
      <c r="AB314">
        <f>AND(IF(metadata!I314="",FALSE,TRUE),exact(metadata!I314,"urine metagenome"))</f>
        <v>0</v>
      </c>
      <c r="AC314">
        <f>AND(IF(metadata!J314="",FALSE,TRUE),exact(metadata!J314,"1346744"))</f>
        <v>0</v>
      </c>
    </row>
    <row r="315" spans="1:29">
      <c r="A315" s="4">
        <f>IF(B315=" "," ",HYPERLINK(CONCATENATE("#metadata!",ADDRESS(INDEX($P$2:$P$1001,MATCH(ROWS($N$2:N315),$N$2:$N$1001,0),0),1)),INDEX($S$2:$S$1001,MATCH(ROWS($N$2:N315),$N$2:$N$1001,0),0)))</f>
        <v>0</v>
      </c>
      <c r="B315" s="3">
        <f>IF(OR(INDEX($O$2:$O$1001,MATCH(ROWS($N$2:N315),$N$2:$N$1001,0),1)&gt;=100000,INDEX($U$1005:$AC$1005,1,MATCH(COLUMNS($U$1006:U1006),$U$1006:$AC$1006,0))&gt;=100000), " ",IF(INDEX($U$2:$AC$1001,MATCH(ROWS($N$2:N315),$N$2:$N$1001,0),MATCH(COLUMNS($U$1006:U1006),$U$1006:$AC$1006,0)), HYPERLINK("#",""), HYPERLINK(CONCATENATE("#metadata!", ADDRESS(INDEX($P$2:$P$1001,MATCH(ROWS($N$2:N315),$N$2:$N$1001,0),0), INDEX($U$1004:$AC$1004,1,MATCH(COLUMNS($U$1006:U1006),$U$1006:$AC$1006,0)))),"Fix")))</f>
        <v>0</v>
      </c>
      <c r="C315" s="3">
        <f>IF(OR(INDEX($O$2:$O$1001,MATCH(ROWS($N$2:N315),$N$2:$N$1001,0),1)&gt;=100000,INDEX($U$1005:$AC$1005,1,MATCH(COLUMNS($U$1006:V1006),$U$1006:$AC$1006,0))&gt;=100000), " ",IF(INDEX($U$2:$AC$1001,MATCH(ROWS($N$2:N315),$N$2:$N$1001,0),MATCH(COLUMNS($U$1006:V1006),$U$1006:$AC$1006,0)), HYPERLINK("#",""), HYPERLINK(CONCATENATE("#metadata!", ADDRESS(INDEX($P$2:$P$1001,MATCH(ROWS($N$2:N315),$N$2:$N$1001,0),0), INDEX($U$1004:$AC$1004,1,MATCH(COLUMNS($U$1006:V1006),$U$1006:$AC$1006,0)))),"Fix")))</f>
        <v>0</v>
      </c>
      <c r="D315" s="3">
        <f>IF(OR(INDEX($O$2:$O$1001,MATCH(ROWS($N$2:N315),$N$2:$N$1001,0),1)&gt;=100000,INDEX($U$1005:$AC$1005,1,MATCH(COLUMNS($U$1006:W1006),$U$1006:$AC$1006,0))&gt;=100000), " ",IF(INDEX($U$2:$AC$1001,MATCH(ROWS($N$2:N315),$N$2:$N$1001,0),MATCH(COLUMNS($U$1006:W1006),$U$1006:$AC$1006,0)), HYPERLINK("#",""), HYPERLINK(CONCATENATE("#metadata!", ADDRESS(INDEX($P$2:$P$1001,MATCH(ROWS($N$2:N315),$N$2:$N$1001,0),0), INDEX($U$1004:$AC$1004,1,MATCH(COLUMNS($U$1006:W1006),$U$1006:$AC$1006,0)))),"Fix")))</f>
        <v>0</v>
      </c>
      <c r="E315" s="3">
        <f>IF(OR(INDEX($O$2:$O$1001,MATCH(ROWS($N$2:N315),$N$2:$N$1001,0),1)&gt;=100000,INDEX($U$1005:$AC$1005,1,MATCH(COLUMNS($U$1006:X1006),$U$1006:$AC$1006,0))&gt;=100000), " ",IF(INDEX($U$2:$AC$1001,MATCH(ROWS($N$2:N315),$N$2:$N$1001,0),MATCH(COLUMNS($U$1006:X1006),$U$1006:$AC$1006,0)), HYPERLINK("#",""), HYPERLINK(CONCATENATE("#metadata!", ADDRESS(INDEX($P$2:$P$1001,MATCH(ROWS($N$2:N315),$N$2:$N$1001,0),0), INDEX($U$1004:$AC$1004,1,MATCH(COLUMNS($U$1006:X1006),$U$1006:$AC$1006,0)))),"Fix")))</f>
        <v>0</v>
      </c>
      <c r="F315" s="3">
        <f>IF(OR(INDEX($O$2:$O$1001,MATCH(ROWS($N$2:N315),$N$2:$N$1001,0),1)&gt;=100000,INDEX($U$1005:$AC$1005,1,MATCH(COLUMNS($U$1006:Y1006),$U$1006:$AC$1006,0))&gt;=100000), " ",IF(INDEX($U$2:$AC$1001,MATCH(ROWS($N$2:N315),$N$2:$N$1001,0),MATCH(COLUMNS($U$1006:Y1006),$U$1006:$AC$1006,0)), HYPERLINK("#",""), HYPERLINK(CONCATENATE("#metadata!", ADDRESS(INDEX($P$2:$P$1001,MATCH(ROWS($N$2:N315),$N$2:$N$1001,0),0), INDEX($U$1004:$AC$1004,1,MATCH(COLUMNS($U$1006:Y1006),$U$1006:$AC$1006,0)))),"Fix")))</f>
        <v>0</v>
      </c>
      <c r="G315" s="3">
        <f>IF(OR(INDEX($O$2:$O$1001,MATCH(ROWS($N$2:N315),$N$2:$N$1001,0),1)&gt;=100000,INDEX($U$1005:$AC$1005,1,MATCH(COLUMNS($U$1006:Z1006),$U$1006:$AC$1006,0))&gt;=100000), " ",IF(INDEX($U$2:$AC$1001,MATCH(ROWS($N$2:N315),$N$2:$N$1001,0),MATCH(COLUMNS($U$1006:Z1006),$U$1006:$AC$1006,0)), HYPERLINK("#",""), HYPERLINK(CONCATENATE("#metadata!", ADDRESS(INDEX($P$2:$P$1001,MATCH(ROWS($N$2:N315),$N$2:$N$1001,0),0), INDEX($U$1004:$AC$1004,1,MATCH(COLUMNS($U$1006:Z1006),$U$1006:$AC$1006,0)))),"Fix")))</f>
        <v>0</v>
      </c>
      <c r="H315" s="3">
        <f>IF(OR(INDEX($O$2:$O$1001,MATCH(ROWS($N$2:N315),$N$2:$N$1001,0),1)&gt;=100000,INDEX($U$1005:$AC$1005,1,MATCH(COLUMNS($U$1006:AA1006),$U$1006:$AC$1006,0))&gt;=100000), " ",IF(INDEX($U$2:$AC$1001,MATCH(ROWS($N$2:N315),$N$2:$N$1001,0),MATCH(COLUMNS($U$1006:AA1006),$U$1006:$AC$1006,0)), HYPERLINK("#",""), HYPERLINK(CONCATENATE("#metadata!", ADDRESS(INDEX($P$2:$P$1001,MATCH(ROWS($N$2:N315),$N$2:$N$1001,0),0), INDEX($U$1004:$AC$1004,1,MATCH(COLUMNS($U$1006:AA1006),$U$1006:$AC$1006,0)))),"Fix")))</f>
        <v>0</v>
      </c>
      <c r="I315" s="3">
        <f>IF(OR(INDEX($O$2:$O$1001,MATCH(ROWS($N$2:N315),$N$2:$N$1001,0),1)&gt;=100000,INDEX($U$1005:$AC$1005,1,MATCH(COLUMNS($U$1006:AB1006),$U$1006:$AC$1006,0))&gt;=100000), " ",IF(INDEX($U$2:$AC$1001,MATCH(ROWS($N$2:N315),$N$2:$N$1001,0),MATCH(COLUMNS($U$1006:AB1006),$U$1006:$AC$1006,0)), HYPERLINK("#",""), HYPERLINK(CONCATENATE("#metadata!", ADDRESS(INDEX($P$2:$P$1001,MATCH(ROWS($N$2:N315),$N$2:$N$1001,0),0), INDEX($U$1004:$AC$1004,1,MATCH(COLUMNS($U$1006:AB1006),$U$1006:$AC$1006,0)))),"Fix")))</f>
        <v>0</v>
      </c>
      <c r="J315" s="3">
        <f>IF(OR(INDEX($O$2:$O$1001,MATCH(ROWS($N$2:N315),$N$2:$N$1001,0),1)&gt;=100000,INDEX($U$1005:$AC$1005,1,MATCH(COLUMNS($U$1006:AC1006),$U$1006:$AC$1006,0))&gt;=100000), " ",IF(INDEX($U$2:$AC$1001,MATCH(ROWS($N$2:N315),$N$2:$N$1001,0),MATCH(COLUMNS($U$1006:AC1006),$U$1006:$AC$1006,0)), HYPERLINK("#",""), HYPERLINK(CONCATENATE("#metadata!", ADDRESS(INDEX($P$2:$P$1001,MATCH(ROWS($N$2:N315),$N$2:$N$1001,0),0), INDEX($U$1004:$AC$1004,1,MATCH(COLUMNS($U$1006:AC1006),$U$1006:$AC$1006,0)))),"Fix")))</f>
        <v>0</v>
      </c>
      <c r="N315">
        <v>0</v>
      </c>
      <c r="O315">
        <v>0</v>
      </c>
      <c r="P315">
        <v>0</v>
      </c>
      <c r="Q315">
        <f>IF(R315,TRUE,AND(U315:AC315))</f>
        <v>0</v>
      </c>
      <c r="R315">
        <f>COUNTBLANK(metadata!B315:J315)=COLUMNS(metadata!B315:J315)</f>
        <v>0</v>
      </c>
      <c r="S315">
        <v>0</v>
      </c>
      <c r="U315">
        <f>AND(IF(metadata!B315="",FALSE,TRUE),COUNTIF(metadata!B:B, metadata!B315) = 1,NOT(ISERROR(SUMPRODUCT(SEARCH(MID(metadata!B315,ROW(INDIRECT("1:"&amp;LEN(metadata!B315))), 1),"0123456789abcdefghijklmnopqrstuvwxyzABCDEFGHIJKLMNOPQRSTUVWXYZ.")))))</f>
        <v>0</v>
      </c>
      <c r="V315">
        <f>AND(IF(metadata!C315="",FALSE,TRUE),exact(metadata!C315,"UBERON:genitourinary"))</f>
        <v>0</v>
      </c>
      <c r="W315">
        <f>AND(IF(metadata!D315="",FALSE,TRUE),exact(metadata!D315,"UBERON:urine"))</f>
        <v>0</v>
      </c>
      <c r="X315">
        <f>AND(IF(metadata!E315="",FALSE,TRUE),exact(metadata!E315,"UBERON:kidney"))</f>
        <v>0</v>
      </c>
      <c r="Y315">
        <f>AND(IF(metadata!F315="",FALSE,TRUE),exact(metadata!F315,"animal corpus"))</f>
        <v>0</v>
      </c>
      <c r="Z315">
        <f>AND(IF(metadata!G315="",FALSE,TRUE),exact(metadata!G315,"urine"))</f>
        <v>0</v>
      </c>
      <c r="AA315">
        <f>AND(IF(metadata!H315="",FALSE,TRUE),exact(metadata!H315,"urine"))</f>
        <v>0</v>
      </c>
      <c r="AB315">
        <f>AND(IF(metadata!I315="",FALSE,TRUE),exact(metadata!I315,"urine metagenome"))</f>
        <v>0</v>
      </c>
      <c r="AC315">
        <f>AND(IF(metadata!J315="",FALSE,TRUE),exact(metadata!J315,"1346744"))</f>
        <v>0</v>
      </c>
    </row>
    <row r="316" spans="1:29">
      <c r="A316" s="4">
        <f>IF(B316=" "," ",HYPERLINK(CONCATENATE("#metadata!",ADDRESS(INDEX($P$2:$P$1001,MATCH(ROWS($N$2:N316),$N$2:$N$1001,0),0),1)),INDEX($S$2:$S$1001,MATCH(ROWS($N$2:N316),$N$2:$N$1001,0),0)))</f>
        <v>0</v>
      </c>
      <c r="B316" s="3">
        <f>IF(OR(INDEX($O$2:$O$1001,MATCH(ROWS($N$2:N316),$N$2:$N$1001,0),1)&gt;=100000,INDEX($U$1005:$AC$1005,1,MATCH(COLUMNS($U$1006:U1006),$U$1006:$AC$1006,0))&gt;=100000), " ",IF(INDEX($U$2:$AC$1001,MATCH(ROWS($N$2:N316),$N$2:$N$1001,0),MATCH(COLUMNS($U$1006:U1006),$U$1006:$AC$1006,0)), HYPERLINK("#",""), HYPERLINK(CONCATENATE("#metadata!", ADDRESS(INDEX($P$2:$P$1001,MATCH(ROWS($N$2:N316),$N$2:$N$1001,0),0), INDEX($U$1004:$AC$1004,1,MATCH(COLUMNS($U$1006:U1006),$U$1006:$AC$1006,0)))),"Fix")))</f>
        <v>0</v>
      </c>
      <c r="C316" s="3">
        <f>IF(OR(INDEX($O$2:$O$1001,MATCH(ROWS($N$2:N316),$N$2:$N$1001,0),1)&gt;=100000,INDEX($U$1005:$AC$1005,1,MATCH(COLUMNS($U$1006:V1006),$U$1006:$AC$1006,0))&gt;=100000), " ",IF(INDEX($U$2:$AC$1001,MATCH(ROWS($N$2:N316),$N$2:$N$1001,0),MATCH(COLUMNS($U$1006:V1006),$U$1006:$AC$1006,0)), HYPERLINK("#",""), HYPERLINK(CONCATENATE("#metadata!", ADDRESS(INDEX($P$2:$P$1001,MATCH(ROWS($N$2:N316),$N$2:$N$1001,0),0), INDEX($U$1004:$AC$1004,1,MATCH(COLUMNS($U$1006:V1006),$U$1006:$AC$1006,0)))),"Fix")))</f>
        <v>0</v>
      </c>
      <c r="D316" s="3">
        <f>IF(OR(INDEX($O$2:$O$1001,MATCH(ROWS($N$2:N316),$N$2:$N$1001,0),1)&gt;=100000,INDEX($U$1005:$AC$1005,1,MATCH(COLUMNS($U$1006:W1006),$U$1006:$AC$1006,0))&gt;=100000), " ",IF(INDEX($U$2:$AC$1001,MATCH(ROWS($N$2:N316),$N$2:$N$1001,0),MATCH(COLUMNS($U$1006:W1006),$U$1006:$AC$1006,0)), HYPERLINK("#",""), HYPERLINK(CONCATENATE("#metadata!", ADDRESS(INDEX($P$2:$P$1001,MATCH(ROWS($N$2:N316),$N$2:$N$1001,0),0), INDEX($U$1004:$AC$1004,1,MATCH(COLUMNS($U$1006:W1006),$U$1006:$AC$1006,0)))),"Fix")))</f>
        <v>0</v>
      </c>
      <c r="E316" s="3">
        <f>IF(OR(INDEX($O$2:$O$1001,MATCH(ROWS($N$2:N316),$N$2:$N$1001,0),1)&gt;=100000,INDEX($U$1005:$AC$1005,1,MATCH(COLUMNS($U$1006:X1006),$U$1006:$AC$1006,0))&gt;=100000), " ",IF(INDEX($U$2:$AC$1001,MATCH(ROWS($N$2:N316),$N$2:$N$1001,0),MATCH(COLUMNS($U$1006:X1006),$U$1006:$AC$1006,0)), HYPERLINK("#",""), HYPERLINK(CONCATENATE("#metadata!", ADDRESS(INDEX($P$2:$P$1001,MATCH(ROWS($N$2:N316),$N$2:$N$1001,0),0), INDEX($U$1004:$AC$1004,1,MATCH(COLUMNS($U$1006:X1006),$U$1006:$AC$1006,0)))),"Fix")))</f>
        <v>0</v>
      </c>
      <c r="F316" s="3">
        <f>IF(OR(INDEX($O$2:$O$1001,MATCH(ROWS($N$2:N316),$N$2:$N$1001,0),1)&gt;=100000,INDEX($U$1005:$AC$1005,1,MATCH(COLUMNS($U$1006:Y1006),$U$1006:$AC$1006,0))&gt;=100000), " ",IF(INDEX($U$2:$AC$1001,MATCH(ROWS($N$2:N316),$N$2:$N$1001,0),MATCH(COLUMNS($U$1006:Y1006),$U$1006:$AC$1006,0)), HYPERLINK("#",""), HYPERLINK(CONCATENATE("#metadata!", ADDRESS(INDEX($P$2:$P$1001,MATCH(ROWS($N$2:N316),$N$2:$N$1001,0),0), INDEX($U$1004:$AC$1004,1,MATCH(COLUMNS($U$1006:Y1006),$U$1006:$AC$1006,0)))),"Fix")))</f>
        <v>0</v>
      </c>
      <c r="G316" s="3">
        <f>IF(OR(INDEX($O$2:$O$1001,MATCH(ROWS($N$2:N316),$N$2:$N$1001,0),1)&gt;=100000,INDEX($U$1005:$AC$1005,1,MATCH(COLUMNS($U$1006:Z1006),$U$1006:$AC$1006,0))&gt;=100000), " ",IF(INDEX($U$2:$AC$1001,MATCH(ROWS($N$2:N316),$N$2:$N$1001,0),MATCH(COLUMNS($U$1006:Z1006),$U$1006:$AC$1006,0)), HYPERLINK("#",""), HYPERLINK(CONCATENATE("#metadata!", ADDRESS(INDEX($P$2:$P$1001,MATCH(ROWS($N$2:N316),$N$2:$N$1001,0),0), INDEX($U$1004:$AC$1004,1,MATCH(COLUMNS($U$1006:Z1006),$U$1006:$AC$1006,0)))),"Fix")))</f>
        <v>0</v>
      </c>
      <c r="H316" s="3">
        <f>IF(OR(INDEX($O$2:$O$1001,MATCH(ROWS($N$2:N316),$N$2:$N$1001,0),1)&gt;=100000,INDEX($U$1005:$AC$1005,1,MATCH(COLUMNS($U$1006:AA1006),$U$1006:$AC$1006,0))&gt;=100000), " ",IF(INDEX($U$2:$AC$1001,MATCH(ROWS($N$2:N316),$N$2:$N$1001,0),MATCH(COLUMNS($U$1006:AA1006),$U$1006:$AC$1006,0)), HYPERLINK("#",""), HYPERLINK(CONCATENATE("#metadata!", ADDRESS(INDEX($P$2:$P$1001,MATCH(ROWS($N$2:N316),$N$2:$N$1001,0),0), INDEX($U$1004:$AC$1004,1,MATCH(COLUMNS($U$1006:AA1006),$U$1006:$AC$1006,0)))),"Fix")))</f>
        <v>0</v>
      </c>
      <c r="I316" s="3">
        <f>IF(OR(INDEX($O$2:$O$1001,MATCH(ROWS($N$2:N316),$N$2:$N$1001,0),1)&gt;=100000,INDEX($U$1005:$AC$1005,1,MATCH(COLUMNS($U$1006:AB1006),$U$1006:$AC$1006,0))&gt;=100000), " ",IF(INDEX($U$2:$AC$1001,MATCH(ROWS($N$2:N316),$N$2:$N$1001,0),MATCH(COLUMNS($U$1006:AB1006),$U$1006:$AC$1006,0)), HYPERLINK("#",""), HYPERLINK(CONCATENATE("#metadata!", ADDRESS(INDEX($P$2:$P$1001,MATCH(ROWS($N$2:N316),$N$2:$N$1001,0),0), INDEX($U$1004:$AC$1004,1,MATCH(COLUMNS($U$1006:AB1006),$U$1006:$AC$1006,0)))),"Fix")))</f>
        <v>0</v>
      </c>
      <c r="J316" s="3">
        <f>IF(OR(INDEX($O$2:$O$1001,MATCH(ROWS($N$2:N316),$N$2:$N$1001,0),1)&gt;=100000,INDEX($U$1005:$AC$1005,1,MATCH(COLUMNS($U$1006:AC1006),$U$1006:$AC$1006,0))&gt;=100000), " ",IF(INDEX($U$2:$AC$1001,MATCH(ROWS($N$2:N316),$N$2:$N$1001,0),MATCH(COLUMNS($U$1006:AC1006),$U$1006:$AC$1006,0)), HYPERLINK("#",""), HYPERLINK(CONCATENATE("#metadata!", ADDRESS(INDEX($P$2:$P$1001,MATCH(ROWS($N$2:N316),$N$2:$N$1001,0),0), INDEX($U$1004:$AC$1004,1,MATCH(COLUMNS($U$1006:AC1006),$U$1006:$AC$1006,0)))),"Fix")))</f>
        <v>0</v>
      </c>
      <c r="N316">
        <v>0</v>
      </c>
      <c r="O316">
        <v>0</v>
      </c>
      <c r="P316">
        <v>0</v>
      </c>
      <c r="Q316">
        <f>IF(R316,TRUE,AND(U316:AC316))</f>
        <v>0</v>
      </c>
      <c r="R316">
        <f>COUNTBLANK(metadata!B316:J316)=COLUMNS(metadata!B316:J316)</f>
        <v>0</v>
      </c>
      <c r="S316">
        <v>0</v>
      </c>
      <c r="U316">
        <f>AND(IF(metadata!B316="",FALSE,TRUE),COUNTIF(metadata!B:B, metadata!B316) = 1,NOT(ISERROR(SUMPRODUCT(SEARCH(MID(metadata!B316,ROW(INDIRECT("1:"&amp;LEN(metadata!B316))), 1),"0123456789abcdefghijklmnopqrstuvwxyzABCDEFGHIJKLMNOPQRSTUVWXYZ.")))))</f>
        <v>0</v>
      </c>
      <c r="V316">
        <f>AND(IF(metadata!C316="",FALSE,TRUE),exact(metadata!C316,"UBERON:genitourinary"))</f>
        <v>0</v>
      </c>
      <c r="W316">
        <f>AND(IF(metadata!D316="",FALSE,TRUE),exact(metadata!D316,"UBERON:urine"))</f>
        <v>0</v>
      </c>
      <c r="X316">
        <f>AND(IF(metadata!E316="",FALSE,TRUE),exact(metadata!E316,"UBERON:kidney"))</f>
        <v>0</v>
      </c>
      <c r="Y316">
        <f>AND(IF(metadata!F316="",FALSE,TRUE),exact(metadata!F316,"animal corpus"))</f>
        <v>0</v>
      </c>
      <c r="Z316">
        <f>AND(IF(metadata!G316="",FALSE,TRUE),exact(metadata!G316,"urine"))</f>
        <v>0</v>
      </c>
      <c r="AA316">
        <f>AND(IF(metadata!H316="",FALSE,TRUE),exact(metadata!H316,"urine"))</f>
        <v>0</v>
      </c>
      <c r="AB316">
        <f>AND(IF(metadata!I316="",FALSE,TRUE),exact(metadata!I316,"urine metagenome"))</f>
        <v>0</v>
      </c>
      <c r="AC316">
        <f>AND(IF(metadata!J316="",FALSE,TRUE),exact(metadata!J316,"1346744"))</f>
        <v>0</v>
      </c>
    </row>
    <row r="317" spans="1:29">
      <c r="A317" s="4">
        <f>IF(B317=" "," ",HYPERLINK(CONCATENATE("#metadata!",ADDRESS(INDEX($P$2:$P$1001,MATCH(ROWS($N$2:N317),$N$2:$N$1001,0),0),1)),INDEX($S$2:$S$1001,MATCH(ROWS($N$2:N317),$N$2:$N$1001,0),0)))</f>
        <v>0</v>
      </c>
      <c r="B317" s="3">
        <f>IF(OR(INDEX($O$2:$O$1001,MATCH(ROWS($N$2:N317),$N$2:$N$1001,0),1)&gt;=100000,INDEX($U$1005:$AC$1005,1,MATCH(COLUMNS($U$1006:U1006),$U$1006:$AC$1006,0))&gt;=100000), " ",IF(INDEX($U$2:$AC$1001,MATCH(ROWS($N$2:N317),$N$2:$N$1001,0),MATCH(COLUMNS($U$1006:U1006),$U$1006:$AC$1006,0)), HYPERLINK("#",""), HYPERLINK(CONCATENATE("#metadata!", ADDRESS(INDEX($P$2:$P$1001,MATCH(ROWS($N$2:N317),$N$2:$N$1001,0),0), INDEX($U$1004:$AC$1004,1,MATCH(COLUMNS($U$1006:U1006),$U$1006:$AC$1006,0)))),"Fix")))</f>
        <v>0</v>
      </c>
      <c r="C317" s="3">
        <f>IF(OR(INDEX($O$2:$O$1001,MATCH(ROWS($N$2:N317),$N$2:$N$1001,0),1)&gt;=100000,INDEX($U$1005:$AC$1005,1,MATCH(COLUMNS($U$1006:V1006),$U$1006:$AC$1006,0))&gt;=100000), " ",IF(INDEX($U$2:$AC$1001,MATCH(ROWS($N$2:N317),$N$2:$N$1001,0),MATCH(COLUMNS($U$1006:V1006),$U$1006:$AC$1006,0)), HYPERLINK("#",""), HYPERLINK(CONCATENATE("#metadata!", ADDRESS(INDEX($P$2:$P$1001,MATCH(ROWS($N$2:N317),$N$2:$N$1001,0),0), INDEX($U$1004:$AC$1004,1,MATCH(COLUMNS($U$1006:V1006),$U$1006:$AC$1006,0)))),"Fix")))</f>
        <v>0</v>
      </c>
      <c r="D317" s="3">
        <f>IF(OR(INDEX($O$2:$O$1001,MATCH(ROWS($N$2:N317),$N$2:$N$1001,0),1)&gt;=100000,INDEX($U$1005:$AC$1005,1,MATCH(COLUMNS($U$1006:W1006),$U$1006:$AC$1006,0))&gt;=100000), " ",IF(INDEX($U$2:$AC$1001,MATCH(ROWS($N$2:N317),$N$2:$N$1001,0),MATCH(COLUMNS($U$1006:W1006),$U$1006:$AC$1006,0)), HYPERLINK("#",""), HYPERLINK(CONCATENATE("#metadata!", ADDRESS(INDEX($P$2:$P$1001,MATCH(ROWS($N$2:N317),$N$2:$N$1001,0),0), INDEX($U$1004:$AC$1004,1,MATCH(COLUMNS($U$1006:W1006),$U$1006:$AC$1006,0)))),"Fix")))</f>
        <v>0</v>
      </c>
      <c r="E317" s="3">
        <f>IF(OR(INDEX($O$2:$O$1001,MATCH(ROWS($N$2:N317),$N$2:$N$1001,0),1)&gt;=100000,INDEX($U$1005:$AC$1005,1,MATCH(COLUMNS($U$1006:X1006),$U$1006:$AC$1006,0))&gt;=100000), " ",IF(INDEX($U$2:$AC$1001,MATCH(ROWS($N$2:N317),$N$2:$N$1001,0),MATCH(COLUMNS($U$1006:X1006),$U$1006:$AC$1006,0)), HYPERLINK("#",""), HYPERLINK(CONCATENATE("#metadata!", ADDRESS(INDEX($P$2:$P$1001,MATCH(ROWS($N$2:N317),$N$2:$N$1001,0),0), INDEX($U$1004:$AC$1004,1,MATCH(COLUMNS($U$1006:X1006),$U$1006:$AC$1006,0)))),"Fix")))</f>
        <v>0</v>
      </c>
      <c r="F317" s="3">
        <f>IF(OR(INDEX($O$2:$O$1001,MATCH(ROWS($N$2:N317),$N$2:$N$1001,0),1)&gt;=100000,INDEX($U$1005:$AC$1005,1,MATCH(COLUMNS($U$1006:Y1006),$U$1006:$AC$1006,0))&gt;=100000), " ",IF(INDEX($U$2:$AC$1001,MATCH(ROWS($N$2:N317),$N$2:$N$1001,0),MATCH(COLUMNS($U$1006:Y1006),$U$1006:$AC$1006,0)), HYPERLINK("#",""), HYPERLINK(CONCATENATE("#metadata!", ADDRESS(INDEX($P$2:$P$1001,MATCH(ROWS($N$2:N317),$N$2:$N$1001,0),0), INDEX($U$1004:$AC$1004,1,MATCH(COLUMNS($U$1006:Y1006),$U$1006:$AC$1006,0)))),"Fix")))</f>
        <v>0</v>
      </c>
      <c r="G317" s="3">
        <f>IF(OR(INDEX($O$2:$O$1001,MATCH(ROWS($N$2:N317),$N$2:$N$1001,0),1)&gt;=100000,INDEX($U$1005:$AC$1005,1,MATCH(COLUMNS($U$1006:Z1006),$U$1006:$AC$1006,0))&gt;=100000), " ",IF(INDEX($U$2:$AC$1001,MATCH(ROWS($N$2:N317),$N$2:$N$1001,0),MATCH(COLUMNS($U$1006:Z1006),$U$1006:$AC$1006,0)), HYPERLINK("#",""), HYPERLINK(CONCATENATE("#metadata!", ADDRESS(INDEX($P$2:$P$1001,MATCH(ROWS($N$2:N317),$N$2:$N$1001,0),0), INDEX($U$1004:$AC$1004,1,MATCH(COLUMNS($U$1006:Z1006),$U$1006:$AC$1006,0)))),"Fix")))</f>
        <v>0</v>
      </c>
      <c r="H317" s="3">
        <f>IF(OR(INDEX($O$2:$O$1001,MATCH(ROWS($N$2:N317),$N$2:$N$1001,0),1)&gt;=100000,INDEX($U$1005:$AC$1005,1,MATCH(COLUMNS($U$1006:AA1006),$U$1006:$AC$1006,0))&gt;=100000), " ",IF(INDEX($U$2:$AC$1001,MATCH(ROWS($N$2:N317),$N$2:$N$1001,0),MATCH(COLUMNS($U$1006:AA1006),$U$1006:$AC$1006,0)), HYPERLINK("#",""), HYPERLINK(CONCATENATE("#metadata!", ADDRESS(INDEX($P$2:$P$1001,MATCH(ROWS($N$2:N317),$N$2:$N$1001,0),0), INDEX($U$1004:$AC$1004,1,MATCH(COLUMNS($U$1006:AA1006),$U$1006:$AC$1006,0)))),"Fix")))</f>
        <v>0</v>
      </c>
      <c r="I317" s="3">
        <f>IF(OR(INDEX($O$2:$O$1001,MATCH(ROWS($N$2:N317),$N$2:$N$1001,0),1)&gt;=100000,INDEX($U$1005:$AC$1005,1,MATCH(COLUMNS($U$1006:AB1006),$U$1006:$AC$1006,0))&gt;=100000), " ",IF(INDEX($U$2:$AC$1001,MATCH(ROWS($N$2:N317),$N$2:$N$1001,0),MATCH(COLUMNS($U$1006:AB1006),$U$1006:$AC$1006,0)), HYPERLINK("#",""), HYPERLINK(CONCATENATE("#metadata!", ADDRESS(INDEX($P$2:$P$1001,MATCH(ROWS($N$2:N317),$N$2:$N$1001,0),0), INDEX($U$1004:$AC$1004,1,MATCH(COLUMNS($U$1006:AB1006),$U$1006:$AC$1006,0)))),"Fix")))</f>
        <v>0</v>
      </c>
      <c r="J317" s="3">
        <f>IF(OR(INDEX($O$2:$O$1001,MATCH(ROWS($N$2:N317),$N$2:$N$1001,0),1)&gt;=100000,INDEX($U$1005:$AC$1005,1,MATCH(COLUMNS($U$1006:AC1006),$U$1006:$AC$1006,0))&gt;=100000), " ",IF(INDEX($U$2:$AC$1001,MATCH(ROWS($N$2:N317),$N$2:$N$1001,0),MATCH(COLUMNS($U$1006:AC1006),$U$1006:$AC$1006,0)), HYPERLINK("#",""), HYPERLINK(CONCATENATE("#metadata!", ADDRESS(INDEX($P$2:$P$1001,MATCH(ROWS($N$2:N317),$N$2:$N$1001,0),0), INDEX($U$1004:$AC$1004,1,MATCH(COLUMNS($U$1006:AC1006),$U$1006:$AC$1006,0)))),"Fix")))</f>
        <v>0</v>
      </c>
      <c r="N317">
        <v>0</v>
      </c>
      <c r="O317">
        <v>0</v>
      </c>
      <c r="P317">
        <v>0</v>
      </c>
      <c r="Q317">
        <f>IF(R317,TRUE,AND(U317:AC317))</f>
        <v>0</v>
      </c>
      <c r="R317">
        <f>COUNTBLANK(metadata!B317:J317)=COLUMNS(metadata!B317:J317)</f>
        <v>0</v>
      </c>
      <c r="S317">
        <v>0</v>
      </c>
      <c r="U317">
        <f>AND(IF(metadata!B317="",FALSE,TRUE),COUNTIF(metadata!B:B, metadata!B317) = 1,NOT(ISERROR(SUMPRODUCT(SEARCH(MID(metadata!B317,ROW(INDIRECT("1:"&amp;LEN(metadata!B317))), 1),"0123456789abcdefghijklmnopqrstuvwxyzABCDEFGHIJKLMNOPQRSTUVWXYZ.")))))</f>
        <v>0</v>
      </c>
      <c r="V317">
        <f>AND(IF(metadata!C317="",FALSE,TRUE),exact(metadata!C317,"UBERON:genitourinary"))</f>
        <v>0</v>
      </c>
      <c r="W317">
        <f>AND(IF(metadata!D317="",FALSE,TRUE),exact(metadata!D317,"UBERON:urine"))</f>
        <v>0</v>
      </c>
      <c r="X317">
        <f>AND(IF(metadata!E317="",FALSE,TRUE),exact(metadata!E317,"UBERON:kidney"))</f>
        <v>0</v>
      </c>
      <c r="Y317">
        <f>AND(IF(metadata!F317="",FALSE,TRUE),exact(metadata!F317,"animal corpus"))</f>
        <v>0</v>
      </c>
      <c r="Z317">
        <f>AND(IF(metadata!G317="",FALSE,TRUE),exact(metadata!G317,"urine"))</f>
        <v>0</v>
      </c>
      <c r="AA317">
        <f>AND(IF(metadata!H317="",FALSE,TRUE),exact(metadata!H317,"urine"))</f>
        <v>0</v>
      </c>
      <c r="AB317">
        <f>AND(IF(metadata!I317="",FALSE,TRUE),exact(metadata!I317,"urine metagenome"))</f>
        <v>0</v>
      </c>
      <c r="AC317">
        <f>AND(IF(metadata!J317="",FALSE,TRUE),exact(metadata!J317,"1346744"))</f>
        <v>0</v>
      </c>
    </row>
    <row r="318" spans="1:29">
      <c r="A318" s="4">
        <f>IF(B318=" "," ",HYPERLINK(CONCATENATE("#metadata!",ADDRESS(INDEX($P$2:$P$1001,MATCH(ROWS($N$2:N318),$N$2:$N$1001,0),0),1)),INDEX($S$2:$S$1001,MATCH(ROWS($N$2:N318),$N$2:$N$1001,0),0)))</f>
        <v>0</v>
      </c>
      <c r="B318" s="3">
        <f>IF(OR(INDEX($O$2:$O$1001,MATCH(ROWS($N$2:N318),$N$2:$N$1001,0),1)&gt;=100000,INDEX($U$1005:$AC$1005,1,MATCH(COLUMNS($U$1006:U1006),$U$1006:$AC$1006,0))&gt;=100000), " ",IF(INDEX($U$2:$AC$1001,MATCH(ROWS($N$2:N318),$N$2:$N$1001,0),MATCH(COLUMNS($U$1006:U1006),$U$1006:$AC$1006,0)), HYPERLINK("#",""), HYPERLINK(CONCATENATE("#metadata!", ADDRESS(INDEX($P$2:$P$1001,MATCH(ROWS($N$2:N318),$N$2:$N$1001,0),0), INDEX($U$1004:$AC$1004,1,MATCH(COLUMNS($U$1006:U1006),$U$1006:$AC$1006,0)))),"Fix")))</f>
        <v>0</v>
      </c>
      <c r="C318" s="3">
        <f>IF(OR(INDEX($O$2:$O$1001,MATCH(ROWS($N$2:N318),$N$2:$N$1001,0),1)&gt;=100000,INDEX($U$1005:$AC$1005,1,MATCH(COLUMNS($U$1006:V1006),$U$1006:$AC$1006,0))&gt;=100000), " ",IF(INDEX($U$2:$AC$1001,MATCH(ROWS($N$2:N318),$N$2:$N$1001,0),MATCH(COLUMNS($U$1006:V1006),$U$1006:$AC$1006,0)), HYPERLINK("#",""), HYPERLINK(CONCATENATE("#metadata!", ADDRESS(INDEX($P$2:$P$1001,MATCH(ROWS($N$2:N318),$N$2:$N$1001,0),0), INDEX($U$1004:$AC$1004,1,MATCH(COLUMNS($U$1006:V1006),$U$1006:$AC$1006,0)))),"Fix")))</f>
        <v>0</v>
      </c>
      <c r="D318" s="3">
        <f>IF(OR(INDEX($O$2:$O$1001,MATCH(ROWS($N$2:N318),$N$2:$N$1001,0),1)&gt;=100000,INDEX($U$1005:$AC$1005,1,MATCH(COLUMNS($U$1006:W1006),$U$1006:$AC$1006,0))&gt;=100000), " ",IF(INDEX($U$2:$AC$1001,MATCH(ROWS($N$2:N318),$N$2:$N$1001,0),MATCH(COLUMNS($U$1006:W1006),$U$1006:$AC$1006,0)), HYPERLINK("#",""), HYPERLINK(CONCATENATE("#metadata!", ADDRESS(INDEX($P$2:$P$1001,MATCH(ROWS($N$2:N318),$N$2:$N$1001,0),0), INDEX($U$1004:$AC$1004,1,MATCH(COLUMNS($U$1006:W1006),$U$1006:$AC$1006,0)))),"Fix")))</f>
        <v>0</v>
      </c>
      <c r="E318" s="3">
        <f>IF(OR(INDEX($O$2:$O$1001,MATCH(ROWS($N$2:N318),$N$2:$N$1001,0),1)&gt;=100000,INDEX($U$1005:$AC$1005,1,MATCH(COLUMNS($U$1006:X1006),$U$1006:$AC$1006,0))&gt;=100000), " ",IF(INDEX($U$2:$AC$1001,MATCH(ROWS($N$2:N318),$N$2:$N$1001,0),MATCH(COLUMNS($U$1006:X1006),$U$1006:$AC$1006,0)), HYPERLINK("#",""), HYPERLINK(CONCATENATE("#metadata!", ADDRESS(INDEX($P$2:$P$1001,MATCH(ROWS($N$2:N318),$N$2:$N$1001,0),0), INDEX($U$1004:$AC$1004,1,MATCH(COLUMNS($U$1006:X1006),$U$1006:$AC$1006,0)))),"Fix")))</f>
        <v>0</v>
      </c>
      <c r="F318" s="3">
        <f>IF(OR(INDEX($O$2:$O$1001,MATCH(ROWS($N$2:N318),$N$2:$N$1001,0),1)&gt;=100000,INDEX($U$1005:$AC$1005,1,MATCH(COLUMNS($U$1006:Y1006),$U$1006:$AC$1006,0))&gt;=100000), " ",IF(INDEX($U$2:$AC$1001,MATCH(ROWS($N$2:N318),$N$2:$N$1001,0),MATCH(COLUMNS($U$1006:Y1006),$U$1006:$AC$1006,0)), HYPERLINK("#",""), HYPERLINK(CONCATENATE("#metadata!", ADDRESS(INDEX($P$2:$P$1001,MATCH(ROWS($N$2:N318),$N$2:$N$1001,0),0), INDEX($U$1004:$AC$1004,1,MATCH(COLUMNS($U$1006:Y1006),$U$1006:$AC$1006,0)))),"Fix")))</f>
        <v>0</v>
      </c>
      <c r="G318" s="3">
        <f>IF(OR(INDEX($O$2:$O$1001,MATCH(ROWS($N$2:N318),$N$2:$N$1001,0),1)&gt;=100000,INDEX($U$1005:$AC$1005,1,MATCH(COLUMNS($U$1006:Z1006),$U$1006:$AC$1006,0))&gt;=100000), " ",IF(INDEX($U$2:$AC$1001,MATCH(ROWS($N$2:N318),$N$2:$N$1001,0),MATCH(COLUMNS($U$1006:Z1006),$U$1006:$AC$1006,0)), HYPERLINK("#",""), HYPERLINK(CONCATENATE("#metadata!", ADDRESS(INDEX($P$2:$P$1001,MATCH(ROWS($N$2:N318),$N$2:$N$1001,0),0), INDEX($U$1004:$AC$1004,1,MATCH(COLUMNS($U$1006:Z1006),$U$1006:$AC$1006,0)))),"Fix")))</f>
        <v>0</v>
      </c>
      <c r="H318" s="3">
        <f>IF(OR(INDEX($O$2:$O$1001,MATCH(ROWS($N$2:N318),$N$2:$N$1001,0),1)&gt;=100000,INDEX($U$1005:$AC$1005,1,MATCH(COLUMNS($U$1006:AA1006),$U$1006:$AC$1006,0))&gt;=100000), " ",IF(INDEX($U$2:$AC$1001,MATCH(ROWS($N$2:N318),$N$2:$N$1001,0),MATCH(COLUMNS($U$1006:AA1006),$U$1006:$AC$1006,0)), HYPERLINK("#",""), HYPERLINK(CONCATENATE("#metadata!", ADDRESS(INDEX($P$2:$P$1001,MATCH(ROWS($N$2:N318),$N$2:$N$1001,0),0), INDEX($U$1004:$AC$1004,1,MATCH(COLUMNS($U$1006:AA1006),$U$1006:$AC$1006,0)))),"Fix")))</f>
        <v>0</v>
      </c>
      <c r="I318" s="3">
        <f>IF(OR(INDEX($O$2:$O$1001,MATCH(ROWS($N$2:N318),$N$2:$N$1001,0),1)&gt;=100000,INDEX($U$1005:$AC$1005,1,MATCH(COLUMNS($U$1006:AB1006),$U$1006:$AC$1006,0))&gt;=100000), " ",IF(INDEX($U$2:$AC$1001,MATCH(ROWS($N$2:N318),$N$2:$N$1001,0),MATCH(COLUMNS($U$1006:AB1006),$U$1006:$AC$1006,0)), HYPERLINK("#",""), HYPERLINK(CONCATENATE("#metadata!", ADDRESS(INDEX($P$2:$P$1001,MATCH(ROWS($N$2:N318),$N$2:$N$1001,0),0), INDEX($U$1004:$AC$1004,1,MATCH(COLUMNS($U$1006:AB1006),$U$1006:$AC$1006,0)))),"Fix")))</f>
        <v>0</v>
      </c>
      <c r="J318" s="3">
        <f>IF(OR(INDEX($O$2:$O$1001,MATCH(ROWS($N$2:N318),$N$2:$N$1001,0),1)&gt;=100000,INDEX($U$1005:$AC$1005,1,MATCH(COLUMNS($U$1006:AC1006),$U$1006:$AC$1006,0))&gt;=100000), " ",IF(INDEX($U$2:$AC$1001,MATCH(ROWS($N$2:N318),$N$2:$N$1001,0),MATCH(COLUMNS($U$1006:AC1006),$U$1006:$AC$1006,0)), HYPERLINK("#",""), HYPERLINK(CONCATENATE("#metadata!", ADDRESS(INDEX($P$2:$P$1001,MATCH(ROWS($N$2:N318),$N$2:$N$1001,0),0), INDEX($U$1004:$AC$1004,1,MATCH(COLUMNS($U$1006:AC1006),$U$1006:$AC$1006,0)))),"Fix")))</f>
        <v>0</v>
      </c>
      <c r="N318">
        <v>0</v>
      </c>
      <c r="O318">
        <v>0</v>
      </c>
      <c r="P318">
        <v>0</v>
      </c>
      <c r="Q318">
        <f>IF(R318,TRUE,AND(U318:AC318))</f>
        <v>0</v>
      </c>
      <c r="R318">
        <f>COUNTBLANK(metadata!B318:J318)=COLUMNS(metadata!B318:J318)</f>
        <v>0</v>
      </c>
      <c r="S318">
        <v>0</v>
      </c>
      <c r="U318">
        <f>AND(IF(metadata!B318="",FALSE,TRUE),COUNTIF(metadata!B:B, metadata!B318) = 1,NOT(ISERROR(SUMPRODUCT(SEARCH(MID(metadata!B318,ROW(INDIRECT("1:"&amp;LEN(metadata!B318))), 1),"0123456789abcdefghijklmnopqrstuvwxyzABCDEFGHIJKLMNOPQRSTUVWXYZ.")))))</f>
        <v>0</v>
      </c>
      <c r="V318">
        <f>AND(IF(metadata!C318="",FALSE,TRUE),exact(metadata!C318,"UBERON:genitourinary"))</f>
        <v>0</v>
      </c>
      <c r="W318">
        <f>AND(IF(metadata!D318="",FALSE,TRUE),exact(metadata!D318,"UBERON:urine"))</f>
        <v>0</v>
      </c>
      <c r="X318">
        <f>AND(IF(metadata!E318="",FALSE,TRUE),exact(metadata!E318,"UBERON:kidney"))</f>
        <v>0</v>
      </c>
      <c r="Y318">
        <f>AND(IF(metadata!F318="",FALSE,TRUE),exact(metadata!F318,"animal corpus"))</f>
        <v>0</v>
      </c>
      <c r="Z318">
        <f>AND(IF(metadata!G318="",FALSE,TRUE),exact(metadata!G318,"urine"))</f>
        <v>0</v>
      </c>
      <c r="AA318">
        <f>AND(IF(metadata!H318="",FALSE,TRUE),exact(metadata!H318,"urine"))</f>
        <v>0</v>
      </c>
      <c r="AB318">
        <f>AND(IF(metadata!I318="",FALSE,TRUE),exact(metadata!I318,"urine metagenome"))</f>
        <v>0</v>
      </c>
      <c r="AC318">
        <f>AND(IF(metadata!J318="",FALSE,TRUE),exact(metadata!J318,"1346744"))</f>
        <v>0</v>
      </c>
    </row>
    <row r="319" spans="1:29">
      <c r="A319" s="4">
        <f>IF(B319=" "," ",HYPERLINK(CONCATENATE("#metadata!",ADDRESS(INDEX($P$2:$P$1001,MATCH(ROWS($N$2:N319),$N$2:$N$1001,0),0),1)),INDEX($S$2:$S$1001,MATCH(ROWS($N$2:N319),$N$2:$N$1001,0),0)))</f>
        <v>0</v>
      </c>
      <c r="B319" s="3">
        <f>IF(OR(INDEX($O$2:$O$1001,MATCH(ROWS($N$2:N319),$N$2:$N$1001,0),1)&gt;=100000,INDEX($U$1005:$AC$1005,1,MATCH(COLUMNS($U$1006:U1006),$U$1006:$AC$1006,0))&gt;=100000), " ",IF(INDEX($U$2:$AC$1001,MATCH(ROWS($N$2:N319),$N$2:$N$1001,0),MATCH(COLUMNS($U$1006:U1006),$U$1006:$AC$1006,0)), HYPERLINK("#",""), HYPERLINK(CONCATENATE("#metadata!", ADDRESS(INDEX($P$2:$P$1001,MATCH(ROWS($N$2:N319),$N$2:$N$1001,0),0), INDEX($U$1004:$AC$1004,1,MATCH(COLUMNS($U$1006:U1006),$U$1006:$AC$1006,0)))),"Fix")))</f>
        <v>0</v>
      </c>
      <c r="C319" s="3">
        <f>IF(OR(INDEX($O$2:$O$1001,MATCH(ROWS($N$2:N319),$N$2:$N$1001,0),1)&gt;=100000,INDEX($U$1005:$AC$1005,1,MATCH(COLUMNS($U$1006:V1006),$U$1006:$AC$1006,0))&gt;=100000), " ",IF(INDEX($U$2:$AC$1001,MATCH(ROWS($N$2:N319),$N$2:$N$1001,0),MATCH(COLUMNS($U$1006:V1006),$U$1006:$AC$1006,0)), HYPERLINK("#",""), HYPERLINK(CONCATENATE("#metadata!", ADDRESS(INDEX($P$2:$P$1001,MATCH(ROWS($N$2:N319),$N$2:$N$1001,0),0), INDEX($U$1004:$AC$1004,1,MATCH(COLUMNS($U$1006:V1006),$U$1006:$AC$1006,0)))),"Fix")))</f>
        <v>0</v>
      </c>
      <c r="D319" s="3">
        <f>IF(OR(INDEX($O$2:$O$1001,MATCH(ROWS($N$2:N319),$N$2:$N$1001,0),1)&gt;=100000,INDEX($U$1005:$AC$1005,1,MATCH(COLUMNS($U$1006:W1006),$U$1006:$AC$1006,0))&gt;=100000), " ",IF(INDEX($U$2:$AC$1001,MATCH(ROWS($N$2:N319),$N$2:$N$1001,0),MATCH(COLUMNS($U$1006:W1006),$U$1006:$AC$1006,0)), HYPERLINK("#",""), HYPERLINK(CONCATENATE("#metadata!", ADDRESS(INDEX($P$2:$P$1001,MATCH(ROWS($N$2:N319),$N$2:$N$1001,0),0), INDEX($U$1004:$AC$1004,1,MATCH(COLUMNS($U$1006:W1006),$U$1006:$AC$1006,0)))),"Fix")))</f>
        <v>0</v>
      </c>
      <c r="E319" s="3">
        <f>IF(OR(INDEX($O$2:$O$1001,MATCH(ROWS($N$2:N319),$N$2:$N$1001,0),1)&gt;=100000,INDEX($U$1005:$AC$1005,1,MATCH(COLUMNS($U$1006:X1006),$U$1006:$AC$1006,0))&gt;=100000), " ",IF(INDEX($U$2:$AC$1001,MATCH(ROWS($N$2:N319),$N$2:$N$1001,0),MATCH(COLUMNS($U$1006:X1006),$U$1006:$AC$1006,0)), HYPERLINK("#",""), HYPERLINK(CONCATENATE("#metadata!", ADDRESS(INDEX($P$2:$P$1001,MATCH(ROWS($N$2:N319),$N$2:$N$1001,0),0), INDEX($U$1004:$AC$1004,1,MATCH(COLUMNS($U$1006:X1006),$U$1006:$AC$1006,0)))),"Fix")))</f>
        <v>0</v>
      </c>
      <c r="F319" s="3">
        <f>IF(OR(INDEX($O$2:$O$1001,MATCH(ROWS($N$2:N319),$N$2:$N$1001,0),1)&gt;=100000,INDEX($U$1005:$AC$1005,1,MATCH(COLUMNS($U$1006:Y1006),$U$1006:$AC$1006,0))&gt;=100000), " ",IF(INDEX($U$2:$AC$1001,MATCH(ROWS($N$2:N319),$N$2:$N$1001,0),MATCH(COLUMNS($U$1006:Y1006),$U$1006:$AC$1006,0)), HYPERLINK("#",""), HYPERLINK(CONCATENATE("#metadata!", ADDRESS(INDEX($P$2:$P$1001,MATCH(ROWS($N$2:N319),$N$2:$N$1001,0),0), INDEX($U$1004:$AC$1004,1,MATCH(COLUMNS($U$1006:Y1006),$U$1006:$AC$1006,0)))),"Fix")))</f>
        <v>0</v>
      </c>
      <c r="G319" s="3">
        <f>IF(OR(INDEX($O$2:$O$1001,MATCH(ROWS($N$2:N319),$N$2:$N$1001,0),1)&gt;=100000,INDEX($U$1005:$AC$1005,1,MATCH(COLUMNS($U$1006:Z1006),$U$1006:$AC$1006,0))&gt;=100000), " ",IF(INDEX($U$2:$AC$1001,MATCH(ROWS($N$2:N319),$N$2:$N$1001,0),MATCH(COLUMNS($U$1006:Z1006),$U$1006:$AC$1006,0)), HYPERLINK("#",""), HYPERLINK(CONCATENATE("#metadata!", ADDRESS(INDEX($P$2:$P$1001,MATCH(ROWS($N$2:N319),$N$2:$N$1001,0),0), INDEX($U$1004:$AC$1004,1,MATCH(COLUMNS($U$1006:Z1006),$U$1006:$AC$1006,0)))),"Fix")))</f>
        <v>0</v>
      </c>
      <c r="H319" s="3">
        <f>IF(OR(INDEX($O$2:$O$1001,MATCH(ROWS($N$2:N319),$N$2:$N$1001,0),1)&gt;=100000,INDEX($U$1005:$AC$1005,1,MATCH(COLUMNS($U$1006:AA1006),$U$1006:$AC$1006,0))&gt;=100000), " ",IF(INDEX($U$2:$AC$1001,MATCH(ROWS($N$2:N319),$N$2:$N$1001,0),MATCH(COLUMNS($U$1006:AA1006),$U$1006:$AC$1006,0)), HYPERLINK("#",""), HYPERLINK(CONCATENATE("#metadata!", ADDRESS(INDEX($P$2:$P$1001,MATCH(ROWS($N$2:N319),$N$2:$N$1001,0),0), INDEX($U$1004:$AC$1004,1,MATCH(COLUMNS($U$1006:AA1006),$U$1006:$AC$1006,0)))),"Fix")))</f>
        <v>0</v>
      </c>
      <c r="I319" s="3">
        <f>IF(OR(INDEX($O$2:$O$1001,MATCH(ROWS($N$2:N319),$N$2:$N$1001,0),1)&gt;=100000,INDEX($U$1005:$AC$1005,1,MATCH(COLUMNS($U$1006:AB1006),$U$1006:$AC$1006,0))&gt;=100000), " ",IF(INDEX($U$2:$AC$1001,MATCH(ROWS($N$2:N319),$N$2:$N$1001,0),MATCH(COLUMNS($U$1006:AB1006),$U$1006:$AC$1006,0)), HYPERLINK("#",""), HYPERLINK(CONCATENATE("#metadata!", ADDRESS(INDEX($P$2:$P$1001,MATCH(ROWS($N$2:N319),$N$2:$N$1001,0),0), INDEX($U$1004:$AC$1004,1,MATCH(COLUMNS($U$1006:AB1006),$U$1006:$AC$1006,0)))),"Fix")))</f>
        <v>0</v>
      </c>
      <c r="J319" s="3">
        <f>IF(OR(INDEX($O$2:$O$1001,MATCH(ROWS($N$2:N319),$N$2:$N$1001,0),1)&gt;=100000,INDEX($U$1005:$AC$1005,1,MATCH(COLUMNS($U$1006:AC1006),$U$1006:$AC$1006,0))&gt;=100000), " ",IF(INDEX($U$2:$AC$1001,MATCH(ROWS($N$2:N319),$N$2:$N$1001,0),MATCH(COLUMNS($U$1006:AC1006),$U$1006:$AC$1006,0)), HYPERLINK("#",""), HYPERLINK(CONCATENATE("#metadata!", ADDRESS(INDEX($P$2:$P$1001,MATCH(ROWS($N$2:N319),$N$2:$N$1001,0),0), INDEX($U$1004:$AC$1004,1,MATCH(COLUMNS($U$1006:AC1006),$U$1006:$AC$1006,0)))),"Fix")))</f>
        <v>0</v>
      </c>
      <c r="N319">
        <v>0</v>
      </c>
      <c r="O319">
        <v>0</v>
      </c>
      <c r="P319">
        <v>0</v>
      </c>
      <c r="Q319">
        <f>IF(R319,TRUE,AND(U319:AC319))</f>
        <v>0</v>
      </c>
      <c r="R319">
        <f>COUNTBLANK(metadata!B319:J319)=COLUMNS(metadata!B319:J319)</f>
        <v>0</v>
      </c>
      <c r="S319">
        <v>0</v>
      </c>
      <c r="U319">
        <f>AND(IF(metadata!B319="",FALSE,TRUE),COUNTIF(metadata!B:B, metadata!B319) = 1,NOT(ISERROR(SUMPRODUCT(SEARCH(MID(metadata!B319,ROW(INDIRECT("1:"&amp;LEN(metadata!B319))), 1),"0123456789abcdefghijklmnopqrstuvwxyzABCDEFGHIJKLMNOPQRSTUVWXYZ.")))))</f>
        <v>0</v>
      </c>
      <c r="V319">
        <f>AND(IF(metadata!C319="",FALSE,TRUE),exact(metadata!C319,"UBERON:genitourinary"))</f>
        <v>0</v>
      </c>
      <c r="W319">
        <f>AND(IF(metadata!D319="",FALSE,TRUE),exact(metadata!D319,"UBERON:urine"))</f>
        <v>0</v>
      </c>
      <c r="X319">
        <f>AND(IF(metadata!E319="",FALSE,TRUE),exact(metadata!E319,"UBERON:kidney"))</f>
        <v>0</v>
      </c>
      <c r="Y319">
        <f>AND(IF(metadata!F319="",FALSE,TRUE),exact(metadata!F319,"animal corpus"))</f>
        <v>0</v>
      </c>
      <c r="Z319">
        <f>AND(IF(metadata!G319="",FALSE,TRUE),exact(metadata!G319,"urine"))</f>
        <v>0</v>
      </c>
      <c r="AA319">
        <f>AND(IF(metadata!H319="",FALSE,TRUE),exact(metadata!H319,"urine"))</f>
        <v>0</v>
      </c>
      <c r="AB319">
        <f>AND(IF(metadata!I319="",FALSE,TRUE),exact(metadata!I319,"urine metagenome"))</f>
        <v>0</v>
      </c>
      <c r="AC319">
        <f>AND(IF(metadata!J319="",FALSE,TRUE),exact(metadata!J319,"1346744"))</f>
        <v>0</v>
      </c>
    </row>
    <row r="320" spans="1:29">
      <c r="A320" s="4">
        <f>IF(B320=" "," ",HYPERLINK(CONCATENATE("#metadata!",ADDRESS(INDEX($P$2:$P$1001,MATCH(ROWS($N$2:N320),$N$2:$N$1001,0),0),1)),INDEX($S$2:$S$1001,MATCH(ROWS($N$2:N320),$N$2:$N$1001,0),0)))</f>
        <v>0</v>
      </c>
      <c r="B320" s="3">
        <f>IF(OR(INDEX($O$2:$O$1001,MATCH(ROWS($N$2:N320),$N$2:$N$1001,0),1)&gt;=100000,INDEX($U$1005:$AC$1005,1,MATCH(COLUMNS($U$1006:U1006),$U$1006:$AC$1006,0))&gt;=100000), " ",IF(INDEX($U$2:$AC$1001,MATCH(ROWS($N$2:N320),$N$2:$N$1001,0),MATCH(COLUMNS($U$1006:U1006),$U$1006:$AC$1006,0)), HYPERLINK("#",""), HYPERLINK(CONCATENATE("#metadata!", ADDRESS(INDEX($P$2:$P$1001,MATCH(ROWS($N$2:N320),$N$2:$N$1001,0),0), INDEX($U$1004:$AC$1004,1,MATCH(COLUMNS($U$1006:U1006),$U$1006:$AC$1006,0)))),"Fix")))</f>
        <v>0</v>
      </c>
      <c r="C320" s="3">
        <f>IF(OR(INDEX($O$2:$O$1001,MATCH(ROWS($N$2:N320),$N$2:$N$1001,0),1)&gt;=100000,INDEX($U$1005:$AC$1005,1,MATCH(COLUMNS($U$1006:V1006),$U$1006:$AC$1006,0))&gt;=100000), " ",IF(INDEX($U$2:$AC$1001,MATCH(ROWS($N$2:N320),$N$2:$N$1001,0),MATCH(COLUMNS($U$1006:V1006),$U$1006:$AC$1006,0)), HYPERLINK("#",""), HYPERLINK(CONCATENATE("#metadata!", ADDRESS(INDEX($P$2:$P$1001,MATCH(ROWS($N$2:N320),$N$2:$N$1001,0),0), INDEX($U$1004:$AC$1004,1,MATCH(COLUMNS($U$1006:V1006),$U$1006:$AC$1006,0)))),"Fix")))</f>
        <v>0</v>
      </c>
      <c r="D320" s="3">
        <f>IF(OR(INDEX($O$2:$O$1001,MATCH(ROWS($N$2:N320),$N$2:$N$1001,0),1)&gt;=100000,INDEX($U$1005:$AC$1005,1,MATCH(COLUMNS($U$1006:W1006),$U$1006:$AC$1006,0))&gt;=100000), " ",IF(INDEX($U$2:$AC$1001,MATCH(ROWS($N$2:N320),$N$2:$N$1001,0),MATCH(COLUMNS($U$1006:W1006),$U$1006:$AC$1006,0)), HYPERLINK("#",""), HYPERLINK(CONCATENATE("#metadata!", ADDRESS(INDEX($P$2:$P$1001,MATCH(ROWS($N$2:N320),$N$2:$N$1001,0),0), INDEX($U$1004:$AC$1004,1,MATCH(COLUMNS($U$1006:W1006),$U$1006:$AC$1006,0)))),"Fix")))</f>
        <v>0</v>
      </c>
      <c r="E320" s="3">
        <f>IF(OR(INDEX($O$2:$O$1001,MATCH(ROWS($N$2:N320),$N$2:$N$1001,0),1)&gt;=100000,INDEX($U$1005:$AC$1005,1,MATCH(COLUMNS($U$1006:X1006),$U$1006:$AC$1006,0))&gt;=100000), " ",IF(INDEX($U$2:$AC$1001,MATCH(ROWS($N$2:N320),$N$2:$N$1001,0),MATCH(COLUMNS($U$1006:X1006),$U$1006:$AC$1006,0)), HYPERLINK("#",""), HYPERLINK(CONCATENATE("#metadata!", ADDRESS(INDEX($P$2:$P$1001,MATCH(ROWS($N$2:N320),$N$2:$N$1001,0),0), INDEX($U$1004:$AC$1004,1,MATCH(COLUMNS($U$1006:X1006),$U$1006:$AC$1006,0)))),"Fix")))</f>
        <v>0</v>
      </c>
      <c r="F320" s="3">
        <f>IF(OR(INDEX($O$2:$O$1001,MATCH(ROWS($N$2:N320),$N$2:$N$1001,0),1)&gt;=100000,INDEX($U$1005:$AC$1005,1,MATCH(COLUMNS($U$1006:Y1006),$U$1006:$AC$1006,0))&gt;=100000), " ",IF(INDEX($U$2:$AC$1001,MATCH(ROWS($N$2:N320),$N$2:$N$1001,0),MATCH(COLUMNS($U$1006:Y1006),$U$1006:$AC$1006,0)), HYPERLINK("#",""), HYPERLINK(CONCATENATE("#metadata!", ADDRESS(INDEX($P$2:$P$1001,MATCH(ROWS($N$2:N320),$N$2:$N$1001,0),0), INDEX($U$1004:$AC$1004,1,MATCH(COLUMNS($U$1006:Y1006),$U$1006:$AC$1006,0)))),"Fix")))</f>
        <v>0</v>
      </c>
      <c r="G320" s="3">
        <f>IF(OR(INDEX($O$2:$O$1001,MATCH(ROWS($N$2:N320),$N$2:$N$1001,0),1)&gt;=100000,INDEX($U$1005:$AC$1005,1,MATCH(COLUMNS($U$1006:Z1006),$U$1006:$AC$1006,0))&gt;=100000), " ",IF(INDEX($U$2:$AC$1001,MATCH(ROWS($N$2:N320),$N$2:$N$1001,0),MATCH(COLUMNS($U$1006:Z1006),$U$1006:$AC$1006,0)), HYPERLINK("#",""), HYPERLINK(CONCATENATE("#metadata!", ADDRESS(INDEX($P$2:$P$1001,MATCH(ROWS($N$2:N320),$N$2:$N$1001,0),0), INDEX($U$1004:$AC$1004,1,MATCH(COLUMNS($U$1006:Z1006),$U$1006:$AC$1006,0)))),"Fix")))</f>
        <v>0</v>
      </c>
      <c r="H320" s="3">
        <f>IF(OR(INDEX($O$2:$O$1001,MATCH(ROWS($N$2:N320),$N$2:$N$1001,0),1)&gt;=100000,INDEX($U$1005:$AC$1005,1,MATCH(COLUMNS($U$1006:AA1006),$U$1006:$AC$1006,0))&gt;=100000), " ",IF(INDEX($U$2:$AC$1001,MATCH(ROWS($N$2:N320),$N$2:$N$1001,0),MATCH(COLUMNS($U$1006:AA1006),$U$1006:$AC$1006,0)), HYPERLINK("#",""), HYPERLINK(CONCATENATE("#metadata!", ADDRESS(INDEX($P$2:$P$1001,MATCH(ROWS($N$2:N320),$N$2:$N$1001,0),0), INDEX($U$1004:$AC$1004,1,MATCH(COLUMNS($U$1006:AA1006),$U$1006:$AC$1006,0)))),"Fix")))</f>
        <v>0</v>
      </c>
      <c r="I320" s="3">
        <f>IF(OR(INDEX($O$2:$O$1001,MATCH(ROWS($N$2:N320),$N$2:$N$1001,0),1)&gt;=100000,INDEX($U$1005:$AC$1005,1,MATCH(COLUMNS($U$1006:AB1006),$U$1006:$AC$1006,0))&gt;=100000), " ",IF(INDEX($U$2:$AC$1001,MATCH(ROWS($N$2:N320),$N$2:$N$1001,0),MATCH(COLUMNS($U$1006:AB1006),$U$1006:$AC$1006,0)), HYPERLINK("#",""), HYPERLINK(CONCATENATE("#metadata!", ADDRESS(INDEX($P$2:$P$1001,MATCH(ROWS($N$2:N320),$N$2:$N$1001,0),0), INDEX($U$1004:$AC$1004,1,MATCH(COLUMNS($U$1006:AB1006),$U$1006:$AC$1006,0)))),"Fix")))</f>
        <v>0</v>
      </c>
      <c r="J320" s="3">
        <f>IF(OR(INDEX($O$2:$O$1001,MATCH(ROWS($N$2:N320),$N$2:$N$1001,0),1)&gt;=100000,INDEX($U$1005:$AC$1005,1,MATCH(COLUMNS($U$1006:AC1006),$U$1006:$AC$1006,0))&gt;=100000), " ",IF(INDEX($U$2:$AC$1001,MATCH(ROWS($N$2:N320),$N$2:$N$1001,0),MATCH(COLUMNS($U$1006:AC1006),$U$1006:$AC$1006,0)), HYPERLINK("#",""), HYPERLINK(CONCATENATE("#metadata!", ADDRESS(INDEX($P$2:$P$1001,MATCH(ROWS($N$2:N320),$N$2:$N$1001,0),0), INDEX($U$1004:$AC$1004,1,MATCH(COLUMNS($U$1006:AC1006),$U$1006:$AC$1006,0)))),"Fix")))</f>
        <v>0</v>
      </c>
      <c r="N320">
        <v>0</v>
      </c>
      <c r="O320">
        <v>0</v>
      </c>
      <c r="P320">
        <v>0</v>
      </c>
      <c r="Q320">
        <f>IF(R320,TRUE,AND(U320:AC320))</f>
        <v>0</v>
      </c>
      <c r="R320">
        <f>COUNTBLANK(metadata!B320:J320)=COLUMNS(metadata!B320:J320)</f>
        <v>0</v>
      </c>
      <c r="S320">
        <v>0</v>
      </c>
      <c r="U320">
        <f>AND(IF(metadata!B320="",FALSE,TRUE),COUNTIF(metadata!B:B, metadata!B320) = 1,NOT(ISERROR(SUMPRODUCT(SEARCH(MID(metadata!B320,ROW(INDIRECT("1:"&amp;LEN(metadata!B320))), 1),"0123456789abcdefghijklmnopqrstuvwxyzABCDEFGHIJKLMNOPQRSTUVWXYZ.")))))</f>
        <v>0</v>
      </c>
      <c r="V320">
        <f>AND(IF(metadata!C320="",FALSE,TRUE),exact(metadata!C320,"UBERON:genitourinary"))</f>
        <v>0</v>
      </c>
      <c r="W320">
        <f>AND(IF(metadata!D320="",FALSE,TRUE),exact(metadata!D320,"UBERON:urine"))</f>
        <v>0</v>
      </c>
      <c r="X320">
        <f>AND(IF(metadata!E320="",FALSE,TRUE),exact(metadata!E320,"UBERON:kidney"))</f>
        <v>0</v>
      </c>
      <c r="Y320">
        <f>AND(IF(metadata!F320="",FALSE,TRUE),exact(metadata!F320,"animal corpus"))</f>
        <v>0</v>
      </c>
      <c r="Z320">
        <f>AND(IF(metadata!G320="",FALSE,TRUE),exact(metadata!G320,"urine"))</f>
        <v>0</v>
      </c>
      <c r="AA320">
        <f>AND(IF(metadata!H320="",FALSE,TRUE),exact(metadata!H320,"urine"))</f>
        <v>0</v>
      </c>
      <c r="AB320">
        <f>AND(IF(metadata!I320="",FALSE,TRUE),exact(metadata!I320,"urine metagenome"))</f>
        <v>0</v>
      </c>
      <c r="AC320">
        <f>AND(IF(metadata!J320="",FALSE,TRUE),exact(metadata!J320,"1346744"))</f>
        <v>0</v>
      </c>
    </row>
    <row r="321" spans="1:29">
      <c r="A321" s="4">
        <f>IF(B321=" "," ",HYPERLINK(CONCATENATE("#metadata!",ADDRESS(INDEX($P$2:$P$1001,MATCH(ROWS($N$2:N321),$N$2:$N$1001,0),0),1)),INDEX($S$2:$S$1001,MATCH(ROWS($N$2:N321),$N$2:$N$1001,0),0)))</f>
        <v>0</v>
      </c>
      <c r="B321" s="3">
        <f>IF(OR(INDEX($O$2:$O$1001,MATCH(ROWS($N$2:N321),$N$2:$N$1001,0),1)&gt;=100000,INDEX($U$1005:$AC$1005,1,MATCH(COLUMNS($U$1006:U1006),$U$1006:$AC$1006,0))&gt;=100000), " ",IF(INDEX($U$2:$AC$1001,MATCH(ROWS($N$2:N321),$N$2:$N$1001,0),MATCH(COLUMNS($U$1006:U1006),$U$1006:$AC$1006,0)), HYPERLINK("#",""), HYPERLINK(CONCATENATE("#metadata!", ADDRESS(INDEX($P$2:$P$1001,MATCH(ROWS($N$2:N321),$N$2:$N$1001,0),0), INDEX($U$1004:$AC$1004,1,MATCH(COLUMNS($U$1006:U1006),$U$1006:$AC$1006,0)))),"Fix")))</f>
        <v>0</v>
      </c>
      <c r="C321" s="3">
        <f>IF(OR(INDEX($O$2:$O$1001,MATCH(ROWS($N$2:N321),$N$2:$N$1001,0),1)&gt;=100000,INDEX($U$1005:$AC$1005,1,MATCH(COLUMNS($U$1006:V1006),$U$1006:$AC$1006,0))&gt;=100000), " ",IF(INDEX($U$2:$AC$1001,MATCH(ROWS($N$2:N321),$N$2:$N$1001,0),MATCH(COLUMNS($U$1006:V1006),$U$1006:$AC$1006,0)), HYPERLINK("#",""), HYPERLINK(CONCATENATE("#metadata!", ADDRESS(INDEX($P$2:$P$1001,MATCH(ROWS($N$2:N321),$N$2:$N$1001,0),0), INDEX($U$1004:$AC$1004,1,MATCH(COLUMNS($U$1006:V1006),$U$1006:$AC$1006,0)))),"Fix")))</f>
        <v>0</v>
      </c>
      <c r="D321" s="3">
        <f>IF(OR(INDEX($O$2:$O$1001,MATCH(ROWS($N$2:N321),$N$2:$N$1001,0),1)&gt;=100000,INDEX($U$1005:$AC$1005,1,MATCH(COLUMNS($U$1006:W1006),$U$1006:$AC$1006,0))&gt;=100000), " ",IF(INDEX($U$2:$AC$1001,MATCH(ROWS($N$2:N321),$N$2:$N$1001,0),MATCH(COLUMNS($U$1006:W1006),$U$1006:$AC$1006,0)), HYPERLINK("#",""), HYPERLINK(CONCATENATE("#metadata!", ADDRESS(INDEX($P$2:$P$1001,MATCH(ROWS($N$2:N321),$N$2:$N$1001,0),0), INDEX($U$1004:$AC$1004,1,MATCH(COLUMNS($U$1006:W1006),$U$1006:$AC$1006,0)))),"Fix")))</f>
        <v>0</v>
      </c>
      <c r="E321" s="3">
        <f>IF(OR(INDEX($O$2:$O$1001,MATCH(ROWS($N$2:N321),$N$2:$N$1001,0),1)&gt;=100000,INDEX($U$1005:$AC$1005,1,MATCH(COLUMNS($U$1006:X1006),$U$1006:$AC$1006,0))&gt;=100000), " ",IF(INDEX($U$2:$AC$1001,MATCH(ROWS($N$2:N321),$N$2:$N$1001,0),MATCH(COLUMNS($U$1006:X1006),$U$1006:$AC$1006,0)), HYPERLINK("#",""), HYPERLINK(CONCATENATE("#metadata!", ADDRESS(INDEX($P$2:$P$1001,MATCH(ROWS($N$2:N321),$N$2:$N$1001,0),0), INDEX($U$1004:$AC$1004,1,MATCH(COLUMNS($U$1006:X1006),$U$1006:$AC$1006,0)))),"Fix")))</f>
        <v>0</v>
      </c>
      <c r="F321" s="3">
        <f>IF(OR(INDEX($O$2:$O$1001,MATCH(ROWS($N$2:N321),$N$2:$N$1001,0),1)&gt;=100000,INDEX($U$1005:$AC$1005,1,MATCH(COLUMNS($U$1006:Y1006),$U$1006:$AC$1006,0))&gt;=100000), " ",IF(INDEX($U$2:$AC$1001,MATCH(ROWS($N$2:N321),$N$2:$N$1001,0),MATCH(COLUMNS($U$1006:Y1006),$U$1006:$AC$1006,0)), HYPERLINK("#",""), HYPERLINK(CONCATENATE("#metadata!", ADDRESS(INDEX($P$2:$P$1001,MATCH(ROWS($N$2:N321),$N$2:$N$1001,0),0), INDEX($U$1004:$AC$1004,1,MATCH(COLUMNS($U$1006:Y1006),$U$1006:$AC$1006,0)))),"Fix")))</f>
        <v>0</v>
      </c>
      <c r="G321" s="3">
        <f>IF(OR(INDEX($O$2:$O$1001,MATCH(ROWS($N$2:N321),$N$2:$N$1001,0),1)&gt;=100000,INDEX($U$1005:$AC$1005,1,MATCH(COLUMNS($U$1006:Z1006),$U$1006:$AC$1006,0))&gt;=100000), " ",IF(INDEX($U$2:$AC$1001,MATCH(ROWS($N$2:N321),$N$2:$N$1001,0),MATCH(COLUMNS($U$1006:Z1006),$U$1006:$AC$1006,0)), HYPERLINK("#",""), HYPERLINK(CONCATENATE("#metadata!", ADDRESS(INDEX($P$2:$P$1001,MATCH(ROWS($N$2:N321),$N$2:$N$1001,0),0), INDEX($U$1004:$AC$1004,1,MATCH(COLUMNS($U$1006:Z1006),$U$1006:$AC$1006,0)))),"Fix")))</f>
        <v>0</v>
      </c>
      <c r="H321" s="3">
        <f>IF(OR(INDEX($O$2:$O$1001,MATCH(ROWS($N$2:N321),$N$2:$N$1001,0),1)&gt;=100000,INDEX($U$1005:$AC$1005,1,MATCH(COLUMNS($U$1006:AA1006),$U$1006:$AC$1006,0))&gt;=100000), " ",IF(INDEX($U$2:$AC$1001,MATCH(ROWS($N$2:N321),$N$2:$N$1001,0),MATCH(COLUMNS($U$1006:AA1006),$U$1006:$AC$1006,0)), HYPERLINK("#",""), HYPERLINK(CONCATENATE("#metadata!", ADDRESS(INDEX($P$2:$P$1001,MATCH(ROWS($N$2:N321),$N$2:$N$1001,0),0), INDEX($U$1004:$AC$1004,1,MATCH(COLUMNS($U$1006:AA1006),$U$1006:$AC$1006,0)))),"Fix")))</f>
        <v>0</v>
      </c>
      <c r="I321" s="3">
        <f>IF(OR(INDEX($O$2:$O$1001,MATCH(ROWS($N$2:N321),$N$2:$N$1001,0),1)&gt;=100000,INDEX($U$1005:$AC$1005,1,MATCH(COLUMNS($U$1006:AB1006),$U$1006:$AC$1006,0))&gt;=100000), " ",IF(INDEX($U$2:$AC$1001,MATCH(ROWS($N$2:N321),$N$2:$N$1001,0),MATCH(COLUMNS($U$1006:AB1006),$U$1006:$AC$1006,0)), HYPERLINK("#",""), HYPERLINK(CONCATENATE("#metadata!", ADDRESS(INDEX($P$2:$P$1001,MATCH(ROWS($N$2:N321),$N$2:$N$1001,0),0), INDEX($U$1004:$AC$1004,1,MATCH(COLUMNS($U$1006:AB1006),$U$1006:$AC$1006,0)))),"Fix")))</f>
        <v>0</v>
      </c>
      <c r="J321" s="3">
        <f>IF(OR(INDEX($O$2:$O$1001,MATCH(ROWS($N$2:N321),$N$2:$N$1001,0),1)&gt;=100000,INDEX($U$1005:$AC$1005,1,MATCH(COLUMNS($U$1006:AC1006),$U$1006:$AC$1006,0))&gt;=100000), " ",IF(INDEX($U$2:$AC$1001,MATCH(ROWS($N$2:N321),$N$2:$N$1001,0),MATCH(COLUMNS($U$1006:AC1006),$U$1006:$AC$1006,0)), HYPERLINK("#",""), HYPERLINK(CONCATENATE("#metadata!", ADDRESS(INDEX($P$2:$P$1001,MATCH(ROWS($N$2:N321),$N$2:$N$1001,0),0), INDEX($U$1004:$AC$1004,1,MATCH(COLUMNS($U$1006:AC1006),$U$1006:$AC$1006,0)))),"Fix")))</f>
        <v>0</v>
      </c>
      <c r="N321">
        <v>0</v>
      </c>
      <c r="O321">
        <v>0</v>
      </c>
      <c r="P321">
        <v>0</v>
      </c>
      <c r="Q321">
        <f>IF(R321,TRUE,AND(U321:AC321))</f>
        <v>0</v>
      </c>
      <c r="R321">
        <f>COUNTBLANK(metadata!B321:J321)=COLUMNS(metadata!B321:J321)</f>
        <v>0</v>
      </c>
      <c r="S321">
        <v>0</v>
      </c>
      <c r="U321">
        <f>AND(IF(metadata!B321="",FALSE,TRUE),COUNTIF(metadata!B:B, metadata!B321) = 1,NOT(ISERROR(SUMPRODUCT(SEARCH(MID(metadata!B321,ROW(INDIRECT("1:"&amp;LEN(metadata!B321))), 1),"0123456789abcdefghijklmnopqrstuvwxyzABCDEFGHIJKLMNOPQRSTUVWXYZ.")))))</f>
        <v>0</v>
      </c>
      <c r="V321">
        <f>AND(IF(metadata!C321="",FALSE,TRUE),exact(metadata!C321,"UBERON:genitourinary"))</f>
        <v>0</v>
      </c>
      <c r="W321">
        <f>AND(IF(metadata!D321="",FALSE,TRUE),exact(metadata!D321,"UBERON:urine"))</f>
        <v>0</v>
      </c>
      <c r="X321">
        <f>AND(IF(metadata!E321="",FALSE,TRUE),exact(metadata!E321,"UBERON:kidney"))</f>
        <v>0</v>
      </c>
      <c r="Y321">
        <f>AND(IF(metadata!F321="",FALSE,TRUE),exact(metadata!F321,"animal corpus"))</f>
        <v>0</v>
      </c>
      <c r="Z321">
        <f>AND(IF(metadata!G321="",FALSE,TRUE),exact(metadata!G321,"urine"))</f>
        <v>0</v>
      </c>
      <c r="AA321">
        <f>AND(IF(metadata!H321="",FALSE,TRUE),exact(metadata!H321,"urine"))</f>
        <v>0</v>
      </c>
      <c r="AB321">
        <f>AND(IF(metadata!I321="",FALSE,TRUE),exact(metadata!I321,"urine metagenome"))</f>
        <v>0</v>
      </c>
      <c r="AC321">
        <f>AND(IF(metadata!J321="",FALSE,TRUE),exact(metadata!J321,"1346744"))</f>
        <v>0</v>
      </c>
    </row>
    <row r="322" spans="1:29">
      <c r="A322" s="4">
        <f>IF(B322=" "," ",HYPERLINK(CONCATENATE("#metadata!",ADDRESS(INDEX($P$2:$P$1001,MATCH(ROWS($N$2:N322),$N$2:$N$1001,0),0),1)),INDEX($S$2:$S$1001,MATCH(ROWS($N$2:N322),$N$2:$N$1001,0),0)))</f>
        <v>0</v>
      </c>
      <c r="B322" s="3">
        <f>IF(OR(INDEX($O$2:$O$1001,MATCH(ROWS($N$2:N322),$N$2:$N$1001,0),1)&gt;=100000,INDEX($U$1005:$AC$1005,1,MATCH(COLUMNS($U$1006:U1006),$U$1006:$AC$1006,0))&gt;=100000), " ",IF(INDEX($U$2:$AC$1001,MATCH(ROWS($N$2:N322),$N$2:$N$1001,0),MATCH(COLUMNS($U$1006:U1006),$U$1006:$AC$1006,0)), HYPERLINK("#",""), HYPERLINK(CONCATENATE("#metadata!", ADDRESS(INDEX($P$2:$P$1001,MATCH(ROWS($N$2:N322),$N$2:$N$1001,0),0), INDEX($U$1004:$AC$1004,1,MATCH(COLUMNS($U$1006:U1006),$U$1006:$AC$1006,0)))),"Fix")))</f>
        <v>0</v>
      </c>
      <c r="C322" s="3">
        <f>IF(OR(INDEX($O$2:$O$1001,MATCH(ROWS($N$2:N322),$N$2:$N$1001,0),1)&gt;=100000,INDEX($U$1005:$AC$1005,1,MATCH(COLUMNS($U$1006:V1006),$U$1006:$AC$1006,0))&gt;=100000), " ",IF(INDEX($U$2:$AC$1001,MATCH(ROWS($N$2:N322),$N$2:$N$1001,0),MATCH(COLUMNS($U$1006:V1006),$U$1006:$AC$1006,0)), HYPERLINK("#",""), HYPERLINK(CONCATENATE("#metadata!", ADDRESS(INDEX($P$2:$P$1001,MATCH(ROWS($N$2:N322),$N$2:$N$1001,0),0), INDEX($U$1004:$AC$1004,1,MATCH(COLUMNS($U$1006:V1006),$U$1006:$AC$1006,0)))),"Fix")))</f>
        <v>0</v>
      </c>
      <c r="D322" s="3">
        <f>IF(OR(INDEX($O$2:$O$1001,MATCH(ROWS($N$2:N322),$N$2:$N$1001,0),1)&gt;=100000,INDEX($U$1005:$AC$1005,1,MATCH(COLUMNS($U$1006:W1006),$U$1006:$AC$1006,0))&gt;=100000), " ",IF(INDEX($U$2:$AC$1001,MATCH(ROWS($N$2:N322),$N$2:$N$1001,0),MATCH(COLUMNS($U$1006:W1006),$U$1006:$AC$1006,0)), HYPERLINK("#",""), HYPERLINK(CONCATENATE("#metadata!", ADDRESS(INDEX($P$2:$P$1001,MATCH(ROWS($N$2:N322),$N$2:$N$1001,0),0), INDEX($U$1004:$AC$1004,1,MATCH(COLUMNS($U$1006:W1006),$U$1006:$AC$1006,0)))),"Fix")))</f>
        <v>0</v>
      </c>
      <c r="E322" s="3">
        <f>IF(OR(INDEX($O$2:$O$1001,MATCH(ROWS($N$2:N322),$N$2:$N$1001,0),1)&gt;=100000,INDEX($U$1005:$AC$1005,1,MATCH(COLUMNS($U$1006:X1006),$U$1006:$AC$1006,0))&gt;=100000), " ",IF(INDEX($U$2:$AC$1001,MATCH(ROWS($N$2:N322),$N$2:$N$1001,0),MATCH(COLUMNS($U$1006:X1006),$U$1006:$AC$1006,0)), HYPERLINK("#",""), HYPERLINK(CONCATENATE("#metadata!", ADDRESS(INDEX($P$2:$P$1001,MATCH(ROWS($N$2:N322),$N$2:$N$1001,0),0), INDEX($U$1004:$AC$1004,1,MATCH(COLUMNS($U$1006:X1006),$U$1006:$AC$1006,0)))),"Fix")))</f>
        <v>0</v>
      </c>
      <c r="F322" s="3">
        <f>IF(OR(INDEX($O$2:$O$1001,MATCH(ROWS($N$2:N322),$N$2:$N$1001,0),1)&gt;=100000,INDEX($U$1005:$AC$1005,1,MATCH(COLUMNS($U$1006:Y1006),$U$1006:$AC$1006,0))&gt;=100000), " ",IF(INDEX($U$2:$AC$1001,MATCH(ROWS($N$2:N322),$N$2:$N$1001,0),MATCH(COLUMNS($U$1006:Y1006),$U$1006:$AC$1006,0)), HYPERLINK("#",""), HYPERLINK(CONCATENATE("#metadata!", ADDRESS(INDEX($P$2:$P$1001,MATCH(ROWS($N$2:N322),$N$2:$N$1001,0),0), INDEX($U$1004:$AC$1004,1,MATCH(COLUMNS($U$1006:Y1006),$U$1006:$AC$1006,0)))),"Fix")))</f>
        <v>0</v>
      </c>
      <c r="G322" s="3">
        <f>IF(OR(INDEX($O$2:$O$1001,MATCH(ROWS($N$2:N322),$N$2:$N$1001,0),1)&gt;=100000,INDEX($U$1005:$AC$1005,1,MATCH(COLUMNS($U$1006:Z1006),$U$1006:$AC$1006,0))&gt;=100000), " ",IF(INDEX($U$2:$AC$1001,MATCH(ROWS($N$2:N322),$N$2:$N$1001,0),MATCH(COLUMNS($U$1006:Z1006),$U$1006:$AC$1006,0)), HYPERLINK("#",""), HYPERLINK(CONCATENATE("#metadata!", ADDRESS(INDEX($P$2:$P$1001,MATCH(ROWS($N$2:N322),$N$2:$N$1001,0),0), INDEX($U$1004:$AC$1004,1,MATCH(COLUMNS($U$1006:Z1006),$U$1006:$AC$1006,0)))),"Fix")))</f>
        <v>0</v>
      </c>
      <c r="H322" s="3">
        <f>IF(OR(INDEX($O$2:$O$1001,MATCH(ROWS($N$2:N322),$N$2:$N$1001,0),1)&gt;=100000,INDEX($U$1005:$AC$1005,1,MATCH(COLUMNS($U$1006:AA1006),$U$1006:$AC$1006,0))&gt;=100000), " ",IF(INDEX($U$2:$AC$1001,MATCH(ROWS($N$2:N322),$N$2:$N$1001,0),MATCH(COLUMNS($U$1006:AA1006),$U$1006:$AC$1006,0)), HYPERLINK("#",""), HYPERLINK(CONCATENATE("#metadata!", ADDRESS(INDEX($P$2:$P$1001,MATCH(ROWS($N$2:N322),$N$2:$N$1001,0),0), INDEX($U$1004:$AC$1004,1,MATCH(COLUMNS($U$1006:AA1006),$U$1006:$AC$1006,0)))),"Fix")))</f>
        <v>0</v>
      </c>
      <c r="I322" s="3">
        <f>IF(OR(INDEX($O$2:$O$1001,MATCH(ROWS($N$2:N322),$N$2:$N$1001,0),1)&gt;=100000,INDEX($U$1005:$AC$1005,1,MATCH(COLUMNS($U$1006:AB1006),$U$1006:$AC$1006,0))&gt;=100000), " ",IF(INDEX($U$2:$AC$1001,MATCH(ROWS($N$2:N322),$N$2:$N$1001,0),MATCH(COLUMNS($U$1006:AB1006),$U$1006:$AC$1006,0)), HYPERLINK("#",""), HYPERLINK(CONCATENATE("#metadata!", ADDRESS(INDEX($P$2:$P$1001,MATCH(ROWS($N$2:N322),$N$2:$N$1001,0),0), INDEX($U$1004:$AC$1004,1,MATCH(COLUMNS($U$1006:AB1006),$U$1006:$AC$1006,0)))),"Fix")))</f>
        <v>0</v>
      </c>
      <c r="J322" s="3">
        <f>IF(OR(INDEX($O$2:$O$1001,MATCH(ROWS($N$2:N322),$N$2:$N$1001,0),1)&gt;=100000,INDEX($U$1005:$AC$1005,1,MATCH(COLUMNS($U$1006:AC1006),$U$1006:$AC$1006,0))&gt;=100000), " ",IF(INDEX($U$2:$AC$1001,MATCH(ROWS($N$2:N322),$N$2:$N$1001,0),MATCH(COLUMNS($U$1006:AC1006),$U$1006:$AC$1006,0)), HYPERLINK("#",""), HYPERLINK(CONCATENATE("#metadata!", ADDRESS(INDEX($P$2:$P$1001,MATCH(ROWS($N$2:N322),$N$2:$N$1001,0),0), INDEX($U$1004:$AC$1004,1,MATCH(COLUMNS($U$1006:AC1006),$U$1006:$AC$1006,0)))),"Fix")))</f>
        <v>0</v>
      </c>
      <c r="N322">
        <v>0</v>
      </c>
      <c r="O322">
        <v>0</v>
      </c>
      <c r="P322">
        <v>0</v>
      </c>
      <c r="Q322">
        <f>IF(R322,TRUE,AND(U322:AC322))</f>
        <v>0</v>
      </c>
      <c r="R322">
        <f>COUNTBLANK(metadata!B322:J322)=COLUMNS(metadata!B322:J322)</f>
        <v>0</v>
      </c>
      <c r="S322">
        <v>0</v>
      </c>
      <c r="U322">
        <f>AND(IF(metadata!B322="",FALSE,TRUE),COUNTIF(metadata!B:B, metadata!B322) = 1,NOT(ISERROR(SUMPRODUCT(SEARCH(MID(metadata!B322,ROW(INDIRECT("1:"&amp;LEN(metadata!B322))), 1),"0123456789abcdefghijklmnopqrstuvwxyzABCDEFGHIJKLMNOPQRSTUVWXYZ.")))))</f>
        <v>0</v>
      </c>
      <c r="V322">
        <f>AND(IF(metadata!C322="",FALSE,TRUE),exact(metadata!C322,"UBERON:genitourinary"))</f>
        <v>0</v>
      </c>
      <c r="W322">
        <f>AND(IF(metadata!D322="",FALSE,TRUE),exact(metadata!D322,"UBERON:urine"))</f>
        <v>0</v>
      </c>
      <c r="X322">
        <f>AND(IF(metadata!E322="",FALSE,TRUE),exact(metadata!E322,"UBERON:kidney"))</f>
        <v>0</v>
      </c>
      <c r="Y322">
        <f>AND(IF(metadata!F322="",FALSE,TRUE),exact(metadata!F322,"animal corpus"))</f>
        <v>0</v>
      </c>
      <c r="Z322">
        <f>AND(IF(metadata!G322="",FALSE,TRUE),exact(metadata!G322,"urine"))</f>
        <v>0</v>
      </c>
      <c r="AA322">
        <f>AND(IF(metadata!H322="",FALSE,TRUE),exact(metadata!H322,"urine"))</f>
        <v>0</v>
      </c>
      <c r="AB322">
        <f>AND(IF(metadata!I322="",FALSE,TRUE),exact(metadata!I322,"urine metagenome"))</f>
        <v>0</v>
      </c>
      <c r="AC322">
        <f>AND(IF(metadata!J322="",FALSE,TRUE),exact(metadata!J322,"1346744"))</f>
        <v>0</v>
      </c>
    </row>
    <row r="323" spans="1:29">
      <c r="A323" s="4">
        <f>IF(B323=" "," ",HYPERLINK(CONCATENATE("#metadata!",ADDRESS(INDEX($P$2:$P$1001,MATCH(ROWS($N$2:N323),$N$2:$N$1001,0),0),1)),INDEX($S$2:$S$1001,MATCH(ROWS($N$2:N323),$N$2:$N$1001,0),0)))</f>
        <v>0</v>
      </c>
      <c r="B323" s="3">
        <f>IF(OR(INDEX($O$2:$O$1001,MATCH(ROWS($N$2:N323),$N$2:$N$1001,0),1)&gt;=100000,INDEX($U$1005:$AC$1005,1,MATCH(COLUMNS($U$1006:U1006),$U$1006:$AC$1006,0))&gt;=100000), " ",IF(INDEX($U$2:$AC$1001,MATCH(ROWS($N$2:N323),$N$2:$N$1001,0),MATCH(COLUMNS($U$1006:U1006),$U$1006:$AC$1006,0)), HYPERLINK("#",""), HYPERLINK(CONCATENATE("#metadata!", ADDRESS(INDEX($P$2:$P$1001,MATCH(ROWS($N$2:N323),$N$2:$N$1001,0),0), INDEX($U$1004:$AC$1004,1,MATCH(COLUMNS($U$1006:U1006),$U$1006:$AC$1006,0)))),"Fix")))</f>
        <v>0</v>
      </c>
      <c r="C323" s="3">
        <f>IF(OR(INDEX($O$2:$O$1001,MATCH(ROWS($N$2:N323),$N$2:$N$1001,0),1)&gt;=100000,INDEX($U$1005:$AC$1005,1,MATCH(COLUMNS($U$1006:V1006),$U$1006:$AC$1006,0))&gt;=100000), " ",IF(INDEX($U$2:$AC$1001,MATCH(ROWS($N$2:N323),$N$2:$N$1001,0),MATCH(COLUMNS($U$1006:V1006),$U$1006:$AC$1006,0)), HYPERLINK("#",""), HYPERLINK(CONCATENATE("#metadata!", ADDRESS(INDEX($P$2:$P$1001,MATCH(ROWS($N$2:N323),$N$2:$N$1001,0),0), INDEX($U$1004:$AC$1004,1,MATCH(COLUMNS($U$1006:V1006),$U$1006:$AC$1006,0)))),"Fix")))</f>
        <v>0</v>
      </c>
      <c r="D323" s="3">
        <f>IF(OR(INDEX($O$2:$O$1001,MATCH(ROWS($N$2:N323),$N$2:$N$1001,0),1)&gt;=100000,INDEX($U$1005:$AC$1005,1,MATCH(COLUMNS($U$1006:W1006),$U$1006:$AC$1006,0))&gt;=100000), " ",IF(INDEX($U$2:$AC$1001,MATCH(ROWS($N$2:N323),$N$2:$N$1001,0),MATCH(COLUMNS($U$1006:W1006),$U$1006:$AC$1006,0)), HYPERLINK("#",""), HYPERLINK(CONCATENATE("#metadata!", ADDRESS(INDEX($P$2:$P$1001,MATCH(ROWS($N$2:N323),$N$2:$N$1001,0),0), INDEX($U$1004:$AC$1004,1,MATCH(COLUMNS($U$1006:W1006),$U$1006:$AC$1006,0)))),"Fix")))</f>
        <v>0</v>
      </c>
      <c r="E323" s="3">
        <f>IF(OR(INDEX($O$2:$O$1001,MATCH(ROWS($N$2:N323),$N$2:$N$1001,0),1)&gt;=100000,INDEX($U$1005:$AC$1005,1,MATCH(COLUMNS($U$1006:X1006),$U$1006:$AC$1006,0))&gt;=100000), " ",IF(INDEX($U$2:$AC$1001,MATCH(ROWS($N$2:N323),$N$2:$N$1001,0),MATCH(COLUMNS($U$1006:X1006),$U$1006:$AC$1006,0)), HYPERLINK("#",""), HYPERLINK(CONCATENATE("#metadata!", ADDRESS(INDEX($P$2:$P$1001,MATCH(ROWS($N$2:N323),$N$2:$N$1001,0),0), INDEX($U$1004:$AC$1004,1,MATCH(COLUMNS($U$1006:X1006),$U$1006:$AC$1006,0)))),"Fix")))</f>
        <v>0</v>
      </c>
      <c r="F323" s="3">
        <f>IF(OR(INDEX($O$2:$O$1001,MATCH(ROWS($N$2:N323),$N$2:$N$1001,0),1)&gt;=100000,INDEX($U$1005:$AC$1005,1,MATCH(COLUMNS($U$1006:Y1006),$U$1006:$AC$1006,0))&gt;=100000), " ",IF(INDEX($U$2:$AC$1001,MATCH(ROWS($N$2:N323),$N$2:$N$1001,0),MATCH(COLUMNS($U$1006:Y1006),$U$1006:$AC$1006,0)), HYPERLINK("#",""), HYPERLINK(CONCATENATE("#metadata!", ADDRESS(INDEX($P$2:$P$1001,MATCH(ROWS($N$2:N323),$N$2:$N$1001,0),0), INDEX($U$1004:$AC$1004,1,MATCH(COLUMNS($U$1006:Y1006),$U$1006:$AC$1006,0)))),"Fix")))</f>
        <v>0</v>
      </c>
      <c r="G323" s="3">
        <f>IF(OR(INDEX($O$2:$O$1001,MATCH(ROWS($N$2:N323),$N$2:$N$1001,0),1)&gt;=100000,INDEX($U$1005:$AC$1005,1,MATCH(COLUMNS($U$1006:Z1006),$U$1006:$AC$1006,0))&gt;=100000), " ",IF(INDEX($U$2:$AC$1001,MATCH(ROWS($N$2:N323),$N$2:$N$1001,0),MATCH(COLUMNS($U$1006:Z1006),$U$1006:$AC$1006,0)), HYPERLINK("#",""), HYPERLINK(CONCATENATE("#metadata!", ADDRESS(INDEX($P$2:$P$1001,MATCH(ROWS($N$2:N323),$N$2:$N$1001,0),0), INDEX($U$1004:$AC$1004,1,MATCH(COLUMNS($U$1006:Z1006),$U$1006:$AC$1006,0)))),"Fix")))</f>
        <v>0</v>
      </c>
      <c r="H323" s="3">
        <f>IF(OR(INDEX($O$2:$O$1001,MATCH(ROWS($N$2:N323),$N$2:$N$1001,0),1)&gt;=100000,INDEX($U$1005:$AC$1005,1,MATCH(COLUMNS($U$1006:AA1006),$U$1006:$AC$1006,0))&gt;=100000), " ",IF(INDEX($U$2:$AC$1001,MATCH(ROWS($N$2:N323),$N$2:$N$1001,0),MATCH(COLUMNS($U$1006:AA1006),$U$1006:$AC$1006,0)), HYPERLINK("#",""), HYPERLINK(CONCATENATE("#metadata!", ADDRESS(INDEX($P$2:$P$1001,MATCH(ROWS($N$2:N323),$N$2:$N$1001,0),0), INDEX($U$1004:$AC$1004,1,MATCH(COLUMNS($U$1006:AA1006),$U$1006:$AC$1006,0)))),"Fix")))</f>
        <v>0</v>
      </c>
      <c r="I323" s="3">
        <f>IF(OR(INDEX($O$2:$O$1001,MATCH(ROWS($N$2:N323),$N$2:$N$1001,0),1)&gt;=100000,INDEX($U$1005:$AC$1005,1,MATCH(COLUMNS($U$1006:AB1006),$U$1006:$AC$1006,0))&gt;=100000), " ",IF(INDEX($U$2:$AC$1001,MATCH(ROWS($N$2:N323),$N$2:$N$1001,0),MATCH(COLUMNS($U$1006:AB1006),$U$1006:$AC$1006,0)), HYPERLINK("#",""), HYPERLINK(CONCATENATE("#metadata!", ADDRESS(INDEX($P$2:$P$1001,MATCH(ROWS($N$2:N323),$N$2:$N$1001,0),0), INDEX($U$1004:$AC$1004,1,MATCH(COLUMNS($U$1006:AB1006),$U$1006:$AC$1006,0)))),"Fix")))</f>
        <v>0</v>
      </c>
      <c r="J323" s="3">
        <f>IF(OR(INDEX($O$2:$O$1001,MATCH(ROWS($N$2:N323),$N$2:$N$1001,0),1)&gt;=100000,INDEX($U$1005:$AC$1005,1,MATCH(COLUMNS($U$1006:AC1006),$U$1006:$AC$1006,0))&gt;=100000), " ",IF(INDEX($U$2:$AC$1001,MATCH(ROWS($N$2:N323),$N$2:$N$1001,0),MATCH(COLUMNS($U$1006:AC1006),$U$1006:$AC$1006,0)), HYPERLINK("#",""), HYPERLINK(CONCATENATE("#metadata!", ADDRESS(INDEX($P$2:$P$1001,MATCH(ROWS($N$2:N323),$N$2:$N$1001,0),0), INDEX($U$1004:$AC$1004,1,MATCH(COLUMNS($U$1006:AC1006),$U$1006:$AC$1006,0)))),"Fix")))</f>
        <v>0</v>
      </c>
      <c r="N323">
        <v>0</v>
      </c>
      <c r="O323">
        <v>0</v>
      </c>
      <c r="P323">
        <v>0</v>
      </c>
      <c r="Q323">
        <f>IF(R323,TRUE,AND(U323:AC323))</f>
        <v>0</v>
      </c>
      <c r="R323">
        <f>COUNTBLANK(metadata!B323:J323)=COLUMNS(metadata!B323:J323)</f>
        <v>0</v>
      </c>
      <c r="S323">
        <v>0</v>
      </c>
      <c r="U323">
        <f>AND(IF(metadata!B323="",FALSE,TRUE),COUNTIF(metadata!B:B, metadata!B323) = 1,NOT(ISERROR(SUMPRODUCT(SEARCH(MID(metadata!B323,ROW(INDIRECT("1:"&amp;LEN(metadata!B323))), 1),"0123456789abcdefghijklmnopqrstuvwxyzABCDEFGHIJKLMNOPQRSTUVWXYZ.")))))</f>
        <v>0</v>
      </c>
      <c r="V323">
        <f>AND(IF(metadata!C323="",FALSE,TRUE),exact(metadata!C323,"UBERON:genitourinary"))</f>
        <v>0</v>
      </c>
      <c r="W323">
        <f>AND(IF(metadata!D323="",FALSE,TRUE),exact(metadata!D323,"UBERON:urine"))</f>
        <v>0</v>
      </c>
      <c r="X323">
        <f>AND(IF(metadata!E323="",FALSE,TRUE),exact(metadata!E323,"UBERON:kidney"))</f>
        <v>0</v>
      </c>
      <c r="Y323">
        <f>AND(IF(metadata!F323="",FALSE,TRUE),exact(metadata!F323,"animal corpus"))</f>
        <v>0</v>
      </c>
      <c r="Z323">
        <f>AND(IF(metadata!G323="",FALSE,TRUE),exact(metadata!G323,"urine"))</f>
        <v>0</v>
      </c>
      <c r="AA323">
        <f>AND(IF(metadata!H323="",FALSE,TRUE),exact(metadata!H323,"urine"))</f>
        <v>0</v>
      </c>
      <c r="AB323">
        <f>AND(IF(metadata!I323="",FALSE,TRUE),exact(metadata!I323,"urine metagenome"))</f>
        <v>0</v>
      </c>
      <c r="AC323">
        <f>AND(IF(metadata!J323="",FALSE,TRUE),exact(metadata!J323,"1346744"))</f>
        <v>0</v>
      </c>
    </row>
    <row r="324" spans="1:29">
      <c r="A324" s="4">
        <f>IF(B324=" "," ",HYPERLINK(CONCATENATE("#metadata!",ADDRESS(INDEX($P$2:$P$1001,MATCH(ROWS($N$2:N324),$N$2:$N$1001,0),0),1)),INDEX($S$2:$S$1001,MATCH(ROWS($N$2:N324),$N$2:$N$1001,0),0)))</f>
        <v>0</v>
      </c>
      <c r="B324" s="3">
        <f>IF(OR(INDEX($O$2:$O$1001,MATCH(ROWS($N$2:N324),$N$2:$N$1001,0),1)&gt;=100000,INDEX($U$1005:$AC$1005,1,MATCH(COLUMNS($U$1006:U1006),$U$1006:$AC$1006,0))&gt;=100000), " ",IF(INDEX($U$2:$AC$1001,MATCH(ROWS($N$2:N324),$N$2:$N$1001,0),MATCH(COLUMNS($U$1006:U1006),$U$1006:$AC$1006,0)), HYPERLINK("#",""), HYPERLINK(CONCATENATE("#metadata!", ADDRESS(INDEX($P$2:$P$1001,MATCH(ROWS($N$2:N324),$N$2:$N$1001,0),0), INDEX($U$1004:$AC$1004,1,MATCH(COLUMNS($U$1006:U1006),$U$1006:$AC$1006,0)))),"Fix")))</f>
        <v>0</v>
      </c>
      <c r="C324" s="3">
        <f>IF(OR(INDEX($O$2:$O$1001,MATCH(ROWS($N$2:N324),$N$2:$N$1001,0),1)&gt;=100000,INDEX($U$1005:$AC$1005,1,MATCH(COLUMNS($U$1006:V1006),$U$1006:$AC$1006,0))&gt;=100000), " ",IF(INDEX($U$2:$AC$1001,MATCH(ROWS($N$2:N324),$N$2:$N$1001,0),MATCH(COLUMNS($U$1006:V1006),$U$1006:$AC$1006,0)), HYPERLINK("#",""), HYPERLINK(CONCATENATE("#metadata!", ADDRESS(INDEX($P$2:$P$1001,MATCH(ROWS($N$2:N324),$N$2:$N$1001,0),0), INDEX($U$1004:$AC$1004,1,MATCH(COLUMNS($U$1006:V1006),$U$1006:$AC$1006,0)))),"Fix")))</f>
        <v>0</v>
      </c>
      <c r="D324" s="3">
        <f>IF(OR(INDEX($O$2:$O$1001,MATCH(ROWS($N$2:N324),$N$2:$N$1001,0),1)&gt;=100000,INDEX($U$1005:$AC$1005,1,MATCH(COLUMNS($U$1006:W1006),$U$1006:$AC$1006,0))&gt;=100000), " ",IF(INDEX($U$2:$AC$1001,MATCH(ROWS($N$2:N324),$N$2:$N$1001,0),MATCH(COLUMNS($U$1006:W1006),$U$1006:$AC$1006,0)), HYPERLINK("#",""), HYPERLINK(CONCATENATE("#metadata!", ADDRESS(INDEX($P$2:$P$1001,MATCH(ROWS($N$2:N324),$N$2:$N$1001,0),0), INDEX($U$1004:$AC$1004,1,MATCH(COLUMNS($U$1006:W1006),$U$1006:$AC$1006,0)))),"Fix")))</f>
        <v>0</v>
      </c>
      <c r="E324" s="3">
        <f>IF(OR(INDEX($O$2:$O$1001,MATCH(ROWS($N$2:N324),$N$2:$N$1001,0),1)&gt;=100000,INDEX($U$1005:$AC$1005,1,MATCH(COLUMNS($U$1006:X1006),$U$1006:$AC$1006,0))&gt;=100000), " ",IF(INDEX($U$2:$AC$1001,MATCH(ROWS($N$2:N324),$N$2:$N$1001,0),MATCH(COLUMNS($U$1006:X1006),$U$1006:$AC$1006,0)), HYPERLINK("#",""), HYPERLINK(CONCATENATE("#metadata!", ADDRESS(INDEX($P$2:$P$1001,MATCH(ROWS($N$2:N324),$N$2:$N$1001,0),0), INDEX($U$1004:$AC$1004,1,MATCH(COLUMNS($U$1006:X1006),$U$1006:$AC$1006,0)))),"Fix")))</f>
        <v>0</v>
      </c>
      <c r="F324" s="3">
        <f>IF(OR(INDEX($O$2:$O$1001,MATCH(ROWS($N$2:N324),$N$2:$N$1001,0),1)&gt;=100000,INDEX($U$1005:$AC$1005,1,MATCH(COLUMNS($U$1006:Y1006),$U$1006:$AC$1006,0))&gt;=100000), " ",IF(INDEX($U$2:$AC$1001,MATCH(ROWS($N$2:N324),$N$2:$N$1001,0),MATCH(COLUMNS($U$1006:Y1006),$U$1006:$AC$1006,0)), HYPERLINK("#",""), HYPERLINK(CONCATENATE("#metadata!", ADDRESS(INDEX($P$2:$P$1001,MATCH(ROWS($N$2:N324),$N$2:$N$1001,0),0), INDEX($U$1004:$AC$1004,1,MATCH(COLUMNS($U$1006:Y1006),$U$1006:$AC$1006,0)))),"Fix")))</f>
        <v>0</v>
      </c>
      <c r="G324" s="3">
        <f>IF(OR(INDEX($O$2:$O$1001,MATCH(ROWS($N$2:N324),$N$2:$N$1001,0),1)&gt;=100000,INDEX($U$1005:$AC$1005,1,MATCH(COLUMNS($U$1006:Z1006),$U$1006:$AC$1006,0))&gt;=100000), " ",IF(INDEX($U$2:$AC$1001,MATCH(ROWS($N$2:N324),$N$2:$N$1001,0),MATCH(COLUMNS($U$1006:Z1006),$U$1006:$AC$1006,0)), HYPERLINK("#",""), HYPERLINK(CONCATENATE("#metadata!", ADDRESS(INDEX($P$2:$P$1001,MATCH(ROWS($N$2:N324),$N$2:$N$1001,0),0), INDEX($U$1004:$AC$1004,1,MATCH(COLUMNS($U$1006:Z1006),$U$1006:$AC$1006,0)))),"Fix")))</f>
        <v>0</v>
      </c>
      <c r="H324" s="3">
        <f>IF(OR(INDEX($O$2:$O$1001,MATCH(ROWS($N$2:N324),$N$2:$N$1001,0),1)&gt;=100000,INDEX($U$1005:$AC$1005,1,MATCH(COLUMNS($U$1006:AA1006),$U$1006:$AC$1006,0))&gt;=100000), " ",IF(INDEX($U$2:$AC$1001,MATCH(ROWS($N$2:N324),$N$2:$N$1001,0),MATCH(COLUMNS($U$1006:AA1006),$U$1006:$AC$1006,0)), HYPERLINK("#",""), HYPERLINK(CONCATENATE("#metadata!", ADDRESS(INDEX($P$2:$P$1001,MATCH(ROWS($N$2:N324),$N$2:$N$1001,0),0), INDEX($U$1004:$AC$1004,1,MATCH(COLUMNS($U$1006:AA1006),$U$1006:$AC$1006,0)))),"Fix")))</f>
        <v>0</v>
      </c>
      <c r="I324" s="3">
        <f>IF(OR(INDEX($O$2:$O$1001,MATCH(ROWS($N$2:N324),$N$2:$N$1001,0),1)&gt;=100000,INDEX($U$1005:$AC$1005,1,MATCH(COLUMNS($U$1006:AB1006),$U$1006:$AC$1006,0))&gt;=100000), " ",IF(INDEX($U$2:$AC$1001,MATCH(ROWS($N$2:N324),$N$2:$N$1001,0),MATCH(COLUMNS($U$1006:AB1006),$U$1006:$AC$1006,0)), HYPERLINK("#",""), HYPERLINK(CONCATENATE("#metadata!", ADDRESS(INDEX($P$2:$P$1001,MATCH(ROWS($N$2:N324),$N$2:$N$1001,0),0), INDEX($U$1004:$AC$1004,1,MATCH(COLUMNS($U$1006:AB1006),$U$1006:$AC$1006,0)))),"Fix")))</f>
        <v>0</v>
      </c>
      <c r="J324" s="3">
        <f>IF(OR(INDEX($O$2:$O$1001,MATCH(ROWS($N$2:N324),$N$2:$N$1001,0),1)&gt;=100000,INDEX($U$1005:$AC$1005,1,MATCH(COLUMNS($U$1006:AC1006),$U$1006:$AC$1006,0))&gt;=100000), " ",IF(INDEX($U$2:$AC$1001,MATCH(ROWS($N$2:N324),$N$2:$N$1001,0),MATCH(COLUMNS($U$1006:AC1006),$U$1006:$AC$1006,0)), HYPERLINK("#",""), HYPERLINK(CONCATENATE("#metadata!", ADDRESS(INDEX($P$2:$P$1001,MATCH(ROWS($N$2:N324),$N$2:$N$1001,0),0), INDEX($U$1004:$AC$1004,1,MATCH(COLUMNS($U$1006:AC1006),$U$1006:$AC$1006,0)))),"Fix")))</f>
        <v>0</v>
      </c>
      <c r="N324">
        <v>0</v>
      </c>
      <c r="O324">
        <v>0</v>
      </c>
      <c r="P324">
        <v>0</v>
      </c>
      <c r="Q324">
        <f>IF(R324,TRUE,AND(U324:AC324))</f>
        <v>0</v>
      </c>
      <c r="R324">
        <f>COUNTBLANK(metadata!B324:J324)=COLUMNS(metadata!B324:J324)</f>
        <v>0</v>
      </c>
      <c r="S324">
        <v>0</v>
      </c>
      <c r="U324">
        <f>AND(IF(metadata!B324="",FALSE,TRUE),COUNTIF(metadata!B:B, metadata!B324) = 1,NOT(ISERROR(SUMPRODUCT(SEARCH(MID(metadata!B324,ROW(INDIRECT("1:"&amp;LEN(metadata!B324))), 1),"0123456789abcdefghijklmnopqrstuvwxyzABCDEFGHIJKLMNOPQRSTUVWXYZ.")))))</f>
        <v>0</v>
      </c>
      <c r="V324">
        <f>AND(IF(metadata!C324="",FALSE,TRUE),exact(metadata!C324,"UBERON:genitourinary"))</f>
        <v>0</v>
      </c>
      <c r="W324">
        <f>AND(IF(metadata!D324="",FALSE,TRUE),exact(metadata!D324,"UBERON:urine"))</f>
        <v>0</v>
      </c>
      <c r="X324">
        <f>AND(IF(metadata!E324="",FALSE,TRUE),exact(metadata!E324,"UBERON:kidney"))</f>
        <v>0</v>
      </c>
      <c r="Y324">
        <f>AND(IF(metadata!F324="",FALSE,TRUE),exact(metadata!F324,"animal corpus"))</f>
        <v>0</v>
      </c>
      <c r="Z324">
        <f>AND(IF(metadata!G324="",FALSE,TRUE),exact(metadata!G324,"urine"))</f>
        <v>0</v>
      </c>
      <c r="AA324">
        <f>AND(IF(metadata!H324="",FALSE,TRUE),exact(metadata!H324,"urine"))</f>
        <v>0</v>
      </c>
      <c r="AB324">
        <f>AND(IF(metadata!I324="",FALSE,TRUE),exact(metadata!I324,"urine metagenome"))</f>
        <v>0</v>
      </c>
      <c r="AC324">
        <f>AND(IF(metadata!J324="",FALSE,TRUE),exact(metadata!J324,"1346744"))</f>
        <v>0</v>
      </c>
    </row>
    <row r="325" spans="1:29">
      <c r="A325" s="4">
        <f>IF(B325=" "," ",HYPERLINK(CONCATENATE("#metadata!",ADDRESS(INDEX($P$2:$P$1001,MATCH(ROWS($N$2:N325),$N$2:$N$1001,0),0),1)),INDEX($S$2:$S$1001,MATCH(ROWS($N$2:N325),$N$2:$N$1001,0),0)))</f>
        <v>0</v>
      </c>
      <c r="B325" s="3">
        <f>IF(OR(INDEX($O$2:$O$1001,MATCH(ROWS($N$2:N325),$N$2:$N$1001,0),1)&gt;=100000,INDEX($U$1005:$AC$1005,1,MATCH(COLUMNS($U$1006:U1006),$U$1006:$AC$1006,0))&gt;=100000), " ",IF(INDEX($U$2:$AC$1001,MATCH(ROWS($N$2:N325),$N$2:$N$1001,0),MATCH(COLUMNS($U$1006:U1006),$U$1006:$AC$1006,0)), HYPERLINK("#",""), HYPERLINK(CONCATENATE("#metadata!", ADDRESS(INDEX($P$2:$P$1001,MATCH(ROWS($N$2:N325),$N$2:$N$1001,0),0), INDEX($U$1004:$AC$1004,1,MATCH(COLUMNS($U$1006:U1006),$U$1006:$AC$1006,0)))),"Fix")))</f>
        <v>0</v>
      </c>
      <c r="C325" s="3">
        <f>IF(OR(INDEX($O$2:$O$1001,MATCH(ROWS($N$2:N325),$N$2:$N$1001,0),1)&gt;=100000,INDEX($U$1005:$AC$1005,1,MATCH(COLUMNS($U$1006:V1006),$U$1006:$AC$1006,0))&gt;=100000), " ",IF(INDEX($U$2:$AC$1001,MATCH(ROWS($N$2:N325),$N$2:$N$1001,0),MATCH(COLUMNS($U$1006:V1006),$U$1006:$AC$1006,0)), HYPERLINK("#",""), HYPERLINK(CONCATENATE("#metadata!", ADDRESS(INDEX($P$2:$P$1001,MATCH(ROWS($N$2:N325),$N$2:$N$1001,0),0), INDEX($U$1004:$AC$1004,1,MATCH(COLUMNS($U$1006:V1006),$U$1006:$AC$1006,0)))),"Fix")))</f>
        <v>0</v>
      </c>
      <c r="D325" s="3">
        <f>IF(OR(INDEX($O$2:$O$1001,MATCH(ROWS($N$2:N325),$N$2:$N$1001,0),1)&gt;=100000,INDEX($U$1005:$AC$1005,1,MATCH(COLUMNS($U$1006:W1006),$U$1006:$AC$1006,0))&gt;=100000), " ",IF(INDEX($U$2:$AC$1001,MATCH(ROWS($N$2:N325),$N$2:$N$1001,0),MATCH(COLUMNS($U$1006:W1006),$U$1006:$AC$1006,0)), HYPERLINK("#",""), HYPERLINK(CONCATENATE("#metadata!", ADDRESS(INDEX($P$2:$P$1001,MATCH(ROWS($N$2:N325),$N$2:$N$1001,0),0), INDEX($U$1004:$AC$1004,1,MATCH(COLUMNS($U$1006:W1006),$U$1006:$AC$1006,0)))),"Fix")))</f>
        <v>0</v>
      </c>
      <c r="E325" s="3">
        <f>IF(OR(INDEX($O$2:$O$1001,MATCH(ROWS($N$2:N325),$N$2:$N$1001,0),1)&gt;=100000,INDEX($U$1005:$AC$1005,1,MATCH(COLUMNS($U$1006:X1006),$U$1006:$AC$1006,0))&gt;=100000), " ",IF(INDEX($U$2:$AC$1001,MATCH(ROWS($N$2:N325),$N$2:$N$1001,0),MATCH(COLUMNS($U$1006:X1006),$U$1006:$AC$1006,0)), HYPERLINK("#",""), HYPERLINK(CONCATENATE("#metadata!", ADDRESS(INDEX($P$2:$P$1001,MATCH(ROWS($N$2:N325),$N$2:$N$1001,0),0), INDEX($U$1004:$AC$1004,1,MATCH(COLUMNS($U$1006:X1006),$U$1006:$AC$1006,0)))),"Fix")))</f>
        <v>0</v>
      </c>
      <c r="F325" s="3">
        <f>IF(OR(INDEX($O$2:$O$1001,MATCH(ROWS($N$2:N325),$N$2:$N$1001,0),1)&gt;=100000,INDEX($U$1005:$AC$1005,1,MATCH(COLUMNS($U$1006:Y1006),$U$1006:$AC$1006,0))&gt;=100000), " ",IF(INDEX($U$2:$AC$1001,MATCH(ROWS($N$2:N325),$N$2:$N$1001,0),MATCH(COLUMNS($U$1006:Y1006),$U$1006:$AC$1006,0)), HYPERLINK("#",""), HYPERLINK(CONCATENATE("#metadata!", ADDRESS(INDEX($P$2:$P$1001,MATCH(ROWS($N$2:N325),$N$2:$N$1001,0),0), INDEX($U$1004:$AC$1004,1,MATCH(COLUMNS($U$1006:Y1006),$U$1006:$AC$1006,0)))),"Fix")))</f>
        <v>0</v>
      </c>
      <c r="G325" s="3">
        <f>IF(OR(INDEX($O$2:$O$1001,MATCH(ROWS($N$2:N325),$N$2:$N$1001,0),1)&gt;=100000,INDEX($U$1005:$AC$1005,1,MATCH(COLUMNS($U$1006:Z1006),$U$1006:$AC$1006,0))&gt;=100000), " ",IF(INDEX($U$2:$AC$1001,MATCH(ROWS($N$2:N325),$N$2:$N$1001,0),MATCH(COLUMNS($U$1006:Z1006),$U$1006:$AC$1006,0)), HYPERLINK("#",""), HYPERLINK(CONCATENATE("#metadata!", ADDRESS(INDEX($P$2:$P$1001,MATCH(ROWS($N$2:N325),$N$2:$N$1001,0),0), INDEX($U$1004:$AC$1004,1,MATCH(COLUMNS($U$1006:Z1006),$U$1006:$AC$1006,0)))),"Fix")))</f>
        <v>0</v>
      </c>
      <c r="H325" s="3">
        <f>IF(OR(INDEX($O$2:$O$1001,MATCH(ROWS($N$2:N325),$N$2:$N$1001,0),1)&gt;=100000,INDEX($U$1005:$AC$1005,1,MATCH(COLUMNS($U$1006:AA1006),$U$1006:$AC$1006,0))&gt;=100000), " ",IF(INDEX($U$2:$AC$1001,MATCH(ROWS($N$2:N325),$N$2:$N$1001,0),MATCH(COLUMNS($U$1006:AA1006),$U$1006:$AC$1006,0)), HYPERLINK("#",""), HYPERLINK(CONCATENATE("#metadata!", ADDRESS(INDEX($P$2:$P$1001,MATCH(ROWS($N$2:N325),$N$2:$N$1001,0),0), INDEX($U$1004:$AC$1004,1,MATCH(COLUMNS($U$1006:AA1006),$U$1006:$AC$1006,0)))),"Fix")))</f>
        <v>0</v>
      </c>
      <c r="I325" s="3">
        <f>IF(OR(INDEX($O$2:$O$1001,MATCH(ROWS($N$2:N325),$N$2:$N$1001,0),1)&gt;=100000,INDEX($U$1005:$AC$1005,1,MATCH(COLUMNS($U$1006:AB1006),$U$1006:$AC$1006,0))&gt;=100000), " ",IF(INDEX($U$2:$AC$1001,MATCH(ROWS($N$2:N325),$N$2:$N$1001,0),MATCH(COLUMNS($U$1006:AB1006),$U$1006:$AC$1006,0)), HYPERLINK("#",""), HYPERLINK(CONCATENATE("#metadata!", ADDRESS(INDEX($P$2:$P$1001,MATCH(ROWS($N$2:N325),$N$2:$N$1001,0),0), INDEX($U$1004:$AC$1004,1,MATCH(COLUMNS($U$1006:AB1006),$U$1006:$AC$1006,0)))),"Fix")))</f>
        <v>0</v>
      </c>
      <c r="J325" s="3">
        <f>IF(OR(INDEX($O$2:$O$1001,MATCH(ROWS($N$2:N325),$N$2:$N$1001,0),1)&gt;=100000,INDEX($U$1005:$AC$1005,1,MATCH(COLUMNS($U$1006:AC1006),$U$1006:$AC$1006,0))&gt;=100000), " ",IF(INDEX($U$2:$AC$1001,MATCH(ROWS($N$2:N325),$N$2:$N$1001,0),MATCH(COLUMNS($U$1006:AC1006),$U$1006:$AC$1006,0)), HYPERLINK("#",""), HYPERLINK(CONCATENATE("#metadata!", ADDRESS(INDEX($P$2:$P$1001,MATCH(ROWS($N$2:N325),$N$2:$N$1001,0),0), INDEX($U$1004:$AC$1004,1,MATCH(COLUMNS($U$1006:AC1006),$U$1006:$AC$1006,0)))),"Fix")))</f>
        <v>0</v>
      </c>
      <c r="N325">
        <v>0</v>
      </c>
      <c r="O325">
        <v>0</v>
      </c>
      <c r="P325">
        <v>0</v>
      </c>
      <c r="Q325">
        <f>IF(R325,TRUE,AND(U325:AC325))</f>
        <v>0</v>
      </c>
      <c r="R325">
        <f>COUNTBLANK(metadata!B325:J325)=COLUMNS(metadata!B325:J325)</f>
        <v>0</v>
      </c>
      <c r="S325">
        <v>0</v>
      </c>
      <c r="U325">
        <f>AND(IF(metadata!B325="",FALSE,TRUE),COUNTIF(metadata!B:B, metadata!B325) = 1,NOT(ISERROR(SUMPRODUCT(SEARCH(MID(metadata!B325,ROW(INDIRECT("1:"&amp;LEN(metadata!B325))), 1),"0123456789abcdefghijklmnopqrstuvwxyzABCDEFGHIJKLMNOPQRSTUVWXYZ.")))))</f>
        <v>0</v>
      </c>
      <c r="V325">
        <f>AND(IF(metadata!C325="",FALSE,TRUE),exact(metadata!C325,"UBERON:genitourinary"))</f>
        <v>0</v>
      </c>
      <c r="W325">
        <f>AND(IF(metadata!D325="",FALSE,TRUE),exact(metadata!D325,"UBERON:urine"))</f>
        <v>0</v>
      </c>
      <c r="X325">
        <f>AND(IF(metadata!E325="",FALSE,TRUE),exact(metadata!E325,"UBERON:kidney"))</f>
        <v>0</v>
      </c>
      <c r="Y325">
        <f>AND(IF(metadata!F325="",FALSE,TRUE),exact(metadata!F325,"animal corpus"))</f>
        <v>0</v>
      </c>
      <c r="Z325">
        <f>AND(IF(metadata!G325="",FALSE,TRUE),exact(metadata!G325,"urine"))</f>
        <v>0</v>
      </c>
      <c r="AA325">
        <f>AND(IF(metadata!H325="",FALSE,TRUE),exact(metadata!H325,"urine"))</f>
        <v>0</v>
      </c>
      <c r="AB325">
        <f>AND(IF(metadata!I325="",FALSE,TRUE),exact(metadata!I325,"urine metagenome"))</f>
        <v>0</v>
      </c>
      <c r="AC325">
        <f>AND(IF(metadata!J325="",FALSE,TRUE),exact(metadata!J325,"1346744"))</f>
        <v>0</v>
      </c>
    </row>
    <row r="326" spans="1:29">
      <c r="A326" s="4">
        <f>IF(B326=" "," ",HYPERLINK(CONCATENATE("#metadata!",ADDRESS(INDEX($P$2:$P$1001,MATCH(ROWS($N$2:N326),$N$2:$N$1001,0),0),1)),INDEX($S$2:$S$1001,MATCH(ROWS($N$2:N326),$N$2:$N$1001,0),0)))</f>
        <v>0</v>
      </c>
      <c r="B326" s="3">
        <f>IF(OR(INDEX($O$2:$O$1001,MATCH(ROWS($N$2:N326),$N$2:$N$1001,0),1)&gt;=100000,INDEX($U$1005:$AC$1005,1,MATCH(COLUMNS($U$1006:U1006),$U$1006:$AC$1006,0))&gt;=100000), " ",IF(INDEX($U$2:$AC$1001,MATCH(ROWS($N$2:N326),$N$2:$N$1001,0),MATCH(COLUMNS($U$1006:U1006),$U$1006:$AC$1006,0)), HYPERLINK("#",""), HYPERLINK(CONCATENATE("#metadata!", ADDRESS(INDEX($P$2:$P$1001,MATCH(ROWS($N$2:N326),$N$2:$N$1001,0),0), INDEX($U$1004:$AC$1004,1,MATCH(COLUMNS($U$1006:U1006),$U$1006:$AC$1006,0)))),"Fix")))</f>
        <v>0</v>
      </c>
      <c r="C326" s="3">
        <f>IF(OR(INDEX($O$2:$O$1001,MATCH(ROWS($N$2:N326),$N$2:$N$1001,0),1)&gt;=100000,INDEX($U$1005:$AC$1005,1,MATCH(COLUMNS($U$1006:V1006),$U$1006:$AC$1006,0))&gt;=100000), " ",IF(INDEX($U$2:$AC$1001,MATCH(ROWS($N$2:N326),$N$2:$N$1001,0),MATCH(COLUMNS($U$1006:V1006),$U$1006:$AC$1006,0)), HYPERLINK("#",""), HYPERLINK(CONCATENATE("#metadata!", ADDRESS(INDEX($P$2:$P$1001,MATCH(ROWS($N$2:N326),$N$2:$N$1001,0),0), INDEX($U$1004:$AC$1004,1,MATCH(COLUMNS($U$1006:V1006),$U$1006:$AC$1006,0)))),"Fix")))</f>
        <v>0</v>
      </c>
      <c r="D326" s="3">
        <f>IF(OR(INDEX($O$2:$O$1001,MATCH(ROWS($N$2:N326),$N$2:$N$1001,0),1)&gt;=100000,INDEX($U$1005:$AC$1005,1,MATCH(COLUMNS($U$1006:W1006),$U$1006:$AC$1006,0))&gt;=100000), " ",IF(INDEX($U$2:$AC$1001,MATCH(ROWS($N$2:N326),$N$2:$N$1001,0),MATCH(COLUMNS($U$1006:W1006),$U$1006:$AC$1006,0)), HYPERLINK("#",""), HYPERLINK(CONCATENATE("#metadata!", ADDRESS(INDEX($P$2:$P$1001,MATCH(ROWS($N$2:N326),$N$2:$N$1001,0),0), INDEX($U$1004:$AC$1004,1,MATCH(COLUMNS($U$1006:W1006),$U$1006:$AC$1006,0)))),"Fix")))</f>
        <v>0</v>
      </c>
      <c r="E326" s="3">
        <f>IF(OR(INDEX($O$2:$O$1001,MATCH(ROWS($N$2:N326),$N$2:$N$1001,0),1)&gt;=100000,INDEX($U$1005:$AC$1005,1,MATCH(COLUMNS($U$1006:X1006),$U$1006:$AC$1006,0))&gt;=100000), " ",IF(INDEX($U$2:$AC$1001,MATCH(ROWS($N$2:N326),$N$2:$N$1001,0),MATCH(COLUMNS($U$1006:X1006),$U$1006:$AC$1006,0)), HYPERLINK("#",""), HYPERLINK(CONCATENATE("#metadata!", ADDRESS(INDEX($P$2:$P$1001,MATCH(ROWS($N$2:N326),$N$2:$N$1001,0),0), INDEX($U$1004:$AC$1004,1,MATCH(COLUMNS($U$1006:X1006),$U$1006:$AC$1006,0)))),"Fix")))</f>
        <v>0</v>
      </c>
      <c r="F326" s="3">
        <f>IF(OR(INDEX($O$2:$O$1001,MATCH(ROWS($N$2:N326),$N$2:$N$1001,0),1)&gt;=100000,INDEX($U$1005:$AC$1005,1,MATCH(COLUMNS($U$1006:Y1006),$U$1006:$AC$1006,0))&gt;=100000), " ",IF(INDEX($U$2:$AC$1001,MATCH(ROWS($N$2:N326),$N$2:$N$1001,0),MATCH(COLUMNS($U$1006:Y1006),$U$1006:$AC$1006,0)), HYPERLINK("#",""), HYPERLINK(CONCATENATE("#metadata!", ADDRESS(INDEX($P$2:$P$1001,MATCH(ROWS($N$2:N326),$N$2:$N$1001,0),0), INDEX($U$1004:$AC$1004,1,MATCH(COLUMNS($U$1006:Y1006),$U$1006:$AC$1006,0)))),"Fix")))</f>
        <v>0</v>
      </c>
      <c r="G326" s="3">
        <f>IF(OR(INDEX($O$2:$O$1001,MATCH(ROWS($N$2:N326),$N$2:$N$1001,0),1)&gt;=100000,INDEX($U$1005:$AC$1005,1,MATCH(COLUMNS($U$1006:Z1006),$U$1006:$AC$1006,0))&gt;=100000), " ",IF(INDEX($U$2:$AC$1001,MATCH(ROWS($N$2:N326),$N$2:$N$1001,0),MATCH(COLUMNS($U$1006:Z1006),$U$1006:$AC$1006,0)), HYPERLINK("#",""), HYPERLINK(CONCATENATE("#metadata!", ADDRESS(INDEX($P$2:$P$1001,MATCH(ROWS($N$2:N326),$N$2:$N$1001,0),0), INDEX($U$1004:$AC$1004,1,MATCH(COLUMNS($U$1006:Z1006),$U$1006:$AC$1006,0)))),"Fix")))</f>
        <v>0</v>
      </c>
      <c r="H326" s="3">
        <f>IF(OR(INDEX($O$2:$O$1001,MATCH(ROWS($N$2:N326),$N$2:$N$1001,0),1)&gt;=100000,INDEX($U$1005:$AC$1005,1,MATCH(COLUMNS($U$1006:AA1006),$U$1006:$AC$1006,0))&gt;=100000), " ",IF(INDEX($U$2:$AC$1001,MATCH(ROWS($N$2:N326),$N$2:$N$1001,0),MATCH(COLUMNS($U$1006:AA1006),$U$1006:$AC$1006,0)), HYPERLINK("#",""), HYPERLINK(CONCATENATE("#metadata!", ADDRESS(INDEX($P$2:$P$1001,MATCH(ROWS($N$2:N326),$N$2:$N$1001,0),0), INDEX($U$1004:$AC$1004,1,MATCH(COLUMNS($U$1006:AA1006),$U$1006:$AC$1006,0)))),"Fix")))</f>
        <v>0</v>
      </c>
      <c r="I326" s="3">
        <f>IF(OR(INDEX($O$2:$O$1001,MATCH(ROWS($N$2:N326),$N$2:$N$1001,0),1)&gt;=100000,INDEX($U$1005:$AC$1005,1,MATCH(COLUMNS($U$1006:AB1006),$U$1006:$AC$1006,0))&gt;=100000), " ",IF(INDEX($U$2:$AC$1001,MATCH(ROWS($N$2:N326),$N$2:$N$1001,0),MATCH(COLUMNS($U$1006:AB1006),$U$1006:$AC$1006,0)), HYPERLINK("#",""), HYPERLINK(CONCATENATE("#metadata!", ADDRESS(INDEX($P$2:$P$1001,MATCH(ROWS($N$2:N326),$N$2:$N$1001,0),0), INDEX($U$1004:$AC$1004,1,MATCH(COLUMNS($U$1006:AB1006),$U$1006:$AC$1006,0)))),"Fix")))</f>
        <v>0</v>
      </c>
      <c r="J326" s="3">
        <f>IF(OR(INDEX($O$2:$O$1001,MATCH(ROWS($N$2:N326),$N$2:$N$1001,0),1)&gt;=100000,INDEX($U$1005:$AC$1005,1,MATCH(COLUMNS($U$1006:AC1006),$U$1006:$AC$1006,0))&gt;=100000), " ",IF(INDEX($U$2:$AC$1001,MATCH(ROWS($N$2:N326),$N$2:$N$1001,0),MATCH(COLUMNS($U$1006:AC1006),$U$1006:$AC$1006,0)), HYPERLINK("#",""), HYPERLINK(CONCATENATE("#metadata!", ADDRESS(INDEX($P$2:$P$1001,MATCH(ROWS($N$2:N326),$N$2:$N$1001,0),0), INDEX($U$1004:$AC$1004,1,MATCH(COLUMNS($U$1006:AC1006),$U$1006:$AC$1006,0)))),"Fix")))</f>
        <v>0</v>
      </c>
      <c r="N326">
        <v>0</v>
      </c>
      <c r="O326">
        <v>0</v>
      </c>
      <c r="P326">
        <v>0</v>
      </c>
      <c r="Q326">
        <f>IF(R326,TRUE,AND(U326:AC326))</f>
        <v>0</v>
      </c>
      <c r="R326">
        <f>COUNTBLANK(metadata!B326:J326)=COLUMNS(metadata!B326:J326)</f>
        <v>0</v>
      </c>
      <c r="S326">
        <v>0</v>
      </c>
      <c r="U326">
        <f>AND(IF(metadata!B326="",FALSE,TRUE),COUNTIF(metadata!B:B, metadata!B326) = 1,NOT(ISERROR(SUMPRODUCT(SEARCH(MID(metadata!B326,ROW(INDIRECT("1:"&amp;LEN(metadata!B326))), 1),"0123456789abcdefghijklmnopqrstuvwxyzABCDEFGHIJKLMNOPQRSTUVWXYZ.")))))</f>
        <v>0</v>
      </c>
      <c r="V326">
        <f>AND(IF(metadata!C326="",FALSE,TRUE),exact(metadata!C326,"UBERON:genitourinary"))</f>
        <v>0</v>
      </c>
      <c r="W326">
        <f>AND(IF(metadata!D326="",FALSE,TRUE),exact(metadata!D326,"UBERON:urine"))</f>
        <v>0</v>
      </c>
      <c r="X326">
        <f>AND(IF(metadata!E326="",FALSE,TRUE),exact(metadata!E326,"UBERON:kidney"))</f>
        <v>0</v>
      </c>
      <c r="Y326">
        <f>AND(IF(metadata!F326="",FALSE,TRUE),exact(metadata!F326,"animal corpus"))</f>
        <v>0</v>
      </c>
      <c r="Z326">
        <f>AND(IF(metadata!G326="",FALSE,TRUE),exact(metadata!G326,"urine"))</f>
        <v>0</v>
      </c>
      <c r="AA326">
        <f>AND(IF(metadata!H326="",FALSE,TRUE),exact(metadata!H326,"urine"))</f>
        <v>0</v>
      </c>
      <c r="AB326">
        <f>AND(IF(metadata!I326="",FALSE,TRUE),exact(metadata!I326,"urine metagenome"))</f>
        <v>0</v>
      </c>
      <c r="AC326">
        <f>AND(IF(metadata!J326="",FALSE,TRUE),exact(metadata!J326,"1346744"))</f>
        <v>0</v>
      </c>
    </row>
    <row r="327" spans="1:29">
      <c r="A327" s="4">
        <f>IF(B327=" "," ",HYPERLINK(CONCATENATE("#metadata!",ADDRESS(INDEX($P$2:$P$1001,MATCH(ROWS($N$2:N327),$N$2:$N$1001,0),0),1)),INDEX($S$2:$S$1001,MATCH(ROWS($N$2:N327),$N$2:$N$1001,0),0)))</f>
        <v>0</v>
      </c>
      <c r="B327" s="3">
        <f>IF(OR(INDEX($O$2:$O$1001,MATCH(ROWS($N$2:N327),$N$2:$N$1001,0),1)&gt;=100000,INDEX($U$1005:$AC$1005,1,MATCH(COLUMNS($U$1006:U1006),$U$1006:$AC$1006,0))&gt;=100000), " ",IF(INDEX($U$2:$AC$1001,MATCH(ROWS($N$2:N327),$N$2:$N$1001,0),MATCH(COLUMNS($U$1006:U1006),$U$1006:$AC$1006,0)), HYPERLINK("#",""), HYPERLINK(CONCATENATE("#metadata!", ADDRESS(INDEX($P$2:$P$1001,MATCH(ROWS($N$2:N327),$N$2:$N$1001,0),0), INDEX($U$1004:$AC$1004,1,MATCH(COLUMNS($U$1006:U1006),$U$1006:$AC$1006,0)))),"Fix")))</f>
        <v>0</v>
      </c>
      <c r="C327" s="3">
        <f>IF(OR(INDEX($O$2:$O$1001,MATCH(ROWS($N$2:N327),$N$2:$N$1001,0),1)&gt;=100000,INDEX($U$1005:$AC$1005,1,MATCH(COLUMNS($U$1006:V1006),$U$1006:$AC$1006,0))&gt;=100000), " ",IF(INDEX($U$2:$AC$1001,MATCH(ROWS($N$2:N327),$N$2:$N$1001,0),MATCH(COLUMNS($U$1006:V1006),$U$1006:$AC$1006,0)), HYPERLINK("#",""), HYPERLINK(CONCATENATE("#metadata!", ADDRESS(INDEX($P$2:$P$1001,MATCH(ROWS($N$2:N327),$N$2:$N$1001,0),0), INDEX($U$1004:$AC$1004,1,MATCH(COLUMNS($U$1006:V1006),$U$1006:$AC$1006,0)))),"Fix")))</f>
        <v>0</v>
      </c>
      <c r="D327" s="3">
        <f>IF(OR(INDEX($O$2:$O$1001,MATCH(ROWS($N$2:N327),$N$2:$N$1001,0),1)&gt;=100000,INDEX($U$1005:$AC$1005,1,MATCH(COLUMNS($U$1006:W1006),$U$1006:$AC$1006,0))&gt;=100000), " ",IF(INDEX($U$2:$AC$1001,MATCH(ROWS($N$2:N327),$N$2:$N$1001,0),MATCH(COLUMNS($U$1006:W1006),$U$1006:$AC$1006,0)), HYPERLINK("#",""), HYPERLINK(CONCATENATE("#metadata!", ADDRESS(INDEX($P$2:$P$1001,MATCH(ROWS($N$2:N327),$N$2:$N$1001,0),0), INDEX($U$1004:$AC$1004,1,MATCH(COLUMNS($U$1006:W1006),$U$1006:$AC$1006,0)))),"Fix")))</f>
        <v>0</v>
      </c>
      <c r="E327" s="3">
        <f>IF(OR(INDEX($O$2:$O$1001,MATCH(ROWS($N$2:N327),$N$2:$N$1001,0),1)&gt;=100000,INDEX($U$1005:$AC$1005,1,MATCH(COLUMNS($U$1006:X1006),$U$1006:$AC$1006,0))&gt;=100000), " ",IF(INDEX($U$2:$AC$1001,MATCH(ROWS($N$2:N327),$N$2:$N$1001,0),MATCH(COLUMNS($U$1006:X1006),$U$1006:$AC$1006,0)), HYPERLINK("#",""), HYPERLINK(CONCATENATE("#metadata!", ADDRESS(INDEX($P$2:$P$1001,MATCH(ROWS($N$2:N327),$N$2:$N$1001,0),0), INDEX($U$1004:$AC$1004,1,MATCH(COLUMNS($U$1006:X1006),$U$1006:$AC$1006,0)))),"Fix")))</f>
        <v>0</v>
      </c>
      <c r="F327" s="3">
        <f>IF(OR(INDEX($O$2:$O$1001,MATCH(ROWS($N$2:N327),$N$2:$N$1001,0),1)&gt;=100000,INDEX($U$1005:$AC$1005,1,MATCH(COLUMNS($U$1006:Y1006),$U$1006:$AC$1006,0))&gt;=100000), " ",IF(INDEX($U$2:$AC$1001,MATCH(ROWS($N$2:N327),$N$2:$N$1001,0),MATCH(COLUMNS($U$1006:Y1006),$U$1006:$AC$1006,0)), HYPERLINK("#",""), HYPERLINK(CONCATENATE("#metadata!", ADDRESS(INDEX($P$2:$P$1001,MATCH(ROWS($N$2:N327),$N$2:$N$1001,0),0), INDEX($U$1004:$AC$1004,1,MATCH(COLUMNS($U$1006:Y1006),$U$1006:$AC$1006,0)))),"Fix")))</f>
        <v>0</v>
      </c>
      <c r="G327" s="3">
        <f>IF(OR(INDEX($O$2:$O$1001,MATCH(ROWS($N$2:N327),$N$2:$N$1001,0),1)&gt;=100000,INDEX($U$1005:$AC$1005,1,MATCH(COLUMNS($U$1006:Z1006),$U$1006:$AC$1006,0))&gt;=100000), " ",IF(INDEX($U$2:$AC$1001,MATCH(ROWS($N$2:N327),$N$2:$N$1001,0),MATCH(COLUMNS($U$1006:Z1006),$U$1006:$AC$1006,0)), HYPERLINK("#",""), HYPERLINK(CONCATENATE("#metadata!", ADDRESS(INDEX($P$2:$P$1001,MATCH(ROWS($N$2:N327),$N$2:$N$1001,0),0), INDEX($U$1004:$AC$1004,1,MATCH(COLUMNS($U$1006:Z1006),$U$1006:$AC$1006,0)))),"Fix")))</f>
        <v>0</v>
      </c>
      <c r="H327" s="3">
        <f>IF(OR(INDEX($O$2:$O$1001,MATCH(ROWS($N$2:N327),$N$2:$N$1001,0),1)&gt;=100000,INDEX($U$1005:$AC$1005,1,MATCH(COLUMNS($U$1006:AA1006),$U$1006:$AC$1006,0))&gt;=100000), " ",IF(INDEX($U$2:$AC$1001,MATCH(ROWS($N$2:N327),$N$2:$N$1001,0),MATCH(COLUMNS($U$1006:AA1006),$U$1006:$AC$1006,0)), HYPERLINK("#",""), HYPERLINK(CONCATENATE("#metadata!", ADDRESS(INDEX($P$2:$P$1001,MATCH(ROWS($N$2:N327),$N$2:$N$1001,0),0), INDEX($U$1004:$AC$1004,1,MATCH(COLUMNS($U$1006:AA1006),$U$1006:$AC$1006,0)))),"Fix")))</f>
        <v>0</v>
      </c>
      <c r="I327" s="3">
        <f>IF(OR(INDEX($O$2:$O$1001,MATCH(ROWS($N$2:N327),$N$2:$N$1001,0),1)&gt;=100000,INDEX($U$1005:$AC$1005,1,MATCH(COLUMNS($U$1006:AB1006),$U$1006:$AC$1006,0))&gt;=100000), " ",IF(INDEX($U$2:$AC$1001,MATCH(ROWS($N$2:N327),$N$2:$N$1001,0),MATCH(COLUMNS($U$1006:AB1006),$U$1006:$AC$1006,0)), HYPERLINK("#",""), HYPERLINK(CONCATENATE("#metadata!", ADDRESS(INDEX($P$2:$P$1001,MATCH(ROWS($N$2:N327),$N$2:$N$1001,0),0), INDEX($U$1004:$AC$1004,1,MATCH(COLUMNS($U$1006:AB1006),$U$1006:$AC$1006,0)))),"Fix")))</f>
        <v>0</v>
      </c>
      <c r="J327" s="3">
        <f>IF(OR(INDEX($O$2:$O$1001,MATCH(ROWS($N$2:N327),$N$2:$N$1001,0),1)&gt;=100000,INDEX($U$1005:$AC$1005,1,MATCH(COLUMNS($U$1006:AC1006),$U$1006:$AC$1006,0))&gt;=100000), " ",IF(INDEX($U$2:$AC$1001,MATCH(ROWS($N$2:N327),$N$2:$N$1001,0),MATCH(COLUMNS($U$1006:AC1006),$U$1006:$AC$1006,0)), HYPERLINK("#",""), HYPERLINK(CONCATENATE("#metadata!", ADDRESS(INDEX($P$2:$P$1001,MATCH(ROWS($N$2:N327),$N$2:$N$1001,0),0), INDEX($U$1004:$AC$1004,1,MATCH(COLUMNS($U$1006:AC1006),$U$1006:$AC$1006,0)))),"Fix")))</f>
        <v>0</v>
      </c>
      <c r="N327">
        <v>0</v>
      </c>
      <c r="O327">
        <v>0</v>
      </c>
      <c r="P327">
        <v>0</v>
      </c>
      <c r="Q327">
        <f>IF(R327,TRUE,AND(U327:AC327))</f>
        <v>0</v>
      </c>
      <c r="R327">
        <f>COUNTBLANK(metadata!B327:J327)=COLUMNS(metadata!B327:J327)</f>
        <v>0</v>
      </c>
      <c r="S327">
        <v>0</v>
      </c>
      <c r="U327">
        <f>AND(IF(metadata!B327="",FALSE,TRUE),COUNTIF(metadata!B:B, metadata!B327) = 1,NOT(ISERROR(SUMPRODUCT(SEARCH(MID(metadata!B327,ROW(INDIRECT("1:"&amp;LEN(metadata!B327))), 1),"0123456789abcdefghijklmnopqrstuvwxyzABCDEFGHIJKLMNOPQRSTUVWXYZ.")))))</f>
        <v>0</v>
      </c>
      <c r="V327">
        <f>AND(IF(metadata!C327="",FALSE,TRUE),exact(metadata!C327,"UBERON:genitourinary"))</f>
        <v>0</v>
      </c>
      <c r="W327">
        <f>AND(IF(metadata!D327="",FALSE,TRUE),exact(metadata!D327,"UBERON:urine"))</f>
        <v>0</v>
      </c>
      <c r="X327">
        <f>AND(IF(metadata!E327="",FALSE,TRUE),exact(metadata!E327,"UBERON:kidney"))</f>
        <v>0</v>
      </c>
      <c r="Y327">
        <f>AND(IF(metadata!F327="",FALSE,TRUE),exact(metadata!F327,"animal corpus"))</f>
        <v>0</v>
      </c>
      <c r="Z327">
        <f>AND(IF(metadata!G327="",FALSE,TRUE),exact(metadata!G327,"urine"))</f>
        <v>0</v>
      </c>
      <c r="AA327">
        <f>AND(IF(metadata!H327="",FALSE,TRUE),exact(metadata!H327,"urine"))</f>
        <v>0</v>
      </c>
      <c r="AB327">
        <f>AND(IF(metadata!I327="",FALSE,TRUE),exact(metadata!I327,"urine metagenome"))</f>
        <v>0</v>
      </c>
      <c r="AC327">
        <f>AND(IF(metadata!J327="",FALSE,TRUE),exact(metadata!J327,"1346744"))</f>
        <v>0</v>
      </c>
    </row>
    <row r="328" spans="1:29">
      <c r="A328" s="4">
        <f>IF(B328=" "," ",HYPERLINK(CONCATENATE("#metadata!",ADDRESS(INDEX($P$2:$P$1001,MATCH(ROWS($N$2:N328),$N$2:$N$1001,0),0),1)),INDEX($S$2:$S$1001,MATCH(ROWS($N$2:N328),$N$2:$N$1001,0),0)))</f>
        <v>0</v>
      </c>
      <c r="B328" s="3">
        <f>IF(OR(INDEX($O$2:$O$1001,MATCH(ROWS($N$2:N328),$N$2:$N$1001,0),1)&gt;=100000,INDEX($U$1005:$AC$1005,1,MATCH(COLUMNS($U$1006:U1006),$U$1006:$AC$1006,0))&gt;=100000), " ",IF(INDEX($U$2:$AC$1001,MATCH(ROWS($N$2:N328),$N$2:$N$1001,0),MATCH(COLUMNS($U$1006:U1006),$U$1006:$AC$1006,0)), HYPERLINK("#",""), HYPERLINK(CONCATENATE("#metadata!", ADDRESS(INDEX($P$2:$P$1001,MATCH(ROWS($N$2:N328),$N$2:$N$1001,0),0), INDEX($U$1004:$AC$1004,1,MATCH(COLUMNS($U$1006:U1006),$U$1006:$AC$1006,0)))),"Fix")))</f>
        <v>0</v>
      </c>
      <c r="C328" s="3">
        <f>IF(OR(INDEX($O$2:$O$1001,MATCH(ROWS($N$2:N328),$N$2:$N$1001,0),1)&gt;=100000,INDEX($U$1005:$AC$1005,1,MATCH(COLUMNS($U$1006:V1006),$U$1006:$AC$1006,0))&gt;=100000), " ",IF(INDEX($U$2:$AC$1001,MATCH(ROWS($N$2:N328),$N$2:$N$1001,0),MATCH(COLUMNS($U$1006:V1006),$U$1006:$AC$1006,0)), HYPERLINK("#",""), HYPERLINK(CONCATENATE("#metadata!", ADDRESS(INDEX($P$2:$P$1001,MATCH(ROWS($N$2:N328),$N$2:$N$1001,0),0), INDEX($U$1004:$AC$1004,1,MATCH(COLUMNS($U$1006:V1006),$U$1006:$AC$1006,0)))),"Fix")))</f>
        <v>0</v>
      </c>
      <c r="D328" s="3">
        <f>IF(OR(INDEX($O$2:$O$1001,MATCH(ROWS($N$2:N328),$N$2:$N$1001,0),1)&gt;=100000,INDEX($U$1005:$AC$1005,1,MATCH(COLUMNS($U$1006:W1006),$U$1006:$AC$1006,0))&gt;=100000), " ",IF(INDEX($U$2:$AC$1001,MATCH(ROWS($N$2:N328),$N$2:$N$1001,0),MATCH(COLUMNS($U$1006:W1006),$U$1006:$AC$1006,0)), HYPERLINK("#",""), HYPERLINK(CONCATENATE("#metadata!", ADDRESS(INDEX($P$2:$P$1001,MATCH(ROWS($N$2:N328),$N$2:$N$1001,0),0), INDEX($U$1004:$AC$1004,1,MATCH(COLUMNS($U$1006:W1006),$U$1006:$AC$1006,0)))),"Fix")))</f>
        <v>0</v>
      </c>
      <c r="E328" s="3">
        <f>IF(OR(INDEX($O$2:$O$1001,MATCH(ROWS($N$2:N328),$N$2:$N$1001,0),1)&gt;=100000,INDEX($U$1005:$AC$1005,1,MATCH(COLUMNS($U$1006:X1006),$U$1006:$AC$1006,0))&gt;=100000), " ",IF(INDEX($U$2:$AC$1001,MATCH(ROWS($N$2:N328),$N$2:$N$1001,0),MATCH(COLUMNS($U$1006:X1006),$U$1006:$AC$1006,0)), HYPERLINK("#",""), HYPERLINK(CONCATENATE("#metadata!", ADDRESS(INDEX($P$2:$P$1001,MATCH(ROWS($N$2:N328),$N$2:$N$1001,0),0), INDEX($U$1004:$AC$1004,1,MATCH(COLUMNS($U$1006:X1006),$U$1006:$AC$1006,0)))),"Fix")))</f>
        <v>0</v>
      </c>
      <c r="F328" s="3">
        <f>IF(OR(INDEX($O$2:$O$1001,MATCH(ROWS($N$2:N328),$N$2:$N$1001,0),1)&gt;=100000,INDEX($U$1005:$AC$1005,1,MATCH(COLUMNS($U$1006:Y1006),$U$1006:$AC$1006,0))&gt;=100000), " ",IF(INDEX($U$2:$AC$1001,MATCH(ROWS($N$2:N328),$N$2:$N$1001,0),MATCH(COLUMNS($U$1006:Y1006),$U$1006:$AC$1006,0)), HYPERLINK("#",""), HYPERLINK(CONCATENATE("#metadata!", ADDRESS(INDEX($P$2:$P$1001,MATCH(ROWS($N$2:N328),$N$2:$N$1001,0),0), INDEX($U$1004:$AC$1004,1,MATCH(COLUMNS($U$1006:Y1006),$U$1006:$AC$1006,0)))),"Fix")))</f>
        <v>0</v>
      </c>
      <c r="G328" s="3">
        <f>IF(OR(INDEX($O$2:$O$1001,MATCH(ROWS($N$2:N328),$N$2:$N$1001,0),1)&gt;=100000,INDEX($U$1005:$AC$1005,1,MATCH(COLUMNS($U$1006:Z1006),$U$1006:$AC$1006,0))&gt;=100000), " ",IF(INDEX($U$2:$AC$1001,MATCH(ROWS($N$2:N328),$N$2:$N$1001,0),MATCH(COLUMNS($U$1006:Z1006),$U$1006:$AC$1006,0)), HYPERLINK("#",""), HYPERLINK(CONCATENATE("#metadata!", ADDRESS(INDEX($P$2:$P$1001,MATCH(ROWS($N$2:N328),$N$2:$N$1001,0),0), INDEX($U$1004:$AC$1004,1,MATCH(COLUMNS($U$1006:Z1006),$U$1006:$AC$1006,0)))),"Fix")))</f>
        <v>0</v>
      </c>
      <c r="H328" s="3">
        <f>IF(OR(INDEX($O$2:$O$1001,MATCH(ROWS($N$2:N328),$N$2:$N$1001,0),1)&gt;=100000,INDEX($U$1005:$AC$1005,1,MATCH(COLUMNS($U$1006:AA1006),$U$1006:$AC$1006,0))&gt;=100000), " ",IF(INDEX($U$2:$AC$1001,MATCH(ROWS($N$2:N328),$N$2:$N$1001,0),MATCH(COLUMNS($U$1006:AA1006),$U$1006:$AC$1006,0)), HYPERLINK("#",""), HYPERLINK(CONCATENATE("#metadata!", ADDRESS(INDEX($P$2:$P$1001,MATCH(ROWS($N$2:N328),$N$2:$N$1001,0),0), INDEX($U$1004:$AC$1004,1,MATCH(COLUMNS($U$1006:AA1006),$U$1006:$AC$1006,0)))),"Fix")))</f>
        <v>0</v>
      </c>
      <c r="I328" s="3">
        <f>IF(OR(INDEX($O$2:$O$1001,MATCH(ROWS($N$2:N328),$N$2:$N$1001,0),1)&gt;=100000,INDEX($U$1005:$AC$1005,1,MATCH(COLUMNS($U$1006:AB1006),$U$1006:$AC$1006,0))&gt;=100000), " ",IF(INDEX($U$2:$AC$1001,MATCH(ROWS($N$2:N328),$N$2:$N$1001,0),MATCH(COLUMNS($U$1006:AB1006),$U$1006:$AC$1006,0)), HYPERLINK("#",""), HYPERLINK(CONCATENATE("#metadata!", ADDRESS(INDEX($P$2:$P$1001,MATCH(ROWS($N$2:N328),$N$2:$N$1001,0),0), INDEX($U$1004:$AC$1004,1,MATCH(COLUMNS($U$1006:AB1006),$U$1006:$AC$1006,0)))),"Fix")))</f>
        <v>0</v>
      </c>
      <c r="J328" s="3">
        <f>IF(OR(INDEX($O$2:$O$1001,MATCH(ROWS($N$2:N328),$N$2:$N$1001,0),1)&gt;=100000,INDEX($U$1005:$AC$1005,1,MATCH(COLUMNS($U$1006:AC1006),$U$1006:$AC$1006,0))&gt;=100000), " ",IF(INDEX($U$2:$AC$1001,MATCH(ROWS($N$2:N328),$N$2:$N$1001,0),MATCH(COLUMNS($U$1006:AC1006),$U$1006:$AC$1006,0)), HYPERLINK("#",""), HYPERLINK(CONCATENATE("#metadata!", ADDRESS(INDEX($P$2:$P$1001,MATCH(ROWS($N$2:N328),$N$2:$N$1001,0),0), INDEX($U$1004:$AC$1004,1,MATCH(COLUMNS($U$1006:AC1006),$U$1006:$AC$1006,0)))),"Fix")))</f>
        <v>0</v>
      </c>
      <c r="N328">
        <v>0</v>
      </c>
      <c r="O328">
        <v>0</v>
      </c>
      <c r="P328">
        <v>0</v>
      </c>
      <c r="Q328">
        <f>IF(R328,TRUE,AND(U328:AC328))</f>
        <v>0</v>
      </c>
      <c r="R328">
        <f>COUNTBLANK(metadata!B328:J328)=COLUMNS(metadata!B328:J328)</f>
        <v>0</v>
      </c>
      <c r="S328">
        <v>0</v>
      </c>
      <c r="U328">
        <f>AND(IF(metadata!B328="",FALSE,TRUE),COUNTIF(metadata!B:B, metadata!B328) = 1,NOT(ISERROR(SUMPRODUCT(SEARCH(MID(metadata!B328,ROW(INDIRECT("1:"&amp;LEN(metadata!B328))), 1),"0123456789abcdefghijklmnopqrstuvwxyzABCDEFGHIJKLMNOPQRSTUVWXYZ.")))))</f>
        <v>0</v>
      </c>
      <c r="V328">
        <f>AND(IF(metadata!C328="",FALSE,TRUE),exact(metadata!C328,"UBERON:genitourinary"))</f>
        <v>0</v>
      </c>
      <c r="W328">
        <f>AND(IF(metadata!D328="",FALSE,TRUE),exact(metadata!D328,"UBERON:urine"))</f>
        <v>0</v>
      </c>
      <c r="X328">
        <f>AND(IF(metadata!E328="",FALSE,TRUE),exact(metadata!E328,"UBERON:kidney"))</f>
        <v>0</v>
      </c>
      <c r="Y328">
        <f>AND(IF(metadata!F328="",FALSE,TRUE),exact(metadata!F328,"animal corpus"))</f>
        <v>0</v>
      </c>
      <c r="Z328">
        <f>AND(IF(metadata!G328="",FALSE,TRUE),exact(metadata!G328,"urine"))</f>
        <v>0</v>
      </c>
      <c r="AA328">
        <f>AND(IF(metadata!H328="",FALSE,TRUE),exact(metadata!H328,"urine"))</f>
        <v>0</v>
      </c>
      <c r="AB328">
        <f>AND(IF(metadata!I328="",FALSE,TRUE),exact(metadata!I328,"urine metagenome"))</f>
        <v>0</v>
      </c>
      <c r="AC328">
        <f>AND(IF(metadata!J328="",FALSE,TRUE),exact(metadata!J328,"1346744"))</f>
        <v>0</v>
      </c>
    </row>
    <row r="329" spans="1:29">
      <c r="A329" s="4">
        <f>IF(B329=" "," ",HYPERLINK(CONCATENATE("#metadata!",ADDRESS(INDEX($P$2:$P$1001,MATCH(ROWS($N$2:N329),$N$2:$N$1001,0),0),1)),INDEX($S$2:$S$1001,MATCH(ROWS($N$2:N329),$N$2:$N$1001,0),0)))</f>
        <v>0</v>
      </c>
      <c r="B329" s="3">
        <f>IF(OR(INDEX($O$2:$O$1001,MATCH(ROWS($N$2:N329),$N$2:$N$1001,0),1)&gt;=100000,INDEX($U$1005:$AC$1005,1,MATCH(COLUMNS($U$1006:U1006),$U$1006:$AC$1006,0))&gt;=100000), " ",IF(INDEX($U$2:$AC$1001,MATCH(ROWS($N$2:N329),$N$2:$N$1001,0),MATCH(COLUMNS($U$1006:U1006),$U$1006:$AC$1006,0)), HYPERLINK("#",""), HYPERLINK(CONCATENATE("#metadata!", ADDRESS(INDEX($P$2:$P$1001,MATCH(ROWS($N$2:N329),$N$2:$N$1001,0),0), INDEX($U$1004:$AC$1004,1,MATCH(COLUMNS($U$1006:U1006),$U$1006:$AC$1006,0)))),"Fix")))</f>
        <v>0</v>
      </c>
      <c r="C329" s="3">
        <f>IF(OR(INDEX($O$2:$O$1001,MATCH(ROWS($N$2:N329),$N$2:$N$1001,0),1)&gt;=100000,INDEX($U$1005:$AC$1005,1,MATCH(COLUMNS($U$1006:V1006),$U$1006:$AC$1006,0))&gt;=100000), " ",IF(INDEX($U$2:$AC$1001,MATCH(ROWS($N$2:N329),$N$2:$N$1001,0),MATCH(COLUMNS($U$1006:V1006),$U$1006:$AC$1006,0)), HYPERLINK("#",""), HYPERLINK(CONCATENATE("#metadata!", ADDRESS(INDEX($P$2:$P$1001,MATCH(ROWS($N$2:N329),$N$2:$N$1001,0),0), INDEX($U$1004:$AC$1004,1,MATCH(COLUMNS($U$1006:V1006),$U$1006:$AC$1006,0)))),"Fix")))</f>
        <v>0</v>
      </c>
      <c r="D329" s="3">
        <f>IF(OR(INDEX($O$2:$O$1001,MATCH(ROWS($N$2:N329),$N$2:$N$1001,0),1)&gt;=100000,INDEX($U$1005:$AC$1005,1,MATCH(COLUMNS($U$1006:W1006),$U$1006:$AC$1006,0))&gt;=100000), " ",IF(INDEX($U$2:$AC$1001,MATCH(ROWS($N$2:N329),$N$2:$N$1001,0),MATCH(COLUMNS($U$1006:W1006),$U$1006:$AC$1006,0)), HYPERLINK("#",""), HYPERLINK(CONCATENATE("#metadata!", ADDRESS(INDEX($P$2:$P$1001,MATCH(ROWS($N$2:N329),$N$2:$N$1001,0),0), INDEX($U$1004:$AC$1004,1,MATCH(COLUMNS($U$1006:W1006),$U$1006:$AC$1006,0)))),"Fix")))</f>
        <v>0</v>
      </c>
      <c r="E329" s="3">
        <f>IF(OR(INDEX($O$2:$O$1001,MATCH(ROWS($N$2:N329),$N$2:$N$1001,0),1)&gt;=100000,INDEX($U$1005:$AC$1005,1,MATCH(COLUMNS($U$1006:X1006),$U$1006:$AC$1006,0))&gt;=100000), " ",IF(INDEX($U$2:$AC$1001,MATCH(ROWS($N$2:N329),$N$2:$N$1001,0),MATCH(COLUMNS($U$1006:X1006),$U$1006:$AC$1006,0)), HYPERLINK("#",""), HYPERLINK(CONCATENATE("#metadata!", ADDRESS(INDEX($P$2:$P$1001,MATCH(ROWS($N$2:N329),$N$2:$N$1001,0),0), INDEX($U$1004:$AC$1004,1,MATCH(COLUMNS($U$1006:X1006),$U$1006:$AC$1006,0)))),"Fix")))</f>
        <v>0</v>
      </c>
      <c r="F329" s="3">
        <f>IF(OR(INDEX($O$2:$O$1001,MATCH(ROWS($N$2:N329),$N$2:$N$1001,0),1)&gt;=100000,INDEX($U$1005:$AC$1005,1,MATCH(COLUMNS($U$1006:Y1006),$U$1006:$AC$1006,0))&gt;=100000), " ",IF(INDEX($U$2:$AC$1001,MATCH(ROWS($N$2:N329),$N$2:$N$1001,0),MATCH(COLUMNS($U$1006:Y1006),$U$1006:$AC$1006,0)), HYPERLINK("#",""), HYPERLINK(CONCATENATE("#metadata!", ADDRESS(INDEX($P$2:$P$1001,MATCH(ROWS($N$2:N329),$N$2:$N$1001,0),0), INDEX($U$1004:$AC$1004,1,MATCH(COLUMNS($U$1006:Y1006),$U$1006:$AC$1006,0)))),"Fix")))</f>
        <v>0</v>
      </c>
      <c r="G329" s="3">
        <f>IF(OR(INDEX($O$2:$O$1001,MATCH(ROWS($N$2:N329),$N$2:$N$1001,0),1)&gt;=100000,INDEX($U$1005:$AC$1005,1,MATCH(COLUMNS($U$1006:Z1006),$U$1006:$AC$1006,0))&gt;=100000), " ",IF(INDEX($U$2:$AC$1001,MATCH(ROWS($N$2:N329),$N$2:$N$1001,0),MATCH(COLUMNS($U$1006:Z1006),$U$1006:$AC$1006,0)), HYPERLINK("#",""), HYPERLINK(CONCATENATE("#metadata!", ADDRESS(INDEX($P$2:$P$1001,MATCH(ROWS($N$2:N329),$N$2:$N$1001,0),0), INDEX($U$1004:$AC$1004,1,MATCH(COLUMNS($U$1006:Z1006),$U$1006:$AC$1006,0)))),"Fix")))</f>
        <v>0</v>
      </c>
      <c r="H329" s="3">
        <f>IF(OR(INDEX($O$2:$O$1001,MATCH(ROWS($N$2:N329),$N$2:$N$1001,0),1)&gt;=100000,INDEX($U$1005:$AC$1005,1,MATCH(COLUMNS($U$1006:AA1006),$U$1006:$AC$1006,0))&gt;=100000), " ",IF(INDEX($U$2:$AC$1001,MATCH(ROWS($N$2:N329),$N$2:$N$1001,0),MATCH(COLUMNS($U$1006:AA1006),$U$1006:$AC$1006,0)), HYPERLINK("#",""), HYPERLINK(CONCATENATE("#metadata!", ADDRESS(INDEX($P$2:$P$1001,MATCH(ROWS($N$2:N329),$N$2:$N$1001,0),0), INDEX($U$1004:$AC$1004,1,MATCH(COLUMNS($U$1006:AA1006),$U$1006:$AC$1006,0)))),"Fix")))</f>
        <v>0</v>
      </c>
      <c r="I329" s="3">
        <f>IF(OR(INDEX($O$2:$O$1001,MATCH(ROWS($N$2:N329),$N$2:$N$1001,0),1)&gt;=100000,INDEX($U$1005:$AC$1005,1,MATCH(COLUMNS($U$1006:AB1006),$U$1006:$AC$1006,0))&gt;=100000), " ",IF(INDEX($U$2:$AC$1001,MATCH(ROWS($N$2:N329),$N$2:$N$1001,0),MATCH(COLUMNS($U$1006:AB1006),$U$1006:$AC$1006,0)), HYPERLINK("#",""), HYPERLINK(CONCATENATE("#metadata!", ADDRESS(INDEX($P$2:$P$1001,MATCH(ROWS($N$2:N329),$N$2:$N$1001,0),0), INDEX($U$1004:$AC$1004,1,MATCH(COLUMNS($U$1006:AB1006),$U$1006:$AC$1006,0)))),"Fix")))</f>
        <v>0</v>
      </c>
      <c r="J329" s="3">
        <f>IF(OR(INDEX($O$2:$O$1001,MATCH(ROWS($N$2:N329),$N$2:$N$1001,0),1)&gt;=100000,INDEX($U$1005:$AC$1005,1,MATCH(COLUMNS($U$1006:AC1006),$U$1006:$AC$1006,0))&gt;=100000), " ",IF(INDEX($U$2:$AC$1001,MATCH(ROWS($N$2:N329),$N$2:$N$1001,0),MATCH(COLUMNS($U$1006:AC1006),$U$1006:$AC$1006,0)), HYPERLINK("#",""), HYPERLINK(CONCATENATE("#metadata!", ADDRESS(INDEX($P$2:$P$1001,MATCH(ROWS($N$2:N329),$N$2:$N$1001,0),0), INDEX($U$1004:$AC$1004,1,MATCH(COLUMNS($U$1006:AC1006),$U$1006:$AC$1006,0)))),"Fix")))</f>
        <v>0</v>
      </c>
      <c r="N329">
        <v>0</v>
      </c>
      <c r="O329">
        <v>0</v>
      </c>
      <c r="P329">
        <v>0</v>
      </c>
      <c r="Q329">
        <f>IF(R329,TRUE,AND(U329:AC329))</f>
        <v>0</v>
      </c>
      <c r="R329">
        <f>COUNTBLANK(metadata!B329:J329)=COLUMNS(metadata!B329:J329)</f>
        <v>0</v>
      </c>
      <c r="S329">
        <v>0</v>
      </c>
      <c r="U329">
        <f>AND(IF(metadata!B329="",FALSE,TRUE),COUNTIF(metadata!B:B, metadata!B329) = 1,NOT(ISERROR(SUMPRODUCT(SEARCH(MID(metadata!B329,ROW(INDIRECT("1:"&amp;LEN(metadata!B329))), 1),"0123456789abcdefghijklmnopqrstuvwxyzABCDEFGHIJKLMNOPQRSTUVWXYZ.")))))</f>
        <v>0</v>
      </c>
      <c r="V329">
        <f>AND(IF(metadata!C329="",FALSE,TRUE),exact(metadata!C329,"UBERON:genitourinary"))</f>
        <v>0</v>
      </c>
      <c r="W329">
        <f>AND(IF(metadata!D329="",FALSE,TRUE),exact(metadata!D329,"UBERON:urine"))</f>
        <v>0</v>
      </c>
      <c r="X329">
        <f>AND(IF(metadata!E329="",FALSE,TRUE),exact(metadata!E329,"UBERON:kidney"))</f>
        <v>0</v>
      </c>
      <c r="Y329">
        <f>AND(IF(metadata!F329="",FALSE,TRUE),exact(metadata!F329,"animal corpus"))</f>
        <v>0</v>
      </c>
      <c r="Z329">
        <f>AND(IF(metadata!G329="",FALSE,TRUE),exact(metadata!G329,"urine"))</f>
        <v>0</v>
      </c>
      <c r="AA329">
        <f>AND(IF(metadata!H329="",FALSE,TRUE),exact(metadata!H329,"urine"))</f>
        <v>0</v>
      </c>
      <c r="AB329">
        <f>AND(IF(metadata!I329="",FALSE,TRUE),exact(metadata!I329,"urine metagenome"))</f>
        <v>0</v>
      </c>
      <c r="AC329">
        <f>AND(IF(metadata!J329="",FALSE,TRUE),exact(metadata!J329,"1346744"))</f>
        <v>0</v>
      </c>
    </row>
    <row r="330" spans="1:29">
      <c r="A330" s="4">
        <f>IF(B330=" "," ",HYPERLINK(CONCATENATE("#metadata!",ADDRESS(INDEX($P$2:$P$1001,MATCH(ROWS($N$2:N330),$N$2:$N$1001,0),0),1)),INDEX($S$2:$S$1001,MATCH(ROWS($N$2:N330),$N$2:$N$1001,0),0)))</f>
        <v>0</v>
      </c>
      <c r="B330" s="3">
        <f>IF(OR(INDEX($O$2:$O$1001,MATCH(ROWS($N$2:N330),$N$2:$N$1001,0),1)&gt;=100000,INDEX($U$1005:$AC$1005,1,MATCH(COLUMNS($U$1006:U1006),$U$1006:$AC$1006,0))&gt;=100000), " ",IF(INDEX($U$2:$AC$1001,MATCH(ROWS($N$2:N330),$N$2:$N$1001,0),MATCH(COLUMNS($U$1006:U1006),$U$1006:$AC$1006,0)), HYPERLINK("#",""), HYPERLINK(CONCATENATE("#metadata!", ADDRESS(INDEX($P$2:$P$1001,MATCH(ROWS($N$2:N330),$N$2:$N$1001,0),0), INDEX($U$1004:$AC$1004,1,MATCH(COLUMNS($U$1006:U1006),$U$1006:$AC$1006,0)))),"Fix")))</f>
        <v>0</v>
      </c>
      <c r="C330" s="3">
        <f>IF(OR(INDEX($O$2:$O$1001,MATCH(ROWS($N$2:N330),$N$2:$N$1001,0),1)&gt;=100000,INDEX($U$1005:$AC$1005,1,MATCH(COLUMNS($U$1006:V1006),$U$1006:$AC$1006,0))&gt;=100000), " ",IF(INDEX($U$2:$AC$1001,MATCH(ROWS($N$2:N330),$N$2:$N$1001,0),MATCH(COLUMNS($U$1006:V1006),$U$1006:$AC$1006,0)), HYPERLINK("#",""), HYPERLINK(CONCATENATE("#metadata!", ADDRESS(INDEX($P$2:$P$1001,MATCH(ROWS($N$2:N330),$N$2:$N$1001,0),0), INDEX($U$1004:$AC$1004,1,MATCH(COLUMNS($U$1006:V1006),$U$1006:$AC$1006,0)))),"Fix")))</f>
        <v>0</v>
      </c>
      <c r="D330" s="3">
        <f>IF(OR(INDEX($O$2:$O$1001,MATCH(ROWS($N$2:N330),$N$2:$N$1001,0),1)&gt;=100000,INDEX($U$1005:$AC$1005,1,MATCH(COLUMNS($U$1006:W1006),$U$1006:$AC$1006,0))&gt;=100000), " ",IF(INDEX($U$2:$AC$1001,MATCH(ROWS($N$2:N330),$N$2:$N$1001,0),MATCH(COLUMNS($U$1006:W1006),$U$1006:$AC$1006,0)), HYPERLINK("#",""), HYPERLINK(CONCATENATE("#metadata!", ADDRESS(INDEX($P$2:$P$1001,MATCH(ROWS($N$2:N330),$N$2:$N$1001,0),0), INDEX($U$1004:$AC$1004,1,MATCH(COLUMNS($U$1006:W1006),$U$1006:$AC$1006,0)))),"Fix")))</f>
        <v>0</v>
      </c>
      <c r="E330" s="3">
        <f>IF(OR(INDEX($O$2:$O$1001,MATCH(ROWS($N$2:N330),$N$2:$N$1001,0),1)&gt;=100000,INDEX($U$1005:$AC$1005,1,MATCH(COLUMNS($U$1006:X1006),$U$1006:$AC$1006,0))&gt;=100000), " ",IF(INDEX($U$2:$AC$1001,MATCH(ROWS($N$2:N330),$N$2:$N$1001,0),MATCH(COLUMNS($U$1006:X1006),$U$1006:$AC$1006,0)), HYPERLINK("#",""), HYPERLINK(CONCATENATE("#metadata!", ADDRESS(INDEX($P$2:$P$1001,MATCH(ROWS($N$2:N330),$N$2:$N$1001,0),0), INDEX($U$1004:$AC$1004,1,MATCH(COLUMNS($U$1006:X1006),$U$1006:$AC$1006,0)))),"Fix")))</f>
        <v>0</v>
      </c>
      <c r="F330" s="3">
        <f>IF(OR(INDEX($O$2:$O$1001,MATCH(ROWS($N$2:N330),$N$2:$N$1001,0),1)&gt;=100000,INDEX($U$1005:$AC$1005,1,MATCH(COLUMNS($U$1006:Y1006),$U$1006:$AC$1006,0))&gt;=100000), " ",IF(INDEX($U$2:$AC$1001,MATCH(ROWS($N$2:N330),$N$2:$N$1001,0),MATCH(COLUMNS($U$1006:Y1006),$U$1006:$AC$1006,0)), HYPERLINK("#",""), HYPERLINK(CONCATENATE("#metadata!", ADDRESS(INDEX($P$2:$P$1001,MATCH(ROWS($N$2:N330),$N$2:$N$1001,0),0), INDEX($U$1004:$AC$1004,1,MATCH(COLUMNS($U$1006:Y1006),$U$1006:$AC$1006,0)))),"Fix")))</f>
        <v>0</v>
      </c>
      <c r="G330" s="3">
        <f>IF(OR(INDEX($O$2:$O$1001,MATCH(ROWS($N$2:N330),$N$2:$N$1001,0),1)&gt;=100000,INDEX($U$1005:$AC$1005,1,MATCH(COLUMNS($U$1006:Z1006),$U$1006:$AC$1006,0))&gt;=100000), " ",IF(INDEX($U$2:$AC$1001,MATCH(ROWS($N$2:N330),$N$2:$N$1001,0),MATCH(COLUMNS($U$1006:Z1006),$U$1006:$AC$1006,0)), HYPERLINK("#",""), HYPERLINK(CONCATENATE("#metadata!", ADDRESS(INDEX($P$2:$P$1001,MATCH(ROWS($N$2:N330),$N$2:$N$1001,0),0), INDEX($U$1004:$AC$1004,1,MATCH(COLUMNS($U$1006:Z1006),$U$1006:$AC$1006,0)))),"Fix")))</f>
        <v>0</v>
      </c>
      <c r="H330" s="3">
        <f>IF(OR(INDEX($O$2:$O$1001,MATCH(ROWS($N$2:N330),$N$2:$N$1001,0),1)&gt;=100000,INDEX($U$1005:$AC$1005,1,MATCH(COLUMNS($U$1006:AA1006),$U$1006:$AC$1006,0))&gt;=100000), " ",IF(INDEX($U$2:$AC$1001,MATCH(ROWS($N$2:N330),$N$2:$N$1001,0),MATCH(COLUMNS($U$1006:AA1006),$U$1006:$AC$1006,0)), HYPERLINK("#",""), HYPERLINK(CONCATENATE("#metadata!", ADDRESS(INDEX($P$2:$P$1001,MATCH(ROWS($N$2:N330),$N$2:$N$1001,0),0), INDEX($U$1004:$AC$1004,1,MATCH(COLUMNS($U$1006:AA1006),$U$1006:$AC$1006,0)))),"Fix")))</f>
        <v>0</v>
      </c>
      <c r="I330" s="3">
        <f>IF(OR(INDEX($O$2:$O$1001,MATCH(ROWS($N$2:N330),$N$2:$N$1001,0),1)&gt;=100000,INDEX($U$1005:$AC$1005,1,MATCH(COLUMNS($U$1006:AB1006),$U$1006:$AC$1006,0))&gt;=100000), " ",IF(INDEX($U$2:$AC$1001,MATCH(ROWS($N$2:N330),$N$2:$N$1001,0),MATCH(COLUMNS($U$1006:AB1006),$U$1006:$AC$1006,0)), HYPERLINK("#",""), HYPERLINK(CONCATENATE("#metadata!", ADDRESS(INDEX($P$2:$P$1001,MATCH(ROWS($N$2:N330),$N$2:$N$1001,0),0), INDEX($U$1004:$AC$1004,1,MATCH(COLUMNS($U$1006:AB1006),$U$1006:$AC$1006,0)))),"Fix")))</f>
        <v>0</v>
      </c>
      <c r="J330" s="3">
        <f>IF(OR(INDEX($O$2:$O$1001,MATCH(ROWS($N$2:N330),$N$2:$N$1001,0),1)&gt;=100000,INDEX($U$1005:$AC$1005,1,MATCH(COLUMNS($U$1006:AC1006),$U$1006:$AC$1006,0))&gt;=100000), " ",IF(INDEX($U$2:$AC$1001,MATCH(ROWS($N$2:N330),$N$2:$N$1001,0),MATCH(COLUMNS($U$1006:AC1006),$U$1006:$AC$1006,0)), HYPERLINK("#",""), HYPERLINK(CONCATENATE("#metadata!", ADDRESS(INDEX($P$2:$P$1001,MATCH(ROWS($N$2:N330),$N$2:$N$1001,0),0), INDEX($U$1004:$AC$1004,1,MATCH(COLUMNS($U$1006:AC1006),$U$1006:$AC$1006,0)))),"Fix")))</f>
        <v>0</v>
      </c>
      <c r="N330">
        <v>0</v>
      </c>
      <c r="O330">
        <v>0</v>
      </c>
      <c r="P330">
        <v>0</v>
      </c>
      <c r="Q330">
        <f>IF(R330,TRUE,AND(U330:AC330))</f>
        <v>0</v>
      </c>
      <c r="R330">
        <f>COUNTBLANK(metadata!B330:J330)=COLUMNS(metadata!B330:J330)</f>
        <v>0</v>
      </c>
      <c r="S330">
        <v>0</v>
      </c>
      <c r="U330">
        <f>AND(IF(metadata!B330="",FALSE,TRUE),COUNTIF(metadata!B:B, metadata!B330) = 1,NOT(ISERROR(SUMPRODUCT(SEARCH(MID(metadata!B330,ROW(INDIRECT("1:"&amp;LEN(metadata!B330))), 1),"0123456789abcdefghijklmnopqrstuvwxyzABCDEFGHIJKLMNOPQRSTUVWXYZ.")))))</f>
        <v>0</v>
      </c>
      <c r="V330">
        <f>AND(IF(metadata!C330="",FALSE,TRUE),exact(metadata!C330,"UBERON:genitourinary"))</f>
        <v>0</v>
      </c>
      <c r="W330">
        <f>AND(IF(metadata!D330="",FALSE,TRUE),exact(metadata!D330,"UBERON:urine"))</f>
        <v>0</v>
      </c>
      <c r="X330">
        <f>AND(IF(metadata!E330="",FALSE,TRUE),exact(metadata!E330,"UBERON:kidney"))</f>
        <v>0</v>
      </c>
      <c r="Y330">
        <f>AND(IF(metadata!F330="",FALSE,TRUE),exact(metadata!F330,"animal corpus"))</f>
        <v>0</v>
      </c>
      <c r="Z330">
        <f>AND(IF(metadata!G330="",FALSE,TRUE),exact(metadata!G330,"urine"))</f>
        <v>0</v>
      </c>
      <c r="AA330">
        <f>AND(IF(metadata!H330="",FALSE,TRUE),exact(metadata!H330,"urine"))</f>
        <v>0</v>
      </c>
      <c r="AB330">
        <f>AND(IF(metadata!I330="",FALSE,TRUE),exact(metadata!I330,"urine metagenome"))</f>
        <v>0</v>
      </c>
      <c r="AC330">
        <f>AND(IF(metadata!J330="",FALSE,TRUE),exact(metadata!J330,"1346744"))</f>
        <v>0</v>
      </c>
    </row>
    <row r="331" spans="1:29">
      <c r="A331" s="4">
        <f>IF(B331=" "," ",HYPERLINK(CONCATENATE("#metadata!",ADDRESS(INDEX($P$2:$P$1001,MATCH(ROWS($N$2:N331),$N$2:$N$1001,0),0),1)),INDEX($S$2:$S$1001,MATCH(ROWS($N$2:N331),$N$2:$N$1001,0),0)))</f>
        <v>0</v>
      </c>
      <c r="B331" s="3">
        <f>IF(OR(INDEX($O$2:$O$1001,MATCH(ROWS($N$2:N331),$N$2:$N$1001,0),1)&gt;=100000,INDEX($U$1005:$AC$1005,1,MATCH(COLUMNS($U$1006:U1006),$U$1006:$AC$1006,0))&gt;=100000), " ",IF(INDEX($U$2:$AC$1001,MATCH(ROWS($N$2:N331),$N$2:$N$1001,0),MATCH(COLUMNS($U$1006:U1006),$U$1006:$AC$1006,0)), HYPERLINK("#",""), HYPERLINK(CONCATENATE("#metadata!", ADDRESS(INDEX($P$2:$P$1001,MATCH(ROWS($N$2:N331),$N$2:$N$1001,0),0), INDEX($U$1004:$AC$1004,1,MATCH(COLUMNS($U$1006:U1006),$U$1006:$AC$1006,0)))),"Fix")))</f>
        <v>0</v>
      </c>
      <c r="C331" s="3">
        <f>IF(OR(INDEX($O$2:$O$1001,MATCH(ROWS($N$2:N331),$N$2:$N$1001,0),1)&gt;=100000,INDEX($U$1005:$AC$1005,1,MATCH(COLUMNS($U$1006:V1006),$U$1006:$AC$1006,0))&gt;=100000), " ",IF(INDEX($U$2:$AC$1001,MATCH(ROWS($N$2:N331),$N$2:$N$1001,0),MATCH(COLUMNS($U$1006:V1006),$U$1006:$AC$1006,0)), HYPERLINK("#",""), HYPERLINK(CONCATENATE("#metadata!", ADDRESS(INDEX($P$2:$P$1001,MATCH(ROWS($N$2:N331),$N$2:$N$1001,0),0), INDEX($U$1004:$AC$1004,1,MATCH(COLUMNS($U$1006:V1006),$U$1006:$AC$1006,0)))),"Fix")))</f>
        <v>0</v>
      </c>
      <c r="D331" s="3">
        <f>IF(OR(INDEX($O$2:$O$1001,MATCH(ROWS($N$2:N331),$N$2:$N$1001,0),1)&gt;=100000,INDEX($U$1005:$AC$1005,1,MATCH(COLUMNS($U$1006:W1006),$U$1006:$AC$1006,0))&gt;=100000), " ",IF(INDEX($U$2:$AC$1001,MATCH(ROWS($N$2:N331),$N$2:$N$1001,0),MATCH(COLUMNS($U$1006:W1006),$U$1006:$AC$1006,0)), HYPERLINK("#",""), HYPERLINK(CONCATENATE("#metadata!", ADDRESS(INDEX($P$2:$P$1001,MATCH(ROWS($N$2:N331),$N$2:$N$1001,0),0), INDEX($U$1004:$AC$1004,1,MATCH(COLUMNS($U$1006:W1006),$U$1006:$AC$1006,0)))),"Fix")))</f>
        <v>0</v>
      </c>
      <c r="E331" s="3">
        <f>IF(OR(INDEX($O$2:$O$1001,MATCH(ROWS($N$2:N331),$N$2:$N$1001,0),1)&gt;=100000,INDEX($U$1005:$AC$1005,1,MATCH(COLUMNS($U$1006:X1006),$U$1006:$AC$1006,0))&gt;=100000), " ",IF(INDEX($U$2:$AC$1001,MATCH(ROWS($N$2:N331),$N$2:$N$1001,0),MATCH(COLUMNS($U$1006:X1006),$U$1006:$AC$1006,0)), HYPERLINK("#",""), HYPERLINK(CONCATENATE("#metadata!", ADDRESS(INDEX($P$2:$P$1001,MATCH(ROWS($N$2:N331),$N$2:$N$1001,0),0), INDEX($U$1004:$AC$1004,1,MATCH(COLUMNS($U$1006:X1006),$U$1006:$AC$1006,0)))),"Fix")))</f>
        <v>0</v>
      </c>
      <c r="F331" s="3">
        <f>IF(OR(INDEX($O$2:$O$1001,MATCH(ROWS($N$2:N331),$N$2:$N$1001,0),1)&gt;=100000,INDEX($U$1005:$AC$1005,1,MATCH(COLUMNS($U$1006:Y1006),$U$1006:$AC$1006,0))&gt;=100000), " ",IF(INDEX($U$2:$AC$1001,MATCH(ROWS($N$2:N331),$N$2:$N$1001,0),MATCH(COLUMNS($U$1006:Y1006),$U$1006:$AC$1006,0)), HYPERLINK("#",""), HYPERLINK(CONCATENATE("#metadata!", ADDRESS(INDEX($P$2:$P$1001,MATCH(ROWS($N$2:N331),$N$2:$N$1001,0),0), INDEX($U$1004:$AC$1004,1,MATCH(COLUMNS($U$1006:Y1006),$U$1006:$AC$1006,0)))),"Fix")))</f>
        <v>0</v>
      </c>
      <c r="G331" s="3">
        <f>IF(OR(INDEX($O$2:$O$1001,MATCH(ROWS($N$2:N331),$N$2:$N$1001,0),1)&gt;=100000,INDEX($U$1005:$AC$1005,1,MATCH(COLUMNS($U$1006:Z1006),$U$1006:$AC$1006,0))&gt;=100000), " ",IF(INDEX($U$2:$AC$1001,MATCH(ROWS($N$2:N331),$N$2:$N$1001,0),MATCH(COLUMNS($U$1006:Z1006),$U$1006:$AC$1006,0)), HYPERLINK("#",""), HYPERLINK(CONCATENATE("#metadata!", ADDRESS(INDEX($P$2:$P$1001,MATCH(ROWS($N$2:N331),$N$2:$N$1001,0),0), INDEX($U$1004:$AC$1004,1,MATCH(COLUMNS($U$1006:Z1006),$U$1006:$AC$1006,0)))),"Fix")))</f>
        <v>0</v>
      </c>
      <c r="H331" s="3">
        <f>IF(OR(INDEX($O$2:$O$1001,MATCH(ROWS($N$2:N331),$N$2:$N$1001,0),1)&gt;=100000,INDEX($U$1005:$AC$1005,1,MATCH(COLUMNS($U$1006:AA1006),$U$1006:$AC$1006,0))&gt;=100000), " ",IF(INDEX($U$2:$AC$1001,MATCH(ROWS($N$2:N331),$N$2:$N$1001,0),MATCH(COLUMNS($U$1006:AA1006),$U$1006:$AC$1006,0)), HYPERLINK("#",""), HYPERLINK(CONCATENATE("#metadata!", ADDRESS(INDEX($P$2:$P$1001,MATCH(ROWS($N$2:N331),$N$2:$N$1001,0),0), INDEX($U$1004:$AC$1004,1,MATCH(COLUMNS($U$1006:AA1006),$U$1006:$AC$1006,0)))),"Fix")))</f>
        <v>0</v>
      </c>
      <c r="I331" s="3">
        <f>IF(OR(INDEX($O$2:$O$1001,MATCH(ROWS($N$2:N331),$N$2:$N$1001,0),1)&gt;=100000,INDEX($U$1005:$AC$1005,1,MATCH(COLUMNS($U$1006:AB1006),$U$1006:$AC$1006,0))&gt;=100000), " ",IF(INDEX($U$2:$AC$1001,MATCH(ROWS($N$2:N331),$N$2:$N$1001,0),MATCH(COLUMNS($U$1006:AB1006),$U$1006:$AC$1006,0)), HYPERLINK("#",""), HYPERLINK(CONCATENATE("#metadata!", ADDRESS(INDEX($P$2:$P$1001,MATCH(ROWS($N$2:N331),$N$2:$N$1001,0),0), INDEX($U$1004:$AC$1004,1,MATCH(COLUMNS($U$1006:AB1006),$U$1006:$AC$1006,0)))),"Fix")))</f>
        <v>0</v>
      </c>
      <c r="J331" s="3">
        <f>IF(OR(INDEX($O$2:$O$1001,MATCH(ROWS($N$2:N331),$N$2:$N$1001,0),1)&gt;=100000,INDEX($U$1005:$AC$1005,1,MATCH(COLUMNS($U$1006:AC1006),$U$1006:$AC$1006,0))&gt;=100000), " ",IF(INDEX($U$2:$AC$1001,MATCH(ROWS($N$2:N331),$N$2:$N$1001,0),MATCH(COLUMNS($U$1006:AC1006),$U$1006:$AC$1006,0)), HYPERLINK("#",""), HYPERLINK(CONCATENATE("#metadata!", ADDRESS(INDEX($P$2:$P$1001,MATCH(ROWS($N$2:N331),$N$2:$N$1001,0),0), INDEX($U$1004:$AC$1004,1,MATCH(COLUMNS($U$1006:AC1006),$U$1006:$AC$1006,0)))),"Fix")))</f>
        <v>0</v>
      </c>
      <c r="N331">
        <v>0</v>
      </c>
      <c r="O331">
        <v>0</v>
      </c>
      <c r="P331">
        <v>0</v>
      </c>
      <c r="Q331">
        <f>IF(R331,TRUE,AND(U331:AC331))</f>
        <v>0</v>
      </c>
      <c r="R331">
        <f>COUNTBLANK(metadata!B331:J331)=COLUMNS(metadata!B331:J331)</f>
        <v>0</v>
      </c>
      <c r="S331">
        <v>0</v>
      </c>
      <c r="U331">
        <f>AND(IF(metadata!B331="",FALSE,TRUE),COUNTIF(metadata!B:B, metadata!B331) = 1,NOT(ISERROR(SUMPRODUCT(SEARCH(MID(metadata!B331,ROW(INDIRECT("1:"&amp;LEN(metadata!B331))), 1),"0123456789abcdefghijklmnopqrstuvwxyzABCDEFGHIJKLMNOPQRSTUVWXYZ.")))))</f>
        <v>0</v>
      </c>
      <c r="V331">
        <f>AND(IF(metadata!C331="",FALSE,TRUE),exact(metadata!C331,"UBERON:genitourinary"))</f>
        <v>0</v>
      </c>
      <c r="W331">
        <f>AND(IF(metadata!D331="",FALSE,TRUE),exact(metadata!D331,"UBERON:urine"))</f>
        <v>0</v>
      </c>
      <c r="X331">
        <f>AND(IF(metadata!E331="",FALSE,TRUE),exact(metadata!E331,"UBERON:kidney"))</f>
        <v>0</v>
      </c>
      <c r="Y331">
        <f>AND(IF(metadata!F331="",FALSE,TRUE),exact(metadata!F331,"animal corpus"))</f>
        <v>0</v>
      </c>
      <c r="Z331">
        <f>AND(IF(metadata!G331="",FALSE,TRUE),exact(metadata!G331,"urine"))</f>
        <v>0</v>
      </c>
      <c r="AA331">
        <f>AND(IF(metadata!H331="",FALSE,TRUE),exact(metadata!H331,"urine"))</f>
        <v>0</v>
      </c>
      <c r="AB331">
        <f>AND(IF(metadata!I331="",FALSE,TRUE),exact(metadata!I331,"urine metagenome"))</f>
        <v>0</v>
      </c>
      <c r="AC331">
        <f>AND(IF(metadata!J331="",FALSE,TRUE),exact(metadata!J331,"1346744"))</f>
        <v>0</v>
      </c>
    </row>
    <row r="332" spans="1:29">
      <c r="A332" s="4">
        <f>IF(B332=" "," ",HYPERLINK(CONCATENATE("#metadata!",ADDRESS(INDEX($P$2:$P$1001,MATCH(ROWS($N$2:N332),$N$2:$N$1001,0),0),1)),INDEX($S$2:$S$1001,MATCH(ROWS($N$2:N332),$N$2:$N$1001,0),0)))</f>
        <v>0</v>
      </c>
      <c r="B332" s="3">
        <f>IF(OR(INDEX($O$2:$O$1001,MATCH(ROWS($N$2:N332),$N$2:$N$1001,0),1)&gt;=100000,INDEX($U$1005:$AC$1005,1,MATCH(COLUMNS($U$1006:U1006),$U$1006:$AC$1006,0))&gt;=100000), " ",IF(INDEX($U$2:$AC$1001,MATCH(ROWS($N$2:N332),$N$2:$N$1001,0),MATCH(COLUMNS($U$1006:U1006),$U$1006:$AC$1006,0)), HYPERLINK("#",""), HYPERLINK(CONCATENATE("#metadata!", ADDRESS(INDEX($P$2:$P$1001,MATCH(ROWS($N$2:N332),$N$2:$N$1001,0),0), INDEX($U$1004:$AC$1004,1,MATCH(COLUMNS($U$1006:U1006),$U$1006:$AC$1006,0)))),"Fix")))</f>
        <v>0</v>
      </c>
      <c r="C332" s="3">
        <f>IF(OR(INDEX($O$2:$O$1001,MATCH(ROWS($N$2:N332),$N$2:$N$1001,0),1)&gt;=100000,INDEX($U$1005:$AC$1005,1,MATCH(COLUMNS($U$1006:V1006),$U$1006:$AC$1006,0))&gt;=100000), " ",IF(INDEX($U$2:$AC$1001,MATCH(ROWS($N$2:N332),$N$2:$N$1001,0),MATCH(COLUMNS($U$1006:V1006),$U$1006:$AC$1006,0)), HYPERLINK("#",""), HYPERLINK(CONCATENATE("#metadata!", ADDRESS(INDEX($P$2:$P$1001,MATCH(ROWS($N$2:N332),$N$2:$N$1001,0),0), INDEX($U$1004:$AC$1004,1,MATCH(COLUMNS($U$1006:V1006),$U$1006:$AC$1006,0)))),"Fix")))</f>
        <v>0</v>
      </c>
      <c r="D332" s="3">
        <f>IF(OR(INDEX($O$2:$O$1001,MATCH(ROWS($N$2:N332),$N$2:$N$1001,0),1)&gt;=100000,INDEX($U$1005:$AC$1005,1,MATCH(COLUMNS($U$1006:W1006),$U$1006:$AC$1006,0))&gt;=100000), " ",IF(INDEX($U$2:$AC$1001,MATCH(ROWS($N$2:N332),$N$2:$N$1001,0),MATCH(COLUMNS($U$1006:W1006),$U$1006:$AC$1006,0)), HYPERLINK("#",""), HYPERLINK(CONCATENATE("#metadata!", ADDRESS(INDEX($P$2:$P$1001,MATCH(ROWS($N$2:N332),$N$2:$N$1001,0),0), INDEX($U$1004:$AC$1004,1,MATCH(COLUMNS($U$1006:W1006),$U$1006:$AC$1006,0)))),"Fix")))</f>
        <v>0</v>
      </c>
      <c r="E332" s="3">
        <f>IF(OR(INDEX($O$2:$O$1001,MATCH(ROWS($N$2:N332),$N$2:$N$1001,0),1)&gt;=100000,INDEX($U$1005:$AC$1005,1,MATCH(COLUMNS($U$1006:X1006),$U$1006:$AC$1006,0))&gt;=100000), " ",IF(INDEX($U$2:$AC$1001,MATCH(ROWS($N$2:N332),$N$2:$N$1001,0),MATCH(COLUMNS($U$1006:X1006),$U$1006:$AC$1006,0)), HYPERLINK("#",""), HYPERLINK(CONCATENATE("#metadata!", ADDRESS(INDEX($P$2:$P$1001,MATCH(ROWS($N$2:N332),$N$2:$N$1001,0),0), INDEX($U$1004:$AC$1004,1,MATCH(COLUMNS($U$1006:X1006),$U$1006:$AC$1006,0)))),"Fix")))</f>
        <v>0</v>
      </c>
      <c r="F332" s="3">
        <f>IF(OR(INDEX($O$2:$O$1001,MATCH(ROWS($N$2:N332),$N$2:$N$1001,0),1)&gt;=100000,INDEX($U$1005:$AC$1005,1,MATCH(COLUMNS($U$1006:Y1006),$U$1006:$AC$1006,0))&gt;=100000), " ",IF(INDEX($U$2:$AC$1001,MATCH(ROWS($N$2:N332),$N$2:$N$1001,0),MATCH(COLUMNS($U$1006:Y1006),$U$1006:$AC$1006,0)), HYPERLINK("#",""), HYPERLINK(CONCATENATE("#metadata!", ADDRESS(INDEX($P$2:$P$1001,MATCH(ROWS($N$2:N332),$N$2:$N$1001,0),0), INDEX($U$1004:$AC$1004,1,MATCH(COLUMNS($U$1006:Y1006),$U$1006:$AC$1006,0)))),"Fix")))</f>
        <v>0</v>
      </c>
      <c r="G332" s="3">
        <f>IF(OR(INDEX($O$2:$O$1001,MATCH(ROWS($N$2:N332),$N$2:$N$1001,0),1)&gt;=100000,INDEX($U$1005:$AC$1005,1,MATCH(COLUMNS($U$1006:Z1006),$U$1006:$AC$1006,0))&gt;=100000), " ",IF(INDEX($U$2:$AC$1001,MATCH(ROWS($N$2:N332),$N$2:$N$1001,0),MATCH(COLUMNS($U$1006:Z1006),$U$1006:$AC$1006,0)), HYPERLINK("#",""), HYPERLINK(CONCATENATE("#metadata!", ADDRESS(INDEX($P$2:$P$1001,MATCH(ROWS($N$2:N332),$N$2:$N$1001,0),0), INDEX($U$1004:$AC$1004,1,MATCH(COLUMNS($U$1006:Z1006),$U$1006:$AC$1006,0)))),"Fix")))</f>
        <v>0</v>
      </c>
      <c r="H332" s="3">
        <f>IF(OR(INDEX($O$2:$O$1001,MATCH(ROWS($N$2:N332),$N$2:$N$1001,0),1)&gt;=100000,INDEX($U$1005:$AC$1005,1,MATCH(COLUMNS($U$1006:AA1006),$U$1006:$AC$1006,0))&gt;=100000), " ",IF(INDEX($U$2:$AC$1001,MATCH(ROWS($N$2:N332),$N$2:$N$1001,0),MATCH(COLUMNS($U$1006:AA1006),$U$1006:$AC$1006,0)), HYPERLINK("#",""), HYPERLINK(CONCATENATE("#metadata!", ADDRESS(INDEX($P$2:$P$1001,MATCH(ROWS($N$2:N332),$N$2:$N$1001,0),0), INDEX($U$1004:$AC$1004,1,MATCH(COLUMNS($U$1006:AA1006),$U$1006:$AC$1006,0)))),"Fix")))</f>
        <v>0</v>
      </c>
      <c r="I332" s="3">
        <f>IF(OR(INDEX($O$2:$O$1001,MATCH(ROWS($N$2:N332),$N$2:$N$1001,0),1)&gt;=100000,INDEX($U$1005:$AC$1005,1,MATCH(COLUMNS($U$1006:AB1006),$U$1006:$AC$1006,0))&gt;=100000), " ",IF(INDEX($U$2:$AC$1001,MATCH(ROWS($N$2:N332),$N$2:$N$1001,0),MATCH(COLUMNS($U$1006:AB1006),$U$1006:$AC$1006,0)), HYPERLINK("#",""), HYPERLINK(CONCATENATE("#metadata!", ADDRESS(INDEX($P$2:$P$1001,MATCH(ROWS($N$2:N332),$N$2:$N$1001,0),0), INDEX($U$1004:$AC$1004,1,MATCH(COLUMNS($U$1006:AB1006),$U$1006:$AC$1006,0)))),"Fix")))</f>
        <v>0</v>
      </c>
      <c r="J332" s="3">
        <f>IF(OR(INDEX($O$2:$O$1001,MATCH(ROWS($N$2:N332),$N$2:$N$1001,0),1)&gt;=100000,INDEX($U$1005:$AC$1005,1,MATCH(COLUMNS($U$1006:AC1006),$U$1006:$AC$1006,0))&gt;=100000), " ",IF(INDEX($U$2:$AC$1001,MATCH(ROWS($N$2:N332),$N$2:$N$1001,0),MATCH(COLUMNS($U$1006:AC1006),$U$1006:$AC$1006,0)), HYPERLINK("#",""), HYPERLINK(CONCATENATE("#metadata!", ADDRESS(INDEX($P$2:$P$1001,MATCH(ROWS($N$2:N332),$N$2:$N$1001,0),0), INDEX($U$1004:$AC$1004,1,MATCH(COLUMNS($U$1006:AC1006),$U$1006:$AC$1006,0)))),"Fix")))</f>
        <v>0</v>
      </c>
      <c r="N332">
        <v>0</v>
      </c>
      <c r="O332">
        <v>0</v>
      </c>
      <c r="P332">
        <v>0</v>
      </c>
      <c r="Q332">
        <f>IF(R332,TRUE,AND(U332:AC332))</f>
        <v>0</v>
      </c>
      <c r="R332">
        <f>COUNTBLANK(metadata!B332:J332)=COLUMNS(metadata!B332:J332)</f>
        <v>0</v>
      </c>
      <c r="S332">
        <v>0</v>
      </c>
      <c r="U332">
        <f>AND(IF(metadata!B332="",FALSE,TRUE),COUNTIF(metadata!B:B, metadata!B332) = 1,NOT(ISERROR(SUMPRODUCT(SEARCH(MID(metadata!B332,ROW(INDIRECT("1:"&amp;LEN(metadata!B332))), 1),"0123456789abcdefghijklmnopqrstuvwxyzABCDEFGHIJKLMNOPQRSTUVWXYZ.")))))</f>
        <v>0</v>
      </c>
      <c r="V332">
        <f>AND(IF(metadata!C332="",FALSE,TRUE),exact(metadata!C332,"UBERON:genitourinary"))</f>
        <v>0</v>
      </c>
      <c r="W332">
        <f>AND(IF(metadata!D332="",FALSE,TRUE),exact(metadata!D332,"UBERON:urine"))</f>
        <v>0</v>
      </c>
      <c r="X332">
        <f>AND(IF(metadata!E332="",FALSE,TRUE),exact(metadata!E332,"UBERON:kidney"))</f>
        <v>0</v>
      </c>
      <c r="Y332">
        <f>AND(IF(metadata!F332="",FALSE,TRUE),exact(metadata!F332,"animal corpus"))</f>
        <v>0</v>
      </c>
      <c r="Z332">
        <f>AND(IF(metadata!G332="",FALSE,TRUE),exact(metadata!G332,"urine"))</f>
        <v>0</v>
      </c>
      <c r="AA332">
        <f>AND(IF(metadata!H332="",FALSE,TRUE),exact(metadata!H332,"urine"))</f>
        <v>0</v>
      </c>
      <c r="AB332">
        <f>AND(IF(metadata!I332="",FALSE,TRUE),exact(metadata!I332,"urine metagenome"))</f>
        <v>0</v>
      </c>
      <c r="AC332">
        <f>AND(IF(metadata!J332="",FALSE,TRUE),exact(metadata!J332,"1346744"))</f>
        <v>0</v>
      </c>
    </row>
    <row r="333" spans="1:29">
      <c r="A333" s="4">
        <f>IF(B333=" "," ",HYPERLINK(CONCATENATE("#metadata!",ADDRESS(INDEX($P$2:$P$1001,MATCH(ROWS($N$2:N333),$N$2:$N$1001,0),0),1)),INDEX($S$2:$S$1001,MATCH(ROWS($N$2:N333),$N$2:$N$1001,0),0)))</f>
        <v>0</v>
      </c>
      <c r="B333" s="3">
        <f>IF(OR(INDEX($O$2:$O$1001,MATCH(ROWS($N$2:N333),$N$2:$N$1001,0),1)&gt;=100000,INDEX($U$1005:$AC$1005,1,MATCH(COLUMNS($U$1006:U1006),$U$1006:$AC$1006,0))&gt;=100000), " ",IF(INDEX($U$2:$AC$1001,MATCH(ROWS($N$2:N333),$N$2:$N$1001,0),MATCH(COLUMNS($U$1006:U1006),$U$1006:$AC$1006,0)), HYPERLINK("#",""), HYPERLINK(CONCATENATE("#metadata!", ADDRESS(INDEX($P$2:$P$1001,MATCH(ROWS($N$2:N333),$N$2:$N$1001,0),0), INDEX($U$1004:$AC$1004,1,MATCH(COLUMNS($U$1006:U1006),$U$1006:$AC$1006,0)))),"Fix")))</f>
        <v>0</v>
      </c>
      <c r="C333" s="3">
        <f>IF(OR(INDEX($O$2:$O$1001,MATCH(ROWS($N$2:N333),$N$2:$N$1001,0),1)&gt;=100000,INDEX($U$1005:$AC$1005,1,MATCH(COLUMNS($U$1006:V1006),$U$1006:$AC$1006,0))&gt;=100000), " ",IF(INDEX($U$2:$AC$1001,MATCH(ROWS($N$2:N333),$N$2:$N$1001,0),MATCH(COLUMNS($U$1006:V1006),$U$1006:$AC$1006,0)), HYPERLINK("#",""), HYPERLINK(CONCATENATE("#metadata!", ADDRESS(INDEX($P$2:$P$1001,MATCH(ROWS($N$2:N333),$N$2:$N$1001,0),0), INDEX($U$1004:$AC$1004,1,MATCH(COLUMNS($U$1006:V1006),$U$1006:$AC$1006,0)))),"Fix")))</f>
        <v>0</v>
      </c>
      <c r="D333" s="3">
        <f>IF(OR(INDEX($O$2:$O$1001,MATCH(ROWS($N$2:N333),$N$2:$N$1001,0),1)&gt;=100000,INDEX($U$1005:$AC$1005,1,MATCH(COLUMNS($U$1006:W1006),$U$1006:$AC$1006,0))&gt;=100000), " ",IF(INDEX($U$2:$AC$1001,MATCH(ROWS($N$2:N333),$N$2:$N$1001,0),MATCH(COLUMNS($U$1006:W1006),$U$1006:$AC$1006,0)), HYPERLINK("#",""), HYPERLINK(CONCATENATE("#metadata!", ADDRESS(INDEX($P$2:$P$1001,MATCH(ROWS($N$2:N333),$N$2:$N$1001,0),0), INDEX($U$1004:$AC$1004,1,MATCH(COLUMNS($U$1006:W1006),$U$1006:$AC$1006,0)))),"Fix")))</f>
        <v>0</v>
      </c>
      <c r="E333" s="3">
        <f>IF(OR(INDEX($O$2:$O$1001,MATCH(ROWS($N$2:N333),$N$2:$N$1001,0),1)&gt;=100000,INDEX($U$1005:$AC$1005,1,MATCH(COLUMNS($U$1006:X1006),$U$1006:$AC$1006,0))&gt;=100000), " ",IF(INDEX($U$2:$AC$1001,MATCH(ROWS($N$2:N333),$N$2:$N$1001,0),MATCH(COLUMNS($U$1006:X1006),$U$1006:$AC$1006,0)), HYPERLINK("#",""), HYPERLINK(CONCATENATE("#metadata!", ADDRESS(INDEX($P$2:$P$1001,MATCH(ROWS($N$2:N333),$N$2:$N$1001,0),0), INDEX($U$1004:$AC$1004,1,MATCH(COLUMNS($U$1006:X1006),$U$1006:$AC$1006,0)))),"Fix")))</f>
        <v>0</v>
      </c>
      <c r="F333" s="3">
        <f>IF(OR(INDEX($O$2:$O$1001,MATCH(ROWS($N$2:N333),$N$2:$N$1001,0),1)&gt;=100000,INDEX($U$1005:$AC$1005,1,MATCH(COLUMNS($U$1006:Y1006),$U$1006:$AC$1006,0))&gt;=100000), " ",IF(INDEX($U$2:$AC$1001,MATCH(ROWS($N$2:N333),$N$2:$N$1001,0),MATCH(COLUMNS($U$1006:Y1006),$U$1006:$AC$1006,0)), HYPERLINK("#",""), HYPERLINK(CONCATENATE("#metadata!", ADDRESS(INDEX($P$2:$P$1001,MATCH(ROWS($N$2:N333),$N$2:$N$1001,0),0), INDEX($U$1004:$AC$1004,1,MATCH(COLUMNS($U$1006:Y1006),$U$1006:$AC$1006,0)))),"Fix")))</f>
        <v>0</v>
      </c>
      <c r="G333" s="3">
        <f>IF(OR(INDEX($O$2:$O$1001,MATCH(ROWS($N$2:N333),$N$2:$N$1001,0),1)&gt;=100000,INDEX($U$1005:$AC$1005,1,MATCH(COLUMNS($U$1006:Z1006),$U$1006:$AC$1006,0))&gt;=100000), " ",IF(INDEX($U$2:$AC$1001,MATCH(ROWS($N$2:N333),$N$2:$N$1001,0),MATCH(COLUMNS($U$1006:Z1006),$U$1006:$AC$1006,0)), HYPERLINK("#",""), HYPERLINK(CONCATENATE("#metadata!", ADDRESS(INDEX($P$2:$P$1001,MATCH(ROWS($N$2:N333),$N$2:$N$1001,0),0), INDEX($U$1004:$AC$1004,1,MATCH(COLUMNS($U$1006:Z1006),$U$1006:$AC$1006,0)))),"Fix")))</f>
        <v>0</v>
      </c>
      <c r="H333" s="3">
        <f>IF(OR(INDEX($O$2:$O$1001,MATCH(ROWS($N$2:N333),$N$2:$N$1001,0),1)&gt;=100000,INDEX($U$1005:$AC$1005,1,MATCH(COLUMNS($U$1006:AA1006),$U$1006:$AC$1006,0))&gt;=100000), " ",IF(INDEX($U$2:$AC$1001,MATCH(ROWS($N$2:N333),$N$2:$N$1001,0),MATCH(COLUMNS($U$1006:AA1006),$U$1006:$AC$1006,0)), HYPERLINK("#",""), HYPERLINK(CONCATENATE("#metadata!", ADDRESS(INDEX($P$2:$P$1001,MATCH(ROWS($N$2:N333),$N$2:$N$1001,0),0), INDEX($U$1004:$AC$1004,1,MATCH(COLUMNS($U$1006:AA1006),$U$1006:$AC$1006,0)))),"Fix")))</f>
        <v>0</v>
      </c>
      <c r="I333" s="3">
        <f>IF(OR(INDEX($O$2:$O$1001,MATCH(ROWS($N$2:N333),$N$2:$N$1001,0),1)&gt;=100000,INDEX($U$1005:$AC$1005,1,MATCH(COLUMNS($U$1006:AB1006),$U$1006:$AC$1006,0))&gt;=100000), " ",IF(INDEX($U$2:$AC$1001,MATCH(ROWS($N$2:N333),$N$2:$N$1001,0),MATCH(COLUMNS($U$1006:AB1006),$U$1006:$AC$1006,0)), HYPERLINK("#",""), HYPERLINK(CONCATENATE("#metadata!", ADDRESS(INDEX($P$2:$P$1001,MATCH(ROWS($N$2:N333),$N$2:$N$1001,0),0), INDEX($U$1004:$AC$1004,1,MATCH(COLUMNS($U$1006:AB1006),$U$1006:$AC$1006,0)))),"Fix")))</f>
        <v>0</v>
      </c>
      <c r="J333" s="3">
        <f>IF(OR(INDEX($O$2:$O$1001,MATCH(ROWS($N$2:N333),$N$2:$N$1001,0),1)&gt;=100000,INDEX($U$1005:$AC$1005,1,MATCH(COLUMNS($U$1006:AC1006),$U$1006:$AC$1006,0))&gt;=100000), " ",IF(INDEX($U$2:$AC$1001,MATCH(ROWS($N$2:N333),$N$2:$N$1001,0),MATCH(COLUMNS($U$1006:AC1006),$U$1006:$AC$1006,0)), HYPERLINK("#",""), HYPERLINK(CONCATENATE("#metadata!", ADDRESS(INDEX($P$2:$P$1001,MATCH(ROWS($N$2:N333),$N$2:$N$1001,0),0), INDEX($U$1004:$AC$1004,1,MATCH(COLUMNS($U$1006:AC1006),$U$1006:$AC$1006,0)))),"Fix")))</f>
        <v>0</v>
      </c>
      <c r="N333">
        <v>0</v>
      </c>
      <c r="O333">
        <v>0</v>
      </c>
      <c r="P333">
        <v>0</v>
      </c>
      <c r="Q333">
        <f>IF(R333,TRUE,AND(U333:AC333))</f>
        <v>0</v>
      </c>
      <c r="R333">
        <f>COUNTBLANK(metadata!B333:J333)=COLUMNS(metadata!B333:J333)</f>
        <v>0</v>
      </c>
      <c r="S333">
        <v>0</v>
      </c>
      <c r="U333">
        <f>AND(IF(metadata!B333="",FALSE,TRUE),COUNTIF(metadata!B:B, metadata!B333) = 1,NOT(ISERROR(SUMPRODUCT(SEARCH(MID(metadata!B333,ROW(INDIRECT("1:"&amp;LEN(metadata!B333))), 1),"0123456789abcdefghijklmnopqrstuvwxyzABCDEFGHIJKLMNOPQRSTUVWXYZ.")))))</f>
        <v>0</v>
      </c>
      <c r="V333">
        <f>AND(IF(metadata!C333="",FALSE,TRUE),exact(metadata!C333,"UBERON:genitourinary"))</f>
        <v>0</v>
      </c>
      <c r="W333">
        <f>AND(IF(metadata!D333="",FALSE,TRUE),exact(metadata!D333,"UBERON:urine"))</f>
        <v>0</v>
      </c>
      <c r="X333">
        <f>AND(IF(metadata!E333="",FALSE,TRUE),exact(metadata!E333,"UBERON:kidney"))</f>
        <v>0</v>
      </c>
      <c r="Y333">
        <f>AND(IF(metadata!F333="",FALSE,TRUE),exact(metadata!F333,"animal corpus"))</f>
        <v>0</v>
      </c>
      <c r="Z333">
        <f>AND(IF(metadata!G333="",FALSE,TRUE),exact(metadata!G333,"urine"))</f>
        <v>0</v>
      </c>
      <c r="AA333">
        <f>AND(IF(metadata!H333="",FALSE,TRUE),exact(metadata!H333,"urine"))</f>
        <v>0</v>
      </c>
      <c r="AB333">
        <f>AND(IF(metadata!I333="",FALSE,TRUE),exact(metadata!I333,"urine metagenome"))</f>
        <v>0</v>
      </c>
      <c r="AC333">
        <f>AND(IF(metadata!J333="",FALSE,TRUE),exact(metadata!J333,"1346744"))</f>
        <v>0</v>
      </c>
    </row>
    <row r="334" spans="1:29">
      <c r="A334" s="4">
        <f>IF(B334=" "," ",HYPERLINK(CONCATENATE("#metadata!",ADDRESS(INDEX($P$2:$P$1001,MATCH(ROWS($N$2:N334),$N$2:$N$1001,0),0),1)),INDEX($S$2:$S$1001,MATCH(ROWS($N$2:N334),$N$2:$N$1001,0),0)))</f>
        <v>0</v>
      </c>
      <c r="B334" s="3">
        <f>IF(OR(INDEX($O$2:$O$1001,MATCH(ROWS($N$2:N334),$N$2:$N$1001,0),1)&gt;=100000,INDEX($U$1005:$AC$1005,1,MATCH(COLUMNS($U$1006:U1006),$U$1006:$AC$1006,0))&gt;=100000), " ",IF(INDEX($U$2:$AC$1001,MATCH(ROWS($N$2:N334),$N$2:$N$1001,0),MATCH(COLUMNS($U$1006:U1006),$U$1006:$AC$1006,0)), HYPERLINK("#",""), HYPERLINK(CONCATENATE("#metadata!", ADDRESS(INDEX($P$2:$P$1001,MATCH(ROWS($N$2:N334),$N$2:$N$1001,0),0), INDEX($U$1004:$AC$1004,1,MATCH(COLUMNS($U$1006:U1006),$U$1006:$AC$1006,0)))),"Fix")))</f>
        <v>0</v>
      </c>
      <c r="C334" s="3">
        <f>IF(OR(INDEX($O$2:$O$1001,MATCH(ROWS($N$2:N334),$N$2:$N$1001,0),1)&gt;=100000,INDEX($U$1005:$AC$1005,1,MATCH(COLUMNS($U$1006:V1006),$U$1006:$AC$1006,0))&gt;=100000), " ",IF(INDEX($U$2:$AC$1001,MATCH(ROWS($N$2:N334),$N$2:$N$1001,0),MATCH(COLUMNS($U$1006:V1006),$U$1006:$AC$1006,0)), HYPERLINK("#",""), HYPERLINK(CONCATENATE("#metadata!", ADDRESS(INDEX($P$2:$P$1001,MATCH(ROWS($N$2:N334),$N$2:$N$1001,0),0), INDEX($U$1004:$AC$1004,1,MATCH(COLUMNS($U$1006:V1006),$U$1006:$AC$1006,0)))),"Fix")))</f>
        <v>0</v>
      </c>
      <c r="D334" s="3">
        <f>IF(OR(INDEX($O$2:$O$1001,MATCH(ROWS($N$2:N334),$N$2:$N$1001,0),1)&gt;=100000,INDEX($U$1005:$AC$1005,1,MATCH(COLUMNS($U$1006:W1006),$U$1006:$AC$1006,0))&gt;=100000), " ",IF(INDEX($U$2:$AC$1001,MATCH(ROWS($N$2:N334),$N$2:$N$1001,0),MATCH(COLUMNS($U$1006:W1006),$U$1006:$AC$1006,0)), HYPERLINK("#",""), HYPERLINK(CONCATENATE("#metadata!", ADDRESS(INDEX($P$2:$P$1001,MATCH(ROWS($N$2:N334),$N$2:$N$1001,0),0), INDEX($U$1004:$AC$1004,1,MATCH(COLUMNS($U$1006:W1006),$U$1006:$AC$1006,0)))),"Fix")))</f>
        <v>0</v>
      </c>
      <c r="E334" s="3">
        <f>IF(OR(INDEX($O$2:$O$1001,MATCH(ROWS($N$2:N334),$N$2:$N$1001,0),1)&gt;=100000,INDEX($U$1005:$AC$1005,1,MATCH(COLUMNS($U$1006:X1006),$U$1006:$AC$1006,0))&gt;=100000), " ",IF(INDEX($U$2:$AC$1001,MATCH(ROWS($N$2:N334),$N$2:$N$1001,0),MATCH(COLUMNS($U$1006:X1006),$U$1006:$AC$1006,0)), HYPERLINK("#",""), HYPERLINK(CONCATENATE("#metadata!", ADDRESS(INDEX($P$2:$P$1001,MATCH(ROWS($N$2:N334),$N$2:$N$1001,0),0), INDEX($U$1004:$AC$1004,1,MATCH(COLUMNS($U$1006:X1006),$U$1006:$AC$1006,0)))),"Fix")))</f>
        <v>0</v>
      </c>
      <c r="F334" s="3">
        <f>IF(OR(INDEX($O$2:$O$1001,MATCH(ROWS($N$2:N334),$N$2:$N$1001,0),1)&gt;=100000,INDEX($U$1005:$AC$1005,1,MATCH(COLUMNS($U$1006:Y1006),$U$1006:$AC$1006,0))&gt;=100000), " ",IF(INDEX($U$2:$AC$1001,MATCH(ROWS($N$2:N334),$N$2:$N$1001,0),MATCH(COLUMNS($U$1006:Y1006),$U$1006:$AC$1006,0)), HYPERLINK("#",""), HYPERLINK(CONCATENATE("#metadata!", ADDRESS(INDEX($P$2:$P$1001,MATCH(ROWS($N$2:N334),$N$2:$N$1001,0),0), INDEX($U$1004:$AC$1004,1,MATCH(COLUMNS($U$1006:Y1006),$U$1006:$AC$1006,0)))),"Fix")))</f>
        <v>0</v>
      </c>
      <c r="G334" s="3">
        <f>IF(OR(INDEX($O$2:$O$1001,MATCH(ROWS($N$2:N334),$N$2:$N$1001,0),1)&gt;=100000,INDEX($U$1005:$AC$1005,1,MATCH(COLUMNS($U$1006:Z1006),$U$1006:$AC$1006,0))&gt;=100000), " ",IF(INDEX($U$2:$AC$1001,MATCH(ROWS($N$2:N334),$N$2:$N$1001,0),MATCH(COLUMNS($U$1006:Z1006),$U$1006:$AC$1006,0)), HYPERLINK("#",""), HYPERLINK(CONCATENATE("#metadata!", ADDRESS(INDEX($P$2:$P$1001,MATCH(ROWS($N$2:N334),$N$2:$N$1001,0),0), INDEX($U$1004:$AC$1004,1,MATCH(COLUMNS($U$1006:Z1006),$U$1006:$AC$1006,0)))),"Fix")))</f>
        <v>0</v>
      </c>
      <c r="H334" s="3">
        <f>IF(OR(INDEX($O$2:$O$1001,MATCH(ROWS($N$2:N334),$N$2:$N$1001,0),1)&gt;=100000,INDEX($U$1005:$AC$1005,1,MATCH(COLUMNS($U$1006:AA1006),$U$1006:$AC$1006,0))&gt;=100000), " ",IF(INDEX($U$2:$AC$1001,MATCH(ROWS($N$2:N334),$N$2:$N$1001,0),MATCH(COLUMNS($U$1006:AA1006),$U$1006:$AC$1006,0)), HYPERLINK("#",""), HYPERLINK(CONCATENATE("#metadata!", ADDRESS(INDEX($P$2:$P$1001,MATCH(ROWS($N$2:N334),$N$2:$N$1001,0),0), INDEX($U$1004:$AC$1004,1,MATCH(COLUMNS($U$1006:AA1006),$U$1006:$AC$1006,0)))),"Fix")))</f>
        <v>0</v>
      </c>
      <c r="I334" s="3">
        <f>IF(OR(INDEX($O$2:$O$1001,MATCH(ROWS($N$2:N334),$N$2:$N$1001,0),1)&gt;=100000,INDEX($U$1005:$AC$1005,1,MATCH(COLUMNS($U$1006:AB1006),$U$1006:$AC$1006,0))&gt;=100000), " ",IF(INDEX($U$2:$AC$1001,MATCH(ROWS($N$2:N334),$N$2:$N$1001,0),MATCH(COLUMNS($U$1006:AB1006),$U$1006:$AC$1006,0)), HYPERLINK("#",""), HYPERLINK(CONCATENATE("#metadata!", ADDRESS(INDEX($P$2:$P$1001,MATCH(ROWS($N$2:N334),$N$2:$N$1001,0),0), INDEX($U$1004:$AC$1004,1,MATCH(COLUMNS($U$1006:AB1006),$U$1006:$AC$1006,0)))),"Fix")))</f>
        <v>0</v>
      </c>
      <c r="J334" s="3">
        <f>IF(OR(INDEX($O$2:$O$1001,MATCH(ROWS($N$2:N334),$N$2:$N$1001,0),1)&gt;=100000,INDEX($U$1005:$AC$1005,1,MATCH(COLUMNS($U$1006:AC1006),$U$1006:$AC$1006,0))&gt;=100000), " ",IF(INDEX($U$2:$AC$1001,MATCH(ROWS($N$2:N334),$N$2:$N$1001,0),MATCH(COLUMNS($U$1006:AC1006),$U$1006:$AC$1006,0)), HYPERLINK("#",""), HYPERLINK(CONCATENATE("#metadata!", ADDRESS(INDEX($P$2:$P$1001,MATCH(ROWS($N$2:N334),$N$2:$N$1001,0),0), INDEX($U$1004:$AC$1004,1,MATCH(COLUMNS($U$1006:AC1006),$U$1006:$AC$1006,0)))),"Fix")))</f>
        <v>0</v>
      </c>
      <c r="N334">
        <v>0</v>
      </c>
      <c r="O334">
        <v>0</v>
      </c>
      <c r="P334">
        <v>0</v>
      </c>
      <c r="Q334">
        <f>IF(R334,TRUE,AND(U334:AC334))</f>
        <v>0</v>
      </c>
      <c r="R334">
        <f>COUNTBLANK(metadata!B334:J334)=COLUMNS(metadata!B334:J334)</f>
        <v>0</v>
      </c>
      <c r="S334">
        <v>0</v>
      </c>
      <c r="U334">
        <f>AND(IF(metadata!B334="",FALSE,TRUE),COUNTIF(metadata!B:B, metadata!B334) = 1,NOT(ISERROR(SUMPRODUCT(SEARCH(MID(metadata!B334,ROW(INDIRECT("1:"&amp;LEN(metadata!B334))), 1),"0123456789abcdefghijklmnopqrstuvwxyzABCDEFGHIJKLMNOPQRSTUVWXYZ.")))))</f>
        <v>0</v>
      </c>
      <c r="V334">
        <f>AND(IF(metadata!C334="",FALSE,TRUE),exact(metadata!C334,"UBERON:genitourinary"))</f>
        <v>0</v>
      </c>
      <c r="W334">
        <f>AND(IF(metadata!D334="",FALSE,TRUE),exact(metadata!D334,"UBERON:urine"))</f>
        <v>0</v>
      </c>
      <c r="X334">
        <f>AND(IF(metadata!E334="",FALSE,TRUE),exact(metadata!E334,"UBERON:kidney"))</f>
        <v>0</v>
      </c>
      <c r="Y334">
        <f>AND(IF(metadata!F334="",FALSE,TRUE),exact(metadata!F334,"animal corpus"))</f>
        <v>0</v>
      </c>
      <c r="Z334">
        <f>AND(IF(metadata!G334="",FALSE,TRUE),exact(metadata!G334,"urine"))</f>
        <v>0</v>
      </c>
      <c r="AA334">
        <f>AND(IF(metadata!H334="",FALSE,TRUE),exact(metadata!H334,"urine"))</f>
        <v>0</v>
      </c>
      <c r="AB334">
        <f>AND(IF(metadata!I334="",FALSE,TRUE),exact(metadata!I334,"urine metagenome"))</f>
        <v>0</v>
      </c>
      <c r="AC334">
        <f>AND(IF(metadata!J334="",FALSE,TRUE),exact(metadata!J334,"1346744"))</f>
        <v>0</v>
      </c>
    </row>
    <row r="335" spans="1:29">
      <c r="A335" s="4">
        <f>IF(B335=" "," ",HYPERLINK(CONCATENATE("#metadata!",ADDRESS(INDEX($P$2:$P$1001,MATCH(ROWS($N$2:N335),$N$2:$N$1001,0),0),1)),INDEX($S$2:$S$1001,MATCH(ROWS($N$2:N335),$N$2:$N$1001,0),0)))</f>
        <v>0</v>
      </c>
      <c r="B335" s="3">
        <f>IF(OR(INDEX($O$2:$O$1001,MATCH(ROWS($N$2:N335),$N$2:$N$1001,0),1)&gt;=100000,INDEX($U$1005:$AC$1005,1,MATCH(COLUMNS($U$1006:U1006),$U$1006:$AC$1006,0))&gt;=100000), " ",IF(INDEX($U$2:$AC$1001,MATCH(ROWS($N$2:N335),$N$2:$N$1001,0),MATCH(COLUMNS($U$1006:U1006),$U$1006:$AC$1006,0)), HYPERLINK("#",""), HYPERLINK(CONCATENATE("#metadata!", ADDRESS(INDEX($P$2:$P$1001,MATCH(ROWS($N$2:N335),$N$2:$N$1001,0),0), INDEX($U$1004:$AC$1004,1,MATCH(COLUMNS($U$1006:U1006),$U$1006:$AC$1006,0)))),"Fix")))</f>
        <v>0</v>
      </c>
      <c r="C335" s="3">
        <f>IF(OR(INDEX($O$2:$O$1001,MATCH(ROWS($N$2:N335),$N$2:$N$1001,0),1)&gt;=100000,INDEX($U$1005:$AC$1005,1,MATCH(COLUMNS($U$1006:V1006),$U$1006:$AC$1006,0))&gt;=100000), " ",IF(INDEX($U$2:$AC$1001,MATCH(ROWS($N$2:N335),$N$2:$N$1001,0),MATCH(COLUMNS($U$1006:V1006),$U$1006:$AC$1006,0)), HYPERLINK("#",""), HYPERLINK(CONCATENATE("#metadata!", ADDRESS(INDEX($P$2:$P$1001,MATCH(ROWS($N$2:N335),$N$2:$N$1001,0),0), INDEX($U$1004:$AC$1004,1,MATCH(COLUMNS($U$1006:V1006),$U$1006:$AC$1006,0)))),"Fix")))</f>
        <v>0</v>
      </c>
      <c r="D335" s="3">
        <f>IF(OR(INDEX($O$2:$O$1001,MATCH(ROWS($N$2:N335),$N$2:$N$1001,0),1)&gt;=100000,INDEX($U$1005:$AC$1005,1,MATCH(COLUMNS($U$1006:W1006),$U$1006:$AC$1006,0))&gt;=100000), " ",IF(INDEX($U$2:$AC$1001,MATCH(ROWS($N$2:N335),$N$2:$N$1001,0),MATCH(COLUMNS($U$1006:W1006),$U$1006:$AC$1006,0)), HYPERLINK("#",""), HYPERLINK(CONCATENATE("#metadata!", ADDRESS(INDEX($P$2:$P$1001,MATCH(ROWS($N$2:N335),$N$2:$N$1001,0),0), INDEX($U$1004:$AC$1004,1,MATCH(COLUMNS($U$1006:W1006),$U$1006:$AC$1006,0)))),"Fix")))</f>
        <v>0</v>
      </c>
      <c r="E335" s="3">
        <f>IF(OR(INDEX($O$2:$O$1001,MATCH(ROWS($N$2:N335),$N$2:$N$1001,0),1)&gt;=100000,INDEX($U$1005:$AC$1005,1,MATCH(COLUMNS($U$1006:X1006),$U$1006:$AC$1006,0))&gt;=100000), " ",IF(INDEX($U$2:$AC$1001,MATCH(ROWS($N$2:N335),$N$2:$N$1001,0),MATCH(COLUMNS($U$1006:X1006),$U$1006:$AC$1006,0)), HYPERLINK("#",""), HYPERLINK(CONCATENATE("#metadata!", ADDRESS(INDEX($P$2:$P$1001,MATCH(ROWS($N$2:N335),$N$2:$N$1001,0),0), INDEX($U$1004:$AC$1004,1,MATCH(COLUMNS($U$1006:X1006),$U$1006:$AC$1006,0)))),"Fix")))</f>
        <v>0</v>
      </c>
      <c r="F335" s="3">
        <f>IF(OR(INDEX($O$2:$O$1001,MATCH(ROWS($N$2:N335),$N$2:$N$1001,0),1)&gt;=100000,INDEX($U$1005:$AC$1005,1,MATCH(COLUMNS($U$1006:Y1006),$U$1006:$AC$1006,0))&gt;=100000), " ",IF(INDEX($U$2:$AC$1001,MATCH(ROWS($N$2:N335),$N$2:$N$1001,0),MATCH(COLUMNS($U$1006:Y1006),$U$1006:$AC$1006,0)), HYPERLINK("#",""), HYPERLINK(CONCATENATE("#metadata!", ADDRESS(INDEX($P$2:$P$1001,MATCH(ROWS($N$2:N335),$N$2:$N$1001,0),0), INDEX($U$1004:$AC$1004,1,MATCH(COLUMNS($U$1006:Y1006),$U$1006:$AC$1006,0)))),"Fix")))</f>
        <v>0</v>
      </c>
      <c r="G335" s="3">
        <f>IF(OR(INDEX($O$2:$O$1001,MATCH(ROWS($N$2:N335),$N$2:$N$1001,0),1)&gt;=100000,INDEX($U$1005:$AC$1005,1,MATCH(COLUMNS($U$1006:Z1006),$U$1006:$AC$1006,0))&gt;=100000), " ",IF(INDEX($U$2:$AC$1001,MATCH(ROWS($N$2:N335),$N$2:$N$1001,0),MATCH(COLUMNS($U$1006:Z1006),$U$1006:$AC$1006,0)), HYPERLINK("#",""), HYPERLINK(CONCATENATE("#metadata!", ADDRESS(INDEX($P$2:$P$1001,MATCH(ROWS($N$2:N335),$N$2:$N$1001,0),0), INDEX($U$1004:$AC$1004,1,MATCH(COLUMNS($U$1006:Z1006),$U$1006:$AC$1006,0)))),"Fix")))</f>
        <v>0</v>
      </c>
      <c r="H335" s="3">
        <f>IF(OR(INDEX($O$2:$O$1001,MATCH(ROWS($N$2:N335),$N$2:$N$1001,0),1)&gt;=100000,INDEX($U$1005:$AC$1005,1,MATCH(COLUMNS($U$1006:AA1006),$U$1006:$AC$1006,0))&gt;=100000), " ",IF(INDEX($U$2:$AC$1001,MATCH(ROWS($N$2:N335),$N$2:$N$1001,0),MATCH(COLUMNS($U$1006:AA1006),$U$1006:$AC$1006,0)), HYPERLINK("#",""), HYPERLINK(CONCATENATE("#metadata!", ADDRESS(INDEX($P$2:$P$1001,MATCH(ROWS($N$2:N335),$N$2:$N$1001,0),0), INDEX($U$1004:$AC$1004,1,MATCH(COLUMNS($U$1006:AA1006),$U$1006:$AC$1006,0)))),"Fix")))</f>
        <v>0</v>
      </c>
      <c r="I335" s="3">
        <f>IF(OR(INDEX($O$2:$O$1001,MATCH(ROWS($N$2:N335),$N$2:$N$1001,0),1)&gt;=100000,INDEX($U$1005:$AC$1005,1,MATCH(COLUMNS($U$1006:AB1006),$U$1006:$AC$1006,0))&gt;=100000), " ",IF(INDEX($U$2:$AC$1001,MATCH(ROWS($N$2:N335),$N$2:$N$1001,0),MATCH(COLUMNS($U$1006:AB1006),$U$1006:$AC$1006,0)), HYPERLINK("#",""), HYPERLINK(CONCATENATE("#metadata!", ADDRESS(INDEX($P$2:$P$1001,MATCH(ROWS($N$2:N335),$N$2:$N$1001,0),0), INDEX($U$1004:$AC$1004,1,MATCH(COLUMNS($U$1006:AB1006),$U$1006:$AC$1006,0)))),"Fix")))</f>
        <v>0</v>
      </c>
      <c r="J335" s="3">
        <f>IF(OR(INDEX($O$2:$O$1001,MATCH(ROWS($N$2:N335),$N$2:$N$1001,0),1)&gt;=100000,INDEX($U$1005:$AC$1005,1,MATCH(COLUMNS($U$1006:AC1006),$U$1006:$AC$1006,0))&gt;=100000), " ",IF(INDEX($U$2:$AC$1001,MATCH(ROWS($N$2:N335),$N$2:$N$1001,0),MATCH(COLUMNS($U$1006:AC1006),$U$1006:$AC$1006,0)), HYPERLINK("#",""), HYPERLINK(CONCATENATE("#metadata!", ADDRESS(INDEX($P$2:$P$1001,MATCH(ROWS($N$2:N335),$N$2:$N$1001,0),0), INDEX($U$1004:$AC$1004,1,MATCH(COLUMNS($U$1006:AC1006),$U$1006:$AC$1006,0)))),"Fix")))</f>
        <v>0</v>
      </c>
      <c r="N335">
        <v>0</v>
      </c>
      <c r="O335">
        <v>0</v>
      </c>
      <c r="P335">
        <v>0</v>
      </c>
      <c r="Q335">
        <f>IF(R335,TRUE,AND(U335:AC335))</f>
        <v>0</v>
      </c>
      <c r="R335">
        <f>COUNTBLANK(metadata!B335:J335)=COLUMNS(metadata!B335:J335)</f>
        <v>0</v>
      </c>
      <c r="S335">
        <v>0</v>
      </c>
      <c r="U335">
        <f>AND(IF(metadata!B335="",FALSE,TRUE),COUNTIF(metadata!B:B, metadata!B335) = 1,NOT(ISERROR(SUMPRODUCT(SEARCH(MID(metadata!B335,ROW(INDIRECT("1:"&amp;LEN(metadata!B335))), 1),"0123456789abcdefghijklmnopqrstuvwxyzABCDEFGHIJKLMNOPQRSTUVWXYZ.")))))</f>
        <v>0</v>
      </c>
      <c r="V335">
        <f>AND(IF(metadata!C335="",FALSE,TRUE),exact(metadata!C335,"UBERON:genitourinary"))</f>
        <v>0</v>
      </c>
      <c r="W335">
        <f>AND(IF(metadata!D335="",FALSE,TRUE),exact(metadata!D335,"UBERON:urine"))</f>
        <v>0</v>
      </c>
      <c r="X335">
        <f>AND(IF(metadata!E335="",FALSE,TRUE),exact(metadata!E335,"UBERON:kidney"))</f>
        <v>0</v>
      </c>
      <c r="Y335">
        <f>AND(IF(metadata!F335="",FALSE,TRUE),exact(metadata!F335,"animal corpus"))</f>
        <v>0</v>
      </c>
      <c r="Z335">
        <f>AND(IF(metadata!G335="",FALSE,TRUE),exact(metadata!G335,"urine"))</f>
        <v>0</v>
      </c>
      <c r="AA335">
        <f>AND(IF(metadata!H335="",FALSE,TRUE),exact(metadata!H335,"urine"))</f>
        <v>0</v>
      </c>
      <c r="AB335">
        <f>AND(IF(metadata!I335="",FALSE,TRUE),exact(metadata!I335,"urine metagenome"))</f>
        <v>0</v>
      </c>
      <c r="AC335">
        <f>AND(IF(metadata!J335="",FALSE,TRUE),exact(metadata!J335,"1346744"))</f>
        <v>0</v>
      </c>
    </row>
    <row r="336" spans="1:29">
      <c r="A336" s="4">
        <f>IF(B336=" "," ",HYPERLINK(CONCATENATE("#metadata!",ADDRESS(INDEX($P$2:$P$1001,MATCH(ROWS($N$2:N336),$N$2:$N$1001,0),0),1)),INDEX($S$2:$S$1001,MATCH(ROWS($N$2:N336),$N$2:$N$1001,0),0)))</f>
        <v>0</v>
      </c>
      <c r="B336" s="3">
        <f>IF(OR(INDEX($O$2:$O$1001,MATCH(ROWS($N$2:N336),$N$2:$N$1001,0),1)&gt;=100000,INDEX($U$1005:$AC$1005,1,MATCH(COLUMNS($U$1006:U1006),$U$1006:$AC$1006,0))&gt;=100000), " ",IF(INDEX($U$2:$AC$1001,MATCH(ROWS($N$2:N336),$N$2:$N$1001,0),MATCH(COLUMNS($U$1006:U1006),$U$1006:$AC$1006,0)), HYPERLINK("#",""), HYPERLINK(CONCATENATE("#metadata!", ADDRESS(INDEX($P$2:$P$1001,MATCH(ROWS($N$2:N336),$N$2:$N$1001,0),0), INDEX($U$1004:$AC$1004,1,MATCH(COLUMNS($U$1006:U1006),$U$1006:$AC$1006,0)))),"Fix")))</f>
        <v>0</v>
      </c>
      <c r="C336" s="3">
        <f>IF(OR(INDEX($O$2:$O$1001,MATCH(ROWS($N$2:N336),$N$2:$N$1001,0),1)&gt;=100000,INDEX($U$1005:$AC$1005,1,MATCH(COLUMNS($U$1006:V1006),$U$1006:$AC$1006,0))&gt;=100000), " ",IF(INDEX($U$2:$AC$1001,MATCH(ROWS($N$2:N336),$N$2:$N$1001,0),MATCH(COLUMNS($U$1006:V1006),$U$1006:$AC$1006,0)), HYPERLINK("#",""), HYPERLINK(CONCATENATE("#metadata!", ADDRESS(INDEX($P$2:$P$1001,MATCH(ROWS($N$2:N336),$N$2:$N$1001,0),0), INDEX($U$1004:$AC$1004,1,MATCH(COLUMNS($U$1006:V1006),$U$1006:$AC$1006,0)))),"Fix")))</f>
        <v>0</v>
      </c>
      <c r="D336" s="3">
        <f>IF(OR(INDEX($O$2:$O$1001,MATCH(ROWS($N$2:N336),$N$2:$N$1001,0),1)&gt;=100000,INDEX($U$1005:$AC$1005,1,MATCH(COLUMNS($U$1006:W1006),$U$1006:$AC$1006,0))&gt;=100000), " ",IF(INDEX($U$2:$AC$1001,MATCH(ROWS($N$2:N336),$N$2:$N$1001,0),MATCH(COLUMNS($U$1006:W1006),$U$1006:$AC$1006,0)), HYPERLINK("#",""), HYPERLINK(CONCATENATE("#metadata!", ADDRESS(INDEX($P$2:$P$1001,MATCH(ROWS($N$2:N336),$N$2:$N$1001,0),0), INDEX($U$1004:$AC$1004,1,MATCH(COLUMNS($U$1006:W1006),$U$1006:$AC$1006,0)))),"Fix")))</f>
        <v>0</v>
      </c>
      <c r="E336" s="3">
        <f>IF(OR(INDEX($O$2:$O$1001,MATCH(ROWS($N$2:N336),$N$2:$N$1001,0),1)&gt;=100000,INDEX($U$1005:$AC$1005,1,MATCH(COLUMNS($U$1006:X1006),$U$1006:$AC$1006,0))&gt;=100000), " ",IF(INDEX($U$2:$AC$1001,MATCH(ROWS($N$2:N336),$N$2:$N$1001,0),MATCH(COLUMNS($U$1006:X1006),$U$1006:$AC$1006,0)), HYPERLINK("#",""), HYPERLINK(CONCATENATE("#metadata!", ADDRESS(INDEX($P$2:$P$1001,MATCH(ROWS($N$2:N336),$N$2:$N$1001,0),0), INDEX($U$1004:$AC$1004,1,MATCH(COLUMNS($U$1006:X1006),$U$1006:$AC$1006,0)))),"Fix")))</f>
        <v>0</v>
      </c>
      <c r="F336" s="3">
        <f>IF(OR(INDEX($O$2:$O$1001,MATCH(ROWS($N$2:N336),$N$2:$N$1001,0),1)&gt;=100000,INDEX($U$1005:$AC$1005,1,MATCH(COLUMNS($U$1006:Y1006),$U$1006:$AC$1006,0))&gt;=100000), " ",IF(INDEX($U$2:$AC$1001,MATCH(ROWS($N$2:N336),$N$2:$N$1001,0),MATCH(COLUMNS($U$1006:Y1006),$U$1006:$AC$1006,0)), HYPERLINK("#",""), HYPERLINK(CONCATENATE("#metadata!", ADDRESS(INDEX($P$2:$P$1001,MATCH(ROWS($N$2:N336),$N$2:$N$1001,0),0), INDEX($U$1004:$AC$1004,1,MATCH(COLUMNS($U$1006:Y1006),$U$1006:$AC$1006,0)))),"Fix")))</f>
        <v>0</v>
      </c>
      <c r="G336" s="3">
        <f>IF(OR(INDEX($O$2:$O$1001,MATCH(ROWS($N$2:N336),$N$2:$N$1001,0),1)&gt;=100000,INDEX($U$1005:$AC$1005,1,MATCH(COLUMNS($U$1006:Z1006),$U$1006:$AC$1006,0))&gt;=100000), " ",IF(INDEX($U$2:$AC$1001,MATCH(ROWS($N$2:N336),$N$2:$N$1001,0),MATCH(COLUMNS($U$1006:Z1006),$U$1006:$AC$1006,0)), HYPERLINK("#",""), HYPERLINK(CONCATENATE("#metadata!", ADDRESS(INDEX($P$2:$P$1001,MATCH(ROWS($N$2:N336),$N$2:$N$1001,0),0), INDEX($U$1004:$AC$1004,1,MATCH(COLUMNS($U$1006:Z1006),$U$1006:$AC$1006,0)))),"Fix")))</f>
        <v>0</v>
      </c>
      <c r="H336" s="3">
        <f>IF(OR(INDEX($O$2:$O$1001,MATCH(ROWS($N$2:N336),$N$2:$N$1001,0),1)&gt;=100000,INDEX($U$1005:$AC$1005,1,MATCH(COLUMNS($U$1006:AA1006),$U$1006:$AC$1006,0))&gt;=100000), " ",IF(INDEX($U$2:$AC$1001,MATCH(ROWS($N$2:N336),$N$2:$N$1001,0),MATCH(COLUMNS($U$1006:AA1006),$U$1006:$AC$1006,0)), HYPERLINK("#",""), HYPERLINK(CONCATENATE("#metadata!", ADDRESS(INDEX($P$2:$P$1001,MATCH(ROWS($N$2:N336),$N$2:$N$1001,0),0), INDEX($U$1004:$AC$1004,1,MATCH(COLUMNS($U$1006:AA1006),$U$1006:$AC$1006,0)))),"Fix")))</f>
        <v>0</v>
      </c>
      <c r="I336" s="3">
        <f>IF(OR(INDEX($O$2:$O$1001,MATCH(ROWS($N$2:N336),$N$2:$N$1001,0),1)&gt;=100000,INDEX($U$1005:$AC$1005,1,MATCH(COLUMNS($U$1006:AB1006),$U$1006:$AC$1006,0))&gt;=100000), " ",IF(INDEX($U$2:$AC$1001,MATCH(ROWS($N$2:N336),$N$2:$N$1001,0),MATCH(COLUMNS($U$1006:AB1006),$U$1006:$AC$1006,0)), HYPERLINK("#",""), HYPERLINK(CONCATENATE("#metadata!", ADDRESS(INDEX($P$2:$P$1001,MATCH(ROWS($N$2:N336),$N$2:$N$1001,0),0), INDEX($U$1004:$AC$1004,1,MATCH(COLUMNS($U$1006:AB1006),$U$1006:$AC$1006,0)))),"Fix")))</f>
        <v>0</v>
      </c>
      <c r="J336" s="3">
        <f>IF(OR(INDEX($O$2:$O$1001,MATCH(ROWS($N$2:N336),$N$2:$N$1001,0),1)&gt;=100000,INDEX($U$1005:$AC$1005,1,MATCH(COLUMNS($U$1006:AC1006),$U$1006:$AC$1006,0))&gt;=100000), " ",IF(INDEX($U$2:$AC$1001,MATCH(ROWS($N$2:N336),$N$2:$N$1001,0),MATCH(COLUMNS($U$1006:AC1006),$U$1006:$AC$1006,0)), HYPERLINK("#",""), HYPERLINK(CONCATENATE("#metadata!", ADDRESS(INDEX($P$2:$P$1001,MATCH(ROWS($N$2:N336),$N$2:$N$1001,0),0), INDEX($U$1004:$AC$1004,1,MATCH(COLUMNS($U$1006:AC1006),$U$1006:$AC$1006,0)))),"Fix")))</f>
        <v>0</v>
      </c>
      <c r="N336">
        <v>0</v>
      </c>
      <c r="O336">
        <v>0</v>
      </c>
      <c r="P336">
        <v>0</v>
      </c>
      <c r="Q336">
        <f>IF(R336,TRUE,AND(U336:AC336))</f>
        <v>0</v>
      </c>
      <c r="R336">
        <f>COUNTBLANK(metadata!B336:J336)=COLUMNS(metadata!B336:J336)</f>
        <v>0</v>
      </c>
      <c r="S336">
        <v>0</v>
      </c>
      <c r="U336">
        <f>AND(IF(metadata!B336="",FALSE,TRUE),COUNTIF(metadata!B:B, metadata!B336) = 1,NOT(ISERROR(SUMPRODUCT(SEARCH(MID(metadata!B336,ROW(INDIRECT("1:"&amp;LEN(metadata!B336))), 1),"0123456789abcdefghijklmnopqrstuvwxyzABCDEFGHIJKLMNOPQRSTUVWXYZ.")))))</f>
        <v>0</v>
      </c>
      <c r="V336">
        <f>AND(IF(metadata!C336="",FALSE,TRUE),exact(metadata!C336,"UBERON:genitourinary"))</f>
        <v>0</v>
      </c>
      <c r="W336">
        <f>AND(IF(metadata!D336="",FALSE,TRUE),exact(metadata!D336,"UBERON:urine"))</f>
        <v>0</v>
      </c>
      <c r="X336">
        <f>AND(IF(metadata!E336="",FALSE,TRUE),exact(metadata!E336,"UBERON:kidney"))</f>
        <v>0</v>
      </c>
      <c r="Y336">
        <f>AND(IF(metadata!F336="",FALSE,TRUE),exact(metadata!F336,"animal corpus"))</f>
        <v>0</v>
      </c>
      <c r="Z336">
        <f>AND(IF(metadata!G336="",FALSE,TRUE),exact(metadata!G336,"urine"))</f>
        <v>0</v>
      </c>
      <c r="AA336">
        <f>AND(IF(metadata!H336="",FALSE,TRUE),exact(metadata!H336,"urine"))</f>
        <v>0</v>
      </c>
      <c r="AB336">
        <f>AND(IF(metadata!I336="",FALSE,TRUE),exact(metadata!I336,"urine metagenome"))</f>
        <v>0</v>
      </c>
      <c r="AC336">
        <f>AND(IF(metadata!J336="",FALSE,TRUE),exact(metadata!J336,"1346744"))</f>
        <v>0</v>
      </c>
    </row>
    <row r="337" spans="1:29">
      <c r="A337" s="4">
        <f>IF(B337=" "," ",HYPERLINK(CONCATENATE("#metadata!",ADDRESS(INDEX($P$2:$P$1001,MATCH(ROWS($N$2:N337),$N$2:$N$1001,0),0),1)),INDEX($S$2:$S$1001,MATCH(ROWS($N$2:N337),$N$2:$N$1001,0),0)))</f>
        <v>0</v>
      </c>
      <c r="B337" s="3">
        <f>IF(OR(INDEX($O$2:$O$1001,MATCH(ROWS($N$2:N337),$N$2:$N$1001,0),1)&gt;=100000,INDEX($U$1005:$AC$1005,1,MATCH(COLUMNS($U$1006:U1006),$U$1006:$AC$1006,0))&gt;=100000), " ",IF(INDEX($U$2:$AC$1001,MATCH(ROWS($N$2:N337),$N$2:$N$1001,0),MATCH(COLUMNS($U$1006:U1006),$U$1006:$AC$1006,0)), HYPERLINK("#",""), HYPERLINK(CONCATENATE("#metadata!", ADDRESS(INDEX($P$2:$P$1001,MATCH(ROWS($N$2:N337),$N$2:$N$1001,0),0), INDEX($U$1004:$AC$1004,1,MATCH(COLUMNS($U$1006:U1006),$U$1006:$AC$1006,0)))),"Fix")))</f>
        <v>0</v>
      </c>
      <c r="C337" s="3">
        <f>IF(OR(INDEX($O$2:$O$1001,MATCH(ROWS($N$2:N337),$N$2:$N$1001,0),1)&gt;=100000,INDEX($U$1005:$AC$1005,1,MATCH(COLUMNS($U$1006:V1006),$U$1006:$AC$1006,0))&gt;=100000), " ",IF(INDEX($U$2:$AC$1001,MATCH(ROWS($N$2:N337),$N$2:$N$1001,0),MATCH(COLUMNS($U$1006:V1006),$U$1006:$AC$1006,0)), HYPERLINK("#",""), HYPERLINK(CONCATENATE("#metadata!", ADDRESS(INDEX($P$2:$P$1001,MATCH(ROWS($N$2:N337),$N$2:$N$1001,0),0), INDEX($U$1004:$AC$1004,1,MATCH(COLUMNS($U$1006:V1006),$U$1006:$AC$1006,0)))),"Fix")))</f>
        <v>0</v>
      </c>
      <c r="D337" s="3">
        <f>IF(OR(INDEX($O$2:$O$1001,MATCH(ROWS($N$2:N337),$N$2:$N$1001,0),1)&gt;=100000,INDEX($U$1005:$AC$1005,1,MATCH(COLUMNS($U$1006:W1006),$U$1006:$AC$1006,0))&gt;=100000), " ",IF(INDEX($U$2:$AC$1001,MATCH(ROWS($N$2:N337),$N$2:$N$1001,0),MATCH(COLUMNS($U$1006:W1006),$U$1006:$AC$1006,0)), HYPERLINK("#",""), HYPERLINK(CONCATENATE("#metadata!", ADDRESS(INDEX($P$2:$P$1001,MATCH(ROWS($N$2:N337),$N$2:$N$1001,0),0), INDEX($U$1004:$AC$1004,1,MATCH(COLUMNS($U$1006:W1006),$U$1006:$AC$1006,0)))),"Fix")))</f>
        <v>0</v>
      </c>
      <c r="E337" s="3">
        <f>IF(OR(INDEX($O$2:$O$1001,MATCH(ROWS($N$2:N337),$N$2:$N$1001,0),1)&gt;=100000,INDEX($U$1005:$AC$1005,1,MATCH(COLUMNS($U$1006:X1006),$U$1006:$AC$1006,0))&gt;=100000), " ",IF(INDEX($U$2:$AC$1001,MATCH(ROWS($N$2:N337),$N$2:$N$1001,0),MATCH(COLUMNS($U$1006:X1006),$U$1006:$AC$1006,0)), HYPERLINK("#",""), HYPERLINK(CONCATENATE("#metadata!", ADDRESS(INDEX($P$2:$P$1001,MATCH(ROWS($N$2:N337),$N$2:$N$1001,0),0), INDEX($U$1004:$AC$1004,1,MATCH(COLUMNS($U$1006:X1006),$U$1006:$AC$1006,0)))),"Fix")))</f>
        <v>0</v>
      </c>
      <c r="F337" s="3">
        <f>IF(OR(INDEX($O$2:$O$1001,MATCH(ROWS($N$2:N337),$N$2:$N$1001,0),1)&gt;=100000,INDEX($U$1005:$AC$1005,1,MATCH(COLUMNS($U$1006:Y1006),$U$1006:$AC$1006,0))&gt;=100000), " ",IF(INDEX($U$2:$AC$1001,MATCH(ROWS($N$2:N337),$N$2:$N$1001,0),MATCH(COLUMNS($U$1006:Y1006),$U$1006:$AC$1006,0)), HYPERLINK("#",""), HYPERLINK(CONCATENATE("#metadata!", ADDRESS(INDEX($P$2:$P$1001,MATCH(ROWS($N$2:N337),$N$2:$N$1001,0),0), INDEX($U$1004:$AC$1004,1,MATCH(COLUMNS($U$1006:Y1006),$U$1006:$AC$1006,0)))),"Fix")))</f>
        <v>0</v>
      </c>
      <c r="G337" s="3">
        <f>IF(OR(INDEX($O$2:$O$1001,MATCH(ROWS($N$2:N337),$N$2:$N$1001,0),1)&gt;=100000,INDEX($U$1005:$AC$1005,1,MATCH(COLUMNS($U$1006:Z1006),$U$1006:$AC$1006,0))&gt;=100000), " ",IF(INDEX($U$2:$AC$1001,MATCH(ROWS($N$2:N337),$N$2:$N$1001,0),MATCH(COLUMNS($U$1006:Z1006),$U$1006:$AC$1006,0)), HYPERLINK("#",""), HYPERLINK(CONCATENATE("#metadata!", ADDRESS(INDEX($P$2:$P$1001,MATCH(ROWS($N$2:N337),$N$2:$N$1001,0),0), INDEX($U$1004:$AC$1004,1,MATCH(COLUMNS($U$1006:Z1006),$U$1006:$AC$1006,0)))),"Fix")))</f>
        <v>0</v>
      </c>
      <c r="H337" s="3">
        <f>IF(OR(INDEX($O$2:$O$1001,MATCH(ROWS($N$2:N337),$N$2:$N$1001,0),1)&gt;=100000,INDEX($U$1005:$AC$1005,1,MATCH(COLUMNS($U$1006:AA1006),$U$1006:$AC$1006,0))&gt;=100000), " ",IF(INDEX($U$2:$AC$1001,MATCH(ROWS($N$2:N337),$N$2:$N$1001,0),MATCH(COLUMNS($U$1006:AA1006),$U$1006:$AC$1006,0)), HYPERLINK("#",""), HYPERLINK(CONCATENATE("#metadata!", ADDRESS(INDEX($P$2:$P$1001,MATCH(ROWS($N$2:N337),$N$2:$N$1001,0),0), INDEX($U$1004:$AC$1004,1,MATCH(COLUMNS($U$1006:AA1006),$U$1006:$AC$1006,0)))),"Fix")))</f>
        <v>0</v>
      </c>
      <c r="I337" s="3">
        <f>IF(OR(INDEX($O$2:$O$1001,MATCH(ROWS($N$2:N337),$N$2:$N$1001,0),1)&gt;=100000,INDEX($U$1005:$AC$1005,1,MATCH(COLUMNS($U$1006:AB1006),$U$1006:$AC$1006,0))&gt;=100000), " ",IF(INDEX($U$2:$AC$1001,MATCH(ROWS($N$2:N337),$N$2:$N$1001,0),MATCH(COLUMNS($U$1006:AB1006),$U$1006:$AC$1006,0)), HYPERLINK("#",""), HYPERLINK(CONCATENATE("#metadata!", ADDRESS(INDEX($P$2:$P$1001,MATCH(ROWS($N$2:N337),$N$2:$N$1001,0),0), INDEX($U$1004:$AC$1004,1,MATCH(COLUMNS($U$1006:AB1006),$U$1006:$AC$1006,0)))),"Fix")))</f>
        <v>0</v>
      </c>
      <c r="J337" s="3">
        <f>IF(OR(INDEX($O$2:$O$1001,MATCH(ROWS($N$2:N337),$N$2:$N$1001,0),1)&gt;=100000,INDEX($U$1005:$AC$1005,1,MATCH(COLUMNS($U$1006:AC1006),$U$1006:$AC$1006,0))&gt;=100000), " ",IF(INDEX($U$2:$AC$1001,MATCH(ROWS($N$2:N337),$N$2:$N$1001,0),MATCH(COLUMNS($U$1006:AC1006),$U$1006:$AC$1006,0)), HYPERLINK("#",""), HYPERLINK(CONCATENATE("#metadata!", ADDRESS(INDEX($P$2:$P$1001,MATCH(ROWS($N$2:N337),$N$2:$N$1001,0),0), INDEX($U$1004:$AC$1004,1,MATCH(COLUMNS($U$1006:AC1006),$U$1006:$AC$1006,0)))),"Fix")))</f>
        <v>0</v>
      </c>
      <c r="N337">
        <v>0</v>
      </c>
      <c r="O337">
        <v>0</v>
      </c>
      <c r="P337">
        <v>0</v>
      </c>
      <c r="Q337">
        <f>IF(R337,TRUE,AND(U337:AC337))</f>
        <v>0</v>
      </c>
      <c r="R337">
        <f>COUNTBLANK(metadata!B337:J337)=COLUMNS(metadata!B337:J337)</f>
        <v>0</v>
      </c>
      <c r="S337">
        <v>0</v>
      </c>
      <c r="U337">
        <f>AND(IF(metadata!B337="",FALSE,TRUE),COUNTIF(metadata!B:B, metadata!B337) = 1,NOT(ISERROR(SUMPRODUCT(SEARCH(MID(metadata!B337,ROW(INDIRECT("1:"&amp;LEN(metadata!B337))), 1),"0123456789abcdefghijklmnopqrstuvwxyzABCDEFGHIJKLMNOPQRSTUVWXYZ.")))))</f>
        <v>0</v>
      </c>
      <c r="V337">
        <f>AND(IF(metadata!C337="",FALSE,TRUE),exact(metadata!C337,"UBERON:genitourinary"))</f>
        <v>0</v>
      </c>
      <c r="W337">
        <f>AND(IF(metadata!D337="",FALSE,TRUE),exact(metadata!D337,"UBERON:urine"))</f>
        <v>0</v>
      </c>
      <c r="X337">
        <f>AND(IF(metadata!E337="",FALSE,TRUE),exact(metadata!E337,"UBERON:kidney"))</f>
        <v>0</v>
      </c>
      <c r="Y337">
        <f>AND(IF(metadata!F337="",FALSE,TRUE),exact(metadata!F337,"animal corpus"))</f>
        <v>0</v>
      </c>
      <c r="Z337">
        <f>AND(IF(metadata!G337="",FALSE,TRUE),exact(metadata!G337,"urine"))</f>
        <v>0</v>
      </c>
      <c r="AA337">
        <f>AND(IF(metadata!H337="",FALSE,TRUE),exact(metadata!H337,"urine"))</f>
        <v>0</v>
      </c>
      <c r="AB337">
        <f>AND(IF(metadata!I337="",FALSE,TRUE),exact(metadata!I337,"urine metagenome"))</f>
        <v>0</v>
      </c>
      <c r="AC337">
        <f>AND(IF(metadata!J337="",FALSE,TRUE),exact(metadata!J337,"1346744"))</f>
        <v>0</v>
      </c>
    </row>
    <row r="338" spans="1:29">
      <c r="A338" s="4">
        <f>IF(B338=" "," ",HYPERLINK(CONCATENATE("#metadata!",ADDRESS(INDEX($P$2:$P$1001,MATCH(ROWS($N$2:N338),$N$2:$N$1001,0),0),1)),INDEX($S$2:$S$1001,MATCH(ROWS($N$2:N338),$N$2:$N$1001,0),0)))</f>
        <v>0</v>
      </c>
      <c r="B338" s="3">
        <f>IF(OR(INDEX($O$2:$O$1001,MATCH(ROWS($N$2:N338),$N$2:$N$1001,0),1)&gt;=100000,INDEX($U$1005:$AC$1005,1,MATCH(COLUMNS($U$1006:U1006),$U$1006:$AC$1006,0))&gt;=100000), " ",IF(INDEX($U$2:$AC$1001,MATCH(ROWS($N$2:N338),$N$2:$N$1001,0),MATCH(COLUMNS($U$1006:U1006),$U$1006:$AC$1006,0)), HYPERLINK("#",""), HYPERLINK(CONCATENATE("#metadata!", ADDRESS(INDEX($P$2:$P$1001,MATCH(ROWS($N$2:N338),$N$2:$N$1001,0),0), INDEX($U$1004:$AC$1004,1,MATCH(COLUMNS($U$1006:U1006),$U$1006:$AC$1006,0)))),"Fix")))</f>
        <v>0</v>
      </c>
      <c r="C338" s="3">
        <f>IF(OR(INDEX($O$2:$O$1001,MATCH(ROWS($N$2:N338),$N$2:$N$1001,0),1)&gt;=100000,INDEX($U$1005:$AC$1005,1,MATCH(COLUMNS($U$1006:V1006),$U$1006:$AC$1006,0))&gt;=100000), " ",IF(INDEX($U$2:$AC$1001,MATCH(ROWS($N$2:N338),$N$2:$N$1001,0),MATCH(COLUMNS($U$1006:V1006),$U$1006:$AC$1006,0)), HYPERLINK("#",""), HYPERLINK(CONCATENATE("#metadata!", ADDRESS(INDEX($P$2:$P$1001,MATCH(ROWS($N$2:N338),$N$2:$N$1001,0),0), INDEX($U$1004:$AC$1004,1,MATCH(COLUMNS($U$1006:V1006),$U$1006:$AC$1006,0)))),"Fix")))</f>
        <v>0</v>
      </c>
      <c r="D338" s="3">
        <f>IF(OR(INDEX($O$2:$O$1001,MATCH(ROWS($N$2:N338),$N$2:$N$1001,0),1)&gt;=100000,INDEX($U$1005:$AC$1005,1,MATCH(COLUMNS($U$1006:W1006),$U$1006:$AC$1006,0))&gt;=100000), " ",IF(INDEX($U$2:$AC$1001,MATCH(ROWS($N$2:N338),$N$2:$N$1001,0),MATCH(COLUMNS($U$1006:W1006),$U$1006:$AC$1006,0)), HYPERLINK("#",""), HYPERLINK(CONCATENATE("#metadata!", ADDRESS(INDEX($P$2:$P$1001,MATCH(ROWS($N$2:N338),$N$2:$N$1001,0),0), INDEX($U$1004:$AC$1004,1,MATCH(COLUMNS($U$1006:W1006),$U$1006:$AC$1006,0)))),"Fix")))</f>
        <v>0</v>
      </c>
      <c r="E338" s="3">
        <f>IF(OR(INDEX($O$2:$O$1001,MATCH(ROWS($N$2:N338),$N$2:$N$1001,0),1)&gt;=100000,INDEX($U$1005:$AC$1005,1,MATCH(COLUMNS($U$1006:X1006),$U$1006:$AC$1006,0))&gt;=100000), " ",IF(INDEX($U$2:$AC$1001,MATCH(ROWS($N$2:N338),$N$2:$N$1001,0),MATCH(COLUMNS($U$1006:X1006),$U$1006:$AC$1006,0)), HYPERLINK("#",""), HYPERLINK(CONCATENATE("#metadata!", ADDRESS(INDEX($P$2:$P$1001,MATCH(ROWS($N$2:N338),$N$2:$N$1001,0),0), INDEX($U$1004:$AC$1004,1,MATCH(COLUMNS($U$1006:X1006),$U$1006:$AC$1006,0)))),"Fix")))</f>
        <v>0</v>
      </c>
      <c r="F338" s="3">
        <f>IF(OR(INDEX($O$2:$O$1001,MATCH(ROWS($N$2:N338),$N$2:$N$1001,0),1)&gt;=100000,INDEX($U$1005:$AC$1005,1,MATCH(COLUMNS($U$1006:Y1006),$U$1006:$AC$1006,0))&gt;=100000), " ",IF(INDEX($U$2:$AC$1001,MATCH(ROWS($N$2:N338),$N$2:$N$1001,0),MATCH(COLUMNS($U$1006:Y1006),$U$1006:$AC$1006,0)), HYPERLINK("#",""), HYPERLINK(CONCATENATE("#metadata!", ADDRESS(INDEX($P$2:$P$1001,MATCH(ROWS($N$2:N338),$N$2:$N$1001,0),0), INDEX($U$1004:$AC$1004,1,MATCH(COLUMNS($U$1006:Y1006),$U$1006:$AC$1006,0)))),"Fix")))</f>
        <v>0</v>
      </c>
      <c r="G338" s="3">
        <f>IF(OR(INDEX($O$2:$O$1001,MATCH(ROWS($N$2:N338),$N$2:$N$1001,0),1)&gt;=100000,INDEX($U$1005:$AC$1005,1,MATCH(COLUMNS($U$1006:Z1006),$U$1006:$AC$1006,0))&gt;=100000), " ",IF(INDEX($U$2:$AC$1001,MATCH(ROWS($N$2:N338),$N$2:$N$1001,0),MATCH(COLUMNS($U$1006:Z1006),$U$1006:$AC$1006,0)), HYPERLINK("#",""), HYPERLINK(CONCATENATE("#metadata!", ADDRESS(INDEX($P$2:$P$1001,MATCH(ROWS($N$2:N338),$N$2:$N$1001,0),0), INDEX($U$1004:$AC$1004,1,MATCH(COLUMNS($U$1006:Z1006),$U$1006:$AC$1006,0)))),"Fix")))</f>
        <v>0</v>
      </c>
      <c r="H338" s="3">
        <f>IF(OR(INDEX($O$2:$O$1001,MATCH(ROWS($N$2:N338),$N$2:$N$1001,0),1)&gt;=100000,INDEX($U$1005:$AC$1005,1,MATCH(COLUMNS($U$1006:AA1006),$U$1006:$AC$1006,0))&gt;=100000), " ",IF(INDEX($U$2:$AC$1001,MATCH(ROWS($N$2:N338),$N$2:$N$1001,0),MATCH(COLUMNS($U$1006:AA1006),$U$1006:$AC$1006,0)), HYPERLINK("#",""), HYPERLINK(CONCATENATE("#metadata!", ADDRESS(INDEX($P$2:$P$1001,MATCH(ROWS($N$2:N338),$N$2:$N$1001,0),0), INDEX($U$1004:$AC$1004,1,MATCH(COLUMNS($U$1006:AA1006),$U$1006:$AC$1006,0)))),"Fix")))</f>
        <v>0</v>
      </c>
      <c r="I338" s="3">
        <f>IF(OR(INDEX($O$2:$O$1001,MATCH(ROWS($N$2:N338),$N$2:$N$1001,0),1)&gt;=100000,INDEX($U$1005:$AC$1005,1,MATCH(COLUMNS($U$1006:AB1006),$U$1006:$AC$1006,0))&gt;=100000), " ",IF(INDEX($U$2:$AC$1001,MATCH(ROWS($N$2:N338),$N$2:$N$1001,0),MATCH(COLUMNS($U$1006:AB1006),$U$1006:$AC$1006,0)), HYPERLINK("#",""), HYPERLINK(CONCATENATE("#metadata!", ADDRESS(INDEX($P$2:$P$1001,MATCH(ROWS($N$2:N338),$N$2:$N$1001,0),0), INDEX($U$1004:$AC$1004,1,MATCH(COLUMNS($U$1006:AB1006),$U$1006:$AC$1006,0)))),"Fix")))</f>
        <v>0</v>
      </c>
      <c r="J338" s="3">
        <f>IF(OR(INDEX($O$2:$O$1001,MATCH(ROWS($N$2:N338),$N$2:$N$1001,0),1)&gt;=100000,INDEX($U$1005:$AC$1005,1,MATCH(COLUMNS($U$1006:AC1006),$U$1006:$AC$1006,0))&gt;=100000), " ",IF(INDEX($U$2:$AC$1001,MATCH(ROWS($N$2:N338),$N$2:$N$1001,0),MATCH(COLUMNS($U$1006:AC1006),$U$1006:$AC$1006,0)), HYPERLINK("#",""), HYPERLINK(CONCATENATE("#metadata!", ADDRESS(INDEX($P$2:$P$1001,MATCH(ROWS($N$2:N338),$N$2:$N$1001,0),0), INDEX($U$1004:$AC$1004,1,MATCH(COLUMNS($U$1006:AC1006),$U$1006:$AC$1006,0)))),"Fix")))</f>
        <v>0</v>
      </c>
      <c r="N338">
        <v>0</v>
      </c>
      <c r="O338">
        <v>0</v>
      </c>
      <c r="P338">
        <v>0</v>
      </c>
      <c r="Q338">
        <f>IF(R338,TRUE,AND(U338:AC338))</f>
        <v>0</v>
      </c>
      <c r="R338">
        <f>COUNTBLANK(metadata!B338:J338)=COLUMNS(metadata!B338:J338)</f>
        <v>0</v>
      </c>
      <c r="S338">
        <v>0</v>
      </c>
      <c r="U338">
        <f>AND(IF(metadata!B338="",FALSE,TRUE),COUNTIF(metadata!B:B, metadata!B338) = 1,NOT(ISERROR(SUMPRODUCT(SEARCH(MID(metadata!B338,ROW(INDIRECT("1:"&amp;LEN(metadata!B338))), 1),"0123456789abcdefghijklmnopqrstuvwxyzABCDEFGHIJKLMNOPQRSTUVWXYZ.")))))</f>
        <v>0</v>
      </c>
      <c r="V338">
        <f>AND(IF(metadata!C338="",FALSE,TRUE),exact(metadata!C338,"UBERON:genitourinary"))</f>
        <v>0</v>
      </c>
      <c r="W338">
        <f>AND(IF(metadata!D338="",FALSE,TRUE),exact(metadata!D338,"UBERON:urine"))</f>
        <v>0</v>
      </c>
      <c r="X338">
        <f>AND(IF(metadata!E338="",FALSE,TRUE),exact(metadata!E338,"UBERON:kidney"))</f>
        <v>0</v>
      </c>
      <c r="Y338">
        <f>AND(IF(metadata!F338="",FALSE,TRUE),exact(metadata!F338,"animal corpus"))</f>
        <v>0</v>
      </c>
      <c r="Z338">
        <f>AND(IF(metadata!G338="",FALSE,TRUE),exact(metadata!G338,"urine"))</f>
        <v>0</v>
      </c>
      <c r="AA338">
        <f>AND(IF(metadata!H338="",FALSE,TRUE),exact(metadata!H338,"urine"))</f>
        <v>0</v>
      </c>
      <c r="AB338">
        <f>AND(IF(metadata!I338="",FALSE,TRUE),exact(metadata!I338,"urine metagenome"))</f>
        <v>0</v>
      </c>
      <c r="AC338">
        <f>AND(IF(metadata!J338="",FALSE,TRUE),exact(metadata!J338,"1346744"))</f>
        <v>0</v>
      </c>
    </row>
    <row r="339" spans="1:29">
      <c r="A339" s="4">
        <f>IF(B339=" "," ",HYPERLINK(CONCATENATE("#metadata!",ADDRESS(INDEX($P$2:$P$1001,MATCH(ROWS($N$2:N339),$N$2:$N$1001,0),0),1)),INDEX($S$2:$S$1001,MATCH(ROWS($N$2:N339),$N$2:$N$1001,0),0)))</f>
        <v>0</v>
      </c>
      <c r="B339" s="3">
        <f>IF(OR(INDEX($O$2:$O$1001,MATCH(ROWS($N$2:N339),$N$2:$N$1001,0),1)&gt;=100000,INDEX($U$1005:$AC$1005,1,MATCH(COLUMNS($U$1006:U1006),$U$1006:$AC$1006,0))&gt;=100000), " ",IF(INDEX($U$2:$AC$1001,MATCH(ROWS($N$2:N339),$N$2:$N$1001,0),MATCH(COLUMNS($U$1006:U1006),$U$1006:$AC$1006,0)), HYPERLINK("#",""), HYPERLINK(CONCATENATE("#metadata!", ADDRESS(INDEX($P$2:$P$1001,MATCH(ROWS($N$2:N339),$N$2:$N$1001,0),0), INDEX($U$1004:$AC$1004,1,MATCH(COLUMNS($U$1006:U1006),$U$1006:$AC$1006,0)))),"Fix")))</f>
        <v>0</v>
      </c>
      <c r="C339" s="3">
        <f>IF(OR(INDEX($O$2:$O$1001,MATCH(ROWS($N$2:N339),$N$2:$N$1001,0),1)&gt;=100000,INDEX($U$1005:$AC$1005,1,MATCH(COLUMNS($U$1006:V1006),$U$1006:$AC$1006,0))&gt;=100000), " ",IF(INDEX($U$2:$AC$1001,MATCH(ROWS($N$2:N339),$N$2:$N$1001,0),MATCH(COLUMNS($U$1006:V1006),$U$1006:$AC$1006,0)), HYPERLINK("#",""), HYPERLINK(CONCATENATE("#metadata!", ADDRESS(INDEX($P$2:$P$1001,MATCH(ROWS($N$2:N339),$N$2:$N$1001,0),0), INDEX($U$1004:$AC$1004,1,MATCH(COLUMNS($U$1006:V1006),$U$1006:$AC$1006,0)))),"Fix")))</f>
        <v>0</v>
      </c>
      <c r="D339" s="3">
        <f>IF(OR(INDEX($O$2:$O$1001,MATCH(ROWS($N$2:N339),$N$2:$N$1001,0),1)&gt;=100000,INDEX($U$1005:$AC$1005,1,MATCH(COLUMNS($U$1006:W1006),$U$1006:$AC$1006,0))&gt;=100000), " ",IF(INDEX($U$2:$AC$1001,MATCH(ROWS($N$2:N339),$N$2:$N$1001,0),MATCH(COLUMNS($U$1006:W1006),$U$1006:$AC$1006,0)), HYPERLINK("#",""), HYPERLINK(CONCATENATE("#metadata!", ADDRESS(INDEX($P$2:$P$1001,MATCH(ROWS($N$2:N339),$N$2:$N$1001,0),0), INDEX($U$1004:$AC$1004,1,MATCH(COLUMNS($U$1006:W1006),$U$1006:$AC$1006,0)))),"Fix")))</f>
        <v>0</v>
      </c>
      <c r="E339" s="3">
        <f>IF(OR(INDEX($O$2:$O$1001,MATCH(ROWS($N$2:N339),$N$2:$N$1001,0),1)&gt;=100000,INDEX($U$1005:$AC$1005,1,MATCH(COLUMNS($U$1006:X1006),$U$1006:$AC$1006,0))&gt;=100000), " ",IF(INDEX($U$2:$AC$1001,MATCH(ROWS($N$2:N339),$N$2:$N$1001,0),MATCH(COLUMNS($U$1006:X1006),$U$1006:$AC$1006,0)), HYPERLINK("#",""), HYPERLINK(CONCATENATE("#metadata!", ADDRESS(INDEX($P$2:$P$1001,MATCH(ROWS($N$2:N339),$N$2:$N$1001,0),0), INDEX($U$1004:$AC$1004,1,MATCH(COLUMNS($U$1006:X1006),$U$1006:$AC$1006,0)))),"Fix")))</f>
        <v>0</v>
      </c>
      <c r="F339" s="3">
        <f>IF(OR(INDEX($O$2:$O$1001,MATCH(ROWS($N$2:N339),$N$2:$N$1001,0),1)&gt;=100000,INDEX($U$1005:$AC$1005,1,MATCH(COLUMNS($U$1006:Y1006),$U$1006:$AC$1006,0))&gt;=100000), " ",IF(INDEX($U$2:$AC$1001,MATCH(ROWS($N$2:N339),$N$2:$N$1001,0),MATCH(COLUMNS($U$1006:Y1006),$U$1006:$AC$1006,0)), HYPERLINK("#",""), HYPERLINK(CONCATENATE("#metadata!", ADDRESS(INDEX($P$2:$P$1001,MATCH(ROWS($N$2:N339),$N$2:$N$1001,0),0), INDEX($U$1004:$AC$1004,1,MATCH(COLUMNS($U$1006:Y1006),$U$1006:$AC$1006,0)))),"Fix")))</f>
        <v>0</v>
      </c>
      <c r="G339" s="3">
        <f>IF(OR(INDEX($O$2:$O$1001,MATCH(ROWS($N$2:N339),$N$2:$N$1001,0),1)&gt;=100000,INDEX($U$1005:$AC$1005,1,MATCH(COLUMNS($U$1006:Z1006),$U$1006:$AC$1006,0))&gt;=100000), " ",IF(INDEX($U$2:$AC$1001,MATCH(ROWS($N$2:N339),$N$2:$N$1001,0),MATCH(COLUMNS($U$1006:Z1006),$U$1006:$AC$1006,0)), HYPERLINK("#",""), HYPERLINK(CONCATENATE("#metadata!", ADDRESS(INDEX($P$2:$P$1001,MATCH(ROWS($N$2:N339),$N$2:$N$1001,0),0), INDEX($U$1004:$AC$1004,1,MATCH(COLUMNS($U$1006:Z1006),$U$1006:$AC$1006,0)))),"Fix")))</f>
        <v>0</v>
      </c>
      <c r="H339" s="3">
        <f>IF(OR(INDEX($O$2:$O$1001,MATCH(ROWS($N$2:N339),$N$2:$N$1001,0),1)&gt;=100000,INDEX($U$1005:$AC$1005,1,MATCH(COLUMNS($U$1006:AA1006),$U$1006:$AC$1006,0))&gt;=100000), " ",IF(INDEX($U$2:$AC$1001,MATCH(ROWS($N$2:N339),$N$2:$N$1001,0),MATCH(COLUMNS($U$1006:AA1006),$U$1006:$AC$1006,0)), HYPERLINK("#",""), HYPERLINK(CONCATENATE("#metadata!", ADDRESS(INDEX($P$2:$P$1001,MATCH(ROWS($N$2:N339),$N$2:$N$1001,0),0), INDEX($U$1004:$AC$1004,1,MATCH(COLUMNS($U$1006:AA1006),$U$1006:$AC$1006,0)))),"Fix")))</f>
        <v>0</v>
      </c>
      <c r="I339" s="3">
        <f>IF(OR(INDEX($O$2:$O$1001,MATCH(ROWS($N$2:N339),$N$2:$N$1001,0),1)&gt;=100000,INDEX($U$1005:$AC$1005,1,MATCH(COLUMNS($U$1006:AB1006),$U$1006:$AC$1006,0))&gt;=100000), " ",IF(INDEX($U$2:$AC$1001,MATCH(ROWS($N$2:N339),$N$2:$N$1001,0),MATCH(COLUMNS($U$1006:AB1006),$U$1006:$AC$1006,0)), HYPERLINK("#",""), HYPERLINK(CONCATENATE("#metadata!", ADDRESS(INDEX($P$2:$P$1001,MATCH(ROWS($N$2:N339),$N$2:$N$1001,0),0), INDEX($U$1004:$AC$1004,1,MATCH(COLUMNS($U$1006:AB1006),$U$1006:$AC$1006,0)))),"Fix")))</f>
        <v>0</v>
      </c>
      <c r="J339" s="3">
        <f>IF(OR(INDEX($O$2:$O$1001,MATCH(ROWS($N$2:N339),$N$2:$N$1001,0),1)&gt;=100000,INDEX($U$1005:$AC$1005,1,MATCH(COLUMNS($U$1006:AC1006),$U$1006:$AC$1006,0))&gt;=100000), " ",IF(INDEX($U$2:$AC$1001,MATCH(ROWS($N$2:N339),$N$2:$N$1001,0),MATCH(COLUMNS($U$1006:AC1006),$U$1006:$AC$1006,0)), HYPERLINK("#",""), HYPERLINK(CONCATENATE("#metadata!", ADDRESS(INDEX($P$2:$P$1001,MATCH(ROWS($N$2:N339),$N$2:$N$1001,0),0), INDEX($U$1004:$AC$1004,1,MATCH(COLUMNS($U$1006:AC1006),$U$1006:$AC$1006,0)))),"Fix")))</f>
        <v>0</v>
      </c>
      <c r="N339">
        <v>0</v>
      </c>
      <c r="O339">
        <v>0</v>
      </c>
      <c r="P339">
        <v>0</v>
      </c>
      <c r="Q339">
        <f>IF(R339,TRUE,AND(U339:AC339))</f>
        <v>0</v>
      </c>
      <c r="R339">
        <f>COUNTBLANK(metadata!B339:J339)=COLUMNS(metadata!B339:J339)</f>
        <v>0</v>
      </c>
      <c r="S339">
        <v>0</v>
      </c>
      <c r="U339">
        <f>AND(IF(metadata!B339="",FALSE,TRUE),COUNTIF(metadata!B:B, metadata!B339) = 1,NOT(ISERROR(SUMPRODUCT(SEARCH(MID(metadata!B339,ROW(INDIRECT("1:"&amp;LEN(metadata!B339))), 1),"0123456789abcdefghijklmnopqrstuvwxyzABCDEFGHIJKLMNOPQRSTUVWXYZ.")))))</f>
        <v>0</v>
      </c>
      <c r="V339">
        <f>AND(IF(metadata!C339="",FALSE,TRUE),exact(metadata!C339,"UBERON:genitourinary"))</f>
        <v>0</v>
      </c>
      <c r="W339">
        <f>AND(IF(metadata!D339="",FALSE,TRUE),exact(metadata!D339,"UBERON:urine"))</f>
        <v>0</v>
      </c>
      <c r="X339">
        <f>AND(IF(metadata!E339="",FALSE,TRUE),exact(metadata!E339,"UBERON:kidney"))</f>
        <v>0</v>
      </c>
      <c r="Y339">
        <f>AND(IF(metadata!F339="",FALSE,TRUE),exact(metadata!F339,"animal corpus"))</f>
        <v>0</v>
      </c>
      <c r="Z339">
        <f>AND(IF(metadata!G339="",FALSE,TRUE),exact(metadata!G339,"urine"))</f>
        <v>0</v>
      </c>
      <c r="AA339">
        <f>AND(IF(metadata!H339="",FALSE,TRUE),exact(metadata!H339,"urine"))</f>
        <v>0</v>
      </c>
      <c r="AB339">
        <f>AND(IF(metadata!I339="",FALSE,TRUE),exact(metadata!I339,"urine metagenome"))</f>
        <v>0</v>
      </c>
      <c r="AC339">
        <f>AND(IF(metadata!J339="",FALSE,TRUE),exact(metadata!J339,"1346744"))</f>
        <v>0</v>
      </c>
    </row>
    <row r="340" spans="1:29">
      <c r="A340" s="4">
        <f>IF(B340=" "," ",HYPERLINK(CONCATENATE("#metadata!",ADDRESS(INDEX($P$2:$P$1001,MATCH(ROWS($N$2:N340),$N$2:$N$1001,0),0),1)),INDEX($S$2:$S$1001,MATCH(ROWS($N$2:N340),$N$2:$N$1001,0),0)))</f>
        <v>0</v>
      </c>
      <c r="B340" s="3">
        <f>IF(OR(INDEX($O$2:$O$1001,MATCH(ROWS($N$2:N340),$N$2:$N$1001,0),1)&gt;=100000,INDEX($U$1005:$AC$1005,1,MATCH(COLUMNS($U$1006:U1006),$U$1006:$AC$1006,0))&gt;=100000), " ",IF(INDEX($U$2:$AC$1001,MATCH(ROWS($N$2:N340),$N$2:$N$1001,0),MATCH(COLUMNS($U$1006:U1006),$U$1006:$AC$1006,0)), HYPERLINK("#",""), HYPERLINK(CONCATENATE("#metadata!", ADDRESS(INDEX($P$2:$P$1001,MATCH(ROWS($N$2:N340),$N$2:$N$1001,0),0), INDEX($U$1004:$AC$1004,1,MATCH(COLUMNS($U$1006:U1006),$U$1006:$AC$1006,0)))),"Fix")))</f>
        <v>0</v>
      </c>
      <c r="C340" s="3">
        <f>IF(OR(INDEX($O$2:$O$1001,MATCH(ROWS($N$2:N340),$N$2:$N$1001,0),1)&gt;=100000,INDEX($U$1005:$AC$1005,1,MATCH(COLUMNS($U$1006:V1006),$U$1006:$AC$1006,0))&gt;=100000), " ",IF(INDEX($U$2:$AC$1001,MATCH(ROWS($N$2:N340),$N$2:$N$1001,0),MATCH(COLUMNS($U$1006:V1006),$U$1006:$AC$1006,0)), HYPERLINK("#",""), HYPERLINK(CONCATENATE("#metadata!", ADDRESS(INDEX($P$2:$P$1001,MATCH(ROWS($N$2:N340),$N$2:$N$1001,0),0), INDEX($U$1004:$AC$1004,1,MATCH(COLUMNS($U$1006:V1006),$U$1006:$AC$1006,0)))),"Fix")))</f>
        <v>0</v>
      </c>
      <c r="D340" s="3">
        <f>IF(OR(INDEX($O$2:$O$1001,MATCH(ROWS($N$2:N340),$N$2:$N$1001,0),1)&gt;=100000,INDEX($U$1005:$AC$1005,1,MATCH(COLUMNS($U$1006:W1006),$U$1006:$AC$1006,0))&gt;=100000), " ",IF(INDEX($U$2:$AC$1001,MATCH(ROWS($N$2:N340),$N$2:$N$1001,0),MATCH(COLUMNS($U$1006:W1006),$U$1006:$AC$1006,0)), HYPERLINK("#",""), HYPERLINK(CONCATENATE("#metadata!", ADDRESS(INDEX($P$2:$P$1001,MATCH(ROWS($N$2:N340),$N$2:$N$1001,0),0), INDEX($U$1004:$AC$1004,1,MATCH(COLUMNS($U$1006:W1006),$U$1006:$AC$1006,0)))),"Fix")))</f>
        <v>0</v>
      </c>
      <c r="E340" s="3">
        <f>IF(OR(INDEX($O$2:$O$1001,MATCH(ROWS($N$2:N340),$N$2:$N$1001,0),1)&gt;=100000,INDEX($U$1005:$AC$1005,1,MATCH(COLUMNS($U$1006:X1006),$U$1006:$AC$1006,0))&gt;=100000), " ",IF(INDEX($U$2:$AC$1001,MATCH(ROWS($N$2:N340),$N$2:$N$1001,0),MATCH(COLUMNS($U$1006:X1006),$U$1006:$AC$1006,0)), HYPERLINK("#",""), HYPERLINK(CONCATENATE("#metadata!", ADDRESS(INDEX($P$2:$P$1001,MATCH(ROWS($N$2:N340),$N$2:$N$1001,0),0), INDEX($U$1004:$AC$1004,1,MATCH(COLUMNS($U$1006:X1006),$U$1006:$AC$1006,0)))),"Fix")))</f>
        <v>0</v>
      </c>
      <c r="F340" s="3">
        <f>IF(OR(INDEX($O$2:$O$1001,MATCH(ROWS($N$2:N340),$N$2:$N$1001,0),1)&gt;=100000,INDEX($U$1005:$AC$1005,1,MATCH(COLUMNS($U$1006:Y1006),$U$1006:$AC$1006,0))&gt;=100000), " ",IF(INDEX($U$2:$AC$1001,MATCH(ROWS($N$2:N340),$N$2:$N$1001,0),MATCH(COLUMNS($U$1006:Y1006),$U$1006:$AC$1006,0)), HYPERLINK("#",""), HYPERLINK(CONCATENATE("#metadata!", ADDRESS(INDEX($P$2:$P$1001,MATCH(ROWS($N$2:N340),$N$2:$N$1001,0),0), INDEX($U$1004:$AC$1004,1,MATCH(COLUMNS($U$1006:Y1006),$U$1006:$AC$1006,0)))),"Fix")))</f>
        <v>0</v>
      </c>
      <c r="G340" s="3">
        <f>IF(OR(INDEX($O$2:$O$1001,MATCH(ROWS($N$2:N340),$N$2:$N$1001,0),1)&gt;=100000,INDEX($U$1005:$AC$1005,1,MATCH(COLUMNS($U$1006:Z1006),$U$1006:$AC$1006,0))&gt;=100000), " ",IF(INDEX($U$2:$AC$1001,MATCH(ROWS($N$2:N340),$N$2:$N$1001,0),MATCH(COLUMNS($U$1006:Z1006),$U$1006:$AC$1006,0)), HYPERLINK("#",""), HYPERLINK(CONCATENATE("#metadata!", ADDRESS(INDEX($P$2:$P$1001,MATCH(ROWS($N$2:N340),$N$2:$N$1001,0),0), INDEX($U$1004:$AC$1004,1,MATCH(COLUMNS($U$1006:Z1006),$U$1006:$AC$1006,0)))),"Fix")))</f>
        <v>0</v>
      </c>
      <c r="H340" s="3">
        <f>IF(OR(INDEX($O$2:$O$1001,MATCH(ROWS($N$2:N340),$N$2:$N$1001,0),1)&gt;=100000,INDEX($U$1005:$AC$1005,1,MATCH(COLUMNS($U$1006:AA1006),$U$1006:$AC$1006,0))&gt;=100000), " ",IF(INDEX($U$2:$AC$1001,MATCH(ROWS($N$2:N340),$N$2:$N$1001,0),MATCH(COLUMNS($U$1006:AA1006),$U$1006:$AC$1006,0)), HYPERLINK("#",""), HYPERLINK(CONCATENATE("#metadata!", ADDRESS(INDEX($P$2:$P$1001,MATCH(ROWS($N$2:N340),$N$2:$N$1001,0),0), INDEX($U$1004:$AC$1004,1,MATCH(COLUMNS($U$1006:AA1006),$U$1006:$AC$1006,0)))),"Fix")))</f>
        <v>0</v>
      </c>
      <c r="I340" s="3">
        <f>IF(OR(INDEX($O$2:$O$1001,MATCH(ROWS($N$2:N340),$N$2:$N$1001,0),1)&gt;=100000,INDEX($U$1005:$AC$1005,1,MATCH(COLUMNS($U$1006:AB1006),$U$1006:$AC$1006,0))&gt;=100000), " ",IF(INDEX($U$2:$AC$1001,MATCH(ROWS($N$2:N340),$N$2:$N$1001,0),MATCH(COLUMNS($U$1006:AB1006),$U$1006:$AC$1006,0)), HYPERLINK("#",""), HYPERLINK(CONCATENATE("#metadata!", ADDRESS(INDEX($P$2:$P$1001,MATCH(ROWS($N$2:N340),$N$2:$N$1001,0),0), INDEX($U$1004:$AC$1004,1,MATCH(COLUMNS($U$1006:AB1006),$U$1006:$AC$1006,0)))),"Fix")))</f>
        <v>0</v>
      </c>
      <c r="J340" s="3">
        <f>IF(OR(INDEX($O$2:$O$1001,MATCH(ROWS($N$2:N340),$N$2:$N$1001,0),1)&gt;=100000,INDEX($U$1005:$AC$1005,1,MATCH(COLUMNS($U$1006:AC1006),$U$1006:$AC$1006,0))&gt;=100000), " ",IF(INDEX($U$2:$AC$1001,MATCH(ROWS($N$2:N340),$N$2:$N$1001,0),MATCH(COLUMNS($U$1006:AC1006),$U$1006:$AC$1006,0)), HYPERLINK("#",""), HYPERLINK(CONCATENATE("#metadata!", ADDRESS(INDEX($P$2:$P$1001,MATCH(ROWS($N$2:N340),$N$2:$N$1001,0),0), INDEX($U$1004:$AC$1004,1,MATCH(COLUMNS($U$1006:AC1006),$U$1006:$AC$1006,0)))),"Fix")))</f>
        <v>0</v>
      </c>
      <c r="N340">
        <v>0</v>
      </c>
      <c r="O340">
        <v>0</v>
      </c>
      <c r="P340">
        <v>0</v>
      </c>
      <c r="Q340">
        <f>IF(R340,TRUE,AND(U340:AC340))</f>
        <v>0</v>
      </c>
      <c r="R340">
        <f>COUNTBLANK(metadata!B340:J340)=COLUMNS(metadata!B340:J340)</f>
        <v>0</v>
      </c>
      <c r="S340">
        <v>0</v>
      </c>
      <c r="U340">
        <f>AND(IF(metadata!B340="",FALSE,TRUE),COUNTIF(metadata!B:B, metadata!B340) = 1,NOT(ISERROR(SUMPRODUCT(SEARCH(MID(metadata!B340,ROW(INDIRECT("1:"&amp;LEN(metadata!B340))), 1),"0123456789abcdefghijklmnopqrstuvwxyzABCDEFGHIJKLMNOPQRSTUVWXYZ.")))))</f>
        <v>0</v>
      </c>
      <c r="V340">
        <f>AND(IF(metadata!C340="",FALSE,TRUE),exact(metadata!C340,"UBERON:genitourinary"))</f>
        <v>0</v>
      </c>
      <c r="W340">
        <f>AND(IF(metadata!D340="",FALSE,TRUE),exact(metadata!D340,"UBERON:urine"))</f>
        <v>0</v>
      </c>
      <c r="X340">
        <f>AND(IF(metadata!E340="",FALSE,TRUE),exact(metadata!E340,"UBERON:kidney"))</f>
        <v>0</v>
      </c>
      <c r="Y340">
        <f>AND(IF(metadata!F340="",FALSE,TRUE),exact(metadata!F340,"animal corpus"))</f>
        <v>0</v>
      </c>
      <c r="Z340">
        <f>AND(IF(metadata!G340="",FALSE,TRUE),exact(metadata!G340,"urine"))</f>
        <v>0</v>
      </c>
      <c r="AA340">
        <f>AND(IF(metadata!H340="",FALSE,TRUE),exact(metadata!H340,"urine"))</f>
        <v>0</v>
      </c>
      <c r="AB340">
        <f>AND(IF(metadata!I340="",FALSE,TRUE),exact(metadata!I340,"urine metagenome"))</f>
        <v>0</v>
      </c>
      <c r="AC340">
        <f>AND(IF(metadata!J340="",FALSE,TRUE),exact(metadata!J340,"1346744"))</f>
        <v>0</v>
      </c>
    </row>
    <row r="341" spans="1:29">
      <c r="A341" s="4">
        <f>IF(B341=" "," ",HYPERLINK(CONCATENATE("#metadata!",ADDRESS(INDEX($P$2:$P$1001,MATCH(ROWS($N$2:N341),$N$2:$N$1001,0),0),1)),INDEX($S$2:$S$1001,MATCH(ROWS($N$2:N341),$N$2:$N$1001,0),0)))</f>
        <v>0</v>
      </c>
      <c r="B341" s="3">
        <f>IF(OR(INDEX($O$2:$O$1001,MATCH(ROWS($N$2:N341),$N$2:$N$1001,0),1)&gt;=100000,INDEX($U$1005:$AC$1005,1,MATCH(COLUMNS($U$1006:U1006),$U$1006:$AC$1006,0))&gt;=100000), " ",IF(INDEX($U$2:$AC$1001,MATCH(ROWS($N$2:N341),$N$2:$N$1001,0),MATCH(COLUMNS($U$1006:U1006),$U$1006:$AC$1006,0)), HYPERLINK("#",""), HYPERLINK(CONCATENATE("#metadata!", ADDRESS(INDEX($P$2:$P$1001,MATCH(ROWS($N$2:N341),$N$2:$N$1001,0),0), INDEX($U$1004:$AC$1004,1,MATCH(COLUMNS($U$1006:U1006),$U$1006:$AC$1006,0)))),"Fix")))</f>
        <v>0</v>
      </c>
      <c r="C341" s="3">
        <f>IF(OR(INDEX($O$2:$O$1001,MATCH(ROWS($N$2:N341),$N$2:$N$1001,0),1)&gt;=100000,INDEX($U$1005:$AC$1005,1,MATCH(COLUMNS($U$1006:V1006),$U$1006:$AC$1006,0))&gt;=100000), " ",IF(INDEX($U$2:$AC$1001,MATCH(ROWS($N$2:N341),$N$2:$N$1001,0),MATCH(COLUMNS($U$1006:V1006),$U$1006:$AC$1006,0)), HYPERLINK("#",""), HYPERLINK(CONCATENATE("#metadata!", ADDRESS(INDEX($P$2:$P$1001,MATCH(ROWS($N$2:N341),$N$2:$N$1001,0),0), INDEX($U$1004:$AC$1004,1,MATCH(COLUMNS($U$1006:V1006),$U$1006:$AC$1006,0)))),"Fix")))</f>
        <v>0</v>
      </c>
      <c r="D341" s="3">
        <f>IF(OR(INDEX($O$2:$O$1001,MATCH(ROWS($N$2:N341),$N$2:$N$1001,0),1)&gt;=100000,INDEX($U$1005:$AC$1005,1,MATCH(COLUMNS($U$1006:W1006),$U$1006:$AC$1006,0))&gt;=100000), " ",IF(INDEX($U$2:$AC$1001,MATCH(ROWS($N$2:N341),$N$2:$N$1001,0),MATCH(COLUMNS($U$1006:W1006),$U$1006:$AC$1006,0)), HYPERLINK("#",""), HYPERLINK(CONCATENATE("#metadata!", ADDRESS(INDEX($P$2:$P$1001,MATCH(ROWS($N$2:N341),$N$2:$N$1001,0),0), INDEX($U$1004:$AC$1004,1,MATCH(COLUMNS($U$1006:W1006),$U$1006:$AC$1006,0)))),"Fix")))</f>
        <v>0</v>
      </c>
      <c r="E341" s="3">
        <f>IF(OR(INDEX($O$2:$O$1001,MATCH(ROWS($N$2:N341),$N$2:$N$1001,0),1)&gt;=100000,INDEX($U$1005:$AC$1005,1,MATCH(COLUMNS($U$1006:X1006),$U$1006:$AC$1006,0))&gt;=100000), " ",IF(INDEX($U$2:$AC$1001,MATCH(ROWS($N$2:N341),$N$2:$N$1001,0),MATCH(COLUMNS($U$1006:X1006),$U$1006:$AC$1006,0)), HYPERLINK("#",""), HYPERLINK(CONCATENATE("#metadata!", ADDRESS(INDEX($P$2:$P$1001,MATCH(ROWS($N$2:N341),$N$2:$N$1001,0),0), INDEX($U$1004:$AC$1004,1,MATCH(COLUMNS($U$1006:X1006),$U$1006:$AC$1006,0)))),"Fix")))</f>
        <v>0</v>
      </c>
      <c r="F341" s="3">
        <f>IF(OR(INDEX($O$2:$O$1001,MATCH(ROWS($N$2:N341),$N$2:$N$1001,0),1)&gt;=100000,INDEX($U$1005:$AC$1005,1,MATCH(COLUMNS($U$1006:Y1006),$U$1006:$AC$1006,0))&gt;=100000), " ",IF(INDEX($U$2:$AC$1001,MATCH(ROWS($N$2:N341),$N$2:$N$1001,0),MATCH(COLUMNS($U$1006:Y1006),$U$1006:$AC$1006,0)), HYPERLINK("#",""), HYPERLINK(CONCATENATE("#metadata!", ADDRESS(INDEX($P$2:$P$1001,MATCH(ROWS($N$2:N341),$N$2:$N$1001,0),0), INDEX($U$1004:$AC$1004,1,MATCH(COLUMNS($U$1006:Y1006),$U$1006:$AC$1006,0)))),"Fix")))</f>
        <v>0</v>
      </c>
      <c r="G341" s="3">
        <f>IF(OR(INDEX($O$2:$O$1001,MATCH(ROWS($N$2:N341),$N$2:$N$1001,0),1)&gt;=100000,INDEX($U$1005:$AC$1005,1,MATCH(COLUMNS($U$1006:Z1006),$U$1006:$AC$1006,0))&gt;=100000), " ",IF(INDEX($U$2:$AC$1001,MATCH(ROWS($N$2:N341),$N$2:$N$1001,0),MATCH(COLUMNS($U$1006:Z1006),$U$1006:$AC$1006,0)), HYPERLINK("#",""), HYPERLINK(CONCATENATE("#metadata!", ADDRESS(INDEX($P$2:$P$1001,MATCH(ROWS($N$2:N341),$N$2:$N$1001,0),0), INDEX($U$1004:$AC$1004,1,MATCH(COLUMNS($U$1006:Z1006),$U$1006:$AC$1006,0)))),"Fix")))</f>
        <v>0</v>
      </c>
      <c r="H341" s="3">
        <f>IF(OR(INDEX($O$2:$O$1001,MATCH(ROWS($N$2:N341),$N$2:$N$1001,0),1)&gt;=100000,INDEX($U$1005:$AC$1005,1,MATCH(COLUMNS($U$1006:AA1006),$U$1006:$AC$1006,0))&gt;=100000), " ",IF(INDEX($U$2:$AC$1001,MATCH(ROWS($N$2:N341),$N$2:$N$1001,0),MATCH(COLUMNS($U$1006:AA1006),$U$1006:$AC$1006,0)), HYPERLINK("#",""), HYPERLINK(CONCATENATE("#metadata!", ADDRESS(INDEX($P$2:$P$1001,MATCH(ROWS($N$2:N341),$N$2:$N$1001,0),0), INDEX($U$1004:$AC$1004,1,MATCH(COLUMNS($U$1006:AA1006),$U$1006:$AC$1006,0)))),"Fix")))</f>
        <v>0</v>
      </c>
      <c r="I341" s="3">
        <f>IF(OR(INDEX($O$2:$O$1001,MATCH(ROWS($N$2:N341),$N$2:$N$1001,0),1)&gt;=100000,INDEX($U$1005:$AC$1005,1,MATCH(COLUMNS($U$1006:AB1006),$U$1006:$AC$1006,0))&gt;=100000), " ",IF(INDEX($U$2:$AC$1001,MATCH(ROWS($N$2:N341),$N$2:$N$1001,0),MATCH(COLUMNS($U$1006:AB1006),$U$1006:$AC$1006,0)), HYPERLINK("#",""), HYPERLINK(CONCATENATE("#metadata!", ADDRESS(INDEX($P$2:$P$1001,MATCH(ROWS($N$2:N341),$N$2:$N$1001,0),0), INDEX($U$1004:$AC$1004,1,MATCH(COLUMNS($U$1006:AB1006),$U$1006:$AC$1006,0)))),"Fix")))</f>
        <v>0</v>
      </c>
      <c r="J341" s="3">
        <f>IF(OR(INDEX($O$2:$O$1001,MATCH(ROWS($N$2:N341),$N$2:$N$1001,0),1)&gt;=100000,INDEX($U$1005:$AC$1005,1,MATCH(COLUMNS($U$1006:AC1006),$U$1006:$AC$1006,0))&gt;=100000), " ",IF(INDEX($U$2:$AC$1001,MATCH(ROWS($N$2:N341),$N$2:$N$1001,0),MATCH(COLUMNS($U$1006:AC1006),$U$1006:$AC$1006,0)), HYPERLINK("#",""), HYPERLINK(CONCATENATE("#metadata!", ADDRESS(INDEX($P$2:$P$1001,MATCH(ROWS($N$2:N341),$N$2:$N$1001,0),0), INDEX($U$1004:$AC$1004,1,MATCH(COLUMNS($U$1006:AC1006),$U$1006:$AC$1006,0)))),"Fix")))</f>
        <v>0</v>
      </c>
      <c r="N341">
        <v>0</v>
      </c>
      <c r="O341">
        <v>0</v>
      </c>
      <c r="P341">
        <v>0</v>
      </c>
      <c r="Q341">
        <f>IF(R341,TRUE,AND(U341:AC341))</f>
        <v>0</v>
      </c>
      <c r="R341">
        <f>COUNTBLANK(metadata!B341:J341)=COLUMNS(metadata!B341:J341)</f>
        <v>0</v>
      </c>
      <c r="S341">
        <v>0</v>
      </c>
      <c r="U341">
        <f>AND(IF(metadata!B341="",FALSE,TRUE),COUNTIF(metadata!B:B, metadata!B341) = 1,NOT(ISERROR(SUMPRODUCT(SEARCH(MID(metadata!B341,ROW(INDIRECT("1:"&amp;LEN(metadata!B341))), 1),"0123456789abcdefghijklmnopqrstuvwxyzABCDEFGHIJKLMNOPQRSTUVWXYZ.")))))</f>
        <v>0</v>
      </c>
      <c r="V341">
        <f>AND(IF(metadata!C341="",FALSE,TRUE),exact(metadata!C341,"UBERON:genitourinary"))</f>
        <v>0</v>
      </c>
      <c r="W341">
        <f>AND(IF(metadata!D341="",FALSE,TRUE),exact(metadata!D341,"UBERON:urine"))</f>
        <v>0</v>
      </c>
      <c r="X341">
        <f>AND(IF(metadata!E341="",FALSE,TRUE),exact(metadata!E341,"UBERON:kidney"))</f>
        <v>0</v>
      </c>
      <c r="Y341">
        <f>AND(IF(metadata!F341="",FALSE,TRUE),exact(metadata!F341,"animal corpus"))</f>
        <v>0</v>
      </c>
      <c r="Z341">
        <f>AND(IF(metadata!G341="",FALSE,TRUE),exact(metadata!G341,"urine"))</f>
        <v>0</v>
      </c>
      <c r="AA341">
        <f>AND(IF(metadata!H341="",FALSE,TRUE),exact(metadata!H341,"urine"))</f>
        <v>0</v>
      </c>
      <c r="AB341">
        <f>AND(IF(metadata!I341="",FALSE,TRUE),exact(metadata!I341,"urine metagenome"))</f>
        <v>0</v>
      </c>
      <c r="AC341">
        <f>AND(IF(metadata!J341="",FALSE,TRUE),exact(metadata!J341,"1346744"))</f>
        <v>0</v>
      </c>
    </row>
    <row r="342" spans="1:29">
      <c r="A342" s="4">
        <f>IF(B342=" "," ",HYPERLINK(CONCATENATE("#metadata!",ADDRESS(INDEX($P$2:$P$1001,MATCH(ROWS($N$2:N342),$N$2:$N$1001,0),0),1)),INDEX($S$2:$S$1001,MATCH(ROWS($N$2:N342),$N$2:$N$1001,0),0)))</f>
        <v>0</v>
      </c>
      <c r="B342" s="3">
        <f>IF(OR(INDEX($O$2:$O$1001,MATCH(ROWS($N$2:N342),$N$2:$N$1001,0),1)&gt;=100000,INDEX($U$1005:$AC$1005,1,MATCH(COLUMNS($U$1006:U1006),$U$1006:$AC$1006,0))&gt;=100000), " ",IF(INDEX($U$2:$AC$1001,MATCH(ROWS($N$2:N342),$N$2:$N$1001,0),MATCH(COLUMNS($U$1006:U1006),$U$1006:$AC$1006,0)), HYPERLINK("#",""), HYPERLINK(CONCATENATE("#metadata!", ADDRESS(INDEX($P$2:$P$1001,MATCH(ROWS($N$2:N342),$N$2:$N$1001,0),0), INDEX($U$1004:$AC$1004,1,MATCH(COLUMNS($U$1006:U1006),$U$1006:$AC$1006,0)))),"Fix")))</f>
        <v>0</v>
      </c>
      <c r="C342" s="3">
        <f>IF(OR(INDEX($O$2:$O$1001,MATCH(ROWS($N$2:N342),$N$2:$N$1001,0),1)&gt;=100000,INDEX($U$1005:$AC$1005,1,MATCH(COLUMNS($U$1006:V1006),$U$1006:$AC$1006,0))&gt;=100000), " ",IF(INDEX($U$2:$AC$1001,MATCH(ROWS($N$2:N342),$N$2:$N$1001,0),MATCH(COLUMNS($U$1006:V1006),$U$1006:$AC$1006,0)), HYPERLINK("#",""), HYPERLINK(CONCATENATE("#metadata!", ADDRESS(INDEX($P$2:$P$1001,MATCH(ROWS($N$2:N342),$N$2:$N$1001,0),0), INDEX($U$1004:$AC$1004,1,MATCH(COLUMNS($U$1006:V1006),$U$1006:$AC$1006,0)))),"Fix")))</f>
        <v>0</v>
      </c>
      <c r="D342" s="3">
        <f>IF(OR(INDEX($O$2:$O$1001,MATCH(ROWS($N$2:N342),$N$2:$N$1001,0),1)&gt;=100000,INDEX($U$1005:$AC$1005,1,MATCH(COLUMNS($U$1006:W1006),$U$1006:$AC$1006,0))&gt;=100000), " ",IF(INDEX($U$2:$AC$1001,MATCH(ROWS($N$2:N342),$N$2:$N$1001,0),MATCH(COLUMNS($U$1006:W1006),$U$1006:$AC$1006,0)), HYPERLINK("#",""), HYPERLINK(CONCATENATE("#metadata!", ADDRESS(INDEX($P$2:$P$1001,MATCH(ROWS($N$2:N342),$N$2:$N$1001,0),0), INDEX($U$1004:$AC$1004,1,MATCH(COLUMNS($U$1006:W1006),$U$1006:$AC$1006,0)))),"Fix")))</f>
        <v>0</v>
      </c>
      <c r="E342" s="3">
        <f>IF(OR(INDEX($O$2:$O$1001,MATCH(ROWS($N$2:N342),$N$2:$N$1001,0),1)&gt;=100000,INDEX($U$1005:$AC$1005,1,MATCH(COLUMNS($U$1006:X1006),$U$1006:$AC$1006,0))&gt;=100000), " ",IF(INDEX($U$2:$AC$1001,MATCH(ROWS($N$2:N342),$N$2:$N$1001,0),MATCH(COLUMNS($U$1006:X1006),$U$1006:$AC$1006,0)), HYPERLINK("#",""), HYPERLINK(CONCATENATE("#metadata!", ADDRESS(INDEX($P$2:$P$1001,MATCH(ROWS($N$2:N342),$N$2:$N$1001,0),0), INDEX($U$1004:$AC$1004,1,MATCH(COLUMNS($U$1006:X1006),$U$1006:$AC$1006,0)))),"Fix")))</f>
        <v>0</v>
      </c>
      <c r="F342" s="3">
        <f>IF(OR(INDEX($O$2:$O$1001,MATCH(ROWS($N$2:N342),$N$2:$N$1001,0),1)&gt;=100000,INDEX($U$1005:$AC$1005,1,MATCH(COLUMNS($U$1006:Y1006),$U$1006:$AC$1006,0))&gt;=100000), " ",IF(INDEX($U$2:$AC$1001,MATCH(ROWS($N$2:N342),$N$2:$N$1001,0),MATCH(COLUMNS($U$1006:Y1006),$U$1006:$AC$1006,0)), HYPERLINK("#",""), HYPERLINK(CONCATENATE("#metadata!", ADDRESS(INDEX($P$2:$P$1001,MATCH(ROWS($N$2:N342),$N$2:$N$1001,0),0), INDEX($U$1004:$AC$1004,1,MATCH(COLUMNS($U$1006:Y1006),$U$1006:$AC$1006,0)))),"Fix")))</f>
        <v>0</v>
      </c>
      <c r="G342" s="3">
        <f>IF(OR(INDEX($O$2:$O$1001,MATCH(ROWS($N$2:N342),$N$2:$N$1001,0),1)&gt;=100000,INDEX($U$1005:$AC$1005,1,MATCH(COLUMNS($U$1006:Z1006),$U$1006:$AC$1006,0))&gt;=100000), " ",IF(INDEX($U$2:$AC$1001,MATCH(ROWS($N$2:N342),$N$2:$N$1001,0),MATCH(COLUMNS($U$1006:Z1006),$U$1006:$AC$1006,0)), HYPERLINK("#",""), HYPERLINK(CONCATENATE("#metadata!", ADDRESS(INDEX($P$2:$P$1001,MATCH(ROWS($N$2:N342),$N$2:$N$1001,0),0), INDEX($U$1004:$AC$1004,1,MATCH(COLUMNS($U$1006:Z1006),$U$1006:$AC$1006,0)))),"Fix")))</f>
        <v>0</v>
      </c>
      <c r="H342" s="3">
        <f>IF(OR(INDEX($O$2:$O$1001,MATCH(ROWS($N$2:N342),$N$2:$N$1001,0),1)&gt;=100000,INDEX($U$1005:$AC$1005,1,MATCH(COLUMNS($U$1006:AA1006),$U$1006:$AC$1006,0))&gt;=100000), " ",IF(INDEX($U$2:$AC$1001,MATCH(ROWS($N$2:N342),$N$2:$N$1001,0),MATCH(COLUMNS($U$1006:AA1006),$U$1006:$AC$1006,0)), HYPERLINK("#",""), HYPERLINK(CONCATENATE("#metadata!", ADDRESS(INDEX($P$2:$P$1001,MATCH(ROWS($N$2:N342),$N$2:$N$1001,0),0), INDEX($U$1004:$AC$1004,1,MATCH(COLUMNS($U$1006:AA1006),$U$1006:$AC$1006,0)))),"Fix")))</f>
        <v>0</v>
      </c>
      <c r="I342" s="3">
        <f>IF(OR(INDEX($O$2:$O$1001,MATCH(ROWS($N$2:N342),$N$2:$N$1001,0),1)&gt;=100000,INDEX($U$1005:$AC$1005,1,MATCH(COLUMNS($U$1006:AB1006),$U$1006:$AC$1006,0))&gt;=100000), " ",IF(INDEX($U$2:$AC$1001,MATCH(ROWS($N$2:N342),$N$2:$N$1001,0),MATCH(COLUMNS($U$1006:AB1006),$U$1006:$AC$1006,0)), HYPERLINK("#",""), HYPERLINK(CONCATENATE("#metadata!", ADDRESS(INDEX($P$2:$P$1001,MATCH(ROWS($N$2:N342),$N$2:$N$1001,0),0), INDEX($U$1004:$AC$1004,1,MATCH(COLUMNS($U$1006:AB1006),$U$1006:$AC$1006,0)))),"Fix")))</f>
        <v>0</v>
      </c>
      <c r="J342" s="3">
        <f>IF(OR(INDEX($O$2:$O$1001,MATCH(ROWS($N$2:N342),$N$2:$N$1001,0),1)&gt;=100000,INDEX($U$1005:$AC$1005,1,MATCH(COLUMNS($U$1006:AC1006),$U$1006:$AC$1006,0))&gt;=100000), " ",IF(INDEX($U$2:$AC$1001,MATCH(ROWS($N$2:N342),$N$2:$N$1001,0),MATCH(COLUMNS($U$1006:AC1006),$U$1006:$AC$1006,0)), HYPERLINK("#",""), HYPERLINK(CONCATENATE("#metadata!", ADDRESS(INDEX($P$2:$P$1001,MATCH(ROWS($N$2:N342),$N$2:$N$1001,0),0), INDEX($U$1004:$AC$1004,1,MATCH(COLUMNS($U$1006:AC1006),$U$1006:$AC$1006,0)))),"Fix")))</f>
        <v>0</v>
      </c>
      <c r="N342">
        <v>0</v>
      </c>
      <c r="O342">
        <v>0</v>
      </c>
      <c r="P342">
        <v>0</v>
      </c>
      <c r="Q342">
        <f>IF(R342,TRUE,AND(U342:AC342))</f>
        <v>0</v>
      </c>
      <c r="R342">
        <f>COUNTBLANK(metadata!B342:J342)=COLUMNS(metadata!B342:J342)</f>
        <v>0</v>
      </c>
      <c r="S342">
        <v>0</v>
      </c>
      <c r="U342">
        <f>AND(IF(metadata!B342="",FALSE,TRUE),COUNTIF(metadata!B:B, metadata!B342) = 1,NOT(ISERROR(SUMPRODUCT(SEARCH(MID(metadata!B342,ROW(INDIRECT("1:"&amp;LEN(metadata!B342))), 1),"0123456789abcdefghijklmnopqrstuvwxyzABCDEFGHIJKLMNOPQRSTUVWXYZ.")))))</f>
        <v>0</v>
      </c>
      <c r="V342">
        <f>AND(IF(metadata!C342="",FALSE,TRUE),exact(metadata!C342,"UBERON:genitourinary"))</f>
        <v>0</v>
      </c>
      <c r="W342">
        <f>AND(IF(metadata!D342="",FALSE,TRUE),exact(metadata!D342,"UBERON:urine"))</f>
        <v>0</v>
      </c>
      <c r="X342">
        <f>AND(IF(metadata!E342="",FALSE,TRUE),exact(metadata!E342,"UBERON:kidney"))</f>
        <v>0</v>
      </c>
      <c r="Y342">
        <f>AND(IF(metadata!F342="",FALSE,TRUE),exact(metadata!F342,"animal corpus"))</f>
        <v>0</v>
      </c>
      <c r="Z342">
        <f>AND(IF(metadata!G342="",FALSE,TRUE),exact(metadata!G342,"urine"))</f>
        <v>0</v>
      </c>
      <c r="AA342">
        <f>AND(IF(metadata!H342="",FALSE,TRUE),exact(metadata!H342,"urine"))</f>
        <v>0</v>
      </c>
      <c r="AB342">
        <f>AND(IF(metadata!I342="",FALSE,TRUE),exact(metadata!I342,"urine metagenome"))</f>
        <v>0</v>
      </c>
      <c r="AC342">
        <f>AND(IF(metadata!J342="",FALSE,TRUE),exact(metadata!J342,"1346744"))</f>
        <v>0</v>
      </c>
    </row>
    <row r="343" spans="1:29">
      <c r="A343" s="4">
        <f>IF(B343=" "," ",HYPERLINK(CONCATENATE("#metadata!",ADDRESS(INDEX($P$2:$P$1001,MATCH(ROWS($N$2:N343),$N$2:$N$1001,0),0),1)),INDEX($S$2:$S$1001,MATCH(ROWS($N$2:N343),$N$2:$N$1001,0),0)))</f>
        <v>0</v>
      </c>
      <c r="B343" s="3">
        <f>IF(OR(INDEX($O$2:$O$1001,MATCH(ROWS($N$2:N343),$N$2:$N$1001,0),1)&gt;=100000,INDEX($U$1005:$AC$1005,1,MATCH(COLUMNS($U$1006:U1006),$U$1006:$AC$1006,0))&gt;=100000), " ",IF(INDEX($U$2:$AC$1001,MATCH(ROWS($N$2:N343),$N$2:$N$1001,0),MATCH(COLUMNS($U$1006:U1006),$U$1006:$AC$1006,0)), HYPERLINK("#",""), HYPERLINK(CONCATENATE("#metadata!", ADDRESS(INDEX($P$2:$P$1001,MATCH(ROWS($N$2:N343),$N$2:$N$1001,0),0), INDEX($U$1004:$AC$1004,1,MATCH(COLUMNS($U$1006:U1006),$U$1006:$AC$1006,0)))),"Fix")))</f>
        <v>0</v>
      </c>
      <c r="C343" s="3">
        <f>IF(OR(INDEX($O$2:$O$1001,MATCH(ROWS($N$2:N343),$N$2:$N$1001,0),1)&gt;=100000,INDEX($U$1005:$AC$1005,1,MATCH(COLUMNS($U$1006:V1006),$U$1006:$AC$1006,0))&gt;=100000), " ",IF(INDEX($U$2:$AC$1001,MATCH(ROWS($N$2:N343),$N$2:$N$1001,0),MATCH(COLUMNS($U$1006:V1006),$U$1006:$AC$1006,0)), HYPERLINK("#",""), HYPERLINK(CONCATENATE("#metadata!", ADDRESS(INDEX($P$2:$P$1001,MATCH(ROWS($N$2:N343),$N$2:$N$1001,0),0), INDEX($U$1004:$AC$1004,1,MATCH(COLUMNS($U$1006:V1006),$U$1006:$AC$1006,0)))),"Fix")))</f>
        <v>0</v>
      </c>
      <c r="D343" s="3">
        <f>IF(OR(INDEX($O$2:$O$1001,MATCH(ROWS($N$2:N343),$N$2:$N$1001,0),1)&gt;=100000,INDEX($U$1005:$AC$1005,1,MATCH(COLUMNS($U$1006:W1006),$U$1006:$AC$1006,0))&gt;=100000), " ",IF(INDEX($U$2:$AC$1001,MATCH(ROWS($N$2:N343),$N$2:$N$1001,0),MATCH(COLUMNS($U$1006:W1006),$U$1006:$AC$1006,0)), HYPERLINK("#",""), HYPERLINK(CONCATENATE("#metadata!", ADDRESS(INDEX($P$2:$P$1001,MATCH(ROWS($N$2:N343),$N$2:$N$1001,0),0), INDEX($U$1004:$AC$1004,1,MATCH(COLUMNS($U$1006:W1006),$U$1006:$AC$1006,0)))),"Fix")))</f>
        <v>0</v>
      </c>
      <c r="E343" s="3">
        <f>IF(OR(INDEX($O$2:$O$1001,MATCH(ROWS($N$2:N343),$N$2:$N$1001,0),1)&gt;=100000,INDEX($U$1005:$AC$1005,1,MATCH(COLUMNS($U$1006:X1006),$U$1006:$AC$1006,0))&gt;=100000), " ",IF(INDEX($U$2:$AC$1001,MATCH(ROWS($N$2:N343),$N$2:$N$1001,0),MATCH(COLUMNS($U$1006:X1006),$U$1006:$AC$1006,0)), HYPERLINK("#",""), HYPERLINK(CONCATENATE("#metadata!", ADDRESS(INDEX($P$2:$P$1001,MATCH(ROWS($N$2:N343),$N$2:$N$1001,0),0), INDEX($U$1004:$AC$1004,1,MATCH(COLUMNS($U$1006:X1006),$U$1006:$AC$1006,0)))),"Fix")))</f>
        <v>0</v>
      </c>
      <c r="F343" s="3">
        <f>IF(OR(INDEX($O$2:$O$1001,MATCH(ROWS($N$2:N343),$N$2:$N$1001,0),1)&gt;=100000,INDEX($U$1005:$AC$1005,1,MATCH(COLUMNS($U$1006:Y1006),$U$1006:$AC$1006,0))&gt;=100000), " ",IF(INDEX($U$2:$AC$1001,MATCH(ROWS($N$2:N343),$N$2:$N$1001,0),MATCH(COLUMNS($U$1006:Y1006),$U$1006:$AC$1006,0)), HYPERLINK("#",""), HYPERLINK(CONCATENATE("#metadata!", ADDRESS(INDEX($P$2:$P$1001,MATCH(ROWS($N$2:N343),$N$2:$N$1001,0),0), INDEX($U$1004:$AC$1004,1,MATCH(COLUMNS($U$1006:Y1006),$U$1006:$AC$1006,0)))),"Fix")))</f>
        <v>0</v>
      </c>
      <c r="G343" s="3">
        <f>IF(OR(INDEX($O$2:$O$1001,MATCH(ROWS($N$2:N343),$N$2:$N$1001,0),1)&gt;=100000,INDEX($U$1005:$AC$1005,1,MATCH(COLUMNS($U$1006:Z1006),$U$1006:$AC$1006,0))&gt;=100000), " ",IF(INDEX($U$2:$AC$1001,MATCH(ROWS($N$2:N343),$N$2:$N$1001,0),MATCH(COLUMNS($U$1006:Z1006),$U$1006:$AC$1006,0)), HYPERLINK("#",""), HYPERLINK(CONCATENATE("#metadata!", ADDRESS(INDEX($P$2:$P$1001,MATCH(ROWS($N$2:N343),$N$2:$N$1001,0),0), INDEX($U$1004:$AC$1004,1,MATCH(COLUMNS($U$1006:Z1006),$U$1006:$AC$1006,0)))),"Fix")))</f>
        <v>0</v>
      </c>
      <c r="H343" s="3">
        <f>IF(OR(INDEX($O$2:$O$1001,MATCH(ROWS($N$2:N343),$N$2:$N$1001,0),1)&gt;=100000,INDEX($U$1005:$AC$1005,1,MATCH(COLUMNS($U$1006:AA1006),$U$1006:$AC$1006,0))&gt;=100000), " ",IF(INDEX($U$2:$AC$1001,MATCH(ROWS($N$2:N343),$N$2:$N$1001,0),MATCH(COLUMNS($U$1006:AA1006),$U$1006:$AC$1006,0)), HYPERLINK("#",""), HYPERLINK(CONCATENATE("#metadata!", ADDRESS(INDEX($P$2:$P$1001,MATCH(ROWS($N$2:N343),$N$2:$N$1001,0),0), INDEX($U$1004:$AC$1004,1,MATCH(COLUMNS($U$1006:AA1006),$U$1006:$AC$1006,0)))),"Fix")))</f>
        <v>0</v>
      </c>
      <c r="I343" s="3">
        <f>IF(OR(INDEX($O$2:$O$1001,MATCH(ROWS($N$2:N343),$N$2:$N$1001,0),1)&gt;=100000,INDEX($U$1005:$AC$1005,1,MATCH(COLUMNS($U$1006:AB1006),$U$1006:$AC$1006,0))&gt;=100000), " ",IF(INDEX($U$2:$AC$1001,MATCH(ROWS($N$2:N343),$N$2:$N$1001,0),MATCH(COLUMNS($U$1006:AB1006),$U$1006:$AC$1006,0)), HYPERLINK("#",""), HYPERLINK(CONCATENATE("#metadata!", ADDRESS(INDEX($P$2:$P$1001,MATCH(ROWS($N$2:N343),$N$2:$N$1001,0),0), INDEX($U$1004:$AC$1004,1,MATCH(COLUMNS($U$1006:AB1006),$U$1006:$AC$1006,0)))),"Fix")))</f>
        <v>0</v>
      </c>
      <c r="J343" s="3">
        <f>IF(OR(INDEX($O$2:$O$1001,MATCH(ROWS($N$2:N343),$N$2:$N$1001,0),1)&gt;=100000,INDEX($U$1005:$AC$1005,1,MATCH(COLUMNS($U$1006:AC1006),$U$1006:$AC$1006,0))&gt;=100000), " ",IF(INDEX($U$2:$AC$1001,MATCH(ROWS($N$2:N343),$N$2:$N$1001,0),MATCH(COLUMNS($U$1006:AC1006),$U$1006:$AC$1006,0)), HYPERLINK("#",""), HYPERLINK(CONCATENATE("#metadata!", ADDRESS(INDEX($P$2:$P$1001,MATCH(ROWS($N$2:N343),$N$2:$N$1001,0),0), INDEX($U$1004:$AC$1004,1,MATCH(COLUMNS($U$1006:AC1006),$U$1006:$AC$1006,0)))),"Fix")))</f>
        <v>0</v>
      </c>
      <c r="N343">
        <v>0</v>
      </c>
      <c r="O343">
        <v>0</v>
      </c>
      <c r="P343">
        <v>0</v>
      </c>
      <c r="Q343">
        <f>IF(R343,TRUE,AND(U343:AC343))</f>
        <v>0</v>
      </c>
      <c r="R343">
        <f>COUNTBLANK(metadata!B343:J343)=COLUMNS(metadata!B343:J343)</f>
        <v>0</v>
      </c>
      <c r="S343">
        <v>0</v>
      </c>
      <c r="U343">
        <f>AND(IF(metadata!B343="",FALSE,TRUE),COUNTIF(metadata!B:B, metadata!B343) = 1,NOT(ISERROR(SUMPRODUCT(SEARCH(MID(metadata!B343,ROW(INDIRECT("1:"&amp;LEN(metadata!B343))), 1),"0123456789abcdefghijklmnopqrstuvwxyzABCDEFGHIJKLMNOPQRSTUVWXYZ.")))))</f>
        <v>0</v>
      </c>
      <c r="V343">
        <f>AND(IF(metadata!C343="",FALSE,TRUE),exact(metadata!C343,"UBERON:genitourinary"))</f>
        <v>0</v>
      </c>
      <c r="W343">
        <f>AND(IF(metadata!D343="",FALSE,TRUE),exact(metadata!D343,"UBERON:urine"))</f>
        <v>0</v>
      </c>
      <c r="X343">
        <f>AND(IF(metadata!E343="",FALSE,TRUE),exact(metadata!E343,"UBERON:kidney"))</f>
        <v>0</v>
      </c>
      <c r="Y343">
        <f>AND(IF(metadata!F343="",FALSE,TRUE),exact(metadata!F343,"animal corpus"))</f>
        <v>0</v>
      </c>
      <c r="Z343">
        <f>AND(IF(metadata!G343="",FALSE,TRUE),exact(metadata!G343,"urine"))</f>
        <v>0</v>
      </c>
      <c r="AA343">
        <f>AND(IF(metadata!H343="",FALSE,TRUE),exact(metadata!H343,"urine"))</f>
        <v>0</v>
      </c>
      <c r="AB343">
        <f>AND(IF(metadata!I343="",FALSE,TRUE),exact(metadata!I343,"urine metagenome"))</f>
        <v>0</v>
      </c>
      <c r="AC343">
        <f>AND(IF(metadata!J343="",FALSE,TRUE),exact(metadata!J343,"1346744"))</f>
        <v>0</v>
      </c>
    </row>
    <row r="344" spans="1:29">
      <c r="A344" s="4">
        <f>IF(B344=" "," ",HYPERLINK(CONCATENATE("#metadata!",ADDRESS(INDEX($P$2:$P$1001,MATCH(ROWS($N$2:N344),$N$2:$N$1001,0),0),1)),INDEX($S$2:$S$1001,MATCH(ROWS($N$2:N344),$N$2:$N$1001,0),0)))</f>
        <v>0</v>
      </c>
      <c r="B344" s="3">
        <f>IF(OR(INDEX($O$2:$O$1001,MATCH(ROWS($N$2:N344),$N$2:$N$1001,0),1)&gt;=100000,INDEX($U$1005:$AC$1005,1,MATCH(COLUMNS($U$1006:U1006),$U$1006:$AC$1006,0))&gt;=100000), " ",IF(INDEX($U$2:$AC$1001,MATCH(ROWS($N$2:N344),$N$2:$N$1001,0),MATCH(COLUMNS($U$1006:U1006),$U$1006:$AC$1006,0)), HYPERLINK("#",""), HYPERLINK(CONCATENATE("#metadata!", ADDRESS(INDEX($P$2:$P$1001,MATCH(ROWS($N$2:N344),$N$2:$N$1001,0),0), INDEX($U$1004:$AC$1004,1,MATCH(COLUMNS($U$1006:U1006),$U$1006:$AC$1006,0)))),"Fix")))</f>
        <v>0</v>
      </c>
      <c r="C344" s="3">
        <f>IF(OR(INDEX($O$2:$O$1001,MATCH(ROWS($N$2:N344),$N$2:$N$1001,0),1)&gt;=100000,INDEX($U$1005:$AC$1005,1,MATCH(COLUMNS($U$1006:V1006),$U$1006:$AC$1006,0))&gt;=100000), " ",IF(INDEX($U$2:$AC$1001,MATCH(ROWS($N$2:N344),$N$2:$N$1001,0),MATCH(COLUMNS($U$1006:V1006),$U$1006:$AC$1006,0)), HYPERLINK("#",""), HYPERLINK(CONCATENATE("#metadata!", ADDRESS(INDEX($P$2:$P$1001,MATCH(ROWS($N$2:N344),$N$2:$N$1001,0),0), INDEX($U$1004:$AC$1004,1,MATCH(COLUMNS($U$1006:V1006),$U$1006:$AC$1006,0)))),"Fix")))</f>
        <v>0</v>
      </c>
      <c r="D344" s="3">
        <f>IF(OR(INDEX($O$2:$O$1001,MATCH(ROWS($N$2:N344),$N$2:$N$1001,0),1)&gt;=100000,INDEX($U$1005:$AC$1005,1,MATCH(COLUMNS($U$1006:W1006),$U$1006:$AC$1006,0))&gt;=100000), " ",IF(INDEX($U$2:$AC$1001,MATCH(ROWS($N$2:N344),$N$2:$N$1001,0),MATCH(COLUMNS($U$1006:W1006),$U$1006:$AC$1006,0)), HYPERLINK("#",""), HYPERLINK(CONCATENATE("#metadata!", ADDRESS(INDEX($P$2:$P$1001,MATCH(ROWS($N$2:N344),$N$2:$N$1001,0),0), INDEX($U$1004:$AC$1004,1,MATCH(COLUMNS($U$1006:W1006),$U$1006:$AC$1006,0)))),"Fix")))</f>
        <v>0</v>
      </c>
      <c r="E344" s="3">
        <f>IF(OR(INDEX($O$2:$O$1001,MATCH(ROWS($N$2:N344),$N$2:$N$1001,0),1)&gt;=100000,INDEX($U$1005:$AC$1005,1,MATCH(COLUMNS($U$1006:X1006),$U$1006:$AC$1006,0))&gt;=100000), " ",IF(INDEX($U$2:$AC$1001,MATCH(ROWS($N$2:N344),$N$2:$N$1001,0),MATCH(COLUMNS($U$1006:X1006),$U$1006:$AC$1006,0)), HYPERLINK("#",""), HYPERLINK(CONCATENATE("#metadata!", ADDRESS(INDEX($P$2:$P$1001,MATCH(ROWS($N$2:N344),$N$2:$N$1001,0),0), INDEX($U$1004:$AC$1004,1,MATCH(COLUMNS($U$1006:X1006),$U$1006:$AC$1006,0)))),"Fix")))</f>
        <v>0</v>
      </c>
      <c r="F344" s="3">
        <f>IF(OR(INDEX($O$2:$O$1001,MATCH(ROWS($N$2:N344),$N$2:$N$1001,0),1)&gt;=100000,INDEX($U$1005:$AC$1005,1,MATCH(COLUMNS($U$1006:Y1006),$U$1006:$AC$1006,0))&gt;=100000), " ",IF(INDEX($U$2:$AC$1001,MATCH(ROWS($N$2:N344),$N$2:$N$1001,0),MATCH(COLUMNS($U$1006:Y1006),$U$1006:$AC$1006,0)), HYPERLINK("#",""), HYPERLINK(CONCATENATE("#metadata!", ADDRESS(INDEX($P$2:$P$1001,MATCH(ROWS($N$2:N344),$N$2:$N$1001,0),0), INDEX($U$1004:$AC$1004,1,MATCH(COLUMNS($U$1006:Y1006),$U$1006:$AC$1006,0)))),"Fix")))</f>
        <v>0</v>
      </c>
      <c r="G344" s="3">
        <f>IF(OR(INDEX($O$2:$O$1001,MATCH(ROWS($N$2:N344),$N$2:$N$1001,0),1)&gt;=100000,INDEX($U$1005:$AC$1005,1,MATCH(COLUMNS($U$1006:Z1006),$U$1006:$AC$1006,0))&gt;=100000), " ",IF(INDEX($U$2:$AC$1001,MATCH(ROWS($N$2:N344),$N$2:$N$1001,0),MATCH(COLUMNS($U$1006:Z1006),$U$1006:$AC$1006,0)), HYPERLINK("#",""), HYPERLINK(CONCATENATE("#metadata!", ADDRESS(INDEX($P$2:$P$1001,MATCH(ROWS($N$2:N344),$N$2:$N$1001,0),0), INDEX($U$1004:$AC$1004,1,MATCH(COLUMNS($U$1006:Z1006),$U$1006:$AC$1006,0)))),"Fix")))</f>
        <v>0</v>
      </c>
      <c r="H344" s="3">
        <f>IF(OR(INDEX($O$2:$O$1001,MATCH(ROWS($N$2:N344),$N$2:$N$1001,0),1)&gt;=100000,INDEX($U$1005:$AC$1005,1,MATCH(COLUMNS($U$1006:AA1006),$U$1006:$AC$1006,0))&gt;=100000), " ",IF(INDEX($U$2:$AC$1001,MATCH(ROWS($N$2:N344),$N$2:$N$1001,0),MATCH(COLUMNS($U$1006:AA1006),$U$1006:$AC$1006,0)), HYPERLINK("#",""), HYPERLINK(CONCATENATE("#metadata!", ADDRESS(INDEX($P$2:$P$1001,MATCH(ROWS($N$2:N344),$N$2:$N$1001,0),0), INDEX($U$1004:$AC$1004,1,MATCH(COLUMNS($U$1006:AA1006),$U$1006:$AC$1006,0)))),"Fix")))</f>
        <v>0</v>
      </c>
      <c r="I344" s="3">
        <f>IF(OR(INDEX($O$2:$O$1001,MATCH(ROWS($N$2:N344),$N$2:$N$1001,0),1)&gt;=100000,INDEX($U$1005:$AC$1005,1,MATCH(COLUMNS($U$1006:AB1006),$U$1006:$AC$1006,0))&gt;=100000), " ",IF(INDEX($U$2:$AC$1001,MATCH(ROWS($N$2:N344),$N$2:$N$1001,0),MATCH(COLUMNS($U$1006:AB1006),$U$1006:$AC$1006,0)), HYPERLINK("#",""), HYPERLINK(CONCATENATE("#metadata!", ADDRESS(INDEX($P$2:$P$1001,MATCH(ROWS($N$2:N344),$N$2:$N$1001,0),0), INDEX($U$1004:$AC$1004,1,MATCH(COLUMNS($U$1006:AB1006),$U$1006:$AC$1006,0)))),"Fix")))</f>
        <v>0</v>
      </c>
      <c r="J344" s="3">
        <f>IF(OR(INDEX($O$2:$O$1001,MATCH(ROWS($N$2:N344),$N$2:$N$1001,0),1)&gt;=100000,INDEX($U$1005:$AC$1005,1,MATCH(COLUMNS($U$1006:AC1006),$U$1006:$AC$1006,0))&gt;=100000), " ",IF(INDEX($U$2:$AC$1001,MATCH(ROWS($N$2:N344),$N$2:$N$1001,0),MATCH(COLUMNS($U$1006:AC1006),$U$1006:$AC$1006,0)), HYPERLINK("#",""), HYPERLINK(CONCATENATE("#metadata!", ADDRESS(INDEX($P$2:$P$1001,MATCH(ROWS($N$2:N344),$N$2:$N$1001,0),0), INDEX($U$1004:$AC$1004,1,MATCH(COLUMNS($U$1006:AC1006),$U$1006:$AC$1006,0)))),"Fix")))</f>
        <v>0</v>
      </c>
      <c r="N344">
        <v>0</v>
      </c>
      <c r="O344">
        <v>0</v>
      </c>
      <c r="P344">
        <v>0</v>
      </c>
      <c r="Q344">
        <f>IF(R344,TRUE,AND(U344:AC344))</f>
        <v>0</v>
      </c>
      <c r="R344">
        <f>COUNTBLANK(metadata!B344:J344)=COLUMNS(metadata!B344:J344)</f>
        <v>0</v>
      </c>
      <c r="S344">
        <v>0</v>
      </c>
      <c r="U344">
        <f>AND(IF(metadata!B344="",FALSE,TRUE),COUNTIF(metadata!B:B, metadata!B344) = 1,NOT(ISERROR(SUMPRODUCT(SEARCH(MID(metadata!B344,ROW(INDIRECT("1:"&amp;LEN(metadata!B344))), 1),"0123456789abcdefghijklmnopqrstuvwxyzABCDEFGHIJKLMNOPQRSTUVWXYZ.")))))</f>
        <v>0</v>
      </c>
      <c r="V344">
        <f>AND(IF(metadata!C344="",FALSE,TRUE),exact(metadata!C344,"UBERON:genitourinary"))</f>
        <v>0</v>
      </c>
      <c r="W344">
        <f>AND(IF(metadata!D344="",FALSE,TRUE),exact(metadata!D344,"UBERON:urine"))</f>
        <v>0</v>
      </c>
      <c r="X344">
        <f>AND(IF(metadata!E344="",FALSE,TRUE),exact(metadata!E344,"UBERON:kidney"))</f>
        <v>0</v>
      </c>
      <c r="Y344">
        <f>AND(IF(metadata!F344="",FALSE,TRUE),exact(metadata!F344,"animal corpus"))</f>
        <v>0</v>
      </c>
      <c r="Z344">
        <f>AND(IF(metadata!G344="",FALSE,TRUE),exact(metadata!G344,"urine"))</f>
        <v>0</v>
      </c>
      <c r="AA344">
        <f>AND(IF(metadata!H344="",FALSE,TRUE),exact(metadata!H344,"urine"))</f>
        <v>0</v>
      </c>
      <c r="AB344">
        <f>AND(IF(metadata!I344="",FALSE,TRUE),exact(metadata!I344,"urine metagenome"))</f>
        <v>0</v>
      </c>
      <c r="AC344">
        <f>AND(IF(metadata!J344="",FALSE,TRUE),exact(metadata!J344,"1346744"))</f>
        <v>0</v>
      </c>
    </row>
    <row r="345" spans="1:29">
      <c r="A345" s="4">
        <f>IF(B345=" "," ",HYPERLINK(CONCATENATE("#metadata!",ADDRESS(INDEX($P$2:$P$1001,MATCH(ROWS($N$2:N345),$N$2:$N$1001,0),0),1)),INDEX($S$2:$S$1001,MATCH(ROWS($N$2:N345),$N$2:$N$1001,0),0)))</f>
        <v>0</v>
      </c>
      <c r="B345" s="3">
        <f>IF(OR(INDEX($O$2:$O$1001,MATCH(ROWS($N$2:N345),$N$2:$N$1001,0),1)&gt;=100000,INDEX($U$1005:$AC$1005,1,MATCH(COLUMNS($U$1006:U1006),$U$1006:$AC$1006,0))&gt;=100000), " ",IF(INDEX($U$2:$AC$1001,MATCH(ROWS($N$2:N345),$N$2:$N$1001,0),MATCH(COLUMNS($U$1006:U1006),$U$1006:$AC$1006,0)), HYPERLINK("#",""), HYPERLINK(CONCATENATE("#metadata!", ADDRESS(INDEX($P$2:$P$1001,MATCH(ROWS($N$2:N345),$N$2:$N$1001,0),0), INDEX($U$1004:$AC$1004,1,MATCH(COLUMNS($U$1006:U1006),$U$1006:$AC$1006,0)))),"Fix")))</f>
        <v>0</v>
      </c>
      <c r="C345" s="3">
        <f>IF(OR(INDEX($O$2:$O$1001,MATCH(ROWS($N$2:N345),$N$2:$N$1001,0),1)&gt;=100000,INDEX($U$1005:$AC$1005,1,MATCH(COLUMNS($U$1006:V1006),$U$1006:$AC$1006,0))&gt;=100000), " ",IF(INDEX($U$2:$AC$1001,MATCH(ROWS($N$2:N345),$N$2:$N$1001,0),MATCH(COLUMNS($U$1006:V1006),$U$1006:$AC$1006,0)), HYPERLINK("#",""), HYPERLINK(CONCATENATE("#metadata!", ADDRESS(INDEX($P$2:$P$1001,MATCH(ROWS($N$2:N345),$N$2:$N$1001,0),0), INDEX($U$1004:$AC$1004,1,MATCH(COLUMNS($U$1006:V1006),$U$1006:$AC$1006,0)))),"Fix")))</f>
        <v>0</v>
      </c>
      <c r="D345" s="3">
        <f>IF(OR(INDEX($O$2:$O$1001,MATCH(ROWS($N$2:N345),$N$2:$N$1001,0),1)&gt;=100000,INDEX($U$1005:$AC$1005,1,MATCH(COLUMNS($U$1006:W1006),$U$1006:$AC$1006,0))&gt;=100000), " ",IF(INDEX($U$2:$AC$1001,MATCH(ROWS($N$2:N345),$N$2:$N$1001,0),MATCH(COLUMNS($U$1006:W1006),$U$1006:$AC$1006,0)), HYPERLINK("#",""), HYPERLINK(CONCATENATE("#metadata!", ADDRESS(INDEX($P$2:$P$1001,MATCH(ROWS($N$2:N345),$N$2:$N$1001,0),0), INDEX($U$1004:$AC$1004,1,MATCH(COLUMNS($U$1006:W1006),$U$1006:$AC$1006,0)))),"Fix")))</f>
        <v>0</v>
      </c>
      <c r="E345" s="3">
        <f>IF(OR(INDEX($O$2:$O$1001,MATCH(ROWS($N$2:N345),$N$2:$N$1001,0),1)&gt;=100000,INDEX($U$1005:$AC$1005,1,MATCH(COLUMNS($U$1006:X1006),$U$1006:$AC$1006,0))&gt;=100000), " ",IF(INDEX($U$2:$AC$1001,MATCH(ROWS($N$2:N345),$N$2:$N$1001,0),MATCH(COLUMNS($U$1006:X1006),$U$1006:$AC$1006,0)), HYPERLINK("#",""), HYPERLINK(CONCATENATE("#metadata!", ADDRESS(INDEX($P$2:$P$1001,MATCH(ROWS($N$2:N345),$N$2:$N$1001,0),0), INDEX($U$1004:$AC$1004,1,MATCH(COLUMNS($U$1006:X1006),$U$1006:$AC$1006,0)))),"Fix")))</f>
        <v>0</v>
      </c>
      <c r="F345" s="3">
        <f>IF(OR(INDEX($O$2:$O$1001,MATCH(ROWS($N$2:N345),$N$2:$N$1001,0),1)&gt;=100000,INDEX($U$1005:$AC$1005,1,MATCH(COLUMNS($U$1006:Y1006),$U$1006:$AC$1006,0))&gt;=100000), " ",IF(INDEX($U$2:$AC$1001,MATCH(ROWS($N$2:N345),$N$2:$N$1001,0),MATCH(COLUMNS($U$1006:Y1006),$U$1006:$AC$1006,0)), HYPERLINK("#",""), HYPERLINK(CONCATENATE("#metadata!", ADDRESS(INDEX($P$2:$P$1001,MATCH(ROWS($N$2:N345),$N$2:$N$1001,0),0), INDEX($U$1004:$AC$1004,1,MATCH(COLUMNS($U$1006:Y1006),$U$1006:$AC$1006,0)))),"Fix")))</f>
        <v>0</v>
      </c>
      <c r="G345" s="3">
        <f>IF(OR(INDEX($O$2:$O$1001,MATCH(ROWS($N$2:N345),$N$2:$N$1001,0),1)&gt;=100000,INDEX($U$1005:$AC$1005,1,MATCH(COLUMNS($U$1006:Z1006),$U$1006:$AC$1006,0))&gt;=100000), " ",IF(INDEX($U$2:$AC$1001,MATCH(ROWS($N$2:N345),$N$2:$N$1001,0),MATCH(COLUMNS($U$1006:Z1006),$U$1006:$AC$1006,0)), HYPERLINK("#",""), HYPERLINK(CONCATENATE("#metadata!", ADDRESS(INDEX($P$2:$P$1001,MATCH(ROWS($N$2:N345),$N$2:$N$1001,0),0), INDEX($U$1004:$AC$1004,1,MATCH(COLUMNS($U$1006:Z1006),$U$1006:$AC$1006,0)))),"Fix")))</f>
        <v>0</v>
      </c>
      <c r="H345" s="3">
        <f>IF(OR(INDEX($O$2:$O$1001,MATCH(ROWS($N$2:N345),$N$2:$N$1001,0),1)&gt;=100000,INDEX($U$1005:$AC$1005,1,MATCH(COLUMNS($U$1006:AA1006),$U$1006:$AC$1006,0))&gt;=100000), " ",IF(INDEX($U$2:$AC$1001,MATCH(ROWS($N$2:N345),$N$2:$N$1001,0),MATCH(COLUMNS($U$1006:AA1006),$U$1006:$AC$1006,0)), HYPERLINK("#",""), HYPERLINK(CONCATENATE("#metadata!", ADDRESS(INDEX($P$2:$P$1001,MATCH(ROWS($N$2:N345),$N$2:$N$1001,0),0), INDEX($U$1004:$AC$1004,1,MATCH(COLUMNS($U$1006:AA1006),$U$1006:$AC$1006,0)))),"Fix")))</f>
        <v>0</v>
      </c>
      <c r="I345" s="3">
        <f>IF(OR(INDEX($O$2:$O$1001,MATCH(ROWS($N$2:N345),$N$2:$N$1001,0),1)&gt;=100000,INDEX($U$1005:$AC$1005,1,MATCH(COLUMNS($U$1006:AB1006),$U$1006:$AC$1006,0))&gt;=100000), " ",IF(INDEX($U$2:$AC$1001,MATCH(ROWS($N$2:N345),$N$2:$N$1001,0),MATCH(COLUMNS($U$1006:AB1006),$U$1006:$AC$1006,0)), HYPERLINK("#",""), HYPERLINK(CONCATENATE("#metadata!", ADDRESS(INDEX($P$2:$P$1001,MATCH(ROWS($N$2:N345),$N$2:$N$1001,0),0), INDEX($U$1004:$AC$1004,1,MATCH(COLUMNS($U$1006:AB1006),$U$1006:$AC$1006,0)))),"Fix")))</f>
        <v>0</v>
      </c>
      <c r="J345" s="3">
        <f>IF(OR(INDEX($O$2:$O$1001,MATCH(ROWS($N$2:N345),$N$2:$N$1001,0),1)&gt;=100000,INDEX($U$1005:$AC$1005,1,MATCH(COLUMNS($U$1006:AC1006),$U$1006:$AC$1006,0))&gt;=100000), " ",IF(INDEX($U$2:$AC$1001,MATCH(ROWS($N$2:N345),$N$2:$N$1001,0),MATCH(COLUMNS($U$1006:AC1006),$U$1006:$AC$1006,0)), HYPERLINK("#",""), HYPERLINK(CONCATENATE("#metadata!", ADDRESS(INDEX($P$2:$P$1001,MATCH(ROWS($N$2:N345),$N$2:$N$1001,0),0), INDEX($U$1004:$AC$1004,1,MATCH(COLUMNS($U$1006:AC1006),$U$1006:$AC$1006,0)))),"Fix")))</f>
        <v>0</v>
      </c>
      <c r="N345">
        <v>0</v>
      </c>
      <c r="O345">
        <v>0</v>
      </c>
      <c r="P345">
        <v>0</v>
      </c>
      <c r="Q345">
        <f>IF(R345,TRUE,AND(U345:AC345))</f>
        <v>0</v>
      </c>
      <c r="R345">
        <f>COUNTBLANK(metadata!B345:J345)=COLUMNS(metadata!B345:J345)</f>
        <v>0</v>
      </c>
      <c r="S345">
        <v>0</v>
      </c>
      <c r="U345">
        <f>AND(IF(metadata!B345="",FALSE,TRUE),COUNTIF(metadata!B:B, metadata!B345) = 1,NOT(ISERROR(SUMPRODUCT(SEARCH(MID(metadata!B345,ROW(INDIRECT("1:"&amp;LEN(metadata!B345))), 1),"0123456789abcdefghijklmnopqrstuvwxyzABCDEFGHIJKLMNOPQRSTUVWXYZ.")))))</f>
        <v>0</v>
      </c>
      <c r="V345">
        <f>AND(IF(metadata!C345="",FALSE,TRUE),exact(metadata!C345,"UBERON:genitourinary"))</f>
        <v>0</v>
      </c>
      <c r="W345">
        <f>AND(IF(metadata!D345="",FALSE,TRUE),exact(metadata!D345,"UBERON:urine"))</f>
        <v>0</v>
      </c>
      <c r="X345">
        <f>AND(IF(metadata!E345="",FALSE,TRUE),exact(metadata!E345,"UBERON:kidney"))</f>
        <v>0</v>
      </c>
      <c r="Y345">
        <f>AND(IF(metadata!F345="",FALSE,TRUE),exact(metadata!F345,"animal corpus"))</f>
        <v>0</v>
      </c>
      <c r="Z345">
        <f>AND(IF(metadata!G345="",FALSE,TRUE),exact(metadata!G345,"urine"))</f>
        <v>0</v>
      </c>
      <c r="AA345">
        <f>AND(IF(metadata!H345="",FALSE,TRUE),exact(metadata!H345,"urine"))</f>
        <v>0</v>
      </c>
      <c r="AB345">
        <f>AND(IF(metadata!I345="",FALSE,TRUE),exact(metadata!I345,"urine metagenome"))</f>
        <v>0</v>
      </c>
      <c r="AC345">
        <f>AND(IF(metadata!J345="",FALSE,TRUE),exact(metadata!J345,"1346744"))</f>
        <v>0</v>
      </c>
    </row>
    <row r="346" spans="1:29">
      <c r="A346" s="4">
        <f>IF(B346=" "," ",HYPERLINK(CONCATENATE("#metadata!",ADDRESS(INDEX($P$2:$P$1001,MATCH(ROWS($N$2:N346),$N$2:$N$1001,0),0),1)),INDEX($S$2:$S$1001,MATCH(ROWS($N$2:N346),$N$2:$N$1001,0),0)))</f>
        <v>0</v>
      </c>
      <c r="B346" s="3">
        <f>IF(OR(INDEX($O$2:$O$1001,MATCH(ROWS($N$2:N346),$N$2:$N$1001,0),1)&gt;=100000,INDEX($U$1005:$AC$1005,1,MATCH(COLUMNS($U$1006:U1006),$U$1006:$AC$1006,0))&gt;=100000), " ",IF(INDEX($U$2:$AC$1001,MATCH(ROWS($N$2:N346),$N$2:$N$1001,0),MATCH(COLUMNS($U$1006:U1006),$U$1006:$AC$1006,0)), HYPERLINK("#",""), HYPERLINK(CONCATENATE("#metadata!", ADDRESS(INDEX($P$2:$P$1001,MATCH(ROWS($N$2:N346),$N$2:$N$1001,0),0), INDEX($U$1004:$AC$1004,1,MATCH(COLUMNS($U$1006:U1006),$U$1006:$AC$1006,0)))),"Fix")))</f>
        <v>0</v>
      </c>
      <c r="C346" s="3">
        <f>IF(OR(INDEX($O$2:$O$1001,MATCH(ROWS($N$2:N346),$N$2:$N$1001,0),1)&gt;=100000,INDEX($U$1005:$AC$1005,1,MATCH(COLUMNS($U$1006:V1006),$U$1006:$AC$1006,0))&gt;=100000), " ",IF(INDEX($U$2:$AC$1001,MATCH(ROWS($N$2:N346),$N$2:$N$1001,0),MATCH(COLUMNS($U$1006:V1006),$U$1006:$AC$1006,0)), HYPERLINK("#",""), HYPERLINK(CONCATENATE("#metadata!", ADDRESS(INDEX($P$2:$P$1001,MATCH(ROWS($N$2:N346),$N$2:$N$1001,0),0), INDEX($U$1004:$AC$1004,1,MATCH(COLUMNS($U$1006:V1006),$U$1006:$AC$1006,0)))),"Fix")))</f>
        <v>0</v>
      </c>
      <c r="D346" s="3">
        <f>IF(OR(INDEX($O$2:$O$1001,MATCH(ROWS($N$2:N346),$N$2:$N$1001,0),1)&gt;=100000,INDEX($U$1005:$AC$1005,1,MATCH(COLUMNS($U$1006:W1006),$U$1006:$AC$1006,0))&gt;=100000), " ",IF(INDEX($U$2:$AC$1001,MATCH(ROWS($N$2:N346),$N$2:$N$1001,0),MATCH(COLUMNS($U$1006:W1006),$U$1006:$AC$1006,0)), HYPERLINK("#",""), HYPERLINK(CONCATENATE("#metadata!", ADDRESS(INDEX($P$2:$P$1001,MATCH(ROWS($N$2:N346),$N$2:$N$1001,0),0), INDEX($U$1004:$AC$1004,1,MATCH(COLUMNS($U$1006:W1006),$U$1006:$AC$1006,0)))),"Fix")))</f>
        <v>0</v>
      </c>
      <c r="E346" s="3">
        <f>IF(OR(INDEX($O$2:$O$1001,MATCH(ROWS($N$2:N346),$N$2:$N$1001,0),1)&gt;=100000,INDEX($U$1005:$AC$1005,1,MATCH(COLUMNS($U$1006:X1006),$U$1006:$AC$1006,0))&gt;=100000), " ",IF(INDEX($U$2:$AC$1001,MATCH(ROWS($N$2:N346),$N$2:$N$1001,0),MATCH(COLUMNS($U$1006:X1006),$U$1006:$AC$1006,0)), HYPERLINK("#",""), HYPERLINK(CONCATENATE("#metadata!", ADDRESS(INDEX($P$2:$P$1001,MATCH(ROWS($N$2:N346),$N$2:$N$1001,0),0), INDEX($U$1004:$AC$1004,1,MATCH(COLUMNS($U$1006:X1006),$U$1006:$AC$1006,0)))),"Fix")))</f>
        <v>0</v>
      </c>
      <c r="F346" s="3">
        <f>IF(OR(INDEX($O$2:$O$1001,MATCH(ROWS($N$2:N346),$N$2:$N$1001,0),1)&gt;=100000,INDEX($U$1005:$AC$1005,1,MATCH(COLUMNS($U$1006:Y1006),$U$1006:$AC$1006,0))&gt;=100000), " ",IF(INDEX($U$2:$AC$1001,MATCH(ROWS($N$2:N346),$N$2:$N$1001,0),MATCH(COLUMNS($U$1006:Y1006),$U$1006:$AC$1006,0)), HYPERLINK("#",""), HYPERLINK(CONCATENATE("#metadata!", ADDRESS(INDEX($P$2:$P$1001,MATCH(ROWS($N$2:N346),$N$2:$N$1001,0),0), INDEX($U$1004:$AC$1004,1,MATCH(COLUMNS($U$1006:Y1006),$U$1006:$AC$1006,0)))),"Fix")))</f>
        <v>0</v>
      </c>
      <c r="G346" s="3">
        <f>IF(OR(INDEX($O$2:$O$1001,MATCH(ROWS($N$2:N346),$N$2:$N$1001,0),1)&gt;=100000,INDEX($U$1005:$AC$1005,1,MATCH(COLUMNS($U$1006:Z1006),$U$1006:$AC$1006,0))&gt;=100000), " ",IF(INDEX($U$2:$AC$1001,MATCH(ROWS($N$2:N346),$N$2:$N$1001,0),MATCH(COLUMNS($U$1006:Z1006),$U$1006:$AC$1006,0)), HYPERLINK("#",""), HYPERLINK(CONCATENATE("#metadata!", ADDRESS(INDEX($P$2:$P$1001,MATCH(ROWS($N$2:N346),$N$2:$N$1001,0),0), INDEX($U$1004:$AC$1004,1,MATCH(COLUMNS($U$1006:Z1006),$U$1006:$AC$1006,0)))),"Fix")))</f>
        <v>0</v>
      </c>
      <c r="H346" s="3">
        <f>IF(OR(INDEX($O$2:$O$1001,MATCH(ROWS($N$2:N346),$N$2:$N$1001,0),1)&gt;=100000,INDEX($U$1005:$AC$1005,1,MATCH(COLUMNS($U$1006:AA1006),$U$1006:$AC$1006,0))&gt;=100000), " ",IF(INDEX($U$2:$AC$1001,MATCH(ROWS($N$2:N346),$N$2:$N$1001,0),MATCH(COLUMNS($U$1006:AA1006),$U$1006:$AC$1006,0)), HYPERLINK("#",""), HYPERLINK(CONCATENATE("#metadata!", ADDRESS(INDEX($P$2:$P$1001,MATCH(ROWS($N$2:N346),$N$2:$N$1001,0),0), INDEX($U$1004:$AC$1004,1,MATCH(COLUMNS($U$1006:AA1006),$U$1006:$AC$1006,0)))),"Fix")))</f>
        <v>0</v>
      </c>
      <c r="I346" s="3">
        <f>IF(OR(INDEX($O$2:$O$1001,MATCH(ROWS($N$2:N346),$N$2:$N$1001,0),1)&gt;=100000,INDEX($U$1005:$AC$1005,1,MATCH(COLUMNS($U$1006:AB1006),$U$1006:$AC$1006,0))&gt;=100000), " ",IF(INDEX($U$2:$AC$1001,MATCH(ROWS($N$2:N346),$N$2:$N$1001,0),MATCH(COLUMNS($U$1006:AB1006),$U$1006:$AC$1006,0)), HYPERLINK("#",""), HYPERLINK(CONCATENATE("#metadata!", ADDRESS(INDEX($P$2:$P$1001,MATCH(ROWS($N$2:N346),$N$2:$N$1001,0),0), INDEX($U$1004:$AC$1004,1,MATCH(COLUMNS($U$1006:AB1006),$U$1006:$AC$1006,0)))),"Fix")))</f>
        <v>0</v>
      </c>
      <c r="J346" s="3">
        <f>IF(OR(INDEX($O$2:$O$1001,MATCH(ROWS($N$2:N346),$N$2:$N$1001,0),1)&gt;=100000,INDEX($U$1005:$AC$1005,1,MATCH(COLUMNS($U$1006:AC1006),$U$1006:$AC$1006,0))&gt;=100000), " ",IF(INDEX($U$2:$AC$1001,MATCH(ROWS($N$2:N346),$N$2:$N$1001,0),MATCH(COLUMNS($U$1006:AC1006),$U$1006:$AC$1006,0)), HYPERLINK("#",""), HYPERLINK(CONCATENATE("#metadata!", ADDRESS(INDEX($P$2:$P$1001,MATCH(ROWS($N$2:N346),$N$2:$N$1001,0),0), INDEX($U$1004:$AC$1004,1,MATCH(COLUMNS($U$1006:AC1006),$U$1006:$AC$1006,0)))),"Fix")))</f>
        <v>0</v>
      </c>
      <c r="N346">
        <v>0</v>
      </c>
      <c r="O346">
        <v>0</v>
      </c>
      <c r="P346">
        <v>0</v>
      </c>
      <c r="Q346">
        <f>IF(R346,TRUE,AND(U346:AC346))</f>
        <v>0</v>
      </c>
      <c r="R346">
        <f>COUNTBLANK(metadata!B346:J346)=COLUMNS(metadata!B346:J346)</f>
        <v>0</v>
      </c>
      <c r="S346">
        <v>0</v>
      </c>
      <c r="U346">
        <f>AND(IF(metadata!B346="",FALSE,TRUE),COUNTIF(metadata!B:B, metadata!B346) = 1,NOT(ISERROR(SUMPRODUCT(SEARCH(MID(metadata!B346,ROW(INDIRECT("1:"&amp;LEN(metadata!B346))), 1),"0123456789abcdefghijklmnopqrstuvwxyzABCDEFGHIJKLMNOPQRSTUVWXYZ.")))))</f>
        <v>0</v>
      </c>
      <c r="V346">
        <f>AND(IF(metadata!C346="",FALSE,TRUE),exact(metadata!C346,"UBERON:genitourinary"))</f>
        <v>0</v>
      </c>
      <c r="W346">
        <f>AND(IF(metadata!D346="",FALSE,TRUE),exact(metadata!D346,"UBERON:urine"))</f>
        <v>0</v>
      </c>
      <c r="X346">
        <f>AND(IF(metadata!E346="",FALSE,TRUE),exact(metadata!E346,"UBERON:kidney"))</f>
        <v>0</v>
      </c>
      <c r="Y346">
        <f>AND(IF(metadata!F346="",FALSE,TRUE),exact(metadata!F346,"animal corpus"))</f>
        <v>0</v>
      </c>
      <c r="Z346">
        <f>AND(IF(metadata!G346="",FALSE,TRUE),exact(metadata!G346,"urine"))</f>
        <v>0</v>
      </c>
      <c r="AA346">
        <f>AND(IF(metadata!H346="",FALSE,TRUE),exact(metadata!H346,"urine"))</f>
        <v>0</v>
      </c>
      <c r="AB346">
        <f>AND(IF(metadata!I346="",FALSE,TRUE),exact(metadata!I346,"urine metagenome"))</f>
        <v>0</v>
      </c>
      <c r="AC346">
        <f>AND(IF(metadata!J346="",FALSE,TRUE),exact(metadata!J346,"1346744"))</f>
        <v>0</v>
      </c>
    </row>
    <row r="347" spans="1:29">
      <c r="A347" s="4">
        <f>IF(B347=" "," ",HYPERLINK(CONCATENATE("#metadata!",ADDRESS(INDEX($P$2:$P$1001,MATCH(ROWS($N$2:N347),$N$2:$N$1001,0),0),1)),INDEX($S$2:$S$1001,MATCH(ROWS($N$2:N347),$N$2:$N$1001,0),0)))</f>
        <v>0</v>
      </c>
      <c r="B347" s="3">
        <f>IF(OR(INDEX($O$2:$O$1001,MATCH(ROWS($N$2:N347),$N$2:$N$1001,0),1)&gt;=100000,INDEX($U$1005:$AC$1005,1,MATCH(COLUMNS($U$1006:U1006),$U$1006:$AC$1006,0))&gt;=100000), " ",IF(INDEX($U$2:$AC$1001,MATCH(ROWS($N$2:N347),$N$2:$N$1001,0),MATCH(COLUMNS($U$1006:U1006),$U$1006:$AC$1006,0)), HYPERLINK("#",""), HYPERLINK(CONCATENATE("#metadata!", ADDRESS(INDEX($P$2:$P$1001,MATCH(ROWS($N$2:N347),$N$2:$N$1001,0),0), INDEX($U$1004:$AC$1004,1,MATCH(COLUMNS($U$1006:U1006),$U$1006:$AC$1006,0)))),"Fix")))</f>
        <v>0</v>
      </c>
      <c r="C347" s="3">
        <f>IF(OR(INDEX($O$2:$O$1001,MATCH(ROWS($N$2:N347),$N$2:$N$1001,0),1)&gt;=100000,INDEX($U$1005:$AC$1005,1,MATCH(COLUMNS($U$1006:V1006),$U$1006:$AC$1006,0))&gt;=100000), " ",IF(INDEX($U$2:$AC$1001,MATCH(ROWS($N$2:N347),$N$2:$N$1001,0),MATCH(COLUMNS($U$1006:V1006),$U$1006:$AC$1006,0)), HYPERLINK("#",""), HYPERLINK(CONCATENATE("#metadata!", ADDRESS(INDEX($P$2:$P$1001,MATCH(ROWS($N$2:N347),$N$2:$N$1001,0),0), INDEX($U$1004:$AC$1004,1,MATCH(COLUMNS($U$1006:V1006),$U$1006:$AC$1006,0)))),"Fix")))</f>
        <v>0</v>
      </c>
      <c r="D347" s="3">
        <f>IF(OR(INDEX($O$2:$O$1001,MATCH(ROWS($N$2:N347),$N$2:$N$1001,0),1)&gt;=100000,INDEX($U$1005:$AC$1005,1,MATCH(COLUMNS($U$1006:W1006),$U$1006:$AC$1006,0))&gt;=100000), " ",IF(INDEX($U$2:$AC$1001,MATCH(ROWS($N$2:N347),$N$2:$N$1001,0),MATCH(COLUMNS($U$1006:W1006),$U$1006:$AC$1006,0)), HYPERLINK("#",""), HYPERLINK(CONCATENATE("#metadata!", ADDRESS(INDEX($P$2:$P$1001,MATCH(ROWS($N$2:N347),$N$2:$N$1001,0),0), INDEX($U$1004:$AC$1004,1,MATCH(COLUMNS($U$1006:W1006),$U$1006:$AC$1006,0)))),"Fix")))</f>
        <v>0</v>
      </c>
      <c r="E347" s="3">
        <f>IF(OR(INDEX($O$2:$O$1001,MATCH(ROWS($N$2:N347),$N$2:$N$1001,0),1)&gt;=100000,INDEX($U$1005:$AC$1005,1,MATCH(COLUMNS($U$1006:X1006),$U$1006:$AC$1006,0))&gt;=100000), " ",IF(INDEX($U$2:$AC$1001,MATCH(ROWS($N$2:N347),$N$2:$N$1001,0),MATCH(COLUMNS($U$1006:X1006),$U$1006:$AC$1006,0)), HYPERLINK("#",""), HYPERLINK(CONCATENATE("#metadata!", ADDRESS(INDEX($P$2:$P$1001,MATCH(ROWS($N$2:N347),$N$2:$N$1001,0),0), INDEX($U$1004:$AC$1004,1,MATCH(COLUMNS($U$1006:X1006),$U$1006:$AC$1006,0)))),"Fix")))</f>
        <v>0</v>
      </c>
      <c r="F347" s="3">
        <f>IF(OR(INDEX($O$2:$O$1001,MATCH(ROWS($N$2:N347),$N$2:$N$1001,0),1)&gt;=100000,INDEX($U$1005:$AC$1005,1,MATCH(COLUMNS($U$1006:Y1006),$U$1006:$AC$1006,0))&gt;=100000), " ",IF(INDEX($U$2:$AC$1001,MATCH(ROWS($N$2:N347),$N$2:$N$1001,0),MATCH(COLUMNS($U$1006:Y1006),$U$1006:$AC$1006,0)), HYPERLINK("#",""), HYPERLINK(CONCATENATE("#metadata!", ADDRESS(INDEX($P$2:$P$1001,MATCH(ROWS($N$2:N347),$N$2:$N$1001,0),0), INDEX($U$1004:$AC$1004,1,MATCH(COLUMNS($U$1006:Y1006),$U$1006:$AC$1006,0)))),"Fix")))</f>
        <v>0</v>
      </c>
      <c r="G347" s="3">
        <f>IF(OR(INDEX($O$2:$O$1001,MATCH(ROWS($N$2:N347),$N$2:$N$1001,0),1)&gt;=100000,INDEX($U$1005:$AC$1005,1,MATCH(COLUMNS($U$1006:Z1006),$U$1006:$AC$1006,0))&gt;=100000), " ",IF(INDEX($U$2:$AC$1001,MATCH(ROWS($N$2:N347),$N$2:$N$1001,0),MATCH(COLUMNS($U$1006:Z1006),$U$1006:$AC$1006,0)), HYPERLINK("#",""), HYPERLINK(CONCATENATE("#metadata!", ADDRESS(INDEX($P$2:$P$1001,MATCH(ROWS($N$2:N347),$N$2:$N$1001,0),0), INDEX($U$1004:$AC$1004,1,MATCH(COLUMNS($U$1006:Z1006),$U$1006:$AC$1006,0)))),"Fix")))</f>
        <v>0</v>
      </c>
      <c r="H347" s="3">
        <f>IF(OR(INDEX($O$2:$O$1001,MATCH(ROWS($N$2:N347),$N$2:$N$1001,0),1)&gt;=100000,INDEX($U$1005:$AC$1005,1,MATCH(COLUMNS($U$1006:AA1006),$U$1006:$AC$1006,0))&gt;=100000), " ",IF(INDEX($U$2:$AC$1001,MATCH(ROWS($N$2:N347),$N$2:$N$1001,0),MATCH(COLUMNS($U$1006:AA1006),$U$1006:$AC$1006,0)), HYPERLINK("#",""), HYPERLINK(CONCATENATE("#metadata!", ADDRESS(INDEX($P$2:$P$1001,MATCH(ROWS($N$2:N347),$N$2:$N$1001,0),0), INDEX($U$1004:$AC$1004,1,MATCH(COLUMNS($U$1006:AA1006),$U$1006:$AC$1006,0)))),"Fix")))</f>
        <v>0</v>
      </c>
      <c r="I347" s="3">
        <f>IF(OR(INDEX($O$2:$O$1001,MATCH(ROWS($N$2:N347),$N$2:$N$1001,0),1)&gt;=100000,INDEX($U$1005:$AC$1005,1,MATCH(COLUMNS($U$1006:AB1006),$U$1006:$AC$1006,0))&gt;=100000), " ",IF(INDEX($U$2:$AC$1001,MATCH(ROWS($N$2:N347),$N$2:$N$1001,0),MATCH(COLUMNS($U$1006:AB1006),$U$1006:$AC$1006,0)), HYPERLINK("#",""), HYPERLINK(CONCATENATE("#metadata!", ADDRESS(INDEX($P$2:$P$1001,MATCH(ROWS($N$2:N347),$N$2:$N$1001,0),0), INDEX($U$1004:$AC$1004,1,MATCH(COLUMNS($U$1006:AB1006),$U$1006:$AC$1006,0)))),"Fix")))</f>
        <v>0</v>
      </c>
      <c r="J347" s="3">
        <f>IF(OR(INDEX($O$2:$O$1001,MATCH(ROWS($N$2:N347),$N$2:$N$1001,0),1)&gt;=100000,INDEX($U$1005:$AC$1005,1,MATCH(COLUMNS($U$1006:AC1006),$U$1006:$AC$1006,0))&gt;=100000), " ",IF(INDEX($U$2:$AC$1001,MATCH(ROWS($N$2:N347),$N$2:$N$1001,0),MATCH(COLUMNS($U$1006:AC1006),$U$1006:$AC$1006,0)), HYPERLINK("#",""), HYPERLINK(CONCATENATE("#metadata!", ADDRESS(INDEX($P$2:$P$1001,MATCH(ROWS($N$2:N347),$N$2:$N$1001,0),0), INDEX($U$1004:$AC$1004,1,MATCH(COLUMNS($U$1006:AC1006),$U$1006:$AC$1006,0)))),"Fix")))</f>
        <v>0</v>
      </c>
      <c r="N347">
        <v>0</v>
      </c>
      <c r="O347">
        <v>0</v>
      </c>
      <c r="P347">
        <v>0</v>
      </c>
      <c r="Q347">
        <f>IF(R347,TRUE,AND(U347:AC347))</f>
        <v>0</v>
      </c>
      <c r="R347">
        <f>COUNTBLANK(metadata!B347:J347)=COLUMNS(metadata!B347:J347)</f>
        <v>0</v>
      </c>
      <c r="S347">
        <v>0</v>
      </c>
      <c r="U347">
        <f>AND(IF(metadata!B347="",FALSE,TRUE),COUNTIF(metadata!B:B, metadata!B347) = 1,NOT(ISERROR(SUMPRODUCT(SEARCH(MID(metadata!B347,ROW(INDIRECT("1:"&amp;LEN(metadata!B347))), 1),"0123456789abcdefghijklmnopqrstuvwxyzABCDEFGHIJKLMNOPQRSTUVWXYZ.")))))</f>
        <v>0</v>
      </c>
      <c r="V347">
        <f>AND(IF(metadata!C347="",FALSE,TRUE),exact(metadata!C347,"UBERON:genitourinary"))</f>
        <v>0</v>
      </c>
      <c r="W347">
        <f>AND(IF(metadata!D347="",FALSE,TRUE),exact(metadata!D347,"UBERON:urine"))</f>
        <v>0</v>
      </c>
      <c r="X347">
        <f>AND(IF(metadata!E347="",FALSE,TRUE),exact(metadata!E347,"UBERON:kidney"))</f>
        <v>0</v>
      </c>
      <c r="Y347">
        <f>AND(IF(metadata!F347="",FALSE,TRUE),exact(metadata!F347,"animal corpus"))</f>
        <v>0</v>
      </c>
      <c r="Z347">
        <f>AND(IF(metadata!G347="",FALSE,TRUE),exact(metadata!G347,"urine"))</f>
        <v>0</v>
      </c>
      <c r="AA347">
        <f>AND(IF(metadata!H347="",FALSE,TRUE),exact(metadata!H347,"urine"))</f>
        <v>0</v>
      </c>
      <c r="AB347">
        <f>AND(IF(metadata!I347="",FALSE,TRUE),exact(metadata!I347,"urine metagenome"))</f>
        <v>0</v>
      </c>
      <c r="AC347">
        <f>AND(IF(metadata!J347="",FALSE,TRUE),exact(metadata!J347,"1346744"))</f>
        <v>0</v>
      </c>
    </row>
    <row r="348" spans="1:29">
      <c r="A348" s="4">
        <f>IF(B348=" "," ",HYPERLINK(CONCATENATE("#metadata!",ADDRESS(INDEX($P$2:$P$1001,MATCH(ROWS($N$2:N348),$N$2:$N$1001,0),0),1)),INDEX($S$2:$S$1001,MATCH(ROWS($N$2:N348),$N$2:$N$1001,0),0)))</f>
        <v>0</v>
      </c>
      <c r="B348" s="3">
        <f>IF(OR(INDEX($O$2:$O$1001,MATCH(ROWS($N$2:N348),$N$2:$N$1001,0),1)&gt;=100000,INDEX($U$1005:$AC$1005,1,MATCH(COLUMNS($U$1006:U1006),$U$1006:$AC$1006,0))&gt;=100000), " ",IF(INDEX($U$2:$AC$1001,MATCH(ROWS($N$2:N348),$N$2:$N$1001,0),MATCH(COLUMNS($U$1006:U1006),$U$1006:$AC$1006,0)), HYPERLINK("#",""), HYPERLINK(CONCATENATE("#metadata!", ADDRESS(INDEX($P$2:$P$1001,MATCH(ROWS($N$2:N348),$N$2:$N$1001,0),0), INDEX($U$1004:$AC$1004,1,MATCH(COLUMNS($U$1006:U1006),$U$1006:$AC$1006,0)))),"Fix")))</f>
        <v>0</v>
      </c>
      <c r="C348" s="3">
        <f>IF(OR(INDEX($O$2:$O$1001,MATCH(ROWS($N$2:N348),$N$2:$N$1001,0),1)&gt;=100000,INDEX($U$1005:$AC$1005,1,MATCH(COLUMNS($U$1006:V1006),$U$1006:$AC$1006,0))&gt;=100000), " ",IF(INDEX($U$2:$AC$1001,MATCH(ROWS($N$2:N348),$N$2:$N$1001,0),MATCH(COLUMNS($U$1006:V1006),$U$1006:$AC$1006,0)), HYPERLINK("#",""), HYPERLINK(CONCATENATE("#metadata!", ADDRESS(INDEX($P$2:$P$1001,MATCH(ROWS($N$2:N348),$N$2:$N$1001,0),0), INDEX($U$1004:$AC$1004,1,MATCH(COLUMNS($U$1006:V1006),$U$1006:$AC$1006,0)))),"Fix")))</f>
        <v>0</v>
      </c>
      <c r="D348" s="3">
        <f>IF(OR(INDEX($O$2:$O$1001,MATCH(ROWS($N$2:N348),$N$2:$N$1001,0),1)&gt;=100000,INDEX($U$1005:$AC$1005,1,MATCH(COLUMNS($U$1006:W1006),$U$1006:$AC$1006,0))&gt;=100000), " ",IF(INDEX($U$2:$AC$1001,MATCH(ROWS($N$2:N348),$N$2:$N$1001,0),MATCH(COLUMNS($U$1006:W1006),$U$1006:$AC$1006,0)), HYPERLINK("#",""), HYPERLINK(CONCATENATE("#metadata!", ADDRESS(INDEX($P$2:$P$1001,MATCH(ROWS($N$2:N348),$N$2:$N$1001,0),0), INDEX($U$1004:$AC$1004,1,MATCH(COLUMNS($U$1006:W1006),$U$1006:$AC$1006,0)))),"Fix")))</f>
        <v>0</v>
      </c>
      <c r="E348" s="3">
        <f>IF(OR(INDEX($O$2:$O$1001,MATCH(ROWS($N$2:N348),$N$2:$N$1001,0),1)&gt;=100000,INDEX($U$1005:$AC$1005,1,MATCH(COLUMNS($U$1006:X1006),$U$1006:$AC$1006,0))&gt;=100000), " ",IF(INDEX($U$2:$AC$1001,MATCH(ROWS($N$2:N348),$N$2:$N$1001,0),MATCH(COLUMNS($U$1006:X1006),$U$1006:$AC$1006,0)), HYPERLINK("#",""), HYPERLINK(CONCATENATE("#metadata!", ADDRESS(INDEX($P$2:$P$1001,MATCH(ROWS($N$2:N348),$N$2:$N$1001,0),0), INDEX($U$1004:$AC$1004,1,MATCH(COLUMNS($U$1006:X1006),$U$1006:$AC$1006,0)))),"Fix")))</f>
        <v>0</v>
      </c>
      <c r="F348" s="3">
        <f>IF(OR(INDEX($O$2:$O$1001,MATCH(ROWS($N$2:N348),$N$2:$N$1001,0),1)&gt;=100000,INDEX($U$1005:$AC$1005,1,MATCH(COLUMNS($U$1006:Y1006),$U$1006:$AC$1006,0))&gt;=100000), " ",IF(INDEX($U$2:$AC$1001,MATCH(ROWS($N$2:N348),$N$2:$N$1001,0),MATCH(COLUMNS($U$1006:Y1006),$U$1006:$AC$1006,0)), HYPERLINK("#",""), HYPERLINK(CONCATENATE("#metadata!", ADDRESS(INDEX($P$2:$P$1001,MATCH(ROWS($N$2:N348),$N$2:$N$1001,0),0), INDEX($U$1004:$AC$1004,1,MATCH(COLUMNS($U$1006:Y1006),$U$1006:$AC$1006,0)))),"Fix")))</f>
        <v>0</v>
      </c>
      <c r="G348" s="3">
        <f>IF(OR(INDEX($O$2:$O$1001,MATCH(ROWS($N$2:N348),$N$2:$N$1001,0),1)&gt;=100000,INDEX($U$1005:$AC$1005,1,MATCH(COLUMNS($U$1006:Z1006),$U$1006:$AC$1006,0))&gt;=100000), " ",IF(INDEX($U$2:$AC$1001,MATCH(ROWS($N$2:N348),$N$2:$N$1001,0),MATCH(COLUMNS($U$1006:Z1006),$U$1006:$AC$1006,0)), HYPERLINK("#",""), HYPERLINK(CONCATENATE("#metadata!", ADDRESS(INDEX($P$2:$P$1001,MATCH(ROWS($N$2:N348),$N$2:$N$1001,0),0), INDEX($U$1004:$AC$1004,1,MATCH(COLUMNS($U$1006:Z1006),$U$1006:$AC$1006,0)))),"Fix")))</f>
        <v>0</v>
      </c>
      <c r="H348" s="3">
        <f>IF(OR(INDEX($O$2:$O$1001,MATCH(ROWS($N$2:N348),$N$2:$N$1001,0),1)&gt;=100000,INDEX($U$1005:$AC$1005,1,MATCH(COLUMNS($U$1006:AA1006),$U$1006:$AC$1006,0))&gt;=100000), " ",IF(INDEX($U$2:$AC$1001,MATCH(ROWS($N$2:N348),$N$2:$N$1001,0),MATCH(COLUMNS($U$1006:AA1006),$U$1006:$AC$1006,0)), HYPERLINK("#",""), HYPERLINK(CONCATENATE("#metadata!", ADDRESS(INDEX($P$2:$P$1001,MATCH(ROWS($N$2:N348),$N$2:$N$1001,0),0), INDEX($U$1004:$AC$1004,1,MATCH(COLUMNS($U$1006:AA1006),$U$1006:$AC$1006,0)))),"Fix")))</f>
        <v>0</v>
      </c>
      <c r="I348" s="3">
        <f>IF(OR(INDEX($O$2:$O$1001,MATCH(ROWS($N$2:N348),$N$2:$N$1001,0),1)&gt;=100000,INDEX($U$1005:$AC$1005,1,MATCH(COLUMNS($U$1006:AB1006),$U$1006:$AC$1006,0))&gt;=100000), " ",IF(INDEX($U$2:$AC$1001,MATCH(ROWS($N$2:N348),$N$2:$N$1001,0),MATCH(COLUMNS($U$1006:AB1006),$U$1006:$AC$1006,0)), HYPERLINK("#",""), HYPERLINK(CONCATENATE("#metadata!", ADDRESS(INDEX($P$2:$P$1001,MATCH(ROWS($N$2:N348),$N$2:$N$1001,0),0), INDEX($U$1004:$AC$1004,1,MATCH(COLUMNS($U$1006:AB1006),$U$1006:$AC$1006,0)))),"Fix")))</f>
        <v>0</v>
      </c>
      <c r="J348" s="3">
        <f>IF(OR(INDEX($O$2:$O$1001,MATCH(ROWS($N$2:N348),$N$2:$N$1001,0),1)&gt;=100000,INDEX($U$1005:$AC$1005,1,MATCH(COLUMNS($U$1006:AC1006),$U$1006:$AC$1006,0))&gt;=100000), " ",IF(INDEX($U$2:$AC$1001,MATCH(ROWS($N$2:N348),$N$2:$N$1001,0),MATCH(COLUMNS($U$1006:AC1006),$U$1006:$AC$1006,0)), HYPERLINK("#",""), HYPERLINK(CONCATENATE("#metadata!", ADDRESS(INDEX($P$2:$P$1001,MATCH(ROWS($N$2:N348),$N$2:$N$1001,0),0), INDEX($U$1004:$AC$1004,1,MATCH(COLUMNS($U$1006:AC1006),$U$1006:$AC$1006,0)))),"Fix")))</f>
        <v>0</v>
      </c>
      <c r="N348">
        <v>0</v>
      </c>
      <c r="O348">
        <v>0</v>
      </c>
      <c r="P348">
        <v>0</v>
      </c>
      <c r="Q348">
        <f>IF(R348,TRUE,AND(U348:AC348))</f>
        <v>0</v>
      </c>
      <c r="R348">
        <f>COUNTBLANK(metadata!B348:J348)=COLUMNS(metadata!B348:J348)</f>
        <v>0</v>
      </c>
      <c r="S348">
        <v>0</v>
      </c>
      <c r="U348">
        <f>AND(IF(metadata!B348="",FALSE,TRUE),COUNTIF(metadata!B:B, metadata!B348) = 1,NOT(ISERROR(SUMPRODUCT(SEARCH(MID(metadata!B348,ROW(INDIRECT("1:"&amp;LEN(metadata!B348))), 1),"0123456789abcdefghijklmnopqrstuvwxyzABCDEFGHIJKLMNOPQRSTUVWXYZ.")))))</f>
        <v>0</v>
      </c>
      <c r="V348">
        <f>AND(IF(metadata!C348="",FALSE,TRUE),exact(metadata!C348,"UBERON:genitourinary"))</f>
        <v>0</v>
      </c>
      <c r="W348">
        <f>AND(IF(metadata!D348="",FALSE,TRUE),exact(metadata!D348,"UBERON:urine"))</f>
        <v>0</v>
      </c>
      <c r="X348">
        <f>AND(IF(metadata!E348="",FALSE,TRUE),exact(metadata!E348,"UBERON:kidney"))</f>
        <v>0</v>
      </c>
      <c r="Y348">
        <f>AND(IF(metadata!F348="",FALSE,TRUE),exact(metadata!F348,"animal corpus"))</f>
        <v>0</v>
      </c>
      <c r="Z348">
        <f>AND(IF(metadata!G348="",FALSE,TRUE),exact(metadata!G348,"urine"))</f>
        <v>0</v>
      </c>
      <c r="AA348">
        <f>AND(IF(metadata!H348="",FALSE,TRUE),exact(metadata!H348,"urine"))</f>
        <v>0</v>
      </c>
      <c r="AB348">
        <f>AND(IF(metadata!I348="",FALSE,TRUE),exact(metadata!I348,"urine metagenome"))</f>
        <v>0</v>
      </c>
      <c r="AC348">
        <f>AND(IF(metadata!J348="",FALSE,TRUE),exact(metadata!J348,"1346744"))</f>
        <v>0</v>
      </c>
    </row>
    <row r="349" spans="1:29">
      <c r="A349" s="4">
        <f>IF(B349=" "," ",HYPERLINK(CONCATENATE("#metadata!",ADDRESS(INDEX($P$2:$P$1001,MATCH(ROWS($N$2:N349),$N$2:$N$1001,0),0),1)),INDEX($S$2:$S$1001,MATCH(ROWS($N$2:N349),$N$2:$N$1001,0),0)))</f>
        <v>0</v>
      </c>
      <c r="B349" s="3">
        <f>IF(OR(INDEX($O$2:$O$1001,MATCH(ROWS($N$2:N349),$N$2:$N$1001,0),1)&gt;=100000,INDEX($U$1005:$AC$1005,1,MATCH(COLUMNS($U$1006:U1006),$U$1006:$AC$1006,0))&gt;=100000), " ",IF(INDEX($U$2:$AC$1001,MATCH(ROWS($N$2:N349),$N$2:$N$1001,0),MATCH(COLUMNS($U$1006:U1006),$U$1006:$AC$1006,0)), HYPERLINK("#",""), HYPERLINK(CONCATENATE("#metadata!", ADDRESS(INDEX($P$2:$P$1001,MATCH(ROWS($N$2:N349),$N$2:$N$1001,0),0), INDEX($U$1004:$AC$1004,1,MATCH(COLUMNS($U$1006:U1006),$U$1006:$AC$1006,0)))),"Fix")))</f>
        <v>0</v>
      </c>
      <c r="C349" s="3">
        <f>IF(OR(INDEX($O$2:$O$1001,MATCH(ROWS($N$2:N349),$N$2:$N$1001,0),1)&gt;=100000,INDEX($U$1005:$AC$1005,1,MATCH(COLUMNS($U$1006:V1006),$U$1006:$AC$1006,0))&gt;=100000), " ",IF(INDEX($U$2:$AC$1001,MATCH(ROWS($N$2:N349),$N$2:$N$1001,0),MATCH(COLUMNS($U$1006:V1006),$U$1006:$AC$1006,0)), HYPERLINK("#",""), HYPERLINK(CONCATENATE("#metadata!", ADDRESS(INDEX($P$2:$P$1001,MATCH(ROWS($N$2:N349),$N$2:$N$1001,0),0), INDEX($U$1004:$AC$1004,1,MATCH(COLUMNS($U$1006:V1006),$U$1006:$AC$1006,0)))),"Fix")))</f>
        <v>0</v>
      </c>
      <c r="D349" s="3">
        <f>IF(OR(INDEX($O$2:$O$1001,MATCH(ROWS($N$2:N349),$N$2:$N$1001,0),1)&gt;=100000,INDEX($U$1005:$AC$1005,1,MATCH(COLUMNS($U$1006:W1006),$U$1006:$AC$1006,0))&gt;=100000), " ",IF(INDEX($U$2:$AC$1001,MATCH(ROWS($N$2:N349),$N$2:$N$1001,0),MATCH(COLUMNS($U$1006:W1006),$U$1006:$AC$1006,0)), HYPERLINK("#",""), HYPERLINK(CONCATENATE("#metadata!", ADDRESS(INDEX($P$2:$P$1001,MATCH(ROWS($N$2:N349),$N$2:$N$1001,0),0), INDEX($U$1004:$AC$1004,1,MATCH(COLUMNS($U$1006:W1006),$U$1006:$AC$1006,0)))),"Fix")))</f>
        <v>0</v>
      </c>
      <c r="E349" s="3">
        <f>IF(OR(INDEX($O$2:$O$1001,MATCH(ROWS($N$2:N349),$N$2:$N$1001,0),1)&gt;=100000,INDEX($U$1005:$AC$1005,1,MATCH(COLUMNS($U$1006:X1006),$U$1006:$AC$1006,0))&gt;=100000), " ",IF(INDEX($U$2:$AC$1001,MATCH(ROWS($N$2:N349),$N$2:$N$1001,0),MATCH(COLUMNS($U$1006:X1006),$U$1006:$AC$1006,0)), HYPERLINK("#",""), HYPERLINK(CONCATENATE("#metadata!", ADDRESS(INDEX($P$2:$P$1001,MATCH(ROWS($N$2:N349),$N$2:$N$1001,0),0), INDEX($U$1004:$AC$1004,1,MATCH(COLUMNS($U$1006:X1006),$U$1006:$AC$1006,0)))),"Fix")))</f>
        <v>0</v>
      </c>
      <c r="F349" s="3">
        <f>IF(OR(INDEX($O$2:$O$1001,MATCH(ROWS($N$2:N349),$N$2:$N$1001,0),1)&gt;=100000,INDEX($U$1005:$AC$1005,1,MATCH(COLUMNS($U$1006:Y1006),$U$1006:$AC$1006,0))&gt;=100000), " ",IF(INDEX($U$2:$AC$1001,MATCH(ROWS($N$2:N349),$N$2:$N$1001,0),MATCH(COLUMNS($U$1006:Y1006),$U$1006:$AC$1006,0)), HYPERLINK("#",""), HYPERLINK(CONCATENATE("#metadata!", ADDRESS(INDEX($P$2:$P$1001,MATCH(ROWS($N$2:N349),$N$2:$N$1001,0),0), INDEX($U$1004:$AC$1004,1,MATCH(COLUMNS($U$1006:Y1006),$U$1006:$AC$1006,0)))),"Fix")))</f>
        <v>0</v>
      </c>
      <c r="G349" s="3">
        <f>IF(OR(INDEX($O$2:$O$1001,MATCH(ROWS($N$2:N349),$N$2:$N$1001,0),1)&gt;=100000,INDEX($U$1005:$AC$1005,1,MATCH(COLUMNS($U$1006:Z1006),$U$1006:$AC$1006,0))&gt;=100000), " ",IF(INDEX($U$2:$AC$1001,MATCH(ROWS($N$2:N349),$N$2:$N$1001,0),MATCH(COLUMNS($U$1006:Z1006),$U$1006:$AC$1006,0)), HYPERLINK("#",""), HYPERLINK(CONCATENATE("#metadata!", ADDRESS(INDEX($P$2:$P$1001,MATCH(ROWS($N$2:N349),$N$2:$N$1001,0),0), INDEX($U$1004:$AC$1004,1,MATCH(COLUMNS($U$1006:Z1006),$U$1006:$AC$1006,0)))),"Fix")))</f>
        <v>0</v>
      </c>
      <c r="H349" s="3">
        <f>IF(OR(INDEX($O$2:$O$1001,MATCH(ROWS($N$2:N349),$N$2:$N$1001,0),1)&gt;=100000,INDEX($U$1005:$AC$1005,1,MATCH(COLUMNS($U$1006:AA1006),$U$1006:$AC$1006,0))&gt;=100000), " ",IF(INDEX($U$2:$AC$1001,MATCH(ROWS($N$2:N349),$N$2:$N$1001,0),MATCH(COLUMNS($U$1006:AA1006),$U$1006:$AC$1006,0)), HYPERLINK("#",""), HYPERLINK(CONCATENATE("#metadata!", ADDRESS(INDEX($P$2:$P$1001,MATCH(ROWS($N$2:N349),$N$2:$N$1001,0),0), INDEX($U$1004:$AC$1004,1,MATCH(COLUMNS($U$1006:AA1006),$U$1006:$AC$1006,0)))),"Fix")))</f>
        <v>0</v>
      </c>
      <c r="I349" s="3">
        <f>IF(OR(INDEX($O$2:$O$1001,MATCH(ROWS($N$2:N349),$N$2:$N$1001,0),1)&gt;=100000,INDEX($U$1005:$AC$1005,1,MATCH(COLUMNS($U$1006:AB1006),$U$1006:$AC$1006,0))&gt;=100000), " ",IF(INDEX($U$2:$AC$1001,MATCH(ROWS($N$2:N349),$N$2:$N$1001,0),MATCH(COLUMNS($U$1006:AB1006),$U$1006:$AC$1006,0)), HYPERLINK("#",""), HYPERLINK(CONCATENATE("#metadata!", ADDRESS(INDEX($P$2:$P$1001,MATCH(ROWS($N$2:N349),$N$2:$N$1001,0),0), INDEX($U$1004:$AC$1004,1,MATCH(COLUMNS($U$1006:AB1006),$U$1006:$AC$1006,0)))),"Fix")))</f>
        <v>0</v>
      </c>
      <c r="J349" s="3">
        <f>IF(OR(INDEX($O$2:$O$1001,MATCH(ROWS($N$2:N349),$N$2:$N$1001,0),1)&gt;=100000,INDEX($U$1005:$AC$1005,1,MATCH(COLUMNS($U$1006:AC1006),$U$1006:$AC$1006,0))&gt;=100000), " ",IF(INDEX($U$2:$AC$1001,MATCH(ROWS($N$2:N349),$N$2:$N$1001,0),MATCH(COLUMNS($U$1006:AC1006),$U$1006:$AC$1006,0)), HYPERLINK("#",""), HYPERLINK(CONCATENATE("#metadata!", ADDRESS(INDEX($P$2:$P$1001,MATCH(ROWS($N$2:N349),$N$2:$N$1001,0),0), INDEX($U$1004:$AC$1004,1,MATCH(COLUMNS($U$1006:AC1006),$U$1006:$AC$1006,0)))),"Fix")))</f>
        <v>0</v>
      </c>
      <c r="N349">
        <v>0</v>
      </c>
      <c r="O349">
        <v>0</v>
      </c>
      <c r="P349">
        <v>0</v>
      </c>
      <c r="Q349">
        <f>IF(R349,TRUE,AND(U349:AC349))</f>
        <v>0</v>
      </c>
      <c r="R349">
        <f>COUNTBLANK(metadata!B349:J349)=COLUMNS(metadata!B349:J349)</f>
        <v>0</v>
      </c>
      <c r="S349">
        <v>0</v>
      </c>
      <c r="U349">
        <f>AND(IF(metadata!B349="",FALSE,TRUE),COUNTIF(metadata!B:B, metadata!B349) = 1,NOT(ISERROR(SUMPRODUCT(SEARCH(MID(metadata!B349,ROW(INDIRECT("1:"&amp;LEN(metadata!B349))), 1),"0123456789abcdefghijklmnopqrstuvwxyzABCDEFGHIJKLMNOPQRSTUVWXYZ.")))))</f>
        <v>0</v>
      </c>
      <c r="V349">
        <f>AND(IF(metadata!C349="",FALSE,TRUE),exact(metadata!C349,"UBERON:genitourinary"))</f>
        <v>0</v>
      </c>
      <c r="W349">
        <f>AND(IF(metadata!D349="",FALSE,TRUE),exact(metadata!D349,"UBERON:urine"))</f>
        <v>0</v>
      </c>
      <c r="X349">
        <f>AND(IF(metadata!E349="",FALSE,TRUE),exact(metadata!E349,"UBERON:kidney"))</f>
        <v>0</v>
      </c>
      <c r="Y349">
        <f>AND(IF(metadata!F349="",FALSE,TRUE),exact(metadata!F349,"animal corpus"))</f>
        <v>0</v>
      </c>
      <c r="Z349">
        <f>AND(IF(metadata!G349="",FALSE,TRUE),exact(metadata!G349,"urine"))</f>
        <v>0</v>
      </c>
      <c r="AA349">
        <f>AND(IF(metadata!H349="",FALSE,TRUE),exact(metadata!H349,"urine"))</f>
        <v>0</v>
      </c>
      <c r="AB349">
        <f>AND(IF(metadata!I349="",FALSE,TRUE),exact(metadata!I349,"urine metagenome"))</f>
        <v>0</v>
      </c>
      <c r="AC349">
        <f>AND(IF(metadata!J349="",FALSE,TRUE),exact(metadata!J349,"1346744"))</f>
        <v>0</v>
      </c>
    </row>
    <row r="350" spans="1:29">
      <c r="A350" s="4">
        <f>IF(B350=" "," ",HYPERLINK(CONCATENATE("#metadata!",ADDRESS(INDEX($P$2:$P$1001,MATCH(ROWS($N$2:N350),$N$2:$N$1001,0),0),1)),INDEX($S$2:$S$1001,MATCH(ROWS($N$2:N350),$N$2:$N$1001,0),0)))</f>
        <v>0</v>
      </c>
      <c r="B350" s="3">
        <f>IF(OR(INDEX($O$2:$O$1001,MATCH(ROWS($N$2:N350),$N$2:$N$1001,0),1)&gt;=100000,INDEX($U$1005:$AC$1005,1,MATCH(COLUMNS($U$1006:U1006),$U$1006:$AC$1006,0))&gt;=100000), " ",IF(INDEX($U$2:$AC$1001,MATCH(ROWS($N$2:N350),$N$2:$N$1001,0),MATCH(COLUMNS($U$1006:U1006),$U$1006:$AC$1006,0)), HYPERLINK("#",""), HYPERLINK(CONCATENATE("#metadata!", ADDRESS(INDEX($P$2:$P$1001,MATCH(ROWS($N$2:N350),$N$2:$N$1001,0),0), INDEX($U$1004:$AC$1004,1,MATCH(COLUMNS($U$1006:U1006),$U$1006:$AC$1006,0)))),"Fix")))</f>
        <v>0</v>
      </c>
      <c r="C350" s="3">
        <f>IF(OR(INDEX($O$2:$O$1001,MATCH(ROWS($N$2:N350),$N$2:$N$1001,0),1)&gt;=100000,INDEX($U$1005:$AC$1005,1,MATCH(COLUMNS($U$1006:V1006),$U$1006:$AC$1006,0))&gt;=100000), " ",IF(INDEX($U$2:$AC$1001,MATCH(ROWS($N$2:N350),$N$2:$N$1001,0),MATCH(COLUMNS($U$1006:V1006),$U$1006:$AC$1006,0)), HYPERLINK("#",""), HYPERLINK(CONCATENATE("#metadata!", ADDRESS(INDEX($P$2:$P$1001,MATCH(ROWS($N$2:N350),$N$2:$N$1001,0),0), INDEX($U$1004:$AC$1004,1,MATCH(COLUMNS($U$1006:V1006),$U$1006:$AC$1006,0)))),"Fix")))</f>
        <v>0</v>
      </c>
      <c r="D350" s="3">
        <f>IF(OR(INDEX($O$2:$O$1001,MATCH(ROWS($N$2:N350),$N$2:$N$1001,0),1)&gt;=100000,INDEX($U$1005:$AC$1005,1,MATCH(COLUMNS($U$1006:W1006),$U$1006:$AC$1006,0))&gt;=100000), " ",IF(INDEX($U$2:$AC$1001,MATCH(ROWS($N$2:N350),$N$2:$N$1001,0),MATCH(COLUMNS($U$1006:W1006),$U$1006:$AC$1006,0)), HYPERLINK("#",""), HYPERLINK(CONCATENATE("#metadata!", ADDRESS(INDEX($P$2:$P$1001,MATCH(ROWS($N$2:N350),$N$2:$N$1001,0),0), INDEX($U$1004:$AC$1004,1,MATCH(COLUMNS($U$1006:W1006),$U$1006:$AC$1006,0)))),"Fix")))</f>
        <v>0</v>
      </c>
      <c r="E350" s="3">
        <f>IF(OR(INDEX($O$2:$O$1001,MATCH(ROWS($N$2:N350),$N$2:$N$1001,0),1)&gt;=100000,INDEX($U$1005:$AC$1005,1,MATCH(COLUMNS($U$1006:X1006),$U$1006:$AC$1006,0))&gt;=100000), " ",IF(INDEX($U$2:$AC$1001,MATCH(ROWS($N$2:N350),$N$2:$N$1001,0),MATCH(COLUMNS($U$1006:X1006),$U$1006:$AC$1006,0)), HYPERLINK("#",""), HYPERLINK(CONCATENATE("#metadata!", ADDRESS(INDEX($P$2:$P$1001,MATCH(ROWS($N$2:N350),$N$2:$N$1001,0),0), INDEX($U$1004:$AC$1004,1,MATCH(COLUMNS($U$1006:X1006),$U$1006:$AC$1006,0)))),"Fix")))</f>
        <v>0</v>
      </c>
      <c r="F350" s="3">
        <f>IF(OR(INDEX($O$2:$O$1001,MATCH(ROWS($N$2:N350),$N$2:$N$1001,0),1)&gt;=100000,INDEX($U$1005:$AC$1005,1,MATCH(COLUMNS($U$1006:Y1006),$U$1006:$AC$1006,0))&gt;=100000), " ",IF(INDEX($U$2:$AC$1001,MATCH(ROWS($N$2:N350),$N$2:$N$1001,0),MATCH(COLUMNS($U$1006:Y1006),$U$1006:$AC$1006,0)), HYPERLINK("#",""), HYPERLINK(CONCATENATE("#metadata!", ADDRESS(INDEX($P$2:$P$1001,MATCH(ROWS($N$2:N350),$N$2:$N$1001,0),0), INDEX($U$1004:$AC$1004,1,MATCH(COLUMNS($U$1006:Y1006),$U$1006:$AC$1006,0)))),"Fix")))</f>
        <v>0</v>
      </c>
      <c r="G350" s="3">
        <f>IF(OR(INDEX($O$2:$O$1001,MATCH(ROWS($N$2:N350),$N$2:$N$1001,0),1)&gt;=100000,INDEX($U$1005:$AC$1005,1,MATCH(COLUMNS($U$1006:Z1006),$U$1006:$AC$1006,0))&gt;=100000), " ",IF(INDEX($U$2:$AC$1001,MATCH(ROWS($N$2:N350),$N$2:$N$1001,0),MATCH(COLUMNS($U$1006:Z1006),$U$1006:$AC$1006,0)), HYPERLINK("#",""), HYPERLINK(CONCATENATE("#metadata!", ADDRESS(INDEX($P$2:$P$1001,MATCH(ROWS($N$2:N350),$N$2:$N$1001,0),0), INDEX($U$1004:$AC$1004,1,MATCH(COLUMNS($U$1006:Z1006),$U$1006:$AC$1006,0)))),"Fix")))</f>
        <v>0</v>
      </c>
      <c r="H350" s="3">
        <f>IF(OR(INDEX($O$2:$O$1001,MATCH(ROWS($N$2:N350),$N$2:$N$1001,0),1)&gt;=100000,INDEX($U$1005:$AC$1005,1,MATCH(COLUMNS($U$1006:AA1006),$U$1006:$AC$1006,0))&gt;=100000), " ",IF(INDEX($U$2:$AC$1001,MATCH(ROWS($N$2:N350),$N$2:$N$1001,0),MATCH(COLUMNS($U$1006:AA1006),$U$1006:$AC$1006,0)), HYPERLINK("#",""), HYPERLINK(CONCATENATE("#metadata!", ADDRESS(INDEX($P$2:$P$1001,MATCH(ROWS($N$2:N350),$N$2:$N$1001,0),0), INDEX($U$1004:$AC$1004,1,MATCH(COLUMNS($U$1006:AA1006),$U$1006:$AC$1006,0)))),"Fix")))</f>
        <v>0</v>
      </c>
      <c r="I350" s="3">
        <f>IF(OR(INDEX($O$2:$O$1001,MATCH(ROWS($N$2:N350),$N$2:$N$1001,0),1)&gt;=100000,INDEX($U$1005:$AC$1005,1,MATCH(COLUMNS($U$1006:AB1006),$U$1006:$AC$1006,0))&gt;=100000), " ",IF(INDEX($U$2:$AC$1001,MATCH(ROWS($N$2:N350),$N$2:$N$1001,0),MATCH(COLUMNS($U$1006:AB1006),$U$1006:$AC$1006,0)), HYPERLINK("#",""), HYPERLINK(CONCATENATE("#metadata!", ADDRESS(INDEX($P$2:$P$1001,MATCH(ROWS($N$2:N350),$N$2:$N$1001,0),0), INDEX($U$1004:$AC$1004,1,MATCH(COLUMNS($U$1006:AB1006),$U$1006:$AC$1006,0)))),"Fix")))</f>
        <v>0</v>
      </c>
      <c r="J350" s="3">
        <f>IF(OR(INDEX($O$2:$O$1001,MATCH(ROWS($N$2:N350),$N$2:$N$1001,0),1)&gt;=100000,INDEX($U$1005:$AC$1005,1,MATCH(COLUMNS($U$1006:AC1006),$U$1006:$AC$1006,0))&gt;=100000), " ",IF(INDEX($U$2:$AC$1001,MATCH(ROWS($N$2:N350),$N$2:$N$1001,0),MATCH(COLUMNS($U$1006:AC1006),$U$1006:$AC$1006,0)), HYPERLINK("#",""), HYPERLINK(CONCATENATE("#metadata!", ADDRESS(INDEX($P$2:$P$1001,MATCH(ROWS($N$2:N350),$N$2:$N$1001,0),0), INDEX($U$1004:$AC$1004,1,MATCH(COLUMNS($U$1006:AC1006),$U$1006:$AC$1006,0)))),"Fix")))</f>
        <v>0</v>
      </c>
      <c r="N350">
        <v>0</v>
      </c>
      <c r="O350">
        <v>0</v>
      </c>
      <c r="P350">
        <v>0</v>
      </c>
      <c r="Q350">
        <f>IF(R350,TRUE,AND(U350:AC350))</f>
        <v>0</v>
      </c>
      <c r="R350">
        <f>COUNTBLANK(metadata!B350:J350)=COLUMNS(metadata!B350:J350)</f>
        <v>0</v>
      </c>
      <c r="S350">
        <v>0</v>
      </c>
      <c r="U350">
        <f>AND(IF(metadata!B350="",FALSE,TRUE),COUNTIF(metadata!B:B, metadata!B350) = 1,NOT(ISERROR(SUMPRODUCT(SEARCH(MID(metadata!B350,ROW(INDIRECT("1:"&amp;LEN(metadata!B350))), 1),"0123456789abcdefghijklmnopqrstuvwxyzABCDEFGHIJKLMNOPQRSTUVWXYZ.")))))</f>
        <v>0</v>
      </c>
      <c r="V350">
        <f>AND(IF(metadata!C350="",FALSE,TRUE),exact(metadata!C350,"UBERON:genitourinary"))</f>
        <v>0</v>
      </c>
      <c r="W350">
        <f>AND(IF(metadata!D350="",FALSE,TRUE),exact(metadata!D350,"UBERON:urine"))</f>
        <v>0</v>
      </c>
      <c r="X350">
        <f>AND(IF(metadata!E350="",FALSE,TRUE),exact(metadata!E350,"UBERON:kidney"))</f>
        <v>0</v>
      </c>
      <c r="Y350">
        <f>AND(IF(metadata!F350="",FALSE,TRUE),exact(metadata!F350,"animal corpus"))</f>
        <v>0</v>
      </c>
      <c r="Z350">
        <f>AND(IF(metadata!G350="",FALSE,TRUE),exact(metadata!G350,"urine"))</f>
        <v>0</v>
      </c>
      <c r="AA350">
        <f>AND(IF(metadata!H350="",FALSE,TRUE),exact(metadata!H350,"urine"))</f>
        <v>0</v>
      </c>
      <c r="AB350">
        <f>AND(IF(metadata!I350="",FALSE,TRUE),exact(metadata!I350,"urine metagenome"))</f>
        <v>0</v>
      </c>
      <c r="AC350">
        <f>AND(IF(metadata!J350="",FALSE,TRUE),exact(metadata!J350,"1346744"))</f>
        <v>0</v>
      </c>
    </row>
    <row r="351" spans="1:29">
      <c r="A351" s="4">
        <f>IF(B351=" "," ",HYPERLINK(CONCATENATE("#metadata!",ADDRESS(INDEX($P$2:$P$1001,MATCH(ROWS($N$2:N351),$N$2:$N$1001,0),0),1)),INDEX($S$2:$S$1001,MATCH(ROWS($N$2:N351),$N$2:$N$1001,0),0)))</f>
        <v>0</v>
      </c>
      <c r="B351" s="3">
        <f>IF(OR(INDEX($O$2:$O$1001,MATCH(ROWS($N$2:N351),$N$2:$N$1001,0),1)&gt;=100000,INDEX($U$1005:$AC$1005,1,MATCH(COLUMNS($U$1006:U1006),$U$1006:$AC$1006,0))&gt;=100000), " ",IF(INDEX($U$2:$AC$1001,MATCH(ROWS($N$2:N351),$N$2:$N$1001,0),MATCH(COLUMNS($U$1006:U1006),$U$1006:$AC$1006,0)), HYPERLINK("#",""), HYPERLINK(CONCATENATE("#metadata!", ADDRESS(INDEX($P$2:$P$1001,MATCH(ROWS($N$2:N351),$N$2:$N$1001,0),0), INDEX($U$1004:$AC$1004,1,MATCH(COLUMNS($U$1006:U1006),$U$1006:$AC$1006,0)))),"Fix")))</f>
        <v>0</v>
      </c>
      <c r="C351" s="3">
        <f>IF(OR(INDEX($O$2:$O$1001,MATCH(ROWS($N$2:N351),$N$2:$N$1001,0),1)&gt;=100000,INDEX($U$1005:$AC$1005,1,MATCH(COLUMNS($U$1006:V1006),$U$1006:$AC$1006,0))&gt;=100000), " ",IF(INDEX($U$2:$AC$1001,MATCH(ROWS($N$2:N351),$N$2:$N$1001,0),MATCH(COLUMNS($U$1006:V1006),$U$1006:$AC$1006,0)), HYPERLINK("#",""), HYPERLINK(CONCATENATE("#metadata!", ADDRESS(INDEX($P$2:$P$1001,MATCH(ROWS($N$2:N351),$N$2:$N$1001,0),0), INDEX($U$1004:$AC$1004,1,MATCH(COLUMNS($U$1006:V1006),$U$1006:$AC$1006,0)))),"Fix")))</f>
        <v>0</v>
      </c>
      <c r="D351" s="3">
        <f>IF(OR(INDEX($O$2:$O$1001,MATCH(ROWS($N$2:N351),$N$2:$N$1001,0),1)&gt;=100000,INDEX($U$1005:$AC$1005,1,MATCH(COLUMNS($U$1006:W1006),$U$1006:$AC$1006,0))&gt;=100000), " ",IF(INDEX($U$2:$AC$1001,MATCH(ROWS($N$2:N351),$N$2:$N$1001,0),MATCH(COLUMNS($U$1006:W1006),$U$1006:$AC$1006,0)), HYPERLINK("#",""), HYPERLINK(CONCATENATE("#metadata!", ADDRESS(INDEX($P$2:$P$1001,MATCH(ROWS($N$2:N351),$N$2:$N$1001,0),0), INDEX($U$1004:$AC$1004,1,MATCH(COLUMNS($U$1006:W1006),$U$1006:$AC$1006,0)))),"Fix")))</f>
        <v>0</v>
      </c>
      <c r="E351" s="3">
        <f>IF(OR(INDEX($O$2:$O$1001,MATCH(ROWS($N$2:N351),$N$2:$N$1001,0),1)&gt;=100000,INDEX($U$1005:$AC$1005,1,MATCH(COLUMNS($U$1006:X1006),$U$1006:$AC$1006,0))&gt;=100000), " ",IF(INDEX($U$2:$AC$1001,MATCH(ROWS($N$2:N351),$N$2:$N$1001,0),MATCH(COLUMNS($U$1006:X1006),$U$1006:$AC$1006,0)), HYPERLINK("#",""), HYPERLINK(CONCATENATE("#metadata!", ADDRESS(INDEX($P$2:$P$1001,MATCH(ROWS($N$2:N351),$N$2:$N$1001,0),0), INDEX($U$1004:$AC$1004,1,MATCH(COLUMNS($U$1006:X1006),$U$1006:$AC$1006,0)))),"Fix")))</f>
        <v>0</v>
      </c>
      <c r="F351" s="3">
        <f>IF(OR(INDEX($O$2:$O$1001,MATCH(ROWS($N$2:N351),$N$2:$N$1001,0),1)&gt;=100000,INDEX($U$1005:$AC$1005,1,MATCH(COLUMNS($U$1006:Y1006),$U$1006:$AC$1006,0))&gt;=100000), " ",IF(INDEX($U$2:$AC$1001,MATCH(ROWS($N$2:N351),$N$2:$N$1001,0),MATCH(COLUMNS($U$1006:Y1006),$U$1006:$AC$1006,0)), HYPERLINK("#",""), HYPERLINK(CONCATENATE("#metadata!", ADDRESS(INDEX($P$2:$P$1001,MATCH(ROWS($N$2:N351),$N$2:$N$1001,0),0), INDEX($U$1004:$AC$1004,1,MATCH(COLUMNS($U$1006:Y1006),$U$1006:$AC$1006,0)))),"Fix")))</f>
        <v>0</v>
      </c>
      <c r="G351" s="3">
        <f>IF(OR(INDEX($O$2:$O$1001,MATCH(ROWS($N$2:N351),$N$2:$N$1001,0),1)&gt;=100000,INDEX($U$1005:$AC$1005,1,MATCH(COLUMNS($U$1006:Z1006),$U$1006:$AC$1006,0))&gt;=100000), " ",IF(INDEX($U$2:$AC$1001,MATCH(ROWS($N$2:N351),$N$2:$N$1001,0),MATCH(COLUMNS($U$1006:Z1006),$U$1006:$AC$1006,0)), HYPERLINK("#",""), HYPERLINK(CONCATENATE("#metadata!", ADDRESS(INDEX($P$2:$P$1001,MATCH(ROWS($N$2:N351),$N$2:$N$1001,0),0), INDEX($U$1004:$AC$1004,1,MATCH(COLUMNS($U$1006:Z1006),$U$1006:$AC$1006,0)))),"Fix")))</f>
        <v>0</v>
      </c>
      <c r="H351" s="3">
        <f>IF(OR(INDEX($O$2:$O$1001,MATCH(ROWS($N$2:N351),$N$2:$N$1001,0),1)&gt;=100000,INDEX($U$1005:$AC$1005,1,MATCH(COLUMNS($U$1006:AA1006),$U$1006:$AC$1006,0))&gt;=100000), " ",IF(INDEX($U$2:$AC$1001,MATCH(ROWS($N$2:N351),$N$2:$N$1001,0),MATCH(COLUMNS($U$1006:AA1006),$U$1006:$AC$1006,0)), HYPERLINK("#",""), HYPERLINK(CONCATENATE("#metadata!", ADDRESS(INDEX($P$2:$P$1001,MATCH(ROWS($N$2:N351),$N$2:$N$1001,0),0), INDEX($U$1004:$AC$1004,1,MATCH(COLUMNS($U$1006:AA1006),$U$1006:$AC$1006,0)))),"Fix")))</f>
        <v>0</v>
      </c>
      <c r="I351" s="3">
        <f>IF(OR(INDEX($O$2:$O$1001,MATCH(ROWS($N$2:N351),$N$2:$N$1001,0),1)&gt;=100000,INDEX($U$1005:$AC$1005,1,MATCH(COLUMNS($U$1006:AB1006),$U$1006:$AC$1006,0))&gt;=100000), " ",IF(INDEX($U$2:$AC$1001,MATCH(ROWS($N$2:N351),$N$2:$N$1001,0),MATCH(COLUMNS($U$1006:AB1006),$U$1006:$AC$1006,0)), HYPERLINK("#",""), HYPERLINK(CONCATENATE("#metadata!", ADDRESS(INDEX($P$2:$P$1001,MATCH(ROWS($N$2:N351),$N$2:$N$1001,0),0), INDEX($U$1004:$AC$1004,1,MATCH(COLUMNS($U$1006:AB1006),$U$1006:$AC$1006,0)))),"Fix")))</f>
        <v>0</v>
      </c>
      <c r="J351" s="3">
        <f>IF(OR(INDEX($O$2:$O$1001,MATCH(ROWS($N$2:N351),$N$2:$N$1001,0),1)&gt;=100000,INDEX($U$1005:$AC$1005,1,MATCH(COLUMNS($U$1006:AC1006),$U$1006:$AC$1006,0))&gt;=100000), " ",IF(INDEX($U$2:$AC$1001,MATCH(ROWS($N$2:N351),$N$2:$N$1001,0),MATCH(COLUMNS($U$1006:AC1006),$U$1006:$AC$1006,0)), HYPERLINK("#",""), HYPERLINK(CONCATENATE("#metadata!", ADDRESS(INDEX($P$2:$P$1001,MATCH(ROWS($N$2:N351),$N$2:$N$1001,0),0), INDEX($U$1004:$AC$1004,1,MATCH(COLUMNS($U$1006:AC1006),$U$1006:$AC$1006,0)))),"Fix")))</f>
        <v>0</v>
      </c>
      <c r="N351">
        <v>0</v>
      </c>
      <c r="O351">
        <v>0</v>
      </c>
      <c r="P351">
        <v>0</v>
      </c>
      <c r="Q351">
        <f>IF(R351,TRUE,AND(U351:AC351))</f>
        <v>0</v>
      </c>
      <c r="R351">
        <f>COUNTBLANK(metadata!B351:J351)=COLUMNS(metadata!B351:J351)</f>
        <v>0</v>
      </c>
      <c r="S351">
        <v>0</v>
      </c>
      <c r="U351">
        <f>AND(IF(metadata!B351="",FALSE,TRUE),COUNTIF(metadata!B:B, metadata!B351) = 1,NOT(ISERROR(SUMPRODUCT(SEARCH(MID(metadata!B351,ROW(INDIRECT("1:"&amp;LEN(metadata!B351))), 1),"0123456789abcdefghijklmnopqrstuvwxyzABCDEFGHIJKLMNOPQRSTUVWXYZ.")))))</f>
        <v>0</v>
      </c>
      <c r="V351">
        <f>AND(IF(metadata!C351="",FALSE,TRUE),exact(metadata!C351,"UBERON:genitourinary"))</f>
        <v>0</v>
      </c>
      <c r="W351">
        <f>AND(IF(metadata!D351="",FALSE,TRUE),exact(metadata!D351,"UBERON:urine"))</f>
        <v>0</v>
      </c>
      <c r="X351">
        <f>AND(IF(metadata!E351="",FALSE,TRUE),exact(metadata!E351,"UBERON:kidney"))</f>
        <v>0</v>
      </c>
      <c r="Y351">
        <f>AND(IF(metadata!F351="",FALSE,TRUE),exact(metadata!F351,"animal corpus"))</f>
        <v>0</v>
      </c>
      <c r="Z351">
        <f>AND(IF(metadata!G351="",FALSE,TRUE),exact(metadata!G351,"urine"))</f>
        <v>0</v>
      </c>
      <c r="AA351">
        <f>AND(IF(metadata!H351="",FALSE,TRUE),exact(metadata!H351,"urine"))</f>
        <v>0</v>
      </c>
      <c r="AB351">
        <f>AND(IF(metadata!I351="",FALSE,TRUE),exact(metadata!I351,"urine metagenome"))</f>
        <v>0</v>
      </c>
      <c r="AC351">
        <f>AND(IF(metadata!J351="",FALSE,TRUE),exact(metadata!J351,"1346744"))</f>
        <v>0</v>
      </c>
    </row>
    <row r="352" spans="1:29">
      <c r="A352" s="4">
        <f>IF(B352=" "," ",HYPERLINK(CONCATENATE("#metadata!",ADDRESS(INDEX($P$2:$P$1001,MATCH(ROWS($N$2:N352),$N$2:$N$1001,0),0),1)),INDEX($S$2:$S$1001,MATCH(ROWS($N$2:N352),$N$2:$N$1001,0),0)))</f>
        <v>0</v>
      </c>
      <c r="B352" s="3">
        <f>IF(OR(INDEX($O$2:$O$1001,MATCH(ROWS($N$2:N352),$N$2:$N$1001,0),1)&gt;=100000,INDEX($U$1005:$AC$1005,1,MATCH(COLUMNS($U$1006:U1006),$U$1006:$AC$1006,0))&gt;=100000), " ",IF(INDEX($U$2:$AC$1001,MATCH(ROWS($N$2:N352),$N$2:$N$1001,0),MATCH(COLUMNS($U$1006:U1006),$U$1006:$AC$1006,0)), HYPERLINK("#",""), HYPERLINK(CONCATENATE("#metadata!", ADDRESS(INDEX($P$2:$P$1001,MATCH(ROWS($N$2:N352),$N$2:$N$1001,0),0), INDEX($U$1004:$AC$1004,1,MATCH(COLUMNS($U$1006:U1006),$U$1006:$AC$1006,0)))),"Fix")))</f>
        <v>0</v>
      </c>
      <c r="C352" s="3">
        <f>IF(OR(INDEX($O$2:$O$1001,MATCH(ROWS($N$2:N352),$N$2:$N$1001,0),1)&gt;=100000,INDEX($U$1005:$AC$1005,1,MATCH(COLUMNS($U$1006:V1006),$U$1006:$AC$1006,0))&gt;=100000), " ",IF(INDEX($U$2:$AC$1001,MATCH(ROWS($N$2:N352),$N$2:$N$1001,0),MATCH(COLUMNS($U$1006:V1006),$U$1006:$AC$1006,0)), HYPERLINK("#",""), HYPERLINK(CONCATENATE("#metadata!", ADDRESS(INDEX($P$2:$P$1001,MATCH(ROWS($N$2:N352),$N$2:$N$1001,0),0), INDEX($U$1004:$AC$1004,1,MATCH(COLUMNS($U$1006:V1006),$U$1006:$AC$1006,0)))),"Fix")))</f>
        <v>0</v>
      </c>
      <c r="D352" s="3">
        <f>IF(OR(INDEX($O$2:$O$1001,MATCH(ROWS($N$2:N352),$N$2:$N$1001,0),1)&gt;=100000,INDEX($U$1005:$AC$1005,1,MATCH(COLUMNS($U$1006:W1006),$U$1006:$AC$1006,0))&gt;=100000), " ",IF(INDEX($U$2:$AC$1001,MATCH(ROWS($N$2:N352),$N$2:$N$1001,0),MATCH(COLUMNS($U$1006:W1006),$U$1006:$AC$1006,0)), HYPERLINK("#",""), HYPERLINK(CONCATENATE("#metadata!", ADDRESS(INDEX($P$2:$P$1001,MATCH(ROWS($N$2:N352),$N$2:$N$1001,0),0), INDEX($U$1004:$AC$1004,1,MATCH(COLUMNS($U$1006:W1006),$U$1006:$AC$1006,0)))),"Fix")))</f>
        <v>0</v>
      </c>
      <c r="E352" s="3">
        <f>IF(OR(INDEX($O$2:$O$1001,MATCH(ROWS($N$2:N352),$N$2:$N$1001,0),1)&gt;=100000,INDEX($U$1005:$AC$1005,1,MATCH(COLUMNS($U$1006:X1006),$U$1006:$AC$1006,0))&gt;=100000), " ",IF(INDEX($U$2:$AC$1001,MATCH(ROWS($N$2:N352),$N$2:$N$1001,0),MATCH(COLUMNS($U$1006:X1006),$U$1006:$AC$1006,0)), HYPERLINK("#",""), HYPERLINK(CONCATENATE("#metadata!", ADDRESS(INDEX($P$2:$P$1001,MATCH(ROWS($N$2:N352),$N$2:$N$1001,0),0), INDEX($U$1004:$AC$1004,1,MATCH(COLUMNS($U$1006:X1006),$U$1006:$AC$1006,0)))),"Fix")))</f>
        <v>0</v>
      </c>
      <c r="F352" s="3">
        <f>IF(OR(INDEX($O$2:$O$1001,MATCH(ROWS($N$2:N352),$N$2:$N$1001,0),1)&gt;=100000,INDEX($U$1005:$AC$1005,1,MATCH(COLUMNS($U$1006:Y1006),$U$1006:$AC$1006,0))&gt;=100000), " ",IF(INDEX($U$2:$AC$1001,MATCH(ROWS($N$2:N352),$N$2:$N$1001,0),MATCH(COLUMNS($U$1006:Y1006),$U$1006:$AC$1006,0)), HYPERLINK("#",""), HYPERLINK(CONCATENATE("#metadata!", ADDRESS(INDEX($P$2:$P$1001,MATCH(ROWS($N$2:N352),$N$2:$N$1001,0),0), INDEX($U$1004:$AC$1004,1,MATCH(COLUMNS($U$1006:Y1006),$U$1006:$AC$1006,0)))),"Fix")))</f>
        <v>0</v>
      </c>
      <c r="G352" s="3">
        <f>IF(OR(INDEX($O$2:$O$1001,MATCH(ROWS($N$2:N352),$N$2:$N$1001,0),1)&gt;=100000,INDEX($U$1005:$AC$1005,1,MATCH(COLUMNS($U$1006:Z1006),$U$1006:$AC$1006,0))&gt;=100000), " ",IF(INDEX($U$2:$AC$1001,MATCH(ROWS($N$2:N352),$N$2:$N$1001,0),MATCH(COLUMNS($U$1006:Z1006),$U$1006:$AC$1006,0)), HYPERLINK("#",""), HYPERLINK(CONCATENATE("#metadata!", ADDRESS(INDEX($P$2:$P$1001,MATCH(ROWS($N$2:N352),$N$2:$N$1001,0),0), INDEX($U$1004:$AC$1004,1,MATCH(COLUMNS($U$1006:Z1006),$U$1006:$AC$1006,0)))),"Fix")))</f>
        <v>0</v>
      </c>
      <c r="H352" s="3">
        <f>IF(OR(INDEX($O$2:$O$1001,MATCH(ROWS($N$2:N352),$N$2:$N$1001,0),1)&gt;=100000,INDEX($U$1005:$AC$1005,1,MATCH(COLUMNS($U$1006:AA1006),$U$1006:$AC$1006,0))&gt;=100000), " ",IF(INDEX($U$2:$AC$1001,MATCH(ROWS($N$2:N352),$N$2:$N$1001,0),MATCH(COLUMNS($U$1006:AA1006),$U$1006:$AC$1006,0)), HYPERLINK("#",""), HYPERLINK(CONCATENATE("#metadata!", ADDRESS(INDEX($P$2:$P$1001,MATCH(ROWS($N$2:N352),$N$2:$N$1001,0),0), INDEX($U$1004:$AC$1004,1,MATCH(COLUMNS($U$1006:AA1006),$U$1006:$AC$1006,0)))),"Fix")))</f>
        <v>0</v>
      </c>
      <c r="I352" s="3">
        <f>IF(OR(INDEX($O$2:$O$1001,MATCH(ROWS($N$2:N352),$N$2:$N$1001,0),1)&gt;=100000,INDEX($U$1005:$AC$1005,1,MATCH(COLUMNS($U$1006:AB1006),$U$1006:$AC$1006,0))&gt;=100000), " ",IF(INDEX($U$2:$AC$1001,MATCH(ROWS($N$2:N352),$N$2:$N$1001,0),MATCH(COLUMNS($U$1006:AB1006),$U$1006:$AC$1006,0)), HYPERLINK("#",""), HYPERLINK(CONCATENATE("#metadata!", ADDRESS(INDEX($P$2:$P$1001,MATCH(ROWS($N$2:N352),$N$2:$N$1001,0),0), INDEX($U$1004:$AC$1004,1,MATCH(COLUMNS($U$1006:AB1006),$U$1006:$AC$1006,0)))),"Fix")))</f>
        <v>0</v>
      </c>
      <c r="J352" s="3">
        <f>IF(OR(INDEX($O$2:$O$1001,MATCH(ROWS($N$2:N352),$N$2:$N$1001,0),1)&gt;=100000,INDEX($U$1005:$AC$1005,1,MATCH(COLUMNS($U$1006:AC1006),$U$1006:$AC$1006,0))&gt;=100000), " ",IF(INDEX($U$2:$AC$1001,MATCH(ROWS($N$2:N352),$N$2:$N$1001,0),MATCH(COLUMNS($U$1006:AC1006),$U$1006:$AC$1006,0)), HYPERLINK("#",""), HYPERLINK(CONCATENATE("#metadata!", ADDRESS(INDEX($P$2:$P$1001,MATCH(ROWS($N$2:N352),$N$2:$N$1001,0),0), INDEX($U$1004:$AC$1004,1,MATCH(COLUMNS($U$1006:AC1006),$U$1006:$AC$1006,0)))),"Fix")))</f>
        <v>0</v>
      </c>
      <c r="N352">
        <v>0</v>
      </c>
      <c r="O352">
        <v>0</v>
      </c>
      <c r="P352">
        <v>0</v>
      </c>
      <c r="Q352">
        <f>IF(R352,TRUE,AND(U352:AC352))</f>
        <v>0</v>
      </c>
      <c r="R352">
        <f>COUNTBLANK(metadata!B352:J352)=COLUMNS(metadata!B352:J352)</f>
        <v>0</v>
      </c>
      <c r="S352">
        <v>0</v>
      </c>
      <c r="U352">
        <f>AND(IF(metadata!B352="",FALSE,TRUE),COUNTIF(metadata!B:B, metadata!B352) = 1,NOT(ISERROR(SUMPRODUCT(SEARCH(MID(metadata!B352,ROW(INDIRECT("1:"&amp;LEN(metadata!B352))), 1),"0123456789abcdefghijklmnopqrstuvwxyzABCDEFGHIJKLMNOPQRSTUVWXYZ.")))))</f>
        <v>0</v>
      </c>
      <c r="V352">
        <f>AND(IF(metadata!C352="",FALSE,TRUE),exact(metadata!C352,"UBERON:genitourinary"))</f>
        <v>0</v>
      </c>
      <c r="W352">
        <f>AND(IF(metadata!D352="",FALSE,TRUE),exact(metadata!D352,"UBERON:urine"))</f>
        <v>0</v>
      </c>
      <c r="X352">
        <f>AND(IF(metadata!E352="",FALSE,TRUE),exact(metadata!E352,"UBERON:kidney"))</f>
        <v>0</v>
      </c>
      <c r="Y352">
        <f>AND(IF(metadata!F352="",FALSE,TRUE),exact(metadata!F352,"animal corpus"))</f>
        <v>0</v>
      </c>
      <c r="Z352">
        <f>AND(IF(metadata!G352="",FALSE,TRUE),exact(metadata!G352,"urine"))</f>
        <v>0</v>
      </c>
      <c r="AA352">
        <f>AND(IF(metadata!H352="",FALSE,TRUE),exact(metadata!H352,"urine"))</f>
        <v>0</v>
      </c>
      <c r="AB352">
        <f>AND(IF(metadata!I352="",FALSE,TRUE),exact(metadata!I352,"urine metagenome"))</f>
        <v>0</v>
      </c>
      <c r="AC352">
        <f>AND(IF(metadata!J352="",FALSE,TRUE),exact(metadata!J352,"1346744"))</f>
        <v>0</v>
      </c>
    </row>
    <row r="353" spans="1:29">
      <c r="A353" s="4">
        <f>IF(B353=" "," ",HYPERLINK(CONCATENATE("#metadata!",ADDRESS(INDEX($P$2:$P$1001,MATCH(ROWS($N$2:N353),$N$2:$N$1001,0),0),1)),INDEX($S$2:$S$1001,MATCH(ROWS($N$2:N353),$N$2:$N$1001,0),0)))</f>
        <v>0</v>
      </c>
      <c r="B353" s="3">
        <f>IF(OR(INDEX($O$2:$O$1001,MATCH(ROWS($N$2:N353),$N$2:$N$1001,0),1)&gt;=100000,INDEX($U$1005:$AC$1005,1,MATCH(COLUMNS($U$1006:U1006),$U$1006:$AC$1006,0))&gt;=100000), " ",IF(INDEX($U$2:$AC$1001,MATCH(ROWS($N$2:N353),$N$2:$N$1001,0),MATCH(COLUMNS($U$1006:U1006),$U$1006:$AC$1006,0)), HYPERLINK("#",""), HYPERLINK(CONCATENATE("#metadata!", ADDRESS(INDEX($P$2:$P$1001,MATCH(ROWS($N$2:N353),$N$2:$N$1001,0),0), INDEX($U$1004:$AC$1004,1,MATCH(COLUMNS($U$1006:U1006),$U$1006:$AC$1006,0)))),"Fix")))</f>
        <v>0</v>
      </c>
      <c r="C353" s="3">
        <f>IF(OR(INDEX($O$2:$O$1001,MATCH(ROWS($N$2:N353),$N$2:$N$1001,0),1)&gt;=100000,INDEX($U$1005:$AC$1005,1,MATCH(COLUMNS($U$1006:V1006),$U$1006:$AC$1006,0))&gt;=100000), " ",IF(INDEX($U$2:$AC$1001,MATCH(ROWS($N$2:N353),$N$2:$N$1001,0),MATCH(COLUMNS($U$1006:V1006),$U$1006:$AC$1006,0)), HYPERLINK("#",""), HYPERLINK(CONCATENATE("#metadata!", ADDRESS(INDEX($P$2:$P$1001,MATCH(ROWS($N$2:N353),$N$2:$N$1001,0),0), INDEX($U$1004:$AC$1004,1,MATCH(COLUMNS($U$1006:V1006),$U$1006:$AC$1006,0)))),"Fix")))</f>
        <v>0</v>
      </c>
      <c r="D353" s="3">
        <f>IF(OR(INDEX($O$2:$O$1001,MATCH(ROWS($N$2:N353),$N$2:$N$1001,0),1)&gt;=100000,INDEX($U$1005:$AC$1005,1,MATCH(COLUMNS($U$1006:W1006),$U$1006:$AC$1006,0))&gt;=100000), " ",IF(INDEX($U$2:$AC$1001,MATCH(ROWS($N$2:N353),$N$2:$N$1001,0),MATCH(COLUMNS($U$1006:W1006),$U$1006:$AC$1006,0)), HYPERLINK("#",""), HYPERLINK(CONCATENATE("#metadata!", ADDRESS(INDEX($P$2:$P$1001,MATCH(ROWS($N$2:N353),$N$2:$N$1001,0),0), INDEX($U$1004:$AC$1004,1,MATCH(COLUMNS($U$1006:W1006),$U$1006:$AC$1006,0)))),"Fix")))</f>
        <v>0</v>
      </c>
      <c r="E353" s="3">
        <f>IF(OR(INDEX($O$2:$O$1001,MATCH(ROWS($N$2:N353),$N$2:$N$1001,0),1)&gt;=100000,INDEX($U$1005:$AC$1005,1,MATCH(COLUMNS($U$1006:X1006),$U$1006:$AC$1006,0))&gt;=100000), " ",IF(INDEX($U$2:$AC$1001,MATCH(ROWS($N$2:N353),$N$2:$N$1001,0),MATCH(COLUMNS($U$1006:X1006),$U$1006:$AC$1006,0)), HYPERLINK("#",""), HYPERLINK(CONCATENATE("#metadata!", ADDRESS(INDEX($P$2:$P$1001,MATCH(ROWS($N$2:N353),$N$2:$N$1001,0),0), INDEX($U$1004:$AC$1004,1,MATCH(COLUMNS($U$1006:X1006),$U$1006:$AC$1006,0)))),"Fix")))</f>
        <v>0</v>
      </c>
      <c r="F353" s="3">
        <f>IF(OR(INDEX($O$2:$O$1001,MATCH(ROWS($N$2:N353),$N$2:$N$1001,0),1)&gt;=100000,INDEX($U$1005:$AC$1005,1,MATCH(COLUMNS($U$1006:Y1006),$U$1006:$AC$1006,0))&gt;=100000), " ",IF(INDEX($U$2:$AC$1001,MATCH(ROWS($N$2:N353),$N$2:$N$1001,0),MATCH(COLUMNS($U$1006:Y1006),$U$1006:$AC$1006,0)), HYPERLINK("#",""), HYPERLINK(CONCATENATE("#metadata!", ADDRESS(INDEX($P$2:$P$1001,MATCH(ROWS($N$2:N353),$N$2:$N$1001,0),0), INDEX($U$1004:$AC$1004,1,MATCH(COLUMNS($U$1006:Y1006),$U$1006:$AC$1006,0)))),"Fix")))</f>
        <v>0</v>
      </c>
      <c r="G353" s="3">
        <f>IF(OR(INDEX($O$2:$O$1001,MATCH(ROWS($N$2:N353),$N$2:$N$1001,0),1)&gt;=100000,INDEX($U$1005:$AC$1005,1,MATCH(COLUMNS($U$1006:Z1006),$U$1006:$AC$1006,0))&gt;=100000), " ",IF(INDEX($U$2:$AC$1001,MATCH(ROWS($N$2:N353),$N$2:$N$1001,0),MATCH(COLUMNS($U$1006:Z1006),$U$1006:$AC$1006,0)), HYPERLINK("#",""), HYPERLINK(CONCATENATE("#metadata!", ADDRESS(INDEX($P$2:$P$1001,MATCH(ROWS($N$2:N353),$N$2:$N$1001,0),0), INDEX($U$1004:$AC$1004,1,MATCH(COLUMNS($U$1006:Z1006),$U$1006:$AC$1006,0)))),"Fix")))</f>
        <v>0</v>
      </c>
      <c r="H353" s="3">
        <f>IF(OR(INDEX($O$2:$O$1001,MATCH(ROWS($N$2:N353),$N$2:$N$1001,0),1)&gt;=100000,INDEX($U$1005:$AC$1005,1,MATCH(COLUMNS($U$1006:AA1006),$U$1006:$AC$1006,0))&gt;=100000), " ",IF(INDEX($U$2:$AC$1001,MATCH(ROWS($N$2:N353),$N$2:$N$1001,0),MATCH(COLUMNS($U$1006:AA1006),$U$1006:$AC$1006,0)), HYPERLINK("#",""), HYPERLINK(CONCATENATE("#metadata!", ADDRESS(INDEX($P$2:$P$1001,MATCH(ROWS($N$2:N353),$N$2:$N$1001,0),0), INDEX($U$1004:$AC$1004,1,MATCH(COLUMNS($U$1006:AA1006),$U$1006:$AC$1006,0)))),"Fix")))</f>
        <v>0</v>
      </c>
      <c r="I353" s="3">
        <f>IF(OR(INDEX($O$2:$O$1001,MATCH(ROWS($N$2:N353),$N$2:$N$1001,0),1)&gt;=100000,INDEX($U$1005:$AC$1005,1,MATCH(COLUMNS($U$1006:AB1006),$U$1006:$AC$1006,0))&gt;=100000), " ",IF(INDEX($U$2:$AC$1001,MATCH(ROWS($N$2:N353),$N$2:$N$1001,0),MATCH(COLUMNS($U$1006:AB1006),$U$1006:$AC$1006,0)), HYPERLINK("#",""), HYPERLINK(CONCATENATE("#metadata!", ADDRESS(INDEX($P$2:$P$1001,MATCH(ROWS($N$2:N353),$N$2:$N$1001,0),0), INDEX($U$1004:$AC$1004,1,MATCH(COLUMNS($U$1006:AB1006),$U$1006:$AC$1006,0)))),"Fix")))</f>
        <v>0</v>
      </c>
      <c r="J353" s="3">
        <f>IF(OR(INDEX($O$2:$O$1001,MATCH(ROWS($N$2:N353),$N$2:$N$1001,0),1)&gt;=100000,INDEX($U$1005:$AC$1005,1,MATCH(COLUMNS($U$1006:AC1006),$U$1006:$AC$1006,0))&gt;=100000), " ",IF(INDEX($U$2:$AC$1001,MATCH(ROWS($N$2:N353),$N$2:$N$1001,0),MATCH(COLUMNS($U$1006:AC1006),$U$1006:$AC$1006,0)), HYPERLINK("#",""), HYPERLINK(CONCATENATE("#metadata!", ADDRESS(INDEX($P$2:$P$1001,MATCH(ROWS($N$2:N353),$N$2:$N$1001,0),0), INDEX($U$1004:$AC$1004,1,MATCH(COLUMNS($U$1006:AC1006),$U$1006:$AC$1006,0)))),"Fix")))</f>
        <v>0</v>
      </c>
      <c r="N353">
        <v>0</v>
      </c>
      <c r="O353">
        <v>0</v>
      </c>
      <c r="P353">
        <v>0</v>
      </c>
      <c r="Q353">
        <f>IF(R353,TRUE,AND(U353:AC353))</f>
        <v>0</v>
      </c>
      <c r="R353">
        <f>COUNTBLANK(metadata!B353:J353)=COLUMNS(metadata!B353:J353)</f>
        <v>0</v>
      </c>
      <c r="S353">
        <v>0</v>
      </c>
      <c r="U353">
        <f>AND(IF(metadata!B353="",FALSE,TRUE),COUNTIF(metadata!B:B, metadata!B353) = 1,NOT(ISERROR(SUMPRODUCT(SEARCH(MID(metadata!B353,ROW(INDIRECT("1:"&amp;LEN(metadata!B353))), 1),"0123456789abcdefghijklmnopqrstuvwxyzABCDEFGHIJKLMNOPQRSTUVWXYZ.")))))</f>
        <v>0</v>
      </c>
      <c r="V353">
        <f>AND(IF(metadata!C353="",FALSE,TRUE),exact(metadata!C353,"UBERON:genitourinary"))</f>
        <v>0</v>
      </c>
      <c r="W353">
        <f>AND(IF(metadata!D353="",FALSE,TRUE),exact(metadata!D353,"UBERON:urine"))</f>
        <v>0</v>
      </c>
      <c r="X353">
        <f>AND(IF(metadata!E353="",FALSE,TRUE),exact(metadata!E353,"UBERON:kidney"))</f>
        <v>0</v>
      </c>
      <c r="Y353">
        <f>AND(IF(metadata!F353="",FALSE,TRUE),exact(metadata!F353,"animal corpus"))</f>
        <v>0</v>
      </c>
      <c r="Z353">
        <f>AND(IF(metadata!G353="",FALSE,TRUE),exact(metadata!G353,"urine"))</f>
        <v>0</v>
      </c>
      <c r="AA353">
        <f>AND(IF(metadata!H353="",FALSE,TRUE),exact(metadata!H353,"urine"))</f>
        <v>0</v>
      </c>
      <c r="AB353">
        <f>AND(IF(metadata!I353="",FALSE,TRUE),exact(metadata!I353,"urine metagenome"))</f>
        <v>0</v>
      </c>
      <c r="AC353">
        <f>AND(IF(metadata!J353="",FALSE,TRUE),exact(metadata!J353,"1346744"))</f>
        <v>0</v>
      </c>
    </row>
    <row r="354" spans="1:29">
      <c r="A354" s="4">
        <f>IF(B354=" "," ",HYPERLINK(CONCATENATE("#metadata!",ADDRESS(INDEX($P$2:$P$1001,MATCH(ROWS($N$2:N354),$N$2:$N$1001,0),0),1)),INDEX($S$2:$S$1001,MATCH(ROWS($N$2:N354),$N$2:$N$1001,0),0)))</f>
        <v>0</v>
      </c>
      <c r="B354" s="3">
        <f>IF(OR(INDEX($O$2:$O$1001,MATCH(ROWS($N$2:N354),$N$2:$N$1001,0),1)&gt;=100000,INDEX($U$1005:$AC$1005,1,MATCH(COLUMNS($U$1006:U1006),$U$1006:$AC$1006,0))&gt;=100000), " ",IF(INDEX($U$2:$AC$1001,MATCH(ROWS($N$2:N354),$N$2:$N$1001,0),MATCH(COLUMNS($U$1006:U1006),$U$1006:$AC$1006,0)), HYPERLINK("#",""), HYPERLINK(CONCATENATE("#metadata!", ADDRESS(INDEX($P$2:$P$1001,MATCH(ROWS($N$2:N354),$N$2:$N$1001,0),0), INDEX($U$1004:$AC$1004,1,MATCH(COLUMNS($U$1006:U1006),$U$1006:$AC$1006,0)))),"Fix")))</f>
        <v>0</v>
      </c>
      <c r="C354" s="3">
        <f>IF(OR(INDEX($O$2:$O$1001,MATCH(ROWS($N$2:N354),$N$2:$N$1001,0),1)&gt;=100000,INDEX($U$1005:$AC$1005,1,MATCH(COLUMNS($U$1006:V1006),$U$1006:$AC$1006,0))&gt;=100000), " ",IF(INDEX($U$2:$AC$1001,MATCH(ROWS($N$2:N354),$N$2:$N$1001,0),MATCH(COLUMNS($U$1006:V1006),$U$1006:$AC$1006,0)), HYPERLINK("#",""), HYPERLINK(CONCATENATE("#metadata!", ADDRESS(INDEX($P$2:$P$1001,MATCH(ROWS($N$2:N354),$N$2:$N$1001,0),0), INDEX($U$1004:$AC$1004,1,MATCH(COLUMNS($U$1006:V1006),$U$1006:$AC$1006,0)))),"Fix")))</f>
        <v>0</v>
      </c>
      <c r="D354" s="3">
        <f>IF(OR(INDEX($O$2:$O$1001,MATCH(ROWS($N$2:N354),$N$2:$N$1001,0),1)&gt;=100000,INDEX($U$1005:$AC$1005,1,MATCH(COLUMNS($U$1006:W1006),$U$1006:$AC$1006,0))&gt;=100000), " ",IF(INDEX($U$2:$AC$1001,MATCH(ROWS($N$2:N354),$N$2:$N$1001,0),MATCH(COLUMNS($U$1006:W1006),$U$1006:$AC$1006,0)), HYPERLINK("#",""), HYPERLINK(CONCATENATE("#metadata!", ADDRESS(INDEX($P$2:$P$1001,MATCH(ROWS($N$2:N354),$N$2:$N$1001,0),0), INDEX($U$1004:$AC$1004,1,MATCH(COLUMNS($U$1006:W1006),$U$1006:$AC$1006,0)))),"Fix")))</f>
        <v>0</v>
      </c>
      <c r="E354" s="3">
        <f>IF(OR(INDEX($O$2:$O$1001,MATCH(ROWS($N$2:N354),$N$2:$N$1001,0),1)&gt;=100000,INDEX($U$1005:$AC$1005,1,MATCH(COLUMNS($U$1006:X1006),$U$1006:$AC$1006,0))&gt;=100000), " ",IF(INDEX($U$2:$AC$1001,MATCH(ROWS($N$2:N354),$N$2:$N$1001,0),MATCH(COLUMNS($U$1006:X1006),$U$1006:$AC$1006,0)), HYPERLINK("#",""), HYPERLINK(CONCATENATE("#metadata!", ADDRESS(INDEX($P$2:$P$1001,MATCH(ROWS($N$2:N354),$N$2:$N$1001,0),0), INDEX($U$1004:$AC$1004,1,MATCH(COLUMNS($U$1006:X1006),$U$1006:$AC$1006,0)))),"Fix")))</f>
        <v>0</v>
      </c>
      <c r="F354" s="3">
        <f>IF(OR(INDEX($O$2:$O$1001,MATCH(ROWS($N$2:N354),$N$2:$N$1001,0),1)&gt;=100000,INDEX($U$1005:$AC$1005,1,MATCH(COLUMNS($U$1006:Y1006),$U$1006:$AC$1006,0))&gt;=100000), " ",IF(INDEX($U$2:$AC$1001,MATCH(ROWS($N$2:N354),$N$2:$N$1001,0),MATCH(COLUMNS($U$1006:Y1006),$U$1006:$AC$1006,0)), HYPERLINK("#",""), HYPERLINK(CONCATENATE("#metadata!", ADDRESS(INDEX($P$2:$P$1001,MATCH(ROWS($N$2:N354),$N$2:$N$1001,0),0), INDEX($U$1004:$AC$1004,1,MATCH(COLUMNS($U$1006:Y1006),$U$1006:$AC$1006,0)))),"Fix")))</f>
        <v>0</v>
      </c>
      <c r="G354" s="3">
        <f>IF(OR(INDEX($O$2:$O$1001,MATCH(ROWS($N$2:N354),$N$2:$N$1001,0),1)&gt;=100000,INDEX($U$1005:$AC$1005,1,MATCH(COLUMNS($U$1006:Z1006),$U$1006:$AC$1006,0))&gt;=100000), " ",IF(INDEX($U$2:$AC$1001,MATCH(ROWS($N$2:N354),$N$2:$N$1001,0),MATCH(COLUMNS($U$1006:Z1006),$U$1006:$AC$1006,0)), HYPERLINK("#",""), HYPERLINK(CONCATENATE("#metadata!", ADDRESS(INDEX($P$2:$P$1001,MATCH(ROWS($N$2:N354),$N$2:$N$1001,0),0), INDEX($U$1004:$AC$1004,1,MATCH(COLUMNS($U$1006:Z1006),$U$1006:$AC$1006,0)))),"Fix")))</f>
        <v>0</v>
      </c>
      <c r="H354" s="3">
        <f>IF(OR(INDEX($O$2:$O$1001,MATCH(ROWS($N$2:N354),$N$2:$N$1001,0),1)&gt;=100000,INDEX($U$1005:$AC$1005,1,MATCH(COLUMNS($U$1006:AA1006),$U$1006:$AC$1006,0))&gt;=100000), " ",IF(INDEX($U$2:$AC$1001,MATCH(ROWS($N$2:N354),$N$2:$N$1001,0),MATCH(COLUMNS($U$1006:AA1006),$U$1006:$AC$1006,0)), HYPERLINK("#",""), HYPERLINK(CONCATENATE("#metadata!", ADDRESS(INDEX($P$2:$P$1001,MATCH(ROWS($N$2:N354),$N$2:$N$1001,0),0), INDEX($U$1004:$AC$1004,1,MATCH(COLUMNS($U$1006:AA1006),$U$1006:$AC$1006,0)))),"Fix")))</f>
        <v>0</v>
      </c>
      <c r="I354" s="3">
        <f>IF(OR(INDEX($O$2:$O$1001,MATCH(ROWS($N$2:N354),$N$2:$N$1001,0),1)&gt;=100000,INDEX($U$1005:$AC$1005,1,MATCH(COLUMNS($U$1006:AB1006),$U$1006:$AC$1006,0))&gt;=100000), " ",IF(INDEX($U$2:$AC$1001,MATCH(ROWS($N$2:N354),$N$2:$N$1001,0),MATCH(COLUMNS($U$1006:AB1006),$U$1006:$AC$1006,0)), HYPERLINK("#",""), HYPERLINK(CONCATENATE("#metadata!", ADDRESS(INDEX($P$2:$P$1001,MATCH(ROWS($N$2:N354),$N$2:$N$1001,0),0), INDEX($U$1004:$AC$1004,1,MATCH(COLUMNS($U$1006:AB1006),$U$1006:$AC$1006,0)))),"Fix")))</f>
        <v>0</v>
      </c>
      <c r="J354" s="3">
        <f>IF(OR(INDEX($O$2:$O$1001,MATCH(ROWS($N$2:N354),$N$2:$N$1001,0),1)&gt;=100000,INDEX($U$1005:$AC$1005,1,MATCH(COLUMNS($U$1006:AC1006),$U$1006:$AC$1006,0))&gt;=100000), " ",IF(INDEX($U$2:$AC$1001,MATCH(ROWS($N$2:N354),$N$2:$N$1001,0),MATCH(COLUMNS($U$1006:AC1006),$U$1006:$AC$1006,0)), HYPERLINK("#",""), HYPERLINK(CONCATENATE("#metadata!", ADDRESS(INDEX($P$2:$P$1001,MATCH(ROWS($N$2:N354),$N$2:$N$1001,0),0), INDEX($U$1004:$AC$1004,1,MATCH(COLUMNS($U$1006:AC1006),$U$1006:$AC$1006,0)))),"Fix")))</f>
        <v>0</v>
      </c>
      <c r="N354">
        <v>0</v>
      </c>
      <c r="O354">
        <v>0</v>
      </c>
      <c r="P354">
        <v>0</v>
      </c>
      <c r="Q354">
        <f>IF(R354,TRUE,AND(U354:AC354))</f>
        <v>0</v>
      </c>
      <c r="R354">
        <f>COUNTBLANK(metadata!B354:J354)=COLUMNS(metadata!B354:J354)</f>
        <v>0</v>
      </c>
      <c r="S354">
        <v>0</v>
      </c>
      <c r="U354">
        <f>AND(IF(metadata!B354="",FALSE,TRUE),COUNTIF(metadata!B:B, metadata!B354) = 1,NOT(ISERROR(SUMPRODUCT(SEARCH(MID(metadata!B354,ROW(INDIRECT("1:"&amp;LEN(metadata!B354))), 1),"0123456789abcdefghijklmnopqrstuvwxyzABCDEFGHIJKLMNOPQRSTUVWXYZ.")))))</f>
        <v>0</v>
      </c>
      <c r="V354">
        <f>AND(IF(metadata!C354="",FALSE,TRUE),exact(metadata!C354,"UBERON:genitourinary"))</f>
        <v>0</v>
      </c>
      <c r="W354">
        <f>AND(IF(metadata!D354="",FALSE,TRUE),exact(metadata!D354,"UBERON:urine"))</f>
        <v>0</v>
      </c>
      <c r="X354">
        <f>AND(IF(metadata!E354="",FALSE,TRUE),exact(metadata!E354,"UBERON:kidney"))</f>
        <v>0</v>
      </c>
      <c r="Y354">
        <f>AND(IF(metadata!F354="",FALSE,TRUE),exact(metadata!F354,"animal corpus"))</f>
        <v>0</v>
      </c>
      <c r="Z354">
        <f>AND(IF(metadata!G354="",FALSE,TRUE),exact(metadata!G354,"urine"))</f>
        <v>0</v>
      </c>
      <c r="AA354">
        <f>AND(IF(metadata!H354="",FALSE,TRUE),exact(metadata!H354,"urine"))</f>
        <v>0</v>
      </c>
      <c r="AB354">
        <f>AND(IF(metadata!I354="",FALSE,TRUE),exact(metadata!I354,"urine metagenome"))</f>
        <v>0</v>
      </c>
      <c r="AC354">
        <f>AND(IF(metadata!J354="",FALSE,TRUE),exact(metadata!J354,"1346744"))</f>
        <v>0</v>
      </c>
    </row>
    <row r="355" spans="1:29">
      <c r="A355" s="4">
        <f>IF(B355=" "," ",HYPERLINK(CONCATENATE("#metadata!",ADDRESS(INDEX($P$2:$P$1001,MATCH(ROWS($N$2:N355),$N$2:$N$1001,0),0),1)),INDEX($S$2:$S$1001,MATCH(ROWS($N$2:N355),$N$2:$N$1001,0),0)))</f>
        <v>0</v>
      </c>
      <c r="B355" s="3">
        <f>IF(OR(INDEX($O$2:$O$1001,MATCH(ROWS($N$2:N355),$N$2:$N$1001,0),1)&gt;=100000,INDEX($U$1005:$AC$1005,1,MATCH(COLUMNS($U$1006:U1006),$U$1006:$AC$1006,0))&gt;=100000), " ",IF(INDEX($U$2:$AC$1001,MATCH(ROWS($N$2:N355),$N$2:$N$1001,0),MATCH(COLUMNS($U$1006:U1006),$U$1006:$AC$1006,0)), HYPERLINK("#",""), HYPERLINK(CONCATENATE("#metadata!", ADDRESS(INDEX($P$2:$P$1001,MATCH(ROWS($N$2:N355),$N$2:$N$1001,0),0), INDEX($U$1004:$AC$1004,1,MATCH(COLUMNS($U$1006:U1006),$U$1006:$AC$1006,0)))),"Fix")))</f>
        <v>0</v>
      </c>
      <c r="C355" s="3">
        <f>IF(OR(INDEX($O$2:$O$1001,MATCH(ROWS($N$2:N355),$N$2:$N$1001,0),1)&gt;=100000,INDEX($U$1005:$AC$1005,1,MATCH(COLUMNS($U$1006:V1006),$U$1006:$AC$1006,0))&gt;=100000), " ",IF(INDEX($U$2:$AC$1001,MATCH(ROWS($N$2:N355),$N$2:$N$1001,0),MATCH(COLUMNS($U$1006:V1006),$U$1006:$AC$1006,0)), HYPERLINK("#",""), HYPERLINK(CONCATENATE("#metadata!", ADDRESS(INDEX($P$2:$P$1001,MATCH(ROWS($N$2:N355),$N$2:$N$1001,0),0), INDEX($U$1004:$AC$1004,1,MATCH(COLUMNS($U$1006:V1006),$U$1006:$AC$1006,0)))),"Fix")))</f>
        <v>0</v>
      </c>
      <c r="D355" s="3">
        <f>IF(OR(INDEX($O$2:$O$1001,MATCH(ROWS($N$2:N355),$N$2:$N$1001,0),1)&gt;=100000,INDEX($U$1005:$AC$1005,1,MATCH(COLUMNS($U$1006:W1006),$U$1006:$AC$1006,0))&gt;=100000), " ",IF(INDEX($U$2:$AC$1001,MATCH(ROWS($N$2:N355),$N$2:$N$1001,0),MATCH(COLUMNS($U$1006:W1006),$U$1006:$AC$1006,0)), HYPERLINK("#",""), HYPERLINK(CONCATENATE("#metadata!", ADDRESS(INDEX($P$2:$P$1001,MATCH(ROWS($N$2:N355),$N$2:$N$1001,0),0), INDEX($U$1004:$AC$1004,1,MATCH(COLUMNS($U$1006:W1006),$U$1006:$AC$1006,0)))),"Fix")))</f>
        <v>0</v>
      </c>
      <c r="E355" s="3">
        <f>IF(OR(INDEX($O$2:$O$1001,MATCH(ROWS($N$2:N355),$N$2:$N$1001,0),1)&gt;=100000,INDEX($U$1005:$AC$1005,1,MATCH(COLUMNS($U$1006:X1006),$U$1006:$AC$1006,0))&gt;=100000), " ",IF(INDEX($U$2:$AC$1001,MATCH(ROWS($N$2:N355),$N$2:$N$1001,0),MATCH(COLUMNS($U$1006:X1006),$U$1006:$AC$1006,0)), HYPERLINK("#",""), HYPERLINK(CONCATENATE("#metadata!", ADDRESS(INDEX($P$2:$P$1001,MATCH(ROWS($N$2:N355),$N$2:$N$1001,0),0), INDEX($U$1004:$AC$1004,1,MATCH(COLUMNS($U$1006:X1006),$U$1006:$AC$1006,0)))),"Fix")))</f>
        <v>0</v>
      </c>
      <c r="F355" s="3">
        <f>IF(OR(INDEX($O$2:$O$1001,MATCH(ROWS($N$2:N355),$N$2:$N$1001,0),1)&gt;=100000,INDEX($U$1005:$AC$1005,1,MATCH(COLUMNS($U$1006:Y1006),$U$1006:$AC$1006,0))&gt;=100000), " ",IF(INDEX($U$2:$AC$1001,MATCH(ROWS($N$2:N355),$N$2:$N$1001,0),MATCH(COLUMNS($U$1006:Y1006),$U$1006:$AC$1006,0)), HYPERLINK("#",""), HYPERLINK(CONCATENATE("#metadata!", ADDRESS(INDEX($P$2:$P$1001,MATCH(ROWS($N$2:N355),$N$2:$N$1001,0),0), INDEX($U$1004:$AC$1004,1,MATCH(COLUMNS($U$1006:Y1006),$U$1006:$AC$1006,0)))),"Fix")))</f>
        <v>0</v>
      </c>
      <c r="G355" s="3">
        <f>IF(OR(INDEX($O$2:$O$1001,MATCH(ROWS($N$2:N355),$N$2:$N$1001,0),1)&gt;=100000,INDEX($U$1005:$AC$1005,1,MATCH(COLUMNS($U$1006:Z1006),$U$1006:$AC$1006,0))&gt;=100000), " ",IF(INDEX($U$2:$AC$1001,MATCH(ROWS($N$2:N355),$N$2:$N$1001,0),MATCH(COLUMNS($U$1006:Z1006),$U$1006:$AC$1006,0)), HYPERLINK("#",""), HYPERLINK(CONCATENATE("#metadata!", ADDRESS(INDEX($P$2:$P$1001,MATCH(ROWS($N$2:N355),$N$2:$N$1001,0),0), INDEX($U$1004:$AC$1004,1,MATCH(COLUMNS($U$1006:Z1006),$U$1006:$AC$1006,0)))),"Fix")))</f>
        <v>0</v>
      </c>
      <c r="H355" s="3">
        <f>IF(OR(INDEX($O$2:$O$1001,MATCH(ROWS($N$2:N355),$N$2:$N$1001,0),1)&gt;=100000,INDEX($U$1005:$AC$1005,1,MATCH(COLUMNS($U$1006:AA1006),$U$1006:$AC$1006,0))&gt;=100000), " ",IF(INDEX($U$2:$AC$1001,MATCH(ROWS($N$2:N355),$N$2:$N$1001,0),MATCH(COLUMNS($U$1006:AA1006),$U$1006:$AC$1006,0)), HYPERLINK("#",""), HYPERLINK(CONCATENATE("#metadata!", ADDRESS(INDEX($P$2:$P$1001,MATCH(ROWS($N$2:N355),$N$2:$N$1001,0),0), INDEX($U$1004:$AC$1004,1,MATCH(COLUMNS($U$1006:AA1006),$U$1006:$AC$1006,0)))),"Fix")))</f>
        <v>0</v>
      </c>
      <c r="I355" s="3">
        <f>IF(OR(INDEX($O$2:$O$1001,MATCH(ROWS($N$2:N355),$N$2:$N$1001,0),1)&gt;=100000,INDEX($U$1005:$AC$1005,1,MATCH(COLUMNS($U$1006:AB1006),$U$1006:$AC$1006,0))&gt;=100000), " ",IF(INDEX($U$2:$AC$1001,MATCH(ROWS($N$2:N355),$N$2:$N$1001,0),MATCH(COLUMNS($U$1006:AB1006),$U$1006:$AC$1006,0)), HYPERLINK("#",""), HYPERLINK(CONCATENATE("#metadata!", ADDRESS(INDEX($P$2:$P$1001,MATCH(ROWS($N$2:N355),$N$2:$N$1001,0),0), INDEX($U$1004:$AC$1004,1,MATCH(COLUMNS($U$1006:AB1006),$U$1006:$AC$1006,0)))),"Fix")))</f>
        <v>0</v>
      </c>
      <c r="J355" s="3">
        <f>IF(OR(INDEX($O$2:$O$1001,MATCH(ROWS($N$2:N355),$N$2:$N$1001,0),1)&gt;=100000,INDEX($U$1005:$AC$1005,1,MATCH(COLUMNS($U$1006:AC1006),$U$1006:$AC$1006,0))&gt;=100000), " ",IF(INDEX($U$2:$AC$1001,MATCH(ROWS($N$2:N355),$N$2:$N$1001,0),MATCH(COLUMNS($U$1006:AC1006),$U$1006:$AC$1006,0)), HYPERLINK("#",""), HYPERLINK(CONCATENATE("#metadata!", ADDRESS(INDEX($P$2:$P$1001,MATCH(ROWS($N$2:N355),$N$2:$N$1001,0),0), INDEX($U$1004:$AC$1004,1,MATCH(COLUMNS($U$1006:AC1006),$U$1006:$AC$1006,0)))),"Fix")))</f>
        <v>0</v>
      </c>
      <c r="N355">
        <v>0</v>
      </c>
      <c r="O355">
        <v>0</v>
      </c>
      <c r="P355">
        <v>0</v>
      </c>
      <c r="Q355">
        <f>IF(R355,TRUE,AND(U355:AC355))</f>
        <v>0</v>
      </c>
      <c r="R355">
        <f>COUNTBLANK(metadata!B355:J355)=COLUMNS(metadata!B355:J355)</f>
        <v>0</v>
      </c>
      <c r="S355">
        <v>0</v>
      </c>
      <c r="U355">
        <f>AND(IF(metadata!B355="",FALSE,TRUE),COUNTIF(metadata!B:B, metadata!B355) = 1,NOT(ISERROR(SUMPRODUCT(SEARCH(MID(metadata!B355,ROW(INDIRECT("1:"&amp;LEN(metadata!B355))), 1),"0123456789abcdefghijklmnopqrstuvwxyzABCDEFGHIJKLMNOPQRSTUVWXYZ.")))))</f>
        <v>0</v>
      </c>
      <c r="V355">
        <f>AND(IF(metadata!C355="",FALSE,TRUE),exact(metadata!C355,"UBERON:genitourinary"))</f>
        <v>0</v>
      </c>
      <c r="W355">
        <f>AND(IF(metadata!D355="",FALSE,TRUE),exact(metadata!D355,"UBERON:urine"))</f>
        <v>0</v>
      </c>
      <c r="X355">
        <f>AND(IF(metadata!E355="",FALSE,TRUE),exact(metadata!E355,"UBERON:kidney"))</f>
        <v>0</v>
      </c>
      <c r="Y355">
        <f>AND(IF(metadata!F355="",FALSE,TRUE),exact(metadata!F355,"animal corpus"))</f>
        <v>0</v>
      </c>
      <c r="Z355">
        <f>AND(IF(metadata!G355="",FALSE,TRUE),exact(metadata!G355,"urine"))</f>
        <v>0</v>
      </c>
      <c r="AA355">
        <f>AND(IF(metadata!H355="",FALSE,TRUE),exact(metadata!H355,"urine"))</f>
        <v>0</v>
      </c>
      <c r="AB355">
        <f>AND(IF(metadata!I355="",FALSE,TRUE),exact(metadata!I355,"urine metagenome"))</f>
        <v>0</v>
      </c>
      <c r="AC355">
        <f>AND(IF(metadata!J355="",FALSE,TRUE),exact(metadata!J355,"1346744"))</f>
        <v>0</v>
      </c>
    </row>
    <row r="356" spans="1:29">
      <c r="A356" s="4">
        <f>IF(B356=" "," ",HYPERLINK(CONCATENATE("#metadata!",ADDRESS(INDEX($P$2:$P$1001,MATCH(ROWS($N$2:N356),$N$2:$N$1001,0),0),1)),INDEX($S$2:$S$1001,MATCH(ROWS($N$2:N356),$N$2:$N$1001,0),0)))</f>
        <v>0</v>
      </c>
      <c r="B356" s="3">
        <f>IF(OR(INDEX($O$2:$O$1001,MATCH(ROWS($N$2:N356),$N$2:$N$1001,0),1)&gt;=100000,INDEX($U$1005:$AC$1005,1,MATCH(COLUMNS($U$1006:U1006),$U$1006:$AC$1006,0))&gt;=100000), " ",IF(INDEX($U$2:$AC$1001,MATCH(ROWS($N$2:N356),$N$2:$N$1001,0),MATCH(COLUMNS($U$1006:U1006),$U$1006:$AC$1006,0)), HYPERLINK("#",""), HYPERLINK(CONCATENATE("#metadata!", ADDRESS(INDEX($P$2:$P$1001,MATCH(ROWS($N$2:N356),$N$2:$N$1001,0),0), INDEX($U$1004:$AC$1004,1,MATCH(COLUMNS($U$1006:U1006),$U$1006:$AC$1006,0)))),"Fix")))</f>
        <v>0</v>
      </c>
      <c r="C356" s="3">
        <f>IF(OR(INDEX($O$2:$O$1001,MATCH(ROWS($N$2:N356),$N$2:$N$1001,0),1)&gt;=100000,INDEX($U$1005:$AC$1005,1,MATCH(COLUMNS($U$1006:V1006),$U$1006:$AC$1006,0))&gt;=100000), " ",IF(INDEX($U$2:$AC$1001,MATCH(ROWS($N$2:N356),$N$2:$N$1001,0),MATCH(COLUMNS($U$1006:V1006),$U$1006:$AC$1006,0)), HYPERLINK("#",""), HYPERLINK(CONCATENATE("#metadata!", ADDRESS(INDEX($P$2:$P$1001,MATCH(ROWS($N$2:N356),$N$2:$N$1001,0),0), INDEX($U$1004:$AC$1004,1,MATCH(COLUMNS($U$1006:V1006),$U$1006:$AC$1006,0)))),"Fix")))</f>
        <v>0</v>
      </c>
      <c r="D356" s="3">
        <f>IF(OR(INDEX($O$2:$O$1001,MATCH(ROWS($N$2:N356),$N$2:$N$1001,0),1)&gt;=100000,INDEX($U$1005:$AC$1005,1,MATCH(COLUMNS($U$1006:W1006),$U$1006:$AC$1006,0))&gt;=100000), " ",IF(INDEX($U$2:$AC$1001,MATCH(ROWS($N$2:N356),$N$2:$N$1001,0),MATCH(COLUMNS($U$1006:W1006),$U$1006:$AC$1006,0)), HYPERLINK("#",""), HYPERLINK(CONCATENATE("#metadata!", ADDRESS(INDEX($P$2:$P$1001,MATCH(ROWS($N$2:N356),$N$2:$N$1001,0),0), INDEX($U$1004:$AC$1004,1,MATCH(COLUMNS($U$1006:W1006),$U$1006:$AC$1006,0)))),"Fix")))</f>
        <v>0</v>
      </c>
      <c r="E356" s="3">
        <f>IF(OR(INDEX($O$2:$O$1001,MATCH(ROWS($N$2:N356),$N$2:$N$1001,0),1)&gt;=100000,INDEX($U$1005:$AC$1005,1,MATCH(COLUMNS($U$1006:X1006),$U$1006:$AC$1006,0))&gt;=100000), " ",IF(INDEX($U$2:$AC$1001,MATCH(ROWS($N$2:N356),$N$2:$N$1001,0),MATCH(COLUMNS($U$1006:X1006),$U$1006:$AC$1006,0)), HYPERLINK("#",""), HYPERLINK(CONCATENATE("#metadata!", ADDRESS(INDEX($P$2:$P$1001,MATCH(ROWS($N$2:N356),$N$2:$N$1001,0),0), INDEX($U$1004:$AC$1004,1,MATCH(COLUMNS($U$1006:X1006),$U$1006:$AC$1006,0)))),"Fix")))</f>
        <v>0</v>
      </c>
      <c r="F356" s="3">
        <f>IF(OR(INDEX($O$2:$O$1001,MATCH(ROWS($N$2:N356),$N$2:$N$1001,0),1)&gt;=100000,INDEX($U$1005:$AC$1005,1,MATCH(COLUMNS($U$1006:Y1006),$U$1006:$AC$1006,0))&gt;=100000), " ",IF(INDEX($U$2:$AC$1001,MATCH(ROWS($N$2:N356),$N$2:$N$1001,0),MATCH(COLUMNS($U$1006:Y1006),$U$1006:$AC$1006,0)), HYPERLINK("#",""), HYPERLINK(CONCATENATE("#metadata!", ADDRESS(INDEX($P$2:$P$1001,MATCH(ROWS($N$2:N356),$N$2:$N$1001,0),0), INDEX($U$1004:$AC$1004,1,MATCH(COLUMNS($U$1006:Y1006),$U$1006:$AC$1006,0)))),"Fix")))</f>
        <v>0</v>
      </c>
      <c r="G356" s="3">
        <f>IF(OR(INDEX($O$2:$O$1001,MATCH(ROWS($N$2:N356),$N$2:$N$1001,0),1)&gt;=100000,INDEX($U$1005:$AC$1005,1,MATCH(COLUMNS($U$1006:Z1006),$U$1006:$AC$1006,0))&gt;=100000), " ",IF(INDEX($U$2:$AC$1001,MATCH(ROWS($N$2:N356),$N$2:$N$1001,0),MATCH(COLUMNS($U$1006:Z1006),$U$1006:$AC$1006,0)), HYPERLINK("#",""), HYPERLINK(CONCATENATE("#metadata!", ADDRESS(INDEX($P$2:$P$1001,MATCH(ROWS($N$2:N356),$N$2:$N$1001,0),0), INDEX($U$1004:$AC$1004,1,MATCH(COLUMNS($U$1006:Z1006),$U$1006:$AC$1006,0)))),"Fix")))</f>
        <v>0</v>
      </c>
      <c r="H356" s="3">
        <f>IF(OR(INDEX($O$2:$O$1001,MATCH(ROWS($N$2:N356),$N$2:$N$1001,0),1)&gt;=100000,INDEX($U$1005:$AC$1005,1,MATCH(COLUMNS($U$1006:AA1006),$U$1006:$AC$1006,0))&gt;=100000), " ",IF(INDEX($U$2:$AC$1001,MATCH(ROWS($N$2:N356),$N$2:$N$1001,0),MATCH(COLUMNS($U$1006:AA1006),$U$1006:$AC$1006,0)), HYPERLINK("#",""), HYPERLINK(CONCATENATE("#metadata!", ADDRESS(INDEX($P$2:$P$1001,MATCH(ROWS($N$2:N356),$N$2:$N$1001,0),0), INDEX($U$1004:$AC$1004,1,MATCH(COLUMNS($U$1006:AA1006),$U$1006:$AC$1006,0)))),"Fix")))</f>
        <v>0</v>
      </c>
      <c r="I356" s="3">
        <f>IF(OR(INDEX($O$2:$O$1001,MATCH(ROWS($N$2:N356),$N$2:$N$1001,0),1)&gt;=100000,INDEX($U$1005:$AC$1005,1,MATCH(COLUMNS($U$1006:AB1006),$U$1006:$AC$1006,0))&gt;=100000), " ",IF(INDEX($U$2:$AC$1001,MATCH(ROWS($N$2:N356),$N$2:$N$1001,0),MATCH(COLUMNS($U$1006:AB1006),$U$1006:$AC$1006,0)), HYPERLINK("#",""), HYPERLINK(CONCATENATE("#metadata!", ADDRESS(INDEX($P$2:$P$1001,MATCH(ROWS($N$2:N356),$N$2:$N$1001,0),0), INDEX($U$1004:$AC$1004,1,MATCH(COLUMNS($U$1006:AB1006),$U$1006:$AC$1006,0)))),"Fix")))</f>
        <v>0</v>
      </c>
      <c r="J356" s="3">
        <f>IF(OR(INDEX($O$2:$O$1001,MATCH(ROWS($N$2:N356),$N$2:$N$1001,0),1)&gt;=100000,INDEX($U$1005:$AC$1005,1,MATCH(COLUMNS($U$1006:AC1006),$U$1006:$AC$1006,0))&gt;=100000), " ",IF(INDEX($U$2:$AC$1001,MATCH(ROWS($N$2:N356),$N$2:$N$1001,0),MATCH(COLUMNS($U$1006:AC1006),$U$1006:$AC$1006,0)), HYPERLINK("#",""), HYPERLINK(CONCATENATE("#metadata!", ADDRESS(INDEX($P$2:$P$1001,MATCH(ROWS($N$2:N356),$N$2:$N$1001,0),0), INDEX($U$1004:$AC$1004,1,MATCH(COLUMNS($U$1006:AC1006),$U$1006:$AC$1006,0)))),"Fix")))</f>
        <v>0</v>
      </c>
      <c r="N356">
        <v>0</v>
      </c>
      <c r="O356">
        <v>0</v>
      </c>
      <c r="P356">
        <v>0</v>
      </c>
      <c r="Q356">
        <f>IF(R356,TRUE,AND(U356:AC356))</f>
        <v>0</v>
      </c>
      <c r="R356">
        <f>COUNTBLANK(metadata!B356:J356)=COLUMNS(metadata!B356:J356)</f>
        <v>0</v>
      </c>
      <c r="S356">
        <v>0</v>
      </c>
      <c r="U356">
        <f>AND(IF(metadata!B356="",FALSE,TRUE),COUNTIF(metadata!B:B, metadata!B356) = 1,NOT(ISERROR(SUMPRODUCT(SEARCH(MID(metadata!B356,ROW(INDIRECT("1:"&amp;LEN(metadata!B356))), 1),"0123456789abcdefghijklmnopqrstuvwxyzABCDEFGHIJKLMNOPQRSTUVWXYZ.")))))</f>
        <v>0</v>
      </c>
      <c r="V356">
        <f>AND(IF(metadata!C356="",FALSE,TRUE),exact(metadata!C356,"UBERON:genitourinary"))</f>
        <v>0</v>
      </c>
      <c r="W356">
        <f>AND(IF(metadata!D356="",FALSE,TRUE),exact(metadata!D356,"UBERON:urine"))</f>
        <v>0</v>
      </c>
      <c r="X356">
        <f>AND(IF(metadata!E356="",FALSE,TRUE),exact(metadata!E356,"UBERON:kidney"))</f>
        <v>0</v>
      </c>
      <c r="Y356">
        <f>AND(IF(metadata!F356="",FALSE,TRUE),exact(metadata!F356,"animal corpus"))</f>
        <v>0</v>
      </c>
      <c r="Z356">
        <f>AND(IF(metadata!G356="",FALSE,TRUE),exact(metadata!G356,"urine"))</f>
        <v>0</v>
      </c>
      <c r="AA356">
        <f>AND(IF(metadata!H356="",FALSE,TRUE),exact(metadata!H356,"urine"))</f>
        <v>0</v>
      </c>
      <c r="AB356">
        <f>AND(IF(metadata!I356="",FALSE,TRUE),exact(metadata!I356,"urine metagenome"))</f>
        <v>0</v>
      </c>
      <c r="AC356">
        <f>AND(IF(metadata!J356="",FALSE,TRUE),exact(metadata!J356,"1346744"))</f>
        <v>0</v>
      </c>
    </row>
    <row r="357" spans="1:29">
      <c r="A357" s="4">
        <f>IF(B357=" "," ",HYPERLINK(CONCATENATE("#metadata!",ADDRESS(INDEX($P$2:$P$1001,MATCH(ROWS($N$2:N357),$N$2:$N$1001,0),0),1)),INDEX($S$2:$S$1001,MATCH(ROWS($N$2:N357),$N$2:$N$1001,0),0)))</f>
        <v>0</v>
      </c>
      <c r="B357" s="3">
        <f>IF(OR(INDEX($O$2:$O$1001,MATCH(ROWS($N$2:N357),$N$2:$N$1001,0),1)&gt;=100000,INDEX($U$1005:$AC$1005,1,MATCH(COLUMNS($U$1006:U1006),$U$1006:$AC$1006,0))&gt;=100000), " ",IF(INDEX($U$2:$AC$1001,MATCH(ROWS($N$2:N357),$N$2:$N$1001,0),MATCH(COLUMNS($U$1006:U1006),$U$1006:$AC$1006,0)), HYPERLINK("#",""), HYPERLINK(CONCATENATE("#metadata!", ADDRESS(INDEX($P$2:$P$1001,MATCH(ROWS($N$2:N357),$N$2:$N$1001,0),0), INDEX($U$1004:$AC$1004,1,MATCH(COLUMNS($U$1006:U1006),$U$1006:$AC$1006,0)))),"Fix")))</f>
        <v>0</v>
      </c>
      <c r="C357" s="3">
        <f>IF(OR(INDEX($O$2:$O$1001,MATCH(ROWS($N$2:N357),$N$2:$N$1001,0),1)&gt;=100000,INDEX($U$1005:$AC$1005,1,MATCH(COLUMNS($U$1006:V1006),$U$1006:$AC$1006,0))&gt;=100000), " ",IF(INDEX($U$2:$AC$1001,MATCH(ROWS($N$2:N357),$N$2:$N$1001,0),MATCH(COLUMNS($U$1006:V1006),$U$1006:$AC$1006,0)), HYPERLINK("#",""), HYPERLINK(CONCATENATE("#metadata!", ADDRESS(INDEX($P$2:$P$1001,MATCH(ROWS($N$2:N357),$N$2:$N$1001,0),0), INDEX($U$1004:$AC$1004,1,MATCH(COLUMNS($U$1006:V1006),$U$1006:$AC$1006,0)))),"Fix")))</f>
        <v>0</v>
      </c>
      <c r="D357" s="3">
        <f>IF(OR(INDEX($O$2:$O$1001,MATCH(ROWS($N$2:N357),$N$2:$N$1001,0),1)&gt;=100000,INDEX($U$1005:$AC$1005,1,MATCH(COLUMNS($U$1006:W1006),$U$1006:$AC$1006,0))&gt;=100000), " ",IF(INDEX($U$2:$AC$1001,MATCH(ROWS($N$2:N357),$N$2:$N$1001,0),MATCH(COLUMNS($U$1006:W1006),$U$1006:$AC$1006,0)), HYPERLINK("#",""), HYPERLINK(CONCATENATE("#metadata!", ADDRESS(INDEX($P$2:$P$1001,MATCH(ROWS($N$2:N357),$N$2:$N$1001,0),0), INDEX($U$1004:$AC$1004,1,MATCH(COLUMNS($U$1006:W1006),$U$1006:$AC$1006,0)))),"Fix")))</f>
        <v>0</v>
      </c>
      <c r="E357" s="3">
        <f>IF(OR(INDEX($O$2:$O$1001,MATCH(ROWS($N$2:N357),$N$2:$N$1001,0),1)&gt;=100000,INDEX($U$1005:$AC$1005,1,MATCH(COLUMNS($U$1006:X1006),$U$1006:$AC$1006,0))&gt;=100000), " ",IF(INDEX($U$2:$AC$1001,MATCH(ROWS($N$2:N357),$N$2:$N$1001,0),MATCH(COLUMNS($U$1006:X1006),$U$1006:$AC$1006,0)), HYPERLINK("#",""), HYPERLINK(CONCATENATE("#metadata!", ADDRESS(INDEX($P$2:$P$1001,MATCH(ROWS($N$2:N357),$N$2:$N$1001,0),0), INDEX($U$1004:$AC$1004,1,MATCH(COLUMNS($U$1006:X1006),$U$1006:$AC$1006,0)))),"Fix")))</f>
        <v>0</v>
      </c>
      <c r="F357" s="3">
        <f>IF(OR(INDEX($O$2:$O$1001,MATCH(ROWS($N$2:N357),$N$2:$N$1001,0),1)&gt;=100000,INDEX($U$1005:$AC$1005,1,MATCH(COLUMNS($U$1006:Y1006),$U$1006:$AC$1006,0))&gt;=100000), " ",IF(INDEX($U$2:$AC$1001,MATCH(ROWS($N$2:N357),$N$2:$N$1001,0),MATCH(COLUMNS($U$1006:Y1006),$U$1006:$AC$1006,0)), HYPERLINK("#",""), HYPERLINK(CONCATENATE("#metadata!", ADDRESS(INDEX($P$2:$P$1001,MATCH(ROWS($N$2:N357),$N$2:$N$1001,0),0), INDEX($U$1004:$AC$1004,1,MATCH(COLUMNS($U$1006:Y1006),$U$1006:$AC$1006,0)))),"Fix")))</f>
        <v>0</v>
      </c>
      <c r="G357" s="3">
        <f>IF(OR(INDEX($O$2:$O$1001,MATCH(ROWS($N$2:N357),$N$2:$N$1001,0),1)&gt;=100000,INDEX($U$1005:$AC$1005,1,MATCH(COLUMNS($U$1006:Z1006),$U$1006:$AC$1006,0))&gt;=100000), " ",IF(INDEX($U$2:$AC$1001,MATCH(ROWS($N$2:N357),$N$2:$N$1001,0),MATCH(COLUMNS($U$1006:Z1006),$U$1006:$AC$1006,0)), HYPERLINK("#",""), HYPERLINK(CONCATENATE("#metadata!", ADDRESS(INDEX($P$2:$P$1001,MATCH(ROWS($N$2:N357),$N$2:$N$1001,0),0), INDEX($U$1004:$AC$1004,1,MATCH(COLUMNS($U$1006:Z1006),$U$1006:$AC$1006,0)))),"Fix")))</f>
        <v>0</v>
      </c>
      <c r="H357" s="3">
        <f>IF(OR(INDEX($O$2:$O$1001,MATCH(ROWS($N$2:N357),$N$2:$N$1001,0),1)&gt;=100000,INDEX($U$1005:$AC$1005,1,MATCH(COLUMNS($U$1006:AA1006),$U$1006:$AC$1006,0))&gt;=100000), " ",IF(INDEX($U$2:$AC$1001,MATCH(ROWS($N$2:N357),$N$2:$N$1001,0),MATCH(COLUMNS($U$1006:AA1006),$U$1006:$AC$1006,0)), HYPERLINK("#",""), HYPERLINK(CONCATENATE("#metadata!", ADDRESS(INDEX($P$2:$P$1001,MATCH(ROWS($N$2:N357),$N$2:$N$1001,0),0), INDEX($U$1004:$AC$1004,1,MATCH(COLUMNS($U$1006:AA1006),$U$1006:$AC$1006,0)))),"Fix")))</f>
        <v>0</v>
      </c>
      <c r="I357" s="3">
        <f>IF(OR(INDEX($O$2:$O$1001,MATCH(ROWS($N$2:N357),$N$2:$N$1001,0),1)&gt;=100000,INDEX($U$1005:$AC$1005,1,MATCH(COLUMNS($U$1006:AB1006),$U$1006:$AC$1006,0))&gt;=100000), " ",IF(INDEX($U$2:$AC$1001,MATCH(ROWS($N$2:N357),$N$2:$N$1001,0),MATCH(COLUMNS($U$1006:AB1006),$U$1006:$AC$1006,0)), HYPERLINK("#",""), HYPERLINK(CONCATENATE("#metadata!", ADDRESS(INDEX($P$2:$P$1001,MATCH(ROWS($N$2:N357),$N$2:$N$1001,0),0), INDEX($U$1004:$AC$1004,1,MATCH(COLUMNS($U$1006:AB1006),$U$1006:$AC$1006,0)))),"Fix")))</f>
        <v>0</v>
      </c>
      <c r="J357" s="3">
        <f>IF(OR(INDEX($O$2:$O$1001,MATCH(ROWS($N$2:N357),$N$2:$N$1001,0),1)&gt;=100000,INDEX($U$1005:$AC$1005,1,MATCH(COLUMNS($U$1006:AC1006),$U$1006:$AC$1006,0))&gt;=100000), " ",IF(INDEX($U$2:$AC$1001,MATCH(ROWS($N$2:N357),$N$2:$N$1001,0),MATCH(COLUMNS($U$1006:AC1006),$U$1006:$AC$1006,0)), HYPERLINK("#",""), HYPERLINK(CONCATENATE("#metadata!", ADDRESS(INDEX($P$2:$P$1001,MATCH(ROWS($N$2:N357),$N$2:$N$1001,0),0), INDEX($U$1004:$AC$1004,1,MATCH(COLUMNS($U$1006:AC1006),$U$1006:$AC$1006,0)))),"Fix")))</f>
        <v>0</v>
      </c>
      <c r="N357">
        <v>0</v>
      </c>
      <c r="O357">
        <v>0</v>
      </c>
      <c r="P357">
        <v>0</v>
      </c>
      <c r="Q357">
        <f>IF(R357,TRUE,AND(U357:AC357))</f>
        <v>0</v>
      </c>
      <c r="R357">
        <f>COUNTBLANK(metadata!B357:J357)=COLUMNS(metadata!B357:J357)</f>
        <v>0</v>
      </c>
      <c r="S357">
        <v>0</v>
      </c>
      <c r="U357">
        <f>AND(IF(metadata!B357="",FALSE,TRUE),COUNTIF(metadata!B:B, metadata!B357) = 1,NOT(ISERROR(SUMPRODUCT(SEARCH(MID(metadata!B357,ROW(INDIRECT("1:"&amp;LEN(metadata!B357))), 1),"0123456789abcdefghijklmnopqrstuvwxyzABCDEFGHIJKLMNOPQRSTUVWXYZ.")))))</f>
        <v>0</v>
      </c>
      <c r="V357">
        <f>AND(IF(metadata!C357="",FALSE,TRUE),exact(metadata!C357,"UBERON:genitourinary"))</f>
        <v>0</v>
      </c>
      <c r="W357">
        <f>AND(IF(metadata!D357="",FALSE,TRUE),exact(metadata!D357,"UBERON:urine"))</f>
        <v>0</v>
      </c>
      <c r="X357">
        <f>AND(IF(metadata!E357="",FALSE,TRUE),exact(metadata!E357,"UBERON:kidney"))</f>
        <v>0</v>
      </c>
      <c r="Y357">
        <f>AND(IF(metadata!F357="",FALSE,TRUE),exact(metadata!F357,"animal corpus"))</f>
        <v>0</v>
      </c>
      <c r="Z357">
        <f>AND(IF(metadata!G357="",FALSE,TRUE),exact(metadata!G357,"urine"))</f>
        <v>0</v>
      </c>
      <c r="AA357">
        <f>AND(IF(metadata!H357="",FALSE,TRUE),exact(metadata!H357,"urine"))</f>
        <v>0</v>
      </c>
      <c r="AB357">
        <f>AND(IF(metadata!I357="",FALSE,TRUE),exact(metadata!I357,"urine metagenome"))</f>
        <v>0</v>
      </c>
      <c r="AC357">
        <f>AND(IF(metadata!J357="",FALSE,TRUE),exact(metadata!J357,"1346744"))</f>
        <v>0</v>
      </c>
    </row>
    <row r="358" spans="1:29">
      <c r="A358" s="4">
        <f>IF(B358=" "," ",HYPERLINK(CONCATENATE("#metadata!",ADDRESS(INDEX($P$2:$P$1001,MATCH(ROWS($N$2:N358),$N$2:$N$1001,0),0),1)),INDEX($S$2:$S$1001,MATCH(ROWS($N$2:N358),$N$2:$N$1001,0),0)))</f>
        <v>0</v>
      </c>
      <c r="B358" s="3">
        <f>IF(OR(INDEX($O$2:$O$1001,MATCH(ROWS($N$2:N358),$N$2:$N$1001,0),1)&gt;=100000,INDEX($U$1005:$AC$1005,1,MATCH(COLUMNS($U$1006:U1006),$U$1006:$AC$1006,0))&gt;=100000), " ",IF(INDEX($U$2:$AC$1001,MATCH(ROWS($N$2:N358),$N$2:$N$1001,0),MATCH(COLUMNS($U$1006:U1006),$U$1006:$AC$1006,0)), HYPERLINK("#",""), HYPERLINK(CONCATENATE("#metadata!", ADDRESS(INDEX($P$2:$P$1001,MATCH(ROWS($N$2:N358),$N$2:$N$1001,0),0), INDEX($U$1004:$AC$1004,1,MATCH(COLUMNS($U$1006:U1006),$U$1006:$AC$1006,0)))),"Fix")))</f>
        <v>0</v>
      </c>
      <c r="C358" s="3">
        <f>IF(OR(INDEX($O$2:$O$1001,MATCH(ROWS($N$2:N358),$N$2:$N$1001,0),1)&gt;=100000,INDEX($U$1005:$AC$1005,1,MATCH(COLUMNS($U$1006:V1006),$U$1006:$AC$1006,0))&gt;=100000), " ",IF(INDEX($U$2:$AC$1001,MATCH(ROWS($N$2:N358),$N$2:$N$1001,0),MATCH(COLUMNS($U$1006:V1006),$U$1006:$AC$1006,0)), HYPERLINK("#",""), HYPERLINK(CONCATENATE("#metadata!", ADDRESS(INDEX($P$2:$P$1001,MATCH(ROWS($N$2:N358),$N$2:$N$1001,0),0), INDEX($U$1004:$AC$1004,1,MATCH(COLUMNS($U$1006:V1006),$U$1006:$AC$1006,0)))),"Fix")))</f>
        <v>0</v>
      </c>
      <c r="D358" s="3">
        <f>IF(OR(INDEX($O$2:$O$1001,MATCH(ROWS($N$2:N358),$N$2:$N$1001,0),1)&gt;=100000,INDEX($U$1005:$AC$1005,1,MATCH(COLUMNS($U$1006:W1006),$U$1006:$AC$1006,0))&gt;=100000), " ",IF(INDEX($U$2:$AC$1001,MATCH(ROWS($N$2:N358),$N$2:$N$1001,0),MATCH(COLUMNS($U$1006:W1006),$U$1006:$AC$1006,0)), HYPERLINK("#",""), HYPERLINK(CONCATENATE("#metadata!", ADDRESS(INDEX($P$2:$P$1001,MATCH(ROWS($N$2:N358),$N$2:$N$1001,0),0), INDEX($U$1004:$AC$1004,1,MATCH(COLUMNS($U$1006:W1006),$U$1006:$AC$1006,0)))),"Fix")))</f>
        <v>0</v>
      </c>
      <c r="E358" s="3">
        <f>IF(OR(INDEX($O$2:$O$1001,MATCH(ROWS($N$2:N358),$N$2:$N$1001,0),1)&gt;=100000,INDEX($U$1005:$AC$1005,1,MATCH(COLUMNS($U$1006:X1006),$U$1006:$AC$1006,0))&gt;=100000), " ",IF(INDEX($U$2:$AC$1001,MATCH(ROWS($N$2:N358),$N$2:$N$1001,0),MATCH(COLUMNS($U$1006:X1006),$U$1006:$AC$1006,0)), HYPERLINK("#",""), HYPERLINK(CONCATENATE("#metadata!", ADDRESS(INDEX($P$2:$P$1001,MATCH(ROWS($N$2:N358),$N$2:$N$1001,0),0), INDEX($U$1004:$AC$1004,1,MATCH(COLUMNS($U$1006:X1006),$U$1006:$AC$1006,0)))),"Fix")))</f>
        <v>0</v>
      </c>
      <c r="F358" s="3">
        <f>IF(OR(INDEX($O$2:$O$1001,MATCH(ROWS($N$2:N358),$N$2:$N$1001,0),1)&gt;=100000,INDEX($U$1005:$AC$1005,1,MATCH(COLUMNS($U$1006:Y1006),$U$1006:$AC$1006,0))&gt;=100000), " ",IF(INDEX($U$2:$AC$1001,MATCH(ROWS($N$2:N358),$N$2:$N$1001,0),MATCH(COLUMNS($U$1006:Y1006),$U$1006:$AC$1006,0)), HYPERLINK("#",""), HYPERLINK(CONCATENATE("#metadata!", ADDRESS(INDEX($P$2:$P$1001,MATCH(ROWS($N$2:N358),$N$2:$N$1001,0),0), INDEX($U$1004:$AC$1004,1,MATCH(COLUMNS($U$1006:Y1006),$U$1006:$AC$1006,0)))),"Fix")))</f>
        <v>0</v>
      </c>
      <c r="G358" s="3">
        <f>IF(OR(INDEX($O$2:$O$1001,MATCH(ROWS($N$2:N358),$N$2:$N$1001,0),1)&gt;=100000,INDEX($U$1005:$AC$1005,1,MATCH(COLUMNS($U$1006:Z1006),$U$1006:$AC$1006,0))&gt;=100000), " ",IF(INDEX($U$2:$AC$1001,MATCH(ROWS($N$2:N358),$N$2:$N$1001,0),MATCH(COLUMNS($U$1006:Z1006),$U$1006:$AC$1006,0)), HYPERLINK("#",""), HYPERLINK(CONCATENATE("#metadata!", ADDRESS(INDEX($P$2:$P$1001,MATCH(ROWS($N$2:N358),$N$2:$N$1001,0),0), INDEX($U$1004:$AC$1004,1,MATCH(COLUMNS($U$1006:Z1006),$U$1006:$AC$1006,0)))),"Fix")))</f>
        <v>0</v>
      </c>
      <c r="H358" s="3">
        <f>IF(OR(INDEX($O$2:$O$1001,MATCH(ROWS($N$2:N358),$N$2:$N$1001,0),1)&gt;=100000,INDEX($U$1005:$AC$1005,1,MATCH(COLUMNS($U$1006:AA1006),$U$1006:$AC$1006,0))&gt;=100000), " ",IF(INDEX($U$2:$AC$1001,MATCH(ROWS($N$2:N358),$N$2:$N$1001,0),MATCH(COLUMNS($U$1006:AA1006),$U$1006:$AC$1006,0)), HYPERLINK("#",""), HYPERLINK(CONCATENATE("#metadata!", ADDRESS(INDEX($P$2:$P$1001,MATCH(ROWS($N$2:N358),$N$2:$N$1001,0),0), INDEX($U$1004:$AC$1004,1,MATCH(COLUMNS($U$1006:AA1006),$U$1006:$AC$1006,0)))),"Fix")))</f>
        <v>0</v>
      </c>
      <c r="I358" s="3">
        <f>IF(OR(INDEX($O$2:$O$1001,MATCH(ROWS($N$2:N358),$N$2:$N$1001,0),1)&gt;=100000,INDEX($U$1005:$AC$1005,1,MATCH(COLUMNS($U$1006:AB1006),$U$1006:$AC$1006,0))&gt;=100000), " ",IF(INDEX($U$2:$AC$1001,MATCH(ROWS($N$2:N358),$N$2:$N$1001,0),MATCH(COLUMNS($U$1006:AB1006),$U$1006:$AC$1006,0)), HYPERLINK("#",""), HYPERLINK(CONCATENATE("#metadata!", ADDRESS(INDEX($P$2:$P$1001,MATCH(ROWS($N$2:N358),$N$2:$N$1001,0),0), INDEX($U$1004:$AC$1004,1,MATCH(COLUMNS($U$1006:AB1006),$U$1006:$AC$1006,0)))),"Fix")))</f>
        <v>0</v>
      </c>
      <c r="J358" s="3">
        <f>IF(OR(INDEX($O$2:$O$1001,MATCH(ROWS($N$2:N358),$N$2:$N$1001,0),1)&gt;=100000,INDEX($U$1005:$AC$1005,1,MATCH(COLUMNS($U$1006:AC1006),$U$1006:$AC$1006,0))&gt;=100000), " ",IF(INDEX($U$2:$AC$1001,MATCH(ROWS($N$2:N358),$N$2:$N$1001,0),MATCH(COLUMNS($U$1006:AC1006),$U$1006:$AC$1006,0)), HYPERLINK("#",""), HYPERLINK(CONCATENATE("#metadata!", ADDRESS(INDEX($P$2:$P$1001,MATCH(ROWS($N$2:N358),$N$2:$N$1001,0),0), INDEX($U$1004:$AC$1004,1,MATCH(COLUMNS($U$1006:AC1006),$U$1006:$AC$1006,0)))),"Fix")))</f>
        <v>0</v>
      </c>
      <c r="N358">
        <v>0</v>
      </c>
      <c r="O358">
        <v>0</v>
      </c>
      <c r="P358">
        <v>0</v>
      </c>
      <c r="Q358">
        <f>IF(R358,TRUE,AND(U358:AC358))</f>
        <v>0</v>
      </c>
      <c r="R358">
        <f>COUNTBLANK(metadata!B358:J358)=COLUMNS(metadata!B358:J358)</f>
        <v>0</v>
      </c>
      <c r="S358">
        <v>0</v>
      </c>
      <c r="U358">
        <f>AND(IF(metadata!B358="",FALSE,TRUE),COUNTIF(metadata!B:B, metadata!B358) = 1,NOT(ISERROR(SUMPRODUCT(SEARCH(MID(metadata!B358,ROW(INDIRECT("1:"&amp;LEN(metadata!B358))), 1),"0123456789abcdefghijklmnopqrstuvwxyzABCDEFGHIJKLMNOPQRSTUVWXYZ.")))))</f>
        <v>0</v>
      </c>
      <c r="V358">
        <f>AND(IF(metadata!C358="",FALSE,TRUE),exact(metadata!C358,"UBERON:genitourinary"))</f>
        <v>0</v>
      </c>
      <c r="W358">
        <f>AND(IF(metadata!D358="",FALSE,TRUE),exact(metadata!D358,"UBERON:urine"))</f>
        <v>0</v>
      </c>
      <c r="X358">
        <f>AND(IF(metadata!E358="",FALSE,TRUE),exact(metadata!E358,"UBERON:kidney"))</f>
        <v>0</v>
      </c>
      <c r="Y358">
        <f>AND(IF(metadata!F358="",FALSE,TRUE),exact(metadata!F358,"animal corpus"))</f>
        <v>0</v>
      </c>
      <c r="Z358">
        <f>AND(IF(metadata!G358="",FALSE,TRUE),exact(metadata!G358,"urine"))</f>
        <v>0</v>
      </c>
      <c r="AA358">
        <f>AND(IF(metadata!H358="",FALSE,TRUE),exact(metadata!H358,"urine"))</f>
        <v>0</v>
      </c>
      <c r="AB358">
        <f>AND(IF(metadata!I358="",FALSE,TRUE),exact(metadata!I358,"urine metagenome"))</f>
        <v>0</v>
      </c>
      <c r="AC358">
        <f>AND(IF(metadata!J358="",FALSE,TRUE),exact(metadata!J358,"1346744"))</f>
        <v>0</v>
      </c>
    </row>
    <row r="359" spans="1:29">
      <c r="A359" s="4">
        <f>IF(B359=" "," ",HYPERLINK(CONCATENATE("#metadata!",ADDRESS(INDEX($P$2:$P$1001,MATCH(ROWS($N$2:N359),$N$2:$N$1001,0),0),1)),INDEX($S$2:$S$1001,MATCH(ROWS($N$2:N359),$N$2:$N$1001,0),0)))</f>
        <v>0</v>
      </c>
      <c r="B359" s="3">
        <f>IF(OR(INDEX($O$2:$O$1001,MATCH(ROWS($N$2:N359),$N$2:$N$1001,0),1)&gt;=100000,INDEX($U$1005:$AC$1005,1,MATCH(COLUMNS($U$1006:U1006),$U$1006:$AC$1006,0))&gt;=100000), " ",IF(INDEX($U$2:$AC$1001,MATCH(ROWS($N$2:N359),$N$2:$N$1001,0),MATCH(COLUMNS($U$1006:U1006),$U$1006:$AC$1006,0)), HYPERLINK("#",""), HYPERLINK(CONCATENATE("#metadata!", ADDRESS(INDEX($P$2:$P$1001,MATCH(ROWS($N$2:N359),$N$2:$N$1001,0),0), INDEX($U$1004:$AC$1004,1,MATCH(COLUMNS($U$1006:U1006),$U$1006:$AC$1006,0)))),"Fix")))</f>
        <v>0</v>
      </c>
      <c r="C359" s="3">
        <f>IF(OR(INDEX($O$2:$O$1001,MATCH(ROWS($N$2:N359),$N$2:$N$1001,0),1)&gt;=100000,INDEX($U$1005:$AC$1005,1,MATCH(COLUMNS($U$1006:V1006),$U$1006:$AC$1006,0))&gt;=100000), " ",IF(INDEX($U$2:$AC$1001,MATCH(ROWS($N$2:N359),$N$2:$N$1001,0),MATCH(COLUMNS($U$1006:V1006),$U$1006:$AC$1006,0)), HYPERLINK("#",""), HYPERLINK(CONCATENATE("#metadata!", ADDRESS(INDEX($P$2:$P$1001,MATCH(ROWS($N$2:N359),$N$2:$N$1001,0),0), INDEX($U$1004:$AC$1004,1,MATCH(COLUMNS($U$1006:V1006),$U$1006:$AC$1006,0)))),"Fix")))</f>
        <v>0</v>
      </c>
      <c r="D359" s="3">
        <f>IF(OR(INDEX($O$2:$O$1001,MATCH(ROWS($N$2:N359),$N$2:$N$1001,0),1)&gt;=100000,INDEX($U$1005:$AC$1005,1,MATCH(COLUMNS($U$1006:W1006),$U$1006:$AC$1006,0))&gt;=100000), " ",IF(INDEX($U$2:$AC$1001,MATCH(ROWS($N$2:N359),$N$2:$N$1001,0),MATCH(COLUMNS($U$1006:W1006),$U$1006:$AC$1006,0)), HYPERLINK("#",""), HYPERLINK(CONCATENATE("#metadata!", ADDRESS(INDEX($P$2:$P$1001,MATCH(ROWS($N$2:N359),$N$2:$N$1001,0),0), INDEX($U$1004:$AC$1004,1,MATCH(COLUMNS($U$1006:W1006),$U$1006:$AC$1006,0)))),"Fix")))</f>
        <v>0</v>
      </c>
      <c r="E359" s="3">
        <f>IF(OR(INDEX($O$2:$O$1001,MATCH(ROWS($N$2:N359),$N$2:$N$1001,0),1)&gt;=100000,INDEX($U$1005:$AC$1005,1,MATCH(COLUMNS($U$1006:X1006),$U$1006:$AC$1006,0))&gt;=100000), " ",IF(INDEX($U$2:$AC$1001,MATCH(ROWS($N$2:N359),$N$2:$N$1001,0),MATCH(COLUMNS($U$1006:X1006),$U$1006:$AC$1006,0)), HYPERLINK("#",""), HYPERLINK(CONCATENATE("#metadata!", ADDRESS(INDEX($P$2:$P$1001,MATCH(ROWS($N$2:N359),$N$2:$N$1001,0),0), INDEX($U$1004:$AC$1004,1,MATCH(COLUMNS($U$1006:X1006),$U$1006:$AC$1006,0)))),"Fix")))</f>
        <v>0</v>
      </c>
      <c r="F359" s="3">
        <f>IF(OR(INDEX($O$2:$O$1001,MATCH(ROWS($N$2:N359),$N$2:$N$1001,0),1)&gt;=100000,INDEX($U$1005:$AC$1005,1,MATCH(COLUMNS($U$1006:Y1006),$U$1006:$AC$1006,0))&gt;=100000), " ",IF(INDEX($U$2:$AC$1001,MATCH(ROWS($N$2:N359),$N$2:$N$1001,0),MATCH(COLUMNS($U$1006:Y1006),$U$1006:$AC$1006,0)), HYPERLINK("#",""), HYPERLINK(CONCATENATE("#metadata!", ADDRESS(INDEX($P$2:$P$1001,MATCH(ROWS($N$2:N359),$N$2:$N$1001,0),0), INDEX($U$1004:$AC$1004,1,MATCH(COLUMNS($U$1006:Y1006),$U$1006:$AC$1006,0)))),"Fix")))</f>
        <v>0</v>
      </c>
      <c r="G359" s="3">
        <f>IF(OR(INDEX($O$2:$O$1001,MATCH(ROWS($N$2:N359),$N$2:$N$1001,0),1)&gt;=100000,INDEX($U$1005:$AC$1005,1,MATCH(COLUMNS($U$1006:Z1006),$U$1006:$AC$1006,0))&gt;=100000), " ",IF(INDEX($U$2:$AC$1001,MATCH(ROWS($N$2:N359),$N$2:$N$1001,0),MATCH(COLUMNS($U$1006:Z1006),$U$1006:$AC$1006,0)), HYPERLINK("#",""), HYPERLINK(CONCATENATE("#metadata!", ADDRESS(INDEX($P$2:$P$1001,MATCH(ROWS($N$2:N359),$N$2:$N$1001,0),0), INDEX($U$1004:$AC$1004,1,MATCH(COLUMNS($U$1006:Z1006),$U$1006:$AC$1006,0)))),"Fix")))</f>
        <v>0</v>
      </c>
      <c r="H359" s="3">
        <f>IF(OR(INDEX($O$2:$O$1001,MATCH(ROWS($N$2:N359),$N$2:$N$1001,0),1)&gt;=100000,INDEX($U$1005:$AC$1005,1,MATCH(COLUMNS($U$1006:AA1006),$U$1006:$AC$1006,0))&gt;=100000), " ",IF(INDEX($U$2:$AC$1001,MATCH(ROWS($N$2:N359),$N$2:$N$1001,0),MATCH(COLUMNS($U$1006:AA1006),$U$1006:$AC$1006,0)), HYPERLINK("#",""), HYPERLINK(CONCATENATE("#metadata!", ADDRESS(INDEX($P$2:$P$1001,MATCH(ROWS($N$2:N359),$N$2:$N$1001,0),0), INDEX($U$1004:$AC$1004,1,MATCH(COLUMNS($U$1006:AA1006),$U$1006:$AC$1006,0)))),"Fix")))</f>
        <v>0</v>
      </c>
      <c r="I359" s="3">
        <f>IF(OR(INDEX($O$2:$O$1001,MATCH(ROWS($N$2:N359),$N$2:$N$1001,0),1)&gt;=100000,INDEX($U$1005:$AC$1005,1,MATCH(COLUMNS($U$1006:AB1006),$U$1006:$AC$1006,0))&gt;=100000), " ",IF(INDEX($U$2:$AC$1001,MATCH(ROWS($N$2:N359),$N$2:$N$1001,0),MATCH(COLUMNS($U$1006:AB1006),$U$1006:$AC$1006,0)), HYPERLINK("#",""), HYPERLINK(CONCATENATE("#metadata!", ADDRESS(INDEX($P$2:$P$1001,MATCH(ROWS($N$2:N359),$N$2:$N$1001,0),0), INDEX($U$1004:$AC$1004,1,MATCH(COLUMNS($U$1006:AB1006),$U$1006:$AC$1006,0)))),"Fix")))</f>
        <v>0</v>
      </c>
      <c r="J359" s="3">
        <f>IF(OR(INDEX($O$2:$O$1001,MATCH(ROWS($N$2:N359),$N$2:$N$1001,0),1)&gt;=100000,INDEX($U$1005:$AC$1005,1,MATCH(COLUMNS($U$1006:AC1006),$U$1006:$AC$1006,0))&gt;=100000), " ",IF(INDEX($U$2:$AC$1001,MATCH(ROWS($N$2:N359),$N$2:$N$1001,0),MATCH(COLUMNS($U$1006:AC1006),$U$1006:$AC$1006,0)), HYPERLINK("#",""), HYPERLINK(CONCATENATE("#metadata!", ADDRESS(INDEX($P$2:$P$1001,MATCH(ROWS($N$2:N359),$N$2:$N$1001,0),0), INDEX($U$1004:$AC$1004,1,MATCH(COLUMNS($U$1006:AC1006),$U$1006:$AC$1006,0)))),"Fix")))</f>
        <v>0</v>
      </c>
      <c r="N359">
        <v>0</v>
      </c>
      <c r="O359">
        <v>0</v>
      </c>
      <c r="P359">
        <v>0</v>
      </c>
      <c r="Q359">
        <f>IF(R359,TRUE,AND(U359:AC359))</f>
        <v>0</v>
      </c>
      <c r="R359">
        <f>COUNTBLANK(metadata!B359:J359)=COLUMNS(metadata!B359:J359)</f>
        <v>0</v>
      </c>
      <c r="S359">
        <v>0</v>
      </c>
      <c r="U359">
        <f>AND(IF(metadata!B359="",FALSE,TRUE),COUNTIF(metadata!B:B, metadata!B359) = 1,NOT(ISERROR(SUMPRODUCT(SEARCH(MID(metadata!B359,ROW(INDIRECT("1:"&amp;LEN(metadata!B359))), 1),"0123456789abcdefghijklmnopqrstuvwxyzABCDEFGHIJKLMNOPQRSTUVWXYZ.")))))</f>
        <v>0</v>
      </c>
      <c r="V359">
        <f>AND(IF(metadata!C359="",FALSE,TRUE),exact(metadata!C359,"UBERON:genitourinary"))</f>
        <v>0</v>
      </c>
      <c r="W359">
        <f>AND(IF(metadata!D359="",FALSE,TRUE),exact(metadata!D359,"UBERON:urine"))</f>
        <v>0</v>
      </c>
      <c r="X359">
        <f>AND(IF(metadata!E359="",FALSE,TRUE),exact(metadata!E359,"UBERON:kidney"))</f>
        <v>0</v>
      </c>
      <c r="Y359">
        <f>AND(IF(metadata!F359="",FALSE,TRUE),exact(metadata!F359,"animal corpus"))</f>
        <v>0</v>
      </c>
      <c r="Z359">
        <f>AND(IF(metadata!G359="",FALSE,TRUE),exact(metadata!G359,"urine"))</f>
        <v>0</v>
      </c>
      <c r="AA359">
        <f>AND(IF(metadata!H359="",FALSE,TRUE),exact(metadata!H359,"urine"))</f>
        <v>0</v>
      </c>
      <c r="AB359">
        <f>AND(IF(metadata!I359="",FALSE,TRUE),exact(metadata!I359,"urine metagenome"))</f>
        <v>0</v>
      </c>
      <c r="AC359">
        <f>AND(IF(metadata!J359="",FALSE,TRUE),exact(metadata!J359,"1346744"))</f>
        <v>0</v>
      </c>
    </row>
    <row r="360" spans="1:29">
      <c r="A360" s="4">
        <f>IF(B360=" "," ",HYPERLINK(CONCATENATE("#metadata!",ADDRESS(INDEX($P$2:$P$1001,MATCH(ROWS($N$2:N360),$N$2:$N$1001,0),0),1)),INDEX($S$2:$S$1001,MATCH(ROWS($N$2:N360),$N$2:$N$1001,0),0)))</f>
        <v>0</v>
      </c>
      <c r="B360" s="3">
        <f>IF(OR(INDEX($O$2:$O$1001,MATCH(ROWS($N$2:N360),$N$2:$N$1001,0),1)&gt;=100000,INDEX($U$1005:$AC$1005,1,MATCH(COLUMNS($U$1006:U1006),$U$1006:$AC$1006,0))&gt;=100000), " ",IF(INDEX($U$2:$AC$1001,MATCH(ROWS($N$2:N360),$N$2:$N$1001,0),MATCH(COLUMNS($U$1006:U1006),$U$1006:$AC$1006,0)), HYPERLINK("#",""), HYPERLINK(CONCATENATE("#metadata!", ADDRESS(INDEX($P$2:$P$1001,MATCH(ROWS($N$2:N360),$N$2:$N$1001,0),0), INDEX($U$1004:$AC$1004,1,MATCH(COLUMNS($U$1006:U1006),$U$1006:$AC$1006,0)))),"Fix")))</f>
        <v>0</v>
      </c>
      <c r="C360" s="3">
        <f>IF(OR(INDEX($O$2:$O$1001,MATCH(ROWS($N$2:N360),$N$2:$N$1001,0),1)&gt;=100000,INDEX($U$1005:$AC$1005,1,MATCH(COLUMNS($U$1006:V1006),$U$1006:$AC$1006,0))&gt;=100000), " ",IF(INDEX($U$2:$AC$1001,MATCH(ROWS($N$2:N360),$N$2:$N$1001,0),MATCH(COLUMNS($U$1006:V1006),$U$1006:$AC$1006,0)), HYPERLINK("#",""), HYPERLINK(CONCATENATE("#metadata!", ADDRESS(INDEX($P$2:$P$1001,MATCH(ROWS($N$2:N360),$N$2:$N$1001,0),0), INDEX($U$1004:$AC$1004,1,MATCH(COLUMNS($U$1006:V1006),$U$1006:$AC$1006,0)))),"Fix")))</f>
        <v>0</v>
      </c>
      <c r="D360" s="3">
        <f>IF(OR(INDEX($O$2:$O$1001,MATCH(ROWS($N$2:N360),$N$2:$N$1001,0),1)&gt;=100000,INDEX($U$1005:$AC$1005,1,MATCH(COLUMNS($U$1006:W1006),$U$1006:$AC$1006,0))&gt;=100000), " ",IF(INDEX($U$2:$AC$1001,MATCH(ROWS($N$2:N360),$N$2:$N$1001,0),MATCH(COLUMNS($U$1006:W1006),$U$1006:$AC$1006,0)), HYPERLINK("#",""), HYPERLINK(CONCATENATE("#metadata!", ADDRESS(INDEX($P$2:$P$1001,MATCH(ROWS($N$2:N360),$N$2:$N$1001,0),0), INDEX($U$1004:$AC$1004,1,MATCH(COLUMNS($U$1006:W1006),$U$1006:$AC$1006,0)))),"Fix")))</f>
        <v>0</v>
      </c>
      <c r="E360" s="3">
        <f>IF(OR(INDEX($O$2:$O$1001,MATCH(ROWS($N$2:N360),$N$2:$N$1001,0),1)&gt;=100000,INDEX($U$1005:$AC$1005,1,MATCH(COLUMNS($U$1006:X1006),$U$1006:$AC$1006,0))&gt;=100000), " ",IF(INDEX($U$2:$AC$1001,MATCH(ROWS($N$2:N360),$N$2:$N$1001,0),MATCH(COLUMNS($U$1006:X1006),$U$1006:$AC$1006,0)), HYPERLINK("#",""), HYPERLINK(CONCATENATE("#metadata!", ADDRESS(INDEX($P$2:$P$1001,MATCH(ROWS($N$2:N360),$N$2:$N$1001,0),0), INDEX($U$1004:$AC$1004,1,MATCH(COLUMNS($U$1006:X1006),$U$1006:$AC$1006,0)))),"Fix")))</f>
        <v>0</v>
      </c>
      <c r="F360" s="3">
        <f>IF(OR(INDEX($O$2:$O$1001,MATCH(ROWS($N$2:N360),$N$2:$N$1001,0),1)&gt;=100000,INDEX($U$1005:$AC$1005,1,MATCH(COLUMNS($U$1006:Y1006),$U$1006:$AC$1006,0))&gt;=100000), " ",IF(INDEX($U$2:$AC$1001,MATCH(ROWS($N$2:N360),$N$2:$N$1001,0),MATCH(COLUMNS($U$1006:Y1006),$U$1006:$AC$1006,0)), HYPERLINK("#",""), HYPERLINK(CONCATENATE("#metadata!", ADDRESS(INDEX($P$2:$P$1001,MATCH(ROWS($N$2:N360),$N$2:$N$1001,0),0), INDEX($U$1004:$AC$1004,1,MATCH(COLUMNS($U$1006:Y1006),$U$1006:$AC$1006,0)))),"Fix")))</f>
        <v>0</v>
      </c>
      <c r="G360" s="3">
        <f>IF(OR(INDEX($O$2:$O$1001,MATCH(ROWS($N$2:N360),$N$2:$N$1001,0),1)&gt;=100000,INDEX($U$1005:$AC$1005,1,MATCH(COLUMNS($U$1006:Z1006),$U$1006:$AC$1006,0))&gt;=100000), " ",IF(INDEX($U$2:$AC$1001,MATCH(ROWS($N$2:N360),$N$2:$N$1001,0),MATCH(COLUMNS($U$1006:Z1006),$U$1006:$AC$1006,0)), HYPERLINK("#",""), HYPERLINK(CONCATENATE("#metadata!", ADDRESS(INDEX($P$2:$P$1001,MATCH(ROWS($N$2:N360),$N$2:$N$1001,0),0), INDEX($U$1004:$AC$1004,1,MATCH(COLUMNS($U$1006:Z1006),$U$1006:$AC$1006,0)))),"Fix")))</f>
        <v>0</v>
      </c>
      <c r="H360" s="3">
        <f>IF(OR(INDEX($O$2:$O$1001,MATCH(ROWS($N$2:N360),$N$2:$N$1001,0),1)&gt;=100000,INDEX($U$1005:$AC$1005,1,MATCH(COLUMNS($U$1006:AA1006),$U$1006:$AC$1006,0))&gt;=100000), " ",IF(INDEX($U$2:$AC$1001,MATCH(ROWS($N$2:N360),$N$2:$N$1001,0),MATCH(COLUMNS($U$1006:AA1006),$U$1006:$AC$1006,0)), HYPERLINK("#",""), HYPERLINK(CONCATENATE("#metadata!", ADDRESS(INDEX($P$2:$P$1001,MATCH(ROWS($N$2:N360),$N$2:$N$1001,0),0), INDEX($U$1004:$AC$1004,1,MATCH(COLUMNS($U$1006:AA1006),$U$1006:$AC$1006,0)))),"Fix")))</f>
        <v>0</v>
      </c>
      <c r="I360" s="3">
        <f>IF(OR(INDEX($O$2:$O$1001,MATCH(ROWS($N$2:N360),$N$2:$N$1001,0),1)&gt;=100000,INDEX($U$1005:$AC$1005,1,MATCH(COLUMNS($U$1006:AB1006),$U$1006:$AC$1006,0))&gt;=100000), " ",IF(INDEX($U$2:$AC$1001,MATCH(ROWS($N$2:N360),$N$2:$N$1001,0),MATCH(COLUMNS($U$1006:AB1006),$U$1006:$AC$1006,0)), HYPERLINK("#",""), HYPERLINK(CONCATENATE("#metadata!", ADDRESS(INDEX($P$2:$P$1001,MATCH(ROWS($N$2:N360),$N$2:$N$1001,0),0), INDEX($U$1004:$AC$1004,1,MATCH(COLUMNS($U$1006:AB1006),$U$1006:$AC$1006,0)))),"Fix")))</f>
        <v>0</v>
      </c>
      <c r="J360" s="3">
        <f>IF(OR(INDEX($O$2:$O$1001,MATCH(ROWS($N$2:N360),$N$2:$N$1001,0),1)&gt;=100000,INDEX($U$1005:$AC$1005,1,MATCH(COLUMNS($U$1006:AC1006),$U$1006:$AC$1006,0))&gt;=100000), " ",IF(INDEX($U$2:$AC$1001,MATCH(ROWS($N$2:N360),$N$2:$N$1001,0),MATCH(COLUMNS($U$1006:AC1006),$U$1006:$AC$1006,0)), HYPERLINK("#",""), HYPERLINK(CONCATENATE("#metadata!", ADDRESS(INDEX($P$2:$P$1001,MATCH(ROWS($N$2:N360),$N$2:$N$1001,0),0), INDEX($U$1004:$AC$1004,1,MATCH(COLUMNS($U$1006:AC1006),$U$1006:$AC$1006,0)))),"Fix")))</f>
        <v>0</v>
      </c>
      <c r="N360">
        <v>0</v>
      </c>
      <c r="O360">
        <v>0</v>
      </c>
      <c r="P360">
        <v>0</v>
      </c>
      <c r="Q360">
        <f>IF(R360,TRUE,AND(U360:AC360))</f>
        <v>0</v>
      </c>
      <c r="R360">
        <f>COUNTBLANK(metadata!B360:J360)=COLUMNS(metadata!B360:J360)</f>
        <v>0</v>
      </c>
      <c r="S360">
        <v>0</v>
      </c>
      <c r="U360">
        <f>AND(IF(metadata!B360="",FALSE,TRUE),COUNTIF(metadata!B:B, metadata!B360) = 1,NOT(ISERROR(SUMPRODUCT(SEARCH(MID(metadata!B360,ROW(INDIRECT("1:"&amp;LEN(metadata!B360))), 1),"0123456789abcdefghijklmnopqrstuvwxyzABCDEFGHIJKLMNOPQRSTUVWXYZ.")))))</f>
        <v>0</v>
      </c>
      <c r="V360">
        <f>AND(IF(metadata!C360="",FALSE,TRUE),exact(metadata!C360,"UBERON:genitourinary"))</f>
        <v>0</v>
      </c>
      <c r="W360">
        <f>AND(IF(metadata!D360="",FALSE,TRUE),exact(metadata!D360,"UBERON:urine"))</f>
        <v>0</v>
      </c>
      <c r="X360">
        <f>AND(IF(metadata!E360="",FALSE,TRUE),exact(metadata!E360,"UBERON:kidney"))</f>
        <v>0</v>
      </c>
      <c r="Y360">
        <f>AND(IF(metadata!F360="",FALSE,TRUE),exact(metadata!F360,"animal corpus"))</f>
        <v>0</v>
      </c>
      <c r="Z360">
        <f>AND(IF(metadata!G360="",FALSE,TRUE),exact(metadata!G360,"urine"))</f>
        <v>0</v>
      </c>
      <c r="AA360">
        <f>AND(IF(metadata!H360="",FALSE,TRUE),exact(metadata!H360,"urine"))</f>
        <v>0</v>
      </c>
      <c r="AB360">
        <f>AND(IF(metadata!I360="",FALSE,TRUE),exact(metadata!I360,"urine metagenome"))</f>
        <v>0</v>
      </c>
      <c r="AC360">
        <f>AND(IF(metadata!J360="",FALSE,TRUE),exact(metadata!J360,"1346744"))</f>
        <v>0</v>
      </c>
    </row>
    <row r="361" spans="1:29">
      <c r="A361" s="4">
        <f>IF(B361=" "," ",HYPERLINK(CONCATENATE("#metadata!",ADDRESS(INDEX($P$2:$P$1001,MATCH(ROWS($N$2:N361),$N$2:$N$1001,0),0),1)),INDEX($S$2:$S$1001,MATCH(ROWS($N$2:N361),$N$2:$N$1001,0),0)))</f>
        <v>0</v>
      </c>
      <c r="B361" s="3">
        <f>IF(OR(INDEX($O$2:$O$1001,MATCH(ROWS($N$2:N361),$N$2:$N$1001,0),1)&gt;=100000,INDEX($U$1005:$AC$1005,1,MATCH(COLUMNS($U$1006:U1006),$U$1006:$AC$1006,0))&gt;=100000), " ",IF(INDEX($U$2:$AC$1001,MATCH(ROWS($N$2:N361),$N$2:$N$1001,0),MATCH(COLUMNS($U$1006:U1006),$U$1006:$AC$1006,0)), HYPERLINK("#",""), HYPERLINK(CONCATENATE("#metadata!", ADDRESS(INDEX($P$2:$P$1001,MATCH(ROWS($N$2:N361),$N$2:$N$1001,0),0), INDEX($U$1004:$AC$1004,1,MATCH(COLUMNS($U$1006:U1006),$U$1006:$AC$1006,0)))),"Fix")))</f>
        <v>0</v>
      </c>
      <c r="C361" s="3">
        <f>IF(OR(INDEX($O$2:$O$1001,MATCH(ROWS($N$2:N361),$N$2:$N$1001,0),1)&gt;=100000,INDEX($U$1005:$AC$1005,1,MATCH(COLUMNS($U$1006:V1006),$U$1006:$AC$1006,0))&gt;=100000), " ",IF(INDEX($U$2:$AC$1001,MATCH(ROWS($N$2:N361),$N$2:$N$1001,0),MATCH(COLUMNS($U$1006:V1006),$U$1006:$AC$1006,0)), HYPERLINK("#",""), HYPERLINK(CONCATENATE("#metadata!", ADDRESS(INDEX($P$2:$P$1001,MATCH(ROWS($N$2:N361),$N$2:$N$1001,0),0), INDEX($U$1004:$AC$1004,1,MATCH(COLUMNS($U$1006:V1006),$U$1006:$AC$1006,0)))),"Fix")))</f>
        <v>0</v>
      </c>
      <c r="D361" s="3">
        <f>IF(OR(INDEX($O$2:$O$1001,MATCH(ROWS($N$2:N361),$N$2:$N$1001,0),1)&gt;=100000,INDEX($U$1005:$AC$1005,1,MATCH(COLUMNS($U$1006:W1006),$U$1006:$AC$1006,0))&gt;=100000), " ",IF(INDEX($U$2:$AC$1001,MATCH(ROWS($N$2:N361),$N$2:$N$1001,0),MATCH(COLUMNS($U$1006:W1006),$U$1006:$AC$1006,0)), HYPERLINK("#",""), HYPERLINK(CONCATENATE("#metadata!", ADDRESS(INDEX($P$2:$P$1001,MATCH(ROWS($N$2:N361),$N$2:$N$1001,0),0), INDEX($U$1004:$AC$1004,1,MATCH(COLUMNS($U$1006:W1006),$U$1006:$AC$1006,0)))),"Fix")))</f>
        <v>0</v>
      </c>
      <c r="E361" s="3">
        <f>IF(OR(INDEX($O$2:$O$1001,MATCH(ROWS($N$2:N361),$N$2:$N$1001,0),1)&gt;=100000,INDEX($U$1005:$AC$1005,1,MATCH(COLUMNS($U$1006:X1006),$U$1006:$AC$1006,0))&gt;=100000), " ",IF(INDEX($U$2:$AC$1001,MATCH(ROWS($N$2:N361),$N$2:$N$1001,0),MATCH(COLUMNS($U$1006:X1006),$U$1006:$AC$1006,0)), HYPERLINK("#",""), HYPERLINK(CONCATENATE("#metadata!", ADDRESS(INDEX($P$2:$P$1001,MATCH(ROWS($N$2:N361),$N$2:$N$1001,0),0), INDEX($U$1004:$AC$1004,1,MATCH(COLUMNS($U$1006:X1006),$U$1006:$AC$1006,0)))),"Fix")))</f>
        <v>0</v>
      </c>
      <c r="F361" s="3">
        <f>IF(OR(INDEX($O$2:$O$1001,MATCH(ROWS($N$2:N361),$N$2:$N$1001,0),1)&gt;=100000,INDEX($U$1005:$AC$1005,1,MATCH(COLUMNS($U$1006:Y1006),$U$1006:$AC$1006,0))&gt;=100000), " ",IF(INDEX($U$2:$AC$1001,MATCH(ROWS($N$2:N361),$N$2:$N$1001,0),MATCH(COLUMNS($U$1006:Y1006),$U$1006:$AC$1006,0)), HYPERLINK("#",""), HYPERLINK(CONCATENATE("#metadata!", ADDRESS(INDEX($P$2:$P$1001,MATCH(ROWS($N$2:N361),$N$2:$N$1001,0),0), INDEX($U$1004:$AC$1004,1,MATCH(COLUMNS($U$1006:Y1006),$U$1006:$AC$1006,0)))),"Fix")))</f>
        <v>0</v>
      </c>
      <c r="G361" s="3">
        <f>IF(OR(INDEX($O$2:$O$1001,MATCH(ROWS($N$2:N361),$N$2:$N$1001,0),1)&gt;=100000,INDEX($U$1005:$AC$1005,1,MATCH(COLUMNS($U$1006:Z1006),$U$1006:$AC$1006,0))&gt;=100000), " ",IF(INDEX($U$2:$AC$1001,MATCH(ROWS($N$2:N361),$N$2:$N$1001,0),MATCH(COLUMNS($U$1006:Z1006),$U$1006:$AC$1006,0)), HYPERLINK("#",""), HYPERLINK(CONCATENATE("#metadata!", ADDRESS(INDEX($P$2:$P$1001,MATCH(ROWS($N$2:N361),$N$2:$N$1001,0),0), INDEX($U$1004:$AC$1004,1,MATCH(COLUMNS($U$1006:Z1006),$U$1006:$AC$1006,0)))),"Fix")))</f>
        <v>0</v>
      </c>
      <c r="H361" s="3">
        <f>IF(OR(INDEX($O$2:$O$1001,MATCH(ROWS($N$2:N361),$N$2:$N$1001,0),1)&gt;=100000,INDEX($U$1005:$AC$1005,1,MATCH(COLUMNS($U$1006:AA1006),$U$1006:$AC$1006,0))&gt;=100000), " ",IF(INDEX($U$2:$AC$1001,MATCH(ROWS($N$2:N361),$N$2:$N$1001,0),MATCH(COLUMNS($U$1006:AA1006),$U$1006:$AC$1006,0)), HYPERLINK("#",""), HYPERLINK(CONCATENATE("#metadata!", ADDRESS(INDEX($P$2:$P$1001,MATCH(ROWS($N$2:N361),$N$2:$N$1001,0),0), INDEX($U$1004:$AC$1004,1,MATCH(COLUMNS($U$1006:AA1006),$U$1006:$AC$1006,0)))),"Fix")))</f>
        <v>0</v>
      </c>
      <c r="I361" s="3">
        <f>IF(OR(INDEX($O$2:$O$1001,MATCH(ROWS($N$2:N361),$N$2:$N$1001,0),1)&gt;=100000,INDEX($U$1005:$AC$1005,1,MATCH(COLUMNS($U$1006:AB1006),$U$1006:$AC$1006,0))&gt;=100000), " ",IF(INDEX($U$2:$AC$1001,MATCH(ROWS($N$2:N361),$N$2:$N$1001,0),MATCH(COLUMNS($U$1006:AB1006),$U$1006:$AC$1006,0)), HYPERLINK("#",""), HYPERLINK(CONCATENATE("#metadata!", ADDRESS(INDEX($P$2:$P$1001,MATCH(ROWS($N$2:N361),$N$2:$N$1001,0),0), INDEX($U$1004:$AC$1004,1,MATCH(COLUMNS($U$1006:AB1006),$U$1006:$AC$1006,0)))),"Fix")))</f>
        <v>0</v>
      </c>
      <c r="J361" s="3">
        <f>IF(OR(INDEX($O$2:$O$1001,MATCH(ROWS($N$2:N361),$N$2:$N$1001,0),1)&gt;=100000,INDEX($U$1005:$AC$1005,1,MATCH(COLUMNS($U$1006:AC1006),$U$1006:$AC$1006,0))&gt;=100000), " ",IF(INDEX($U$2:$AC$1001,MATCH(ROWS($N$2:N361),$N$2:$N$1001,0),MATCH(COLUMNS($U$1006:AC1006),$U$1006:$AC$1006,0)), HYPERLINK("#",""), HYPERLINK(CONCATENATE("#metadata!", ADDRESS(INDEX($P$2:$P$1001,MATCH(ROWS($N$2:N361),$N$2:$N$1001,0),0), INDEX($U$1004:$AC$1004,1,MATCH(COLUMNS($U$1006:AC1006),$U$1006:$AC$1006,0)))),"Fix")))</f>
        <v>0</v>
      </c>
      <c r="N361">
        <v>0</v>
      </c>
      <c r="O361">
        <v>0</v>
      </c>
      <c r="P361">
        <v>0</v>
      </c>
      <c r="Q361">
        <f>IF(R361,TRUE,AND(U361:AC361))</f>
        <v>0</v>
      </c>
      <c r="R361">
        <f>COUNTBLANK(metadata!B361:J361)=COLUMNS(metadata!B361:J361)</f>
        <v>0</v>
      </c>
      <c r="S361">
        <v>0</v>
      </c>
      <c r="U361">
        <f>AND(IF(metadata!B361="",FALSE,TRUE),COUNTIF(metadata!B:B, metadata!B361) = 1,NOT(ISERROR(SUMPRODUCT(SEARCH(MID(metadata!B361,ROW(INDIRECT("1:"&amp;LEN(metadata!B361))), 1),"0123456789abcdefghijklmnopqrstuvwxyzABCDEFGHIJKLMNOPQRSTUVWXYZ.")))))</f>
        <v>0</v>
      </c>
      <c r="V361">
        <f>AND(IF(metadata!C361="",FALSE,TRUE),exact(metadata!C361,"UBERON:genitourinary"))</f>
        <v>0</v>
      </c>
      <c r="W361">
        <f>AND(IF(metadata!D361="",FALSE,TRUE),exact(metadata!D361,"UBERON:urine"))</f>
        <v>0</v>
      </c>
      <c r="X361">
        <f>AND(IF(metadata!E361="",FALSE,TRUE),exact(metadata!E361,"UBERON:kidney"))</f>
        <v>0</v>
      </c>
      <c r="Y361">
        <f>AND(IF(metadata!F361="",FALSE,TRUE),exact(metadata!F361,"animal corpus"))</f>
        <v>0</v>
      </c>
      <c r="Z361">
        <f>AND(IF(metadata!G361="",FALSE,TRUE),exact(metadata!G361,"urine"))</f>
        <v>0</v>
      </c>
      <c r="AA361">
        <f>AND(IF(metadata!H361="",FALSE,TRUE),exact(metadata!H361,"urine"))</f>
        <v>0</v>
      </c>
      <c r="AB361">
        <f>AND(IF(metadata!I361="",FALSE,TRUE),exact(metadata!I361,"urine metagenome"))</f>
        <v>0</v>
      </c>
      <c r="AC361">
        <f>AND(IF(metadata!J361="",FALSE,TRUE),exact(metadata!J361,"1346744"))</f>
        <v>0</v>
      </c>
    </row>
    <row r="362" spans="1:29">
      <c r="A362" s="4">
        <f>IF(B362=" "," ",HYPERLINK(CONCATENATE("#metadata!",ADDRESS(INDEX($P$2:$P$1001,MATCH(ROWS($N$2:N362),$N$2:$N$1001,0),0),1)),INDEX($S$2:$S$1001,MATCH(ROWS($N$2:N362),$N$2:$N$1001,0),0)))</f>
        <v>0</v>
      </c>
      <c r="B362" s="3">
        <f>IF(OR(INDEX($O$2:$O$1001,MATCH(ROWS($N$2:N362),$N$2:$N$1001,0),1)&gt;=100000,INDEX($U$1005:$AC$1005,1,MATCH(COLUMNS($U$1006:U1006),$U$1006:$AC$1006,0))&gt;=100000), " ",IF(INDEX($U$2:$AC$1001,MATCH(ROWS($N$2:N362),$N$2:$N$1001,0),MATCH(COLUMNS($U$1006:U1006),$U$1006:$AC$1006,0)), HYPERLINK("#",""), HYPERLINK(CONCATENATE("#metadata!", ADDRESS(INDEX($P$2:$P$1001,MATCH(ROWS($N$2:N362),$N$2:$N$1001,0),0), INDEX($U$1004:$AC$1004,1,MATCH(COLUMNS($U$1006:U1006),$U$1006:$AC$1006,0)))),"Fix")))</f>
        <v>0</v>
      </c>
      <c r="C362" s="3">
        <f>IF(OR(INDEX($O$2:$O$1001,MATCH(ROWS($N$2:N362),$N$2:$N$1001,0),1)&gt;=100000,INDEX($U$1005:$AC$1005,1,MATCH(COLUMNS($U$1006:V1006),$U$1006:$AC$1006,0))&gt;=100000), " ",IF(INDEX($U$2:$AC$1001,MATCH(ROWS($N$2:N362),$N$2:$N$1001,0),MATCH(COLUMNS($U$1006:V1006),$U$1006:$AC$1006,0)), HYPERLINK("#",""), HYPERLINK(CONCATENATE("#metadata!", ADDRESS(INDEX($P$2:$P$1001,MATCH(ROWS($N$2:N362),$N$2:$N$1001,0),0), INDEX($U$1004:$AC$1004,1,MATCH(COLUMNS($U$1006:V1006),$U$1006:$AC$1006,0)))),"Fix")))</f>
        <v>0</v>
      </c>
      <c r="D362" s="3">
        <f>IF(OR(INDEX($O$2:$O$1001,MATCH(ROWS($N$2:N362),$N$2:$N$1001,0),1)&gt;=100000,INDEX($U$1005:$AC$1005,1,MATCH(COLUMNS($U$1006:W1006),$U$1006:$AC$1006,0))&gt;=100000), " ",IF(INDEX($U$2:$AC$1001,MATCH(ROWS($N$2:N362),$N$2:$N$1001,0),MATCH(COLUMNS($U$1006:W1006),$U$1006:$AC$1006,0)), HYPERLINK("#",""), HYPERLINK(CONCATENATE("#metadata!", ADDRESS(INDEX($P$2:$P$1001,MATCH(ROWS($N$2:N362),$N$2:$N$1001,0),0), INDEX($U$1004:$AC$1004,1,MATCH(COLUMNS($U$1006:W1006),$U$1006:$AC$1006,0)))),"Fix")))</f>
        <v>0</v>
      </c>
      <c r="E362" s="3">
        <f>IF(OR(INDEX($O$2:$O$1001,MATCH(ROWS($N$2:N362),$N$2:$N$1001,0),1)&gt;=100000,INDEX($U$1005:$AC$1005,1,MATCH(COLUMNS($U$1006:X1006),$U$1006:$AC$1006,0))&gt;=100000), " ",IF(INDEX($U$2:$AC$1001,MATCH(ROWS($N$2:N362),$N$2:$N$1001,0),MATCH(COLUMNS($U$1006:X1006),$U$1006:$AC$1006,0)), HYPERLINK("#",""), HYPERLINK(CONCATENATE("#metadata!", ADDRESS(INDEX($P$2:$P$1001,MATCH(ROWS($N$2:N362),$N$2:$N$1001,0),0), INDEX($U$1004:$AC$1004,1,MATCH(COLUMNS($U$1006:X1006),$U$1006:$AC$1006,0)))),"Fix")))</f>
        <v>0</v>
      </c>
      <c r="F362" s="3">
        <f>IF(OR(INDEX($O$2:$O$1001,MATCH(ROWS($N$2:N362),$N$2:$N$1001,0),1)&gt;=100000,INDEX($U$1005:$AC$1005,1,MATCH(COLUMNS($U$1006:Y1006),$U$1006:$AC$1006,0))&gt;=100000), " ",IF(INDEX($U$2:$AC$1001,MATCH(ROWS($N$2:N362),$N$2:$N$1001,0),MATCH(COLUMNS($U$1006:Y1006),$U$1006:$AC$1006,0)), HYPERLINK("#",""), HYPERLINK(CONCATENATE("#metadata!", ADDRESS(INDEX($P$2:$P$1001,MATCH(ROWS($N$2:N362),$N$2:$N$1001,0),0), INDEX($U$1004:$AC$1004,1,MATCH(COLUMNS($U$1006:Y1006),$U$1006:$AC$1006,0)))),"Fix")))</f>
        <v>0</v>
      </c>
      <c r="G362" s="3">
        <f>IF(OR(INDEX($O$2:$O$1001,MATCH(ROWS($N$2:N362),$N$2:$N$1001,0),1)&gt;=100000,INDEX($U$1005:$AC$1005,1,MATCH(COLUMNS($U$1006:Z1006),$U$1006:$AC$1006,0))&gt;=100000), " ",IF(INDEX($U$2:$AC$1001,MATCH(ROWS($N$2:N362),$N$2:$N$1001,0),MATCH(COLUMNS($U$1006:Z1006),$U$1006:$AC$1006,0)), HYPERLINK("#",""), HYPERLINK(CONCATENATE("#metadata!", ADDRESS(INDEX($P$2:$P$1001,MATCH(ROWS($N$2:N362),$N$2:$N$1001,0),0), INDEX($U$1004:$AC$1004,1,MATCH(COLUMNS($U$1006:Z1006),$U$1006:$AC$1006,0)))),"Fix")))</f>
        <v>0</v>
      </c>
      <c r="H362" s="3">
        <f>IF(OR(INDEX($O$2:$O$1001,MATCH(ROWS($N$2:N362),$N$2:$N$1001,0),1)&gt;=100000,INDEX($U$1005:$AC$1005,1,MATCH(COLUMNS($U$1006:AA1006),$U$1006:$AC$1006,0))&gt;=100000), " ",IF(INDEX($U$2:$AC$1001,MATCH(ROWS($N$2:N362),$N$2:$N$1001,0),MATCH(COLUMNS($U$1006:AA1006),$U$1006:$AC$1006,0)), HYPERLINK("#",""), HYPERLINK(CONCATENATE("#metadata!", ADDRESS(INDEX($P$2:$P$1001,MATCH(ROWS($N$2:N362),$N$2:$N$1001,0),0), INDEX($U$1004:$AC$1004,1,MATCH(COLUMNS($U$1006:AA1006),$U$1006:$AC$1006,0)))),"Fix")))</f>
        <v>0</v>
      </c>
      <c r="I362" s="3">
        <f>IF(OR(INDEX($O$2:$O$1001,MATCH(ROWS($N$2:N362),$N$2:$N$1001,0),1)&gt;=100000,INDEX($U$1005:$AC$1005,1,MATCH(COLUMNS($U$1006:AB1006),$U$1006:$AC$1006,0))&gt;=100000), " ",IF(INDEX($U$2:$AC$1001,MATCH(ROWS($N$2:N362),$N$2:$N$1001,0),MATCH(COLUMNS($U$1006:AB1006),$U$1006:$AC$1006,0)), HYPERLINK("#",""), HYPERLINK(CONCATENATE("#metadata!", ADDRESS(INDEX($P$2:$P$1001,MATCH(ROWS($N$2:N362),$N$2:$N$1001,0),0), INDEX($U$1004:$AC$1004,1,MATCH(COLUMNS($U$1006:AB1006),$U$1006:$AC$1006,0)))),"Fix")))</f>
        <v>0</v>
      </c>
      <c r="J362" s="3">
        <f>IF(OR(INDEX($O$2:$O$1001,MATCH(ROWS($N$2:N362),$N$2:$N$1001,0),1)&gt;=100000,INDEX($U$1005:$AC$1005,1,MATCH(COLUMNS($U$1006:AC1006),$U$1006:$AC$1006,0))&gt;=100000), " ",IF(INDEX($U$2:$AC$1001,MATCH(ROWS($N$2:N362),$N$2:$N$1001,0),MATCH(COLUMNS($U$1006:AC1006),$U$1006:$AC$1006,0)), HYPERLINK("#",""), HYPERLINK(CONCATENATE("#metadata!", ADDRESS(INDEX($P$2:$P$1001,MATCH(ROWS($N$2:N362),$N$2:$N$1001,0),0), INDEX($U$1004:$AC$1004,1,MATCH(COLUMNS($U$1006:AC1006),$U$1006:$AC$1006,0)))),"Fix")))</f>
        <v>0</v>
      </c>
      <c r="N362">
        <v>0</v>
      </c>
      <c r="O362">
        <v>0</v>
      </c>
      <c r="P362">
        <v>0</v>
      </c>
      <c r="Q362">
        <f>IF(R362,TRUE,AND(U362:AC362))</f>
        <v>0</v>
      </c>
      <c r="R362">
        <f>COUNTBLANK(metadata!B362:J362)=COLUMNS(metadata!B362:J362)</f>
        <v>0</v>
      </c>
      <c r="S362">
        <v>0</v>
      </c>
      <c r="U362">
        <f>AND(IF(metadata!B362="",FALSE,TRUE),COUNTIF(metadata!B:B, metadata!B362) = 1,NOT(ISERROR(SUMPRODUCT(SEARCH(MID(metadata!B362,ROW(INDIRECT("1:"&amp;LEN(metadata!B362))), 1),"0123456789abcdefghijklmnopqrstuvwxyzABCDEFGHIJKLMNOPQRSTUVWXYZ.")))))</f>
        <v>0</v>
      </c>
      <c r="V362">
        <f>AND(IF(metadata!C362="",FALSE,TRUE),exact(metadata!C362,"UBERON:genitourinary"))</f>
        <v>0</v>
      </c>
      <c r="W362">
        <f>AND(IF(metadata!D362="",FALSE,TRUE),exact(metadata!D362,"UBERON:urine"))</f>
        <v>0</v>
      </c>
      <c r="X362">
        <f>AND(IF(metadata!E362="",FALSE,TRUE),exact(metadata!E362,"UBERON:kidney"))</f>
        <v>0</v>
      </c>
      <c r="Y362">
        <f>AND(IF(metadata!F362="",FALSE,TRUE),exact(metadata!F362,"animal corpus"))</f>
        <v>0</v>
      </c>
      <c r="Z362">
        <f>AND(IF(metadata!G362="",FALSE,TRUE),exact(metadata!G362,"urine"))</f>
        <v>0</v>
      </c>
      <c r="AA362">
        <f>AND(IF(metadata!H362="",FALSE,TRUE),exact(metadata!H362,"urine"))</f>
        <v>0</v>
      </c>
      <c r="AB362">
        <f>AND(IF(metadata!I362="",FALSE,TRUE),exact(metadata!I362,"urine metagenome"))</f>
        <v>0</v>
      </c>
      <c r="AC362">
        <f>AND(IF(metadata!J362="",FALSE,TRUE),exact(metadata!J362,"1346744"))</f>
        <v>0</v>
      </c>
    </row>
    <row r="363" spans="1:29">
      <c r="A363" s="4">
        <f>IF(B363=" "," ",HYPERLINK(CONCATENATE("#metadata!",ADDRESS(INDEX($P$2:$P$1001,MATCH(ROWS($N$2:N363),$N$2:$N$1001,0),0),1)),INDEX($S$2:$S$1001,MATCH(ROWS($N$2:N363),$N$2:$N$1001,0),0)))</f>
        <v>0</v>
      </c>
      <c r="B363" s="3">
        <f>IF(OR(INDEX($O$2:$O$1001,MATCH(ROWS($N$2:N363),$N$2:$N$1001,0),1)&gt;=100000,INDEX($U$1005:$AC$1005,1,MATCH(COLUMNS($U$1006:U1006),$U$1006:$AC$1006,0))&gt;=100000), " ",IF(INDEX($U$2:$AC$1001,MATCH(ROWS($N$2:N363),$N$2:$N$1001,0),MATCH(COLUMNS($U$1006:U1006),$U$1006:$AC$1006,0)), HYPERLINK("#",""), HYPERLINK(CONCATENATE("#metadata!", ADDRESS(INDEX($P$2:$P$1001,MATCH(ROWS($N$2:N363),$N$2:$N$1001,0),0), INDEX($U$1004:$AC$1004,1,MATCH(COLUMNS($U$1006:U1006),$U$1006:$AC$1006,0)))),"Fix")))</f>
        <v>0</v>
      </c>
      <c r="C363" s="3">
        <f>IF(OR(INDEX($O$2:$O$1001,MATCH(ROWS($N$2:N363),$N$2:$N$1001,0),1)&gt;=100000,INDEX($U$1005:$AC$1005,1,MATCH(COLUMNS($U$1006:V1006),$U$1006:$AC$1006,0))&gt;=100000), " ",IF(INDEX($U$2:$AC$1001,MATCH(ROWS($N$2:N363),$N$2:$N$1001,0),MATCH(COLUMNS($U$1006:V1006),$U$1006:$AC$1006,0)), HYPERLINK("#",""), HYPERLINK(CONCATENATE("#metadata!", ADDRESS(INDEX($P$2:$P$1001,MATCH(ROWS($N$2:N363),$N$2:$N$1001,0),0), INDEX($U$1004:$AC$1004,1,MATCH(COLUMNS($U$1006:V1006),$U$1006:$AC$1006,0)))),"Fix")))</f>
        <v>0</v>
      </c>
      <c r="D363" s="3">
        <f>IF(OR(INDEX($O$2:$O$1001,MATCH(ROWS($N$2:N363),$N$2:$N$1001,0),1)&gt;=100000,INDEX($U$1005:$AC$1005,1,MATCH(COLUMNS($U$1006:W1006),$U$1006:$AC$1006,0))&gt;=100000), " ",IF(INDEX($U$2:$AC$1001,MATCH(ROWS($N$2:N363),$N$2:$N$1001,0),MATCH(COLUMNS($U$1006:W1006),$U$1006:$AC$1006,0)), HYPERLINK("#",""), HYPERLINK(CONCATENATE("#metadata!", ADDRESS(INDEX($P$2:$P$1001,MATCH(ROWS($N$2:N363),$N$2:$N$1001,0),0), INDEX($U$1004:$AC$1004,1,MATCH(COLUMNS($U$1006:W1006),$U$1006:$AC$1006,0)))),"Fix")))</f>
        <v>0</v>
      </c>
      <c r="E363" s="3">
        <f>IF(OR(INDEX($O$2:$O$1001,MATCH(ROWS($N$2:N363),$N$2:$N$1001,0),1)&gt;=100000,INDEX($U$1005:$AC$1005,1,MATCH(COLUMNS($U$1006:X1006),$U$1006:$AC$1006,0))&gt;=100000), " ",IF(INDEX($U$2:$AC$1001,MATCH(ROWS($N$2:N363),$N$2:$N$1001,0),MATCH(COLUMNS($U$1006:X1006),$U$1006:$AC$1006,0)), HYPERLINK("#",""), HYPERLINK(CONCATENATE("#metadata!", ADDRESS(INDEX($P$2:$P$1001,MATCH(ROWS($N$2:N363),$N$2:$N$1001,0),0), INDEX($U$1004:$AC$1004,1,MATCH(COLUMNS($U$1006:X1006),$U$1006:$AC$1006,0)))),"Fix")))</f>
        <v>0</v>
      </c>
      <c r="F363" s="3">
        <f>IF(OR(INDEX($O$2:$O$1001,MATCH(ROWS($N$2:N363),$N$2:$N$1001,0),1)&gt;=100000,INDEX($U$1005:$AC$1005,1,MATCH(COLUMNS($U$1006:Y1006),$U$1006:$AC$1006,0))&gt;=100000), " ",IF(INDEX($U$2:$AC$1001,MATCH(ROWS($N$2:N363),$N$2:$N$1001,0),MATCH(COLUMNS($U$1006:Y1006),$U$1006:$AC$1006,0)), HYPERLINK("#",""), HYPERLINK(CONCATENATE("#metadata!", ADDRESS(INDEX($P$2:$P$1001,MATCH(ROWS($N$2:N363),$N$2:$N$1001,0),0), INDEX($U$1004:$AC$1004,1,MATCH(COLUMNS($U$1006:Y1006),$U$1006:$AC$1006,0)))),"Fix")))</f>
        <v>0</v>
      </c>
      <c r="G363" s="3">
        <f>IF(OR(INDEX($O$2:$O$1001,MATCH(ROWS($N$2:N363),$N$2:$N$1001,0),1)&gt;=100000,INDEX($U$1005:$AC$1005,1,MATCH(COLUMNS($U$1006:Z1006),$U$1006:$AC$1006,0))&gt;=100000), " ",IF(INDEX($U$2:$AC$1001,MATCH(ROWS($N$2:N363),$N$2:$N$1001,0),MATCH(COLUMNS($U$1006:Z1006),$U$1006:$AC$1006,0)), HYPERLINK("#",""), HYPERLINK(CONCATENATE("#metadata!", ADDRESS(INDEX($P$2:$P$1001,MATCH(ROWS($N$2:N363),$N$2:$N$1001,0),0), INDEX($U$1004:$AC$1004,1,MATCH(COLUMNS($U$1006:Z1006),$U$1006:$AC$1006,0)))),"Fix")))</f>
        <v>0</v>
      </c>
      <c r="H363" s="3">
        <f>IF(OR(INDEX($O$2:$O$1001,MATCH(ROWS($N$2:N363),$N$2:$N$1001,0),1)&gt;=100000,INDEX($U$1005:$AC$1005,1,MATCH(COLUMNS($U$1006:AA1006),$U$1006:$AC$1006,0))&gt;=100000), " ",IF(INDEX($U$2:$AC$1001,MATCH(ROWS($N$2:N363),$N$2:$N$1001,0),MATCH(COLUMNS($U$1006:AA1006),$U$1006:$AC$1006,0)), HYPERLINK("#",""), HYPERLINK(CONCATENATE("#metadata!", ADDRESS(INDEX($P$2:$P$1001,MATCH(ROWS($N$2:N363),$N$2:$N$1001,0),0), INDEX($U$1004:$AC$1004,1,MATCH(COLUMNS($U$1006:AA1006),$U$1006:$AC$1006,0)))),"Fix")))</f>
        <v>0</v>
      </c>
      <c r="I363" s="3">
        <f>IF(OR(INDEX($O$2:$O$1001,MATCH(ROWS($N$2:N363),$N$2:$N$1001,0),1)&gt;=100000,INDEX($U$1005:$AC$1005,1,MATCH(COLUMNS($U$1006:AB1006),$U$1006:$AC$1006,0))&gt;=100000), " ",IF(INDEX($U$2:$AC$1001,MATCH(ROWS($N$2:N363),$N$2:$N$1001,0),MATCH(COLUMNS($U$1006:AB1006),$U$1006:$AC$1006,0)), HYPERLINK("#",""), HYPERLINK(CONCATENATE("#metadata!", ADDRESS(INDEX($P$2:$P$1001,MATCH(ROWS($N$2:N363),$N$2:$N$1001,0),0), INDEX($U$1004:$AC$1004,1,MATCH(COLUMNS($U$1006:AB1006),$U$1006:$AC$1006,0)))),"Fix")))</f>
        <v>0</v>
      </c>
      <c r="J363" s="3">
        <f>IF(OR(INDEX($O$2:$O$1001,MATCH(ROWS($N$2:N363),$N$2:$N$1001,0),1)&gt;=100000,INDEX($U$1005:$AC$1005,1,MATCH(COLUMNS($U$1006:AC1006),$U$1006:$AC$1006,0))&gt;=100000), " ",IF(INDEX($U$2:$AC$1001,MATCH(ROWS($N$2:N363),$N$2:$N$1001,0),MATCH(COLUMNS($U$1006:AC1006),$U$1006:$AC$1006,0)), HYPERLINK("#",""), HYPERLINK(CONCATENATE("#metadata!", ADDRESS(INDEX($P$2:$P$1001,MATCH(ROWS($N$2:N363),$N$2:$N$1001,0),0), INDEX($U$1004:$AC$1004,1,MATCH(COLUMNS($U$1006:AC1006),$U$1006:$AC$1006,0)))),"Fix")))</f>
        <v>0</v>
      </c>
      <c r="N363">
        <v>0</v>
      </c>
      <c r="O363">
        <v>0</v>
      </c>
      <c r="P363">
        <v>0</v>
      </c>
      <c r="Q363">
        <f>IF(R363,TRUE,AND(U363:AC363))</f>
        <v>0</v>
      </c>
      <c r="R363">
        <f>COUNTBLANK(metadata!B363:J363)=COLUMNS(metadata!B363:J363)</f>
        <v>0</v>
      </c>
      <c r="S363">
        <v>0</v>
      </c>
      <c r="U363">
        <f>AND(IF(metadata!B363="",FALSE,TRUE),COUNTIF(metadata!B:B, metadata!B363) = 1,NOT(ISERROR(SUMPRODUCT(SEARCH(MID(metadata!B363,ROW(INDIRECT("1:"&amp;LEN(metadata!B363))), 1),"0123456789abcdefghijklmnopqrstuvwxyzABCDEFGHIJKLMNOPQRSTUVWXYZ.")))))</f>
        <v>0</v>
      </c>
      <c r="V363">
        <f>AND(IF(metadata!C363="",FALSE,TRUE),exact(metadata!C363,"UBERON:genitourinary"))</f>
        <v>0</v>
      </c>
      <c r="W363">
        <f>AND(IF(metadata!D363="",FALSE,TRUE),exact(metadata!D363,"UBERON:urine"))</f>
        <v>0</v>
      </c>
      <c r="X363">
        <f>AND(IF(metadata!E363="",FALSE,TRUE),exact(metadata!E363,"UBERON:kidney"))</f>
        <v>0</v>
      </c>
      <c r="Y363">
        <f>AND(IF(metadata!F363="",FALSE,TRUE),exact(metadata!F363,"animal corpus"))</f>
        <v>0</v>
      </c>
      <c r="Z363">
        <f>AND(IF(metadata!G363="",FALSE,TRUE),exact(metadata!G363,"urine"))</f>
        <v>0</v>
      </c>
      <c r="AA363">
        <f>AND(IF(metadata!H363="",FALSE,TRUE),exact(metadata!H363,"urine"))</f>
        <v>0</v>
      </c>
      <c r="AB363">
        <f>AND(IF(metadata!I363="",FALSE,TRUE),exact(metadata!I363,"urine metagenome"))</f>
        <v>0</v>
      </c>
      <c r="AC363">
        <f>AND(IF(metadata!J363="",FALSE,TRUE),exact(metadata!J363,"1346744"))</f>
        <v>0</v>
      </c>
    </row>
    <row r="364" spans="1:29">
      <c r="A364" s="4">
        <f>IF(B364=" "," ",HYPERLINK(CONCATENATE("#metadata!",ADDRESS(INDEX($P$2:$P$1001,MATCH(ROWS($N$2:N364),$N$2:$N$1001,0),0),1)),INDEX($S$2:$S$1001,MATCH(ROWS($N$2:N364),$N$2:$N$1001,0),0)))</f>
        <v>0</v>
      </c>
      <c r="B364" s="3">
        <f>IF(OR(INDEX($O$2:$O$1001,MATCH(ROWS($N$2:N364),$N$2:$N$1001,0),1)&gt;=100000,INDEX($U$1005:$AC$1005,1,MATCH(COLUMNS($U$1006:U1006),$U$1006:$AC$1006,0))&gt;=100000), " ",IF(INDEX($U$2:$AC$1001,MATCH(ROWS($N$2:N364),$N$2:$N$1001,0),MATCH(COLUMNS($U$1006:U1006),$U$1006:$AC$1006,0)), HYPERLINK("#",""), HYPERLINK(CONCATENATE("#metadata!", ADDRESS(INDEX($P$2:$P$1001,MATCH(ROWS($N$2:N364),$N$2:$N$1001,0),0), INDEX($U$1004:$AC$1004,1,MATCH(COLUMNS($U$1006:U1006),$U$1006:$AC$1006,0)))),"Fix")))</f>
        <v>0</v>
      </c>
      <c r="C364" s="3">
        <f>IF(OR(INDEX($O$2:$O$1001,MATCH(ROWS($N$2:N364),$N$2:$N$1001,0),1)&gt;=100000,INDEX($U$1005:$AC$1005,1,MATCH(COLUMNS($U$1006:V1006),$U$1006:$AC$1006,0))&gt;=100000), " ",IF(INDEX($U$2:$AC$1001,MATCH(ROWS($N$2:N364),$N$2:$N$1001,0),MATCH(COLUMNS($U$1006:V1006),$U$1006:$AC$1006,0)), HYPERLINK("#",""), HYPERLINK(CONCATENATE("#metadata!", ADDRESS(INDEX($P$2:$P$1001,MATCH(ROWS($N$2:N364),$N$2:$N$1001,0),0), INDEX($U$1004:$AC$1004,1,MATCH(COLUMNS($U$1006:V1006),$U$1006:$AC$1006,0)))),"Fix")))</f>
        <v>0</v>
      </c>
      <c r="D364" s="3">
        <f>IF(OR(INDEX($O$2:$O$1001,MATCH(ROWS($N$2:N364),$N$2:$N$1001,0),1)&gt;=100000,INDEX($U$1005:$AC$1005,1,MATCH(COLUMNS($U$1006:W1006),$U$1006:$AC$1006,0))&gt;=100000), " ",IF(INDEX($U$2:$AC$1001,MATCH(ROWS($N$2:N364),$N$2:$N$1001,0),MATCH(COLUMNS($U$1006:W1006),$U$1006:$AC$1006,0)), HYPERLINK("#",""), HYPERLINK(CONCATENATE("#metadata!", ADDRESS(INDEX($P$2:$P$1001,MATCH(ROWS($N$2:N364),$N$2:$N$1001,0),0), INDEX($U$1004:$AC$1004,1,MATCH(COLUMNS($U$1006:W1006),$U$1006:$AC$1006,0)))),"Fix")))</f>
        <v>0</v>
      </c>
      <c r="E364" s="3">
        <f>IF(OR(INDEX($O$2:$O$1001,MATCH(ROWS($N$2:N364),$N$2:$N$1001,0),1)&gt;=100000,INDEX($U$1005:$AC$1005,1,MATCH(COLUMNS($U$1006:X1006),$U$1006:$AC$1006,0))&gt;=100000), " ",IF(INDEX($U$2:$AC$1001,MATCH(ROWS($N$2:N364),$N$2:$N$1001,0),MATCH(COLUMNS($U$1006:X1006),$U$1006:$AC$1006,0)), HYPERLINK("#",""), HYPERLINK(CONCATENATE("#metadata!", ADDRESS(INDEX($P$2:$P$1001,MATCH(ROWS($N$2:N364),$N$2:$N$1001,0),0), INDEX($U$1004:$AC$1004,1,MATCH(COLUMNS($U$1006:X1006),$U$1006:$AC$1006,0)))),"Fix")))</f>
        <v>0</v>
      </c>
      <c r="F364" s="3">
        <f>IF(OR(INDEX($O$2:$O$1001,MATCH(ROWS($N$2:N364),$N$2:$N$1001,0),1)&gt;=100000,INDEX($U$1005:$AC$1005,1,MATCH(COLUMNS($U$1006:Y1006),$U$1006:$AC$1006,0))&gt;=100000), " ",IF(INDEX($U$2:$AC$1001,MATCH(ROWS($N$2:N364),$N$2:$N$1001,0),MATCH(COLUMNS($U$1006:Y1006),$U$1006:$AC$1006,0)), HYPERLINK("#",""), HYPERLINK(CONCATENATE("#metadata!", ADDRESS(INDEX($P$2:$P$1001,MATCH(ROWS($N$2:N364),$N$2:$N$1001,0),0), INDEX($U$1004:$AC$1004,1,MATCH(COLUMNS($U$1006:Y1006),$U$1006:$AC$1006,0)))),"Fix")))</f>
        <v>0</v>
      </c>
      <c r="G364" s="3">
        <f>IF(OR(INDEX($O$2:$O$1001,MATCH(ROWS($N$2:N364),$N$2:$N$1001,0),1)&gt;=100000,INDEX($U$1005:$AC$1005,1,MATCH(COLUMNS($U$1006:Z1006),$U$1006:$AC$1006,0))&gt;=100000), " ",IF(INDEX($U$2:$AC$1001,MATCH(ROWS($N$2:N364),$N$2:$N$1001,0),MATCH(COLUMNS($U$1006:Z1006),$U$1006:$AC$1006,0)), HYPERLINK("#",""), HYPERLINK(CONCATENATE("#metadata!", ADDRESS(INDEX($P$2:$P$1001,MATCH(ROWS($N$2:N364),$N$2:$N$1001,0),0), INDEX($U$1004:$AC$1004,1,MATCH(COLUMNS($U$1006:Z1006),$U$1006:$AC$1006,0)))),"Fix")))</f>
        <v>0</v>
      </c>
      <c r="H364" s="3">
        <f>IF(OR(INDEX($O$2:$O$1001,MATCH(ROWS($N$2:N364),$N$2:$N$1001,0),1)&gt;=100000,INDEX($U$1005:$AC$1005,1,MATCH(COLUMNS($U$1006:AA1006),$U$1006:$AC$1006,0))&gt;=100000), " ",IF(INDEX($U$2:$AC$1001,MATCH(ROWS($N$2:N364),$N$2:$N$1001,0),MATCH(COLUMNS($U$1006:AA1006),$U$1006:$AC$1006,0)), HYPERLINK("#",""), HYPERLINK(CONCATENATE("#metadata!", ADDRESS(INDEX($P$2:$P$1001,MATCH(ROWS($N$2:N364),$N$2:$N$1001,0),0), INDEX($U$1004:$AC$1004,1,MATCH(COLUMNS($U$1006:AA1006),$U$1006:$AC$1006,0)))),"Fix")))</f>
        <v>0</v>
      </c>
      <c r="I364" s="3">
        <f>IF(OR(INDEX($O$2:$O$1001,MATCH(ROWS($N$2:N364),$N$2:$N$1001,0),1)&gt;=100000,INDEX($U$1005:$AC$1005,1,MATCH(COLUMNS($U$1006:AB1006),$U$1006:$AC$1006,0))&gt;=100000), " ",IF(INDEX($U$2:$AC$1001,MATCH(ROWS($N$2:N364),$N$2:$N$1001,0),MATCH(COLUMNS($U$1006:AB1006),$U$1006:$AC$1006,0)), HYPERLINK("#",""), HYPERLINK(CONCATENATE("#metadata!", ADDRESS(INDEX($P$2:$P$1001,MATCH(ROWS($N$2:N364),$N$2:$N$1001,0),0), INDEX($U$1004:$AC$1004,1,MATCH(COLUMNS($U$1006:AB1006),$U$1006:$AC$1006,0)))),"Fix")))</f>
        <v>0</v>
      </c>
      <c r="J364" s="3">
        <f>IF(OR(INDEX($O$2:$O$1001,MATCH(ROWS($N$2:N364),$N$2:$N$1001,0),1)&gt;=100000,INDEX($U$1005:$AC$1005,1,MATCH(COLUMNS($U$1006:AC1006),$U$1006:$AC$1006,0))&gt;=100000), " ",IF(INDEX($U$2:$AC$1001,MATCH(ROWS($N$2:N364),$N$2:$N$1001,0),MATCH(COLUMNS($U$1006:AC1006),$U$1006:$AC$1006,0)), HYPERLINK("#",""), HYPERLINK(CONCATENATE("#metadata!", ADDRESS(INDEX($P$2:$P$1001,MATCH(ROWS($N$2:N364),$N$2:$N$1001,0),0), INDEX($U$1004:$AC$1004,1,MATCH(COLUMNS($U$1006:AC1006),$U$1006:$AC$1006,0)))),"Fix")))</f>
        <v>0</v>
      </c>
      <c r="N364">
        <v>0</v>
      </c>
      <c r="O364">
        <v>0</v>
      </c>
      <c r="P364">
        <v>0</v>
      </c>
      <c r="Q364">
        <f>IF(R364,TRUE,AND(U364:AC364))</f>
        <v>0</v>
      </c>
      <c r="R364">
        <f>COUNTBLANK(metadata!B364:J364)=COLUMNS(metadata!B364:J364)</f>
        <v>0</v>
      </c>
      <c r="S364">
        <v>0</v>
      </c>
      <c r="U364">
        <f>AND(IF(metadata!B364="",FALSE,TRUE),COUNTIF(metadata!B:B, metadata!B364) = 1,NOT(ISERROR(SUMPRODUCT(SEARCH(MID(metadata!B364,ROW(INDIRECT("1:"&amp;LEN(metadata!B364))), 1),"0123456789abcdefghijklmnopqrstuvwxyzABCDEFGHIJKLMNOPQRSTUVWXYZ.")))))</f>
        <v>0</v>
      </c>
      <c r="V364">
        <f>AND(IF(metadata!C364="",FALSE,TRUE),exact(metadata!C364,"UBERON:genitourinary"))</f>
        <v>0</v>
      </c>
      <c r="W364">
        <f>AND(IF(metadata!D364="",FALSE,TRUE),exact(metadata!D364,"UBERON:urine"))</f>
        <v>0</v>
      </c>
      <c r="X364">
        <f>AND(IF(metadata!E364="",FALSE,TRUE),exact(metadata!E364,"UBERON:kidney"))</f>
        <v>0</v>
      </c>
      <c r="Y364">
        <f>AND(IF(metadata!F364="",FALSE,TRUE),exact(metadata!F364,"animal corpus"))</f>
        <v>0</v>
      </c>
      <c r="Z364">
        <f>AND(IF(metadata!G364="",FALSE,TRUE),exact(metadata!G364,"urine"))</f>
        <v>0</v>
      </c>
      <c r="AA364">
        <f>AND(IF(metadata!H364="",FALSE,TRUE),exact(metadata!H364,"urine"))</f>
        <v>0</v>
      </c>
      <c r="AB364">
        <f>AND(IF(metadata!I364="",FALSE,TRUE),exact(metadata!I364,"urine metagenome"))</f>
        <v>0</v>
      </c>
      <c r="AC364">
        <f>AND(IF(metadata!J364="",FALSE,TRUE),exact(metadata!J364,"1346744"))</f>
        <v>0</v>
      </c>
    </row>
    <row r="365" spans="1:29">
      <c r="A365" s="4">
        <f>IF(B365=" "," ",HYPERLINK(CONCATENATE("#metadata!",ADDRESS(INDEX($P$2:$P$1001,MATCH(ROWS($N$2:N365),$N$2:$N$1001,0),0),1)),INDEX($S$2:$S$1001,MATCH(ROWS($N$2:N365),$N$2:$N$1001,0),0)))</f>
        <v>0</v>
      </c>
      <c r="B365" s="3">
        <f>IF(OR(INDEX($O$2:$O$1001,MATCH(ROWS($N$2:N365),$N$2:$N$1001,0),1)&gt;=100000,INDEX($U$1005:$AC$1005,1,MATCH(COLUMNS($U$1006:U1006),$U$1006:$AC$1006,0))&gt;=100000), " ",IF(INDEX($U$2:$AC$1001,MATCH(ROWS($N$2:N365),$N$2:$N$1001,0),MATCH(COLUMNS($U$1006:U1006),$U$1006:$AC$1006,0)), HYPERLINK("#",""), HYPERLINK(CONCATENATE("#metadata!", ADDRESS(INDEX($P$2:$P$1001,MATCH(ROWS($N$2:N365),$N$2:$N$1001,0),0), INDEX($U$1004:$AC$1004,1,MATCH(COLUMNS($U$1006:U1006),$U$1006:$AC$1006,0)))),"Fix")))</f>
        <v>0</v>
      </c>
      <c r="C365" s="3">
        <f>IF(OR(INDEX($O$2:$O$1001,MATCH(ROWS($N$2:N365),$N$2:$N$1001,0),1)&gt;=100000,INDEX($U$1005:$AC$1005,1,MATCH(COLUMNS($U$1006:V1006),$U$1006:$AC$1006,0))&gt;=100000), " ",IF(INDEX($U$2:$AC$1001,MATCH(ROWS($N$2:N365),$N$2:$N$1001,0),MATCH(COLUMNS($U$1006:V1006),$U$1006:$AC$1006,0)), HYPERLINK("#",""), HYPERLINK(CONCATENATE("#metadata!", ADDRESS(INDEX($P$2:$P$1001,MATCH(ROWS($N$2:N365),$N$2:$N$1001,0),0), INDEX($U$1004:$AC$1004,1,MATCH(COLUMNS($U$1006:V1006),$U$1006:$AC$1006,0)))),"Fix")))</f>
        <v>0</v>
      </c>
      <c r="D365" s="3">
        <f>IF(OR(INDEX($O$2:$O$1001,MATCH(ROWS($N$2:N365),$N$2:$N$1001,0),1)&gt;=100000,INDEX($U$1005:$AC$1005,1,MATCH(COLUMNS($U$1006:W1006),$U$1006:$AC$1006,0))&gt;=100000), " ",IF(INDEX($U$2:$AC$1001,MATCH(ROWS($N$2:N365),$N$2:$N$1001,0),MATCH(COLUMNS($U$1006:W1006),$U$1006:$AC$1006,0)), HYPERLINK("#",""), HYPERLINK(CONCATENATE("#metadata!", ADDRESS(INDEX($P$2:$P$1001,MATCH(ROWS($N$2:N365),$N$2:$N$1001,0),0), INDEX($U$1004:$AC$1004,1,MATCH(COLUMNS($U$1006:W1006),$U$1006:$AC$1006,0)))),"Fix")))</f>
        <v>0</v>
      </c>
      <c r="E365" s="3">
        <f>IF(OR(INDEX($O$2:$O$1001,MATCH(ROWS($N$2:N365),$N$2:$N$1001,0),1)&gt;=100000,INDEX($U$1005:$AC$1005,1,MATCH(COLUMNS($U$1006:X1006),$U$1006:$AC$1006,0))&gt;=100000), " ",IF(INDEX($U$2:$AC$1001,MATCH(ROWS($N$2:N365),$N$2:$N$1001,0),MATCH(COLUMNS($U$1006:X1006),$U$1006:$AC$1006,0)), HYPERLINK("#",""), HYPERLINK(CONCATENATE("#metadata!", ADDRESS(INDEX($P$2:$P$1001,MATCH(ROWS($N$2:N365),$N$2:$N$1001,0),0), INDEX($U$1004:$AC$1004,1,MATCH(COLUMNS($U$1006:X1006),$U$1006:$AC$1006,0)))),"Fix")))</f>
        <v>0</v>
      </c>
      <c r="F365" s="3">
        <f>IF(OR(INDEX($O$2:$O$1001,MATCH(ROWS($N$2:N365),$N$2:$N$1001,0),1)&gt;=100000,INDEX($U$1005:$AC$1005,1,MATCH(COLUMNS($U$1006:Y1006),$U$1006:$AC$1006,0))&gt;=100000), " ",IF(INDEX($U$2:$AC$1001,MATCH(ROWS($N$2:N365),$N$2:$N$1001,0),MATCH(COLUMNS($U$1006:Y1006),$U$1006:$AC$1006,0)), HYPERLINK("#",""), HYPERLINK(CONCATENATE("#metadata!", ADDRESS(INDEX($P$2:$P$1001,MATCH(ROWS($N$2:N365),$N$2:$N$1001,0),0), INDEX($U$1004:$AC$1004,1,MATCH(COLUMNS($U$1006:Y1006),$U$1006:$AC$1006,0)))),"Fix")))</f>
        <v>0</v>
      </c>
      <c r="G365" s="3">
        <f>IF(OR(INDEX($O$2:$O$1001,MATCH(ROWS($N$2:N365),$N$2:$N$1001,0),1)&gt;=100000,INDEX($U$1005:$AC$1005,1,MATCH(COLUMNS($U$1006:Z1006),$U$1006:$AC$1006,0))&gt;=100000), " ",IF(INDEX($U$2:$AC$1001,MATCH(ROWS($N$2:N365),$N$2:$N$1001,0),MATCH(COLUMNS($U$1006:Z1006),$U$1006:$AC$1006,0)), HYPERLINK("#",""), HYPERLINK(CONCATENATE("#metadata!", ADDRESS(INDEX($P$2:$P$1001,MATCH(ROWS($N$2:N365),$N$2:$N$1001,0),0), INDEX($U$1004:$AC$1004,1,MATCH(COLUMNS($U$1006:Z1006),$U$1006:$AC$1006,0)))),"Fix")))</f>
        <v>0</v>
      </c>
      <c r="H365" s="3">
        <f>IF(OR(INDEX($O$2:$O$1001,MATCH(ROWS($N$2:N365),$N$2:$N$1001,0),1)&gt;=100000,INDEX($U$1005:$AC$1005,1,MATCH(COLUMNS($U$1006:AA1006),$U$1006:$AC$1006,0))&gt;=100000), " ",IF(INDEX($U$2:$AC$1001,MATCH(ROWS($N$2:N365),$N$2:$N$1001,0),MATCH(COLUMNS($U$1006:AA1006),$U$1006:$AC$1006,0)), HYPERLINK("#",""), HYPERLINK(CONCATENATE("#metadata!", ADDRESS(INDEX($P$2:$P$1001,MATCH(ROWS($N$2:N365),$N$2:$N$1001,0),0), INDEX($U$1004:$AC$1004,1,MATCH(COLUMNS($U$1006:AA1006),$U$1006:$AC$1006,0)))),"Fix")))</f>
        <v>0</v>
      </c>
      <c r="I365" s="3">
        <f>IF(OR(INDEX($O$2:$O$1001,MATCH(ROWS($N$2:N365),$N$2:$N$1001,0),1)&gt;=100000,INDEX($U$1005:$AC$1005,1,MATCH(COLUMNS($U$1006:AB1006),$U$1006:$AC$1006,0))&gt;=100000), " ",IF(INDEX($U$2:$AC$1001,MATCH(ROWS($N$2:N365),$N$2:$N$1001,0),MATCH(COLUMNS($U$1006:AB1006),$U$1006:$AC$1006,0)), HYPERLINK("#",""), HYPERLINK(CONCATENATE("#metadata!", ADDRESS(INDEX($P$2:$P$1001,MATCH(ROWS($N$2:N365),$N$2:$N$1001,0),0), INDEX($U$1004:$AC$1004,1,MATCH(COLUMNS($U$1006:AB1006),$U$1006:$AC$1006,0)))),"Fix")))</f>
        <v>0</v>
      </c>
      <c r="J365" s="3">
        <f>IF(OR(INDEX($O$2:$O$1001,MATCH(ROWS($N$2:N365),$N$2:$N$1001,0),1)&gt;=100000,INDEX($U$1005:$AC$1005,1,MATCH(COLUMNS($U$1006:AC1006),$U$1006:$AC$1006,0))&gt;=100000), " ",IF(INDEX($U$2:$AC$1001,MATCH(ROWS($N$2:N365),$N$2:$N$1001,0),MATCH(COLUMNS($U$1006:AC1006),$U$1006:$AC$1006,0)), HYPERLINK("#",""), HYPERLINK(CONCATENATE("#metadata!", ADDRESS(INDEX($P$2:$P$1001,MATCH(ROWS($N$2:N365),$N$2:$N$1001,0),0), INDEX($U$1004:$AC$1004,1,MATCH(COLUMNS($U$1006:AC1006),$U$1006:$AC$1006,0)))),"Fix")))</f>
        <v>0</v>
      </c>
      <c r="N365">
        <v>0</v>
      </c>
      <c r="O365">
        <v>0</v>
      </c>
      <c r="P365">
        <v>0</v>
      </c>
      <c r="Q365">
        <f>IF(R365,TRUE,AND(U365:AC365))</f>
        <v>0</v>
      </c>
      <c r="R365">
        <f>COUNTBLANK(metadata!B365:J365)=COLUMNS(metadata!B365:J365)</f>
        <v>0</v>
      </c>
      <c r="S365">
        <v>0</v>
      </c>
      <c r="U365">
        <f>AND(IF(metadata!B365="",FALSE,TRUE),COUNTIF(metadata!B:B, metadata!B365) = 1,NOT(ISERROR(SUMPRODUCT(SEARCH(MID(metadata!B365,ROW(INDIRECT("1:"&amp;LEN(metadata!B365))), 1),"0123456789abcdefghijklmnopqrstuvwxyzABCDEFGHIJKLMNOPQRSTUVWXYZ.")))))</f>
        <v>0</v>
      </c>
      <c r="V365">
        <f>AND(IF(metadata!C365="",FALSE,TRUE),exact(metadata!C365,"UBERON:genitourinary"))</f>
        <v>0</v>
      </c>
      <c r="W365">
        <f>AND(IF(metadata!D365="",FALSE,TRUE),exact(metadata!D365,"UBERON:urine"))</f>
        <v>0</v>
      </c>
      <c r="X365">
        <f>AND(IF(metadata!E365="",FALSE,TRUE),exact(metadata!E365,"UBERON:kidney"))</f>
        <v>0</v>
      </c>
      <c r="Y365">
        <f>AND(IF(metadata!F365="",FALSE,TRUE),exact(metadata!F365,"animal corpus"))</f>
        <v>0</v>
      </c>
      <c r="Z365">
        <f>AND(IF(metadata!G365="",FALSE,TRUE),exact(metadata!G365,"urine"))</f>
        <v>0</v>
      </c>
      <c r="AA365">
        <f>AND(IF(metadata!H365="",FALSE,TRUE),exact(metadata!H365,"urine"))</f>
        <v>0</v>
      </c>
      <c r="AB365">
        <f>AND(IF(metadata!I365="",FALSE,TRUE),exact(metadata!I365,"urine metagenome"))</f>
        <v>0</v>
      </c>
      <c r="AC365">
        <f>AND(IF(metadata!J365="",FALSE,TRUE),exact(metadata!J365,"1346744"))</f>
        <v>0</v>
      </c>
    </row>
    <row r="366" spans="1:29">
      <c r="A366" s="4">
        <f>IF(B366=" "," ",HYPERLINK(CONCATENATE("#metadata!",ADDRESS(INDEX($P$2:$P$1001,MATCH(ROWS($N$2:N366),$N$2:$N$1001,0),0),1)),INDEX($S$2:$S$1001,MATCH(ROWS($N$2:N366),$N$2:$N$1001,0),0)))</f>
        <v>0</v>
      </c>
      <c r="B366" s="3">
        <f>IF(OR(INDEX($O$2:$O$1001,MATCH(ROWS($N$2:N366),$N$2:$N$1001,0),1)&gt;=100000,INDEX($U$1005:$AC$1005,1,MATCH(COLUMNS($U$1006:U1006),$U$1006:$AC$1006,0))&gt;=100000), " ",IF(INDEX($U$2:$AC$1001,MATCH(ROWS($N$2:N366),$N$2:$N$1001,0),MATCH(COLUMNS($U$1006:U1006),$U$1006:$AC$1006,0)), HYPERLINK("#",""), HYPERLINK(CONCATENATE("#metadata!", ADDRESS(INDEX($P$2:$P$1001,MATCH(ROWS($N$2:N366),$N$2:$N$1001,0),0), INDEX($U$1004:$AC$1004,1,MATCH(COLUMNS($U$1006:U1006),$U$1006:$AC$1006,0)))),"Fix")))</f>
        <v>0</v>
      </c>
      <c r="C366" s="3">
        <f>IF(OR(INDEX($O$2:$O$1001,MATCH(ROWS($N$2:N366),$N$2:$N$1001,0),1)&gt;=100000,INDEX($U$1005:$AC$1005,1,MATCH(COLUMNS($U$1006:V1006),$U$1006:$AC$1006,0))&gt;=100000), " ",IF(INDEX($U$2:$AC$1001,MATCH(ROWS($N$2:N366),$N$2:$N$1001,0),MATCH(COLUMNS($U$1006:V1006),$U$1006:$AC$1006,0)), HYPERLINK("#",""), HYPERLINK(CONCATENATE("#metadata!", ADDRESS(INDEX($P$2:$P$1001,MATCH(ROWS($N$2:N366),$N$2:$N$1001,0),0), INDEX($U$1004:$AC$1004,1,MATCH(COLUMNS($U$1006:V1006),$U$1006:$AC$1006,0)))),"Fix")))</f>
        <v>0</v>
      </c>
      <c r="D366" s="3">
        <f>IF(OR(INDEX($O$2:$O$1001,MATCH(ROWS($N$2:N366),$N$2:$N$1001,0),1)&gt;=100000,INDEX($U$1005:$AC$1005,1,MATCH(COLUMNS($U$1006:W1006),$U$1006:$AC$1006,0))&gt;=100000), " ",IF(INDEX($U$2:$AC$1001,MATCH(ROWS($N$2:N366),$N$2:$N$1001,0),MATCH(COLUMNS($U$1006:W1006),$U$1006:$AC$1006,0)), HYPERLINK("#",""), HYPERLINK(CONCATENATE("#metadata!", ADDRESS(INDEX($P$2:$P$1001,MATCH(ROWS($N$2:N366),$N$2:$N$1001,0),0), INDEX($U$1004:$AC$1004,1,MATCH(COLUMNS($U$1006:W1006),$U$1006:$AC$1006,0)))),"Fix")))</f>
        <v>0</v>
      </c>
      <c r="E366" s="3">
        <f>IF(OR(INDEX($O$2:$O$1001,MATCH(ROWS($N$2:N366),$N$2:$N$1001,0),1)&gt;=100000,INDEX($U$1005:$AC$1005,1,MATCH(COLUMNS($U$1006:X1006),$U$1006:$AC$1006,0))&gt;=100000), " ",IF(INDEX($U$2:$AC$1001,MATCH(ROWS($N$2:N366),$N$2:$N$1001,0),MATCH(COLUMNS($U$1006:X1006),$U$1006:$AC$1006,0)), HYPERLINK("#",""), HYPERLINK(CONCATENATE("#metadata!", ADDRESS(INDEX($P$2:$P$1001,MATCH(ROWS($N$2:N366),$N$2:$N$1001,0),0), INDEX($U$1004:$AC$1004,1,MATCH(COLUMNS($U$1006:X1006),$U$1006:$AC$1006,0)))),"Fix")))</f>
        <v>0</v>
      </c>
      <c r="F366" s="3">
        <f>IF(OR(INDEX($O$2:$O$1001,MATCH(ROWS($N$2:N366),$N$2:$N$1001,0),1)&gt;=100000,INDEX($U$1005:$AC$1005,1,MATCH(COLUMNS($U$1006:Y1006),$U$1006:$AC$1006,0))&gt;=100000), " ",IF(INDEX($U$2:$AC$1001,MATCH(ROWS($N$2:N366),$N$2:$N$1001,0),MATCH(COLUMNS($U$1006:Y1006),$U$1006:$AC$1006,0)), HYPERLINK("#",""), HYPERLINK(CONCATENATE("#metadata!", ADDRESS(INDEX($P$2:$P$1001,MATCH(ROWS($N$2:N366),$N$2:$N$1001,0),0), INDEX($U$1004:$AC$1004,1,MATCH(COLUMNS($U$1006:Y1006),$U$1006:$AC$1006,0)))),"Fix")))</f>
        <v>0</v>
      </c>
      <c r="G366" s="3">
        <f>IF(OR(INDEX($O$2:$O$1001,MATCH(ROWS($N$2:N366),$N$2:$N$1001,0),1)&gt;=100000,INDEX($U$1005:$AC$1005,1,MATCH(COLUMNS($U$1006:Z1006),$U$1006:$AC$1006,0))&gt;=100000), " ",IF(INDEX($U$2:$AC$1001,MATCH(ROWS($N$2:N366),$N$2:$N$1001,0),MATCH(COLUMNS($U$1006:Z1006),$U$1006:$AC$1006,0)), HYPERLINK("#",""), HYPERLINK(CONCATENATE("#metadata!", ADDRESS(INDEX($P$2:$P$1001,MATCH(ROWS($N$2:N366),$N$2:$N$1001,0),0), INDEX($U$1004:$AC$1004,1,MATCH(COLUMNS($U$1006:Z1006),$U$1006:$AC$1006,0)))),"Fix")))</f>
        <v>0</v>
      </c>
      <c r="H366" s="3">
        <f>IF(OR(INDEX($O$2:$O$1001,MATCH(ROWS($N$2:N366),$N$2:$N$1001,0),1)&gt;=100000,INDEX($U$1005:$AC$1005,1,MATCH(COLUMNS($U$1006:AA1006),$U$1006:$AC$1006,0))&gt;=100000), " ",IF(INDEX($U$2:$AC$1001,MATCH(ROWS($N$2:N366),$N$2:$N$1001,0),MATCH(COLUMNS($U$1006:AA1006),$U$1006:$AC$1006,0)), HYPERLINK("#",""), HYPERLINK(CONCATENATE("#metadata!", ADDRESS(INDEX($P$2:$P$1001,MATCH(ROWS($N$2:N366),$N$2:$N$1001,0),0), INDEX($U$1004:$AC$1004,1,MATCH(COLUMNS($U$1006:AA1006),$U$1006:$AC$1006,0)))),"Fix")))</f>
        <v>0</v>
      </c>
      <c r="I366" s="3">
        <f>IF(OR(INDEX($O$2:$O$1001,MATCH(ROWS($N$2:N366),$N$2:$N$1001,0),1)&gt;=100000,INDEX($U$1005:$AC$1005,1,MATCH(COLUMNS($U$1006:AB1006),$U$1006:$AC$1006,0))&gt;=100000), " ",IF(INDEX($U$2:$AC$1001,MATCH(ROWS($N$2:N366),$N$2:$N$1001,0),MATCH(COLUMNS($U$1006:AB1006),$U$1006:$AC$1006,0)), HYPERLINK("#",""), HYPERLINK(CONCATENATE("#metadata!", ADDRESS(INDEX($P$2:$P$1001,MATCH(ROWS($N$2:N366),$N$2:$N$1001,0),0), INDEX($U$1004:$AC$1004,1,MATCH(COLUMNS($U$1006:AB1006),$U$1006:$AC$1006,0)))),"Fix")))</f>
        <v>0</v>
      </c>
      <c r="J366" s="3">
        <f>IF(OR(INDEX($O$2:$O$1001,MATCH(ROWS($N$2:N366),$N$2:$N$1001,0),1)&gt;=100000,INDEX($U$1005:$AC$1005,1,MATCH(COLUMNS($U$1006:AC1006),$U$1006:$AC$1006,0))&gt;=100000), " ",IF(INDEX($U$2:$AC$1001,MATCH(ROWS($N$2:N366),$N$2:$N$1001,0),MATCH(COLUMNS($U$1006:AC1006),$U$1006:$AC$1006,0)), HYPERLINK("#",""), HYPERLINK(CONCATENATE("#metadata!", ADDRESS(INDEX($P$2:$P$1001,MATCH(ROWS($N$2:N366),$N$2:$N$1001,0),0), INDEX($U$1004:$AC$1004,1,MATCH(COLUMNS($U$1006:AC1006),$U$1006:$AC$1006,0)))),"Fix")))</f>
        <v>0</v>
      </c>
      <c r="N366">
        <v>0</v>
      </c>
      <c r="O366">
        <v>0</v>
      </c>
      <c r="P366">
        <v>0</v>
      </c>
      <c r="Q366">
        <f>IF(R366,TRUE,AND(U366:AC366))</f>
        <v>0</v>
      </c>
      <c r="R366">
        <f>COUNTBLANK(metadata!B366:J366)=COLUMNS(metadata!B366:J366)</f>
        <v>0</v>
      </c>
      <c r="S366">
        <v>0</v>
      </c>
      <c r="U366">
        <f>AND(IF(metadata!B366="",FALSE,TRUE),COUNTIF(metadata!B:B, metadata!B366) = 1,NOT(ISERROR(SUMPRODUCT(SEARCH(MID(metadata!B366,ROW(INDIRECT("1:"&amp;LEN(metadata!B366))), 1),"0123456789abcdefghijklmnopqrstuvwxyzABCDEFGHIJKLMNOPQRSTUVWXYZ.")))))</f>
        <v>0</v>
      </c>
      <c r="V366">
        <f>AND(IF(metadata!C366="",FALSE,TRUE),exact(metadata!C366,"UBERON:genitourinary"))</f>
        <v>0</v>
      </c>
      <c r="W366">
        <f>AND(IF(metadata!D366="",FALSE,TRUE),exact(metadata!D366,"UBERON:urine"))</f>
        <v>0</v>
      </c>
      <c r="X366">
        <f>AND(IF(metadata!E366="",FALSE,TRUE),exact(metadata!E366,"UBERON:kidney"))</f>
        <v>0</v>
      </c>
      <c r="Y366">
        <f>AND(IF(metadata!F366="",FALSE,TRUE),exact(metadata!F366,"animal corpus"))</f>
        <v>0</v>
      </c>
      <c r="Z366">
        <f>AND(IF(metadata!G366="",FALSE,TRUE),exact(metadata!G366,"urine"))</f>
        <v>0</v>
      </c>
      <c r="AA366">
        <f>AND(IF(metadata!H366="",FALSE,TRUE),exact(metadata!H366,"urine"))</f>
        <v>0</v>
      </c>
      <c r="AB366">
        <f>AND(IF(metadata!I366="",FALSE,TRUE),exact(metadata!I366,"urine metagenome"))</f>
        <v>0</v>
      </c>
      <c r="AC366">
        <f>AND(IF(metadata!J366="",FALSE,TRUE),exact(metadata!J366,"1346744"))</f>
        <v>0</v>
      </c>
    </row>
    <row r="367" spans="1:29">
      <c r="A367" s="4">
        <f>IF(B367=" "," ",HYPERLINK(CONCATENATE("#metadata!",ADDRESS(INDEX($P$2:$P$1001,MATCH(ROWS($N$2:N367),$N$2:$N$1001,0),0),1)),INDEX($S$2:$S$1001,MATCH(ROWS($N$2:N367),$N$2:$N$1001,0),0)))</f>
        <v>0</v>
      </c>
      <c r="B367" s="3">
        <f>IF(OR(INDEX($O$2:$O$1001,MATCH(ROWS($N$2:N367),$N$2:$N$1001,0),1)&gt;=100000,INDEX($U$1005:$AC$1005,1,MATCH(COLUMNS($U$1006:U1006),$U$1006:$AC$1006,0))&gt;=100000), " ",IF(INDEX($U$2:$AC$1001,MATCH(ROWS($N$2:N367),$N$2:$N$1001,0),MATCH(COLUMNS($U$1006:U1006),$U$1006:$AC$1006,0)), HYPERLINK("#",""), HYPERLINK(CONCATENATE("#metadata!", ADDRESS(INDEX($P$2:$P$1001,MATCH(ROWS($N$2:N367),$N$2:$N$1001,0),0), INDEX($U$1004:$AC$1004,1,MATCH(COLUMNS($U$1006:U1006),$U$1006:$AC$1006,0)))),"Fix")))</f>
        <v>0</v>
      </c>
      <c r="C367" s="3">
        <f>IF(OR(INDEX($O$2:$O$1001,MATCH(ROWS($N$2:N367),$N$2:$N$1001,0),1)&gt;=100000,INDEX($U$1005:$AC$1005,1,MATCH(COLUMNS($U$1006:V1006),$U$1006:$AC$1006,0))&gt;=100000), " ",IF(INDEX($U$2:$AC$1001,MATCH(ROWS($N$2:N367),$N$2:$N$1001,0),MATCH(COLUMNS($U$1006:V1006),$U$1006:$AC$1006,0)), HYPERLINK("#",""), HYPERLINK(CONCATENATE("#metadata!", ADDRESS(INDEX($P$2:$P$1001,MATCH(ROWS($N$2:N367),$N$2:$N$1001,0),0), INDEX($U$1004:$AC$1004,1,MATCH(COLUMNS($U$1006:V1006),$U$1006:$AC$1006,0)))),"Fix")))</f>
        <v>0</v>
      </c>
      <c r="D367" s="3">
        <f>IF(OR(INDEX($O$2:$O$1001,MATCH(ROWS($N$2:N367),$N$2:$N$1001,0),1)&gt;=100000,INDEX($U$1005:$AC$1005,1,MATCH(COLUMNS($U$1006:W1006),$U$1006:$AC$1006,0))&gt;=100000), " ",IF(INDEX($U$2:$AC$1001,MATCH(ROWS($N$2:N367),$N$2:$N$1001,0),MATCH(COLUMNS($U$1006:W1006),$U$1006:$AC$1006,0)), HYPERLINK("#",""), HYPERLINK(CONCATENATE("#metadata!", ADDRESS(INDEX($P$2:$P$1001,MATCH(ROWS($N$2:N367),$N$2:$N$1001,0),0), INDEX($U$1004:$AC$1004,1,MATCH(COLUMNS($U$1006:W1006),$U$1006:$AC$1006,0)))),"Fix")))</f>
        <v>0</v>
      </c>
      <c r="E367" s="3">
        <f>IF(OR(INDEX($O$2:$O$1001,MATCH(ROWS($N$2:N367),$N$2:$N$1001,0),1)&gt;=100000,INDEX($U$1005:$AC$1005,1,MATCH(COLUMNS($U$1006:X1006),$U$1006:$AC$1006,0))&gt;=100000), " ",IF(INDEX($U$2:$AC$1001,MATCH(ROWS($N$2:N367),$N$2:$N$1001,0),MATCH(COLUMNS($U$1006:X1006),$U$1006:$AC$1006,0)), HYPERLINK("#",""), HYPERLINK(CONCATENATE("#metadata!", ADDRESS(INDEX($P$2:$P$1001,MATCH(ROWS($N$2:N367),$N$2:$N$1001,0),0), INDEX($U$1004:$AC$1004,1,MATCH(COLUMNS($U$1006:X1006),$U$1006:$AC$1006,0)))),"Fix")))</f>
        <v>0</v>
      </c>
      <c r="F367" s="3">
        <f>IF(OR(INDEX($O$2:$O$1001,MATCH(ROWS($N$2:N367),$N$2:$N$1001,0),1)&gt;=100000,INDEX($U$1005:$AC$1005,1,MATCH(COLUMNS($U$1006:Y1006),$U$1006:$AC$1006,0))&gt;=100000), " ",IF(INDEX($U$2:$AC$1001,MATCH(ROWS($N$2:N367),$N$2:$N$1001,0),MATCH(COLUMNS($U$1006:Y1006),$U$1006:$AC$1006,0)), HYPERLINK("#",""), HYPERLINK(CONCATENATE("#metadata!", ADDRESS(INDEX($P$2:$P$1001,MATCH(ROWS($N$2:N367),$N$2:$N$1001,0),0), INDEX($U$1004:$AC$1004,1,MATCH(COLUMNS($U$1006:Y1006),$U$1006:$AC$1006,0)))),"Fix")))</f>
        <v>0</v>
      </c>
      <c r="G367" s="3">
        <f>IF(OR(INDEX($O$2:$O$1001,MATCH(ROWS($N$2:N367),$N$2:$N$1001,0),1)&gt;=100000,INDEX($U$1005:$AC$1005,1,MATCH(COLUMNS($U$1006:Z1006),$U$1006:$AC$1006,0))&gt;=100000), " ",IF(INDEX($U$2:$AC$1001,MATCH(ROWS($N$2:N367),$N$2:$N$1001,0),MATCH(COLUMNS($U$1006:Z1006),$U$1006:$AC$1006,0)), HYPERLINK("#",""), HYPERLINK(CONCATENATE("#metadata!", ADDRESS(INDEX($P$2:$P$1001,MATCH(ROWS($N$2:N367),$N$2:$N$1001,0),0), INDEX($U$1004:$AC$1004,1,MATCH(COLUMNS($U$1006:Z1006),$U$1006:$AC$1006,0)))),"Fix")))</f>
        <v>0</v>
      </c>
      <c r="H367" s="3">
        <f>IF(OR(INDEX($O$2:$O$1001,MATCH(ROWS($N$2:N367),$N$2:$N$1001,0),1)&gt;=100000,INDEX($U$1005:$AC$1005,1,MATCH(COLUMNS($U$1006:AA1006),$U$1006:$AC$1006,0))&gt;=100000), " ",IF(INDEX($U$2:$AC$1001,MATCH(ROWS($N$2:N367),$N$2:$N$1001,0),MATCH(COLUMNS($U$1006:AA1006),$U$1006:$AC$1006,0)), HYPERLINK("#",""), HYPERLINK(CONCATENATE("#metadata!", ADDRESS(INDEX($P$2:$P$1001,MATCH(ROWS($N$2:N367),$N$2:$N$1001,0),0), INDEX($U$1004:$AC$1004,1,MATCH(COLUMNS($U$1006:AA1006),$U$1006:$AC$1006,0)))),"Fix")))</f>
        <v>0</v>
      </c>
      <c r="I367" s="3">
        <f>IF(OR(INDEX($O$2:$O$1001,MATCH(ROWS($N$2:N367),$N$2:$N$1001,0),1)&gt;=100000,INDEX($U$1005:$AC$1005,1,MATCH(COLUMNS($U$1006:AB1006),$U$1006:$AC$1006,0))&gt;=100000), " ",IF(INDEX($U$2:$AC$1001,MATCH(ROWS($N$2:N367),$N$2:$N$1001,0),MATCH(COLUMNS($U$1006:AB1006),$U$1006:$AC$1006,0)), HYPERLINK("#",""), HYPERLINK(CONCATENATE("#metadata!", ADDRESS(INDEX($P$2:$P$1001,MATCH(ROWS($N$2:N367),$N$2:$N$1001,0),0), INDEX($U$1004:$AC$1004,1,MATCH(COLUMNS($U$1006:AB1006),$U$1006:$AC$1006,0)))),"Fix")))</f>
        <v>0</v>
      </c>
      <c r="J367" s="3">
        <f>IF(OR(INDEX($O$2:$O$1001,MATCH(ROWS($N$2:N367),$N$2:$N$1001,0),1)&gt;=100000,INDEX($U$1005:$AC$1005,1,MATCH(COLUMNS($U$1006:AC1006),$U$1006:$AC$1006,0))&gt;=100000), " ",IF(INDEX($U$2:$AC$1001,MATCH(ROWS($N$2:N367),$N$2:$N$1001,0),MATCH(COLUMNS($U$1006:AC1006),$U$1006:$AC$1006,0)), HYPERLINK("#",""), HYPERLINK(CONCATENATE("#metadata!", ADDRESS(INDEX($P$2:$P$1001,MATCH(ROWS($N$2:N367),$N$2:$N$1001,0),0), INDEX($U$1004:$AC$1004,1,MATCH(COLUMNS($U$1006:AC1006),$U$1006:$AC$1006,0)))),"Fix")))</f>
        <v>0</v>
      </c>
      <c r="N367">
        <v>0</v>
      </c>
      <c r="O367">
        <v>0</v>
      </c>
      <c r="P367">
        <v>0</v>
      </c>
      <c r="Q367">
        <f>IF(R367,TRUE,AND(U367:AC367))</f>
        <v>0</v>
      </c>
      <c r="R367">
        <f>COUNTBLANK(metadata!B367:J367)=COLUMNS(metadata!B367:J367)</f>
        <v>0</v>
      </c>
      <c r="S367">
        <v>0</v>
      </c>
      <c r="U367">
        <f>AND(IF(metadata!B367="",FALSE,TRUE),COUNTIF(metadata!B:B, metadata!B367) = 1,NOT(ISERROR(SUMPRODUCT(SEARCH(MID(metadata!B367,ROW(INDIRECT("1:"&amp;LEN(metadata!B367))), 1),"0123456789abcdefghijklmnopqrstuvwxyzABCDEFGHIJKLMNOPQRSTUVWXYZ.")))))</f>
        <v>0</v>
      </c>
      <c r="V367">
        <f>AND(IF(metadata!C367="",FALSE,TRUE),exact(metadata!C367,"UBERON:genitourinary"))</f>
        <v>0</v>
      </c>
      <c r="W367">
        <f>AND(IF(metadata!D367="",FALSE,TRUE),exact(metadata!D367,"UBERON:urine"))</f>
        <v>0</v>
      </c>
      <c r="X367">
        <f>AND(IF(metadata!E367="",FALSE,TRUE),exact(metadata!E367,"UBERON:kidney"))</f>
        <v>0</v>
      </c>
      <c r="Y367">
        <f>AND(IF(metadata!F367="",FALSE,TRUE),exact(metadata!F367,"animal corpus"))</f>
        <v>0</v>
      </c>
      <c r="Z367">
        <f>AND(IF(metadata!G367="",FALSE,TRUE),exact(metadata!G367,"urine"))</f>
        <v>0</v>
      </c>
      <c r="AA367">
        <f>AND(IF(metadata!H367="",FALSE,TRUE),exact(metadata!H367,"urine"))</f>
        <v>0</v>
      </c>
      <c r="AB367">
        <f>AND(IF(metadata!I367="",FALSE,TRUE),exact(metadata!I367,"urine metagenome"))</f>
        <v>0</v>
      </c>
      <c r="AC367">
        <f>AND(IF(metadata!J367="",FALSE,TRUE),exact(metadata!J367,"1346744"))</f>
        <v>0</v>
      </c>
    </row>
    <row r="368" spans="1:29">
      <c r="A368" s="4">
        <f>IF(B368=" "," ",HYPERLINK(CONCATENATE("#metadata!",ADDRESS(INDEX($P$2:$P$1001,MATCH(ROWS($N$2:N368),$N$2:$N$1001,0),0),1)),INDEX($S$2:$S$1001,MATCH(ROWS($N$2:N368),$N$2:$N$1001,0),0)))</f>
        <v>0</v>
      </c>
      <c r="B368" s="3">
        <f>IF(OR(INDEX($O$2:$O$1001,MATCH(ROWS($N$2:N368),$N$2:$N$1001,0),1)&gt;=100000,INDEX($U$1005:$AC$1005,1,MATCH(COLUMNS($U$1006:U1006),$U$1006:$AC$1006,0))&gt;=100000), " ",IF(INDEX($U$2:$AC$1001,MATCH(ROWS($N$2:N368),$N$2:$N$1001,0),MATCH(COLUMNS($U$1006:U1006),$U$1006:$AC$1006,0)), HYPERLINK("#",""), HYPERLINK(CONCATENATE("#metadata!", ADDRESS(INDEX($P$2:$P$1001,MATCH(ROWS($N$2:N368),$N$2:$N$1001,0),0), INDEX($U$1004:$AC$1004,1,MATCH(COLUMNS($U$1006:U1006),$U$1006:$AC$1006,0)))),"Fix")))</f>
        <v>0</v>
      </c>
      <c r="C368" s="3">
        <f>IF(OR(INDEX($O$2:$O$1001,MATCH(ROWS($N$2:N368),$N$2:$N$1001,0),1)&gt;=100000,INDEX($U$1005:$AC$1005,1,MATCH(COLUMNS($U$1006:V1006),$U$1006:$AC$1006,0))&gt;=100000), " ",IF(INDEX($U$2:$AC$1001,MATCH(ROWS($N$2:N368),$N$2:$N$1001,0),MATCH(COLUMNS($U$1006:V1006),$U$1006:$AC$1006,0)), HYPERLINK("#",""), HYPERLINK(CONCATENATE("#metadata!", ADDRESS(INDEX($P$2:$P$1001,MATCH(ROWS($N$2:N368),$N$2:$N$1001,0),0), INDEX($U$1004:$AC$1004,1,MATCH(COLUMNS($U$1006:V1006),$U$1006:$AC$1006,0)))),"Fix")))</f>
        <v>0</v>
      </c>
      <c r="D368" s="3">
        <f>IF(OR(INDEX($O$2:$O$1001,MATCH(ROWS($N$2:N368),$N$2:$N$1001,0),1)&gt;=100000,INDEX($U$1005:$AC$1005,1,MATCH(COLUMNS($U$1006:W1006),$U$1006:$AC$1006,0))&gt;=100000), " ",IF(INDEX($U$2:$AC$1001,MATCH(ROWS($N$2:N368),$N$2:$N$1001,0),MATCH(COLUMNS($U$1006:W1006),$U$1006:$AC$1006,0)), HYPERLINK("#",""), HYPERLINK(CONCATENATE("#metadata!", ADDRESS(INDEX($P$2:$P$1001,MATCH(ROWS($N$2:N368),$N$2:$N$1001,0),0), INDEX($U$1004:$AC$1004,1,MATCH(COLUMNS($U$1006:W1006),$U$1006:$AC$1006,0)))),"Fix")))</f>
        <v>0</v>
      </c>
      <c r="E368" s="3">
        <f>IF(OR(INDEX($O$2:$O$1001,MATCH(ROWS($N$2:N368),$N$2:$N$1001,0),1)&gt;=100000,INDEX($U$1005:$AC$1005,1,MATCH(COLUMNS($U$1006:X1006),$U$1006:$AC$1006,0))&gt;=100000), " ",IF(INDEX($U$2:$AC$1001,MATCH(ROWS($N$2:N368),$N$2:$N$1001,0),MATCH(COLUMNS($U$1006:X1006),$U$1006:$AC$1006,0)), HYPERLINK("#",""), HYPERLINK(CONCATENATE("#metadata!", ADDRESS(INDEX($P$2:$P$1001,MATCH(ROWS($N$2:N368),$N$2:$N$1001,0),0), INDEX($U$1004:$AC$1004,1,MATCH(COLUMNS($U$1006:X1006),$U$1006:$AC$1006,0)))),"Fix")))</f>
        <v>0</v>
      </c>
      <c r="F368" s="3">
        <f>IF(OR(INDEX($O$2:$O$1001,MATCH(ROWS($N$2:N368),$N$2:$N$1001,0),1)&gt;=100000,INDEX($U$1005:$AC$1005,1,MATCH(COLUMNS($U$1006:Y1006),$U$1006:$AC$1006,0))&gt;=100000), " ",IF(INDEX($U$2:$AC$1001,MATCH(ROWS($N$2:N368),$N$2:$N$1001,0),MATCH(COLUMNS($U$1006:Y1006),$U$1006:$AC$1006,0)), HYPERLINK("#",""), HYPERLINK(CONCATENATE("#metadata!", ADDRESS(INDEX($P$2:$P$1001,MATCH(ROWS($N$2:N368),$N$2:$N$1001,0),0), INDEX($U$1004:$AC$1004,1,MATCH(COLUMNS($U$1006:Y1006),$U$1006:$AC$1006,0)))),"Fix")))</f>
        <v>0</v>
      </c>
      <c r="G368" s="3">
        <f>IF(OR(INDEX($O$2:$O$1001,MATCH(ROWS($N$2:N368),$N$2:$N$1001,0),1)&gt;=100000,INDEX($U$1005:$AC$1005,1,MATCH(COLUMNS($U$1006:Z1006),$U$1006:$AC$1006,0))&gt;=100000), " ",IF(INDEX($U$2:$AC$1001,MATCH(ROWS($N$2:N368),$N$2:$N$1001,0),MATCH(COLUMNS($U$1006:Z1006),$U$1006:$AC$1006,0)), HYPERLINK("#",""), HYPERLINK(CONCATENATE("#metadata!", ADDRESS(INDEX($P$2:$P$1001,MATCH(ROWS($N$2:N368),$N$2:$N$1001,0),0), INDEX($U$1004:$AC$1004,1,MATCH(COLUMNS($U$1006:Z1006),$U$1006:$AC$1006,0)))),"Fix")))</f>
        <v>0</v>
      </c>
      <c r="H368" s="3">
        <f>IF(OR(INDEX($O$2:$O$1001,MATCH(ROWS($N$2:N368),$N$2:$N$1001,0),1)&gt;=100000,INDEX($U$1005:$AC$1005,1,MATCH(COLUMNS($U$1006:AA1006),$U$1006:$AC$1006,0))&gt;=100000), " ",IF(INDEX($U$2:$AC$1001,MATCH(ROWS($N$2:N368),$N$2:$N$1001,0),MATCH(COLUMNS($U$1006:AA1006),$U$1006:$AC$1006,0)), HYPERLINK("#",""), HYPERLINK(CONCATENATE("#metadata!", ADDRESS(INDEX($P$2:$P$1001,MATCH(ROWS($N$2:N368),$N$2:$N$1001,0),0), INDEX($U$1004:$AC$1004,1,MATCH(COLUMNS($U$1006:AA1006),$U$1006:$AC$1006,0)))),"Fix")))</f>
        <v>0</v>
      </c>
      <c r="I368" s="3">
        <f>IF(OR(INDEX($O$2:$O$1001,MATCH(ROWS($N$2:N368),$N$2:$N$1001,0),1)&gt;=100000,INDEX($U$1005:$AC$1005,1,MATCH(COLUMNS($U$1006:AB1006),$U$1006:$AC$1006,0))&gt;=100000), " ",IF(INDEX($U$2:$AC$1001,MATCH(ROWS($N$2:N368),$N$2:$N$1001,0),MATCH(COLUMNS($U$1006:AB1006),$U$1006:$AC$1006,0)), HYPERLINK("#",""), HYPERLINK(CONCATENATE("#metadata!", ADDRESS(INDEX($P$2:$P$1001,MATCH(ROWS($N$2:N368),$N$2:$N$1001,0),0), INDEX($U$1004:$AC$1004,1,MATCH(COLUMNS($U$1006:AB1006),$U$1006:$AC$1006,0)))),"Fix")))</f>
        <v>0</v>
      </c>
      <c r="J368" s="3">
        <f>IF(OR(INDEX($O$2:$O$1001,MATCH(ROWS($N$2:N368),$N$2:$N$1001,0),1)&gt;=100000,INDEX($U$1005:$AC$1005,1,MATCH(COLUMNS($U$1006:AC1006),$U$1006:$AC$1006,0))&gt;=100000), " ",IF(INDEX($U$2:$AC$1001,MATCH(ROWS($N$2:N368),$N$2:$N$1001,0),MATCH(COLUMNS($U$1006:AC1006),$U$1006:$AC$1006,0)), HYPERLINK("#",""), HYPERLINK(CONCATENATE("#metadata!", ADDRESS(INDEX($P$2:$P$1001,MATCH(ROWS($N$2:N368),$N$2:$N$1001,0),0), INDEX($U$1004:$AC$1004,1,MATCH(COLUMNS($U$1006:AC1006),$U$1006:$AC$1006,0)))),"Fix")))</f>
        <v>0</v>
      </c>
      <c r="N368">
        <v>0</v>
      </c>
      <c r="O368">
        <v>0</v>
      </c>
      <c r="P368">
        <v>0</v>
      </c>
      <c r="Q368">
        <f>IF(R368,TRUE,AND(U368:AC368))</f>
        <v>0</v>
      </c>
      <c r="R368">
        <f>COUNTBLANK(metadata!B368:J368)=COLUMNS(metadata!B368:J368)</f>
        <v>0</v>
      </c>
      <c r="S368">
        <v>0</v>
      </c>
      <c r="U368">
        <f>AND(IF(metadata!B368="",FALSE,TRUE),COUNTIF(metadata!B:B, metadata!B368) = 1,NOT(ISERROR(SUMPRODUCT(SEARCH(MID(metadata!B368,ROW(INDIRECT("1:"&amp;LEN(metadata!B368))), 1),"0123456789abcdefghijklmnopqrstuvwxyzABCDEFGHIJKLMNOPQRSTUVWXYZ.")))))</f>
        <v>0</v>
      </c>
      <c r="V368">
        <f>AND(IF(metadata!C368="",FALSE,TRUE),exact(metadata!C368,"UBERON:genitourinary"))</f>
        <v>0</v>
      </c>
      <c r="W368">
        <f>AND(IF(metadata!D368="",FALSE,TRUE),exact(metadata!D368,"UBERON:urine"))</f>
        <v>0</v>
      </c>
      <c r="X368">
        <f>AND(IF(metadata!E368="",FALSE,TRUE),exact(metadata!E368,"UBERON:kidney"))</f>
        <v>0</v>
      </c>
      <c r="Y368">
        <f>AND(IF(metadata!F368="",FALSE,TRUE),exact(metadata!F368,"animal corpus"))</f>
        <v>0</v>
      </c>
      <c r="Z368">
        <f>AND(IF(metadata!G368="",FALSE,TRUE),exact(metadata!G368,"urine"))</f>
        <v>0</v>
      </c>
      <c r="AA368">
        <f>AND(IF(metadata!H368="",FALSE,TRUE),exact(metadata!H368,"urine"))</f>
        <v>0</v>
      </c>
      <c r="AB368">
        <f>AND(IF(metadata!I368="",FALSE,TRUE),exact(metadata!I368,"urine metagenome"))</f>
        <v>0</v>
      </c>
      <c r="AC368">
        <f>AND(IF(metadata!J368="",FALSE,TRUE),exact(metadata!J368,"1346744"))</f>
        <v>0</v>
      </c>
    </row>
    <row r="369" spans="1:29">
      <c r="A369" s="4">
        <f>IF(B369=" "," ",HYPERLINK(CONCATENATE("#metadata!",ADDRESS(INDEX($P$2:$P$1001,MATCH(ROWS($N$2:N369),$N$2:$N$1001,0),0),1)),INDEX($S$2:$S$1001,MATCH(ROWS($N$2:N369),$N$2:$N$1001,0),0)))</f>
        <v>0</v>
      </c>
      <c r="B369" s="3">
        <f>IF(OR(INDEX($O$2:$O$1001,MATCH(ROWS($N$2:N369),$N$2:$N$1001,0),1)&gt;=100000,INDEX($U$1005:$AC$1005,1,MATCH(COLUMNS($U$1006:U1006),$U$1006:$AC$1006,0))&gt;=100000), " ",IF(INDEX($U$2:$AC$1001,MATCH(ROWS($N$2:N369),$N$2:$N$1001,0),MATCH(COLUMNS($U$1006:U1006),$U$1006:$AC$1006,0)), HYPERLINK("#",""), HYPERLINK(CONCATENATE("#metadata!", ADDRESS(INDEX($P$2:$P$1001,MATCH(ROWS($N$2:N369),$N$2:$N$1001,0),0), INDEX($U$1004:$AC$1004,1,MATCH(COLUMNS($U$1006:U1006),$U$1006:$AC$1006,0)))),"Fix")))</f>
        <v>0</v>
      </c>
      <c r="C369" s="3">
        <f>IF(OR(INDEX($O$2:$O$1001,MATCH(ROWS($N$2:N369),$N$2:$N$1001,0),1)&gt;=100000,INDEX($U$1005:$AC$1005,1,MATCH(COLUMNS($U$1006:V1006),$U$1006:$AC$1006,0))&gt;=100000), " ",IF(INDEX($U$2:$AC$1001,MATCH(ROWS($N$2:N369),$N$2:$N$1001,0),MATCH(COLUMNS($U$1006:V1006),$U$1006:$AC$1006,0)), HYPERLINK("#",""), HYPERLINK(CONCATENATE("#metadata!", ADDRESS(INDEX($P$2:$P$1001,MATCH(ROWS($N$2:N369),$N$2:$N$1001,0),0), INDEX($U$1004:$AC$1004,1,MATCH(COLUMNS($U$1006:V1006),$U$1006:$AC$1006,0)))),"Fix")))</f>
        <v>0</v>
      </c>
      <c r="D369" s="3">
        <f>IF(OR(INDEX($O$2:$O$1001,MATCH(ROWS($N$2:N369),$N$2:$N$1001,0),1)&gt;=100000,INDEX($U$1005:$AC$1005,1,MATCH(COLUMNS($U$1006:W1006),$U$1006:$AC$1006,0))&gt;=100000), " ",IF(INDEX($U$2:$AC$1001,MATCH(ROWS($N$2:N369),$N$2:$N$1001,0),MATCH(COLUMNS($U$1006:W1006),$U$1006:$AC$1006,0)), HYPERLINK("#",""), HYPERLINK(CONCATENATE("#metadata!", ADDRESS(INDEX($P$2:$P$1001,MATCH(ROWS($N$2:N369),$N$2:$N$1001,0),0), INDEX($U$1004:$AC$1004,1,MATCH(COLUMNS($U$1006:W1006),$U$1006:$AC$1006,0)))),"Fix")))</f>
        <v>0</v>
      </c>
      <c r="E369" s="3">
        <f>IF(OR(INDEX($O$2:$O$1001,MATCH(ROWS($N$2:N369),$N$2:$N$1001,0),1)&gt;=100000,INDEX($U$1005:$AC$1005,1,MATCH(COLUMNS($U$1006:X1006),$U$1006:$AC$1006,0))&gt;=100000), " ",IF(INDEX($U$2:$AC$1001,MATCH(ROWS($N$2:N369),$N$2:$N$1001,0),MATCH(COLUMNS($U$1006:X1006),$U$1006:$AC$1006,0)), HYPERLINK("#",""), HYPERLINK(CONCATENATE("#metadata!", ADDRESS(INDEX($P$2:$P$1001,MATCH(ROWS($N$2:N369),$N$2:$N$1001,0),0), INDEX($U$1004:$AC$1004,1,MATCH(COLUMNS($U$1006:X1006),$U$1006:$AC$1006,0)))),"Fix")))</f>
        <v>0</v>
      </c>
      <c r="F369" s="3">
        <f>IF(OR(INDEX($O$2:$O$1001,MATCH(ROWS($N$2:N369),$N$2:$N$1001,0),1)&gt;=100000,INDEX($U$1005:$AC$1005,1,MATCH(COLUMNS($U$1006:Y1006),$U$1006:$AC$1006,0))&gt;=100000), " ",IF(INDEX($U$2:$AC$1001,MATCH(ROWS($N$2:N369),$N$2:$N$1001,0),MATCH(COLUMNS($U$1006:Y1006),$U$1006:$AC$1006,0)), HYPERLINK("#",""), HYPERLINK(CONCATENATE("#metadata!", ADDRESS(INDEX($P$2:$P$1001,MATCH(ROWS($N$2:N369),$N$2:$N$1001,0),0), INDEX($U$1004:$AC$1004,1,MATCH(COLUMNS($U$1006:Y1006),$U$1006:$AC$1006,0)))),"Fix")))</f>
        <v>0</v>
      </c>
      <c r="G369" s="3">
        <f>IF(OR(INDEX($O$2:$O$1001,MATCH(ROWS($N$2:N369),$N$2:$N$1001,0),1)&gt;=100000,INDEX($U$1005:$AC$1005,1,MATCH(COLUMNS($U$1006:Z1006),$U$1006:$AC$1006,0))&gt;=100000), " ",IF(INDEX($U$2:$AC$1001,MATCH(ROWS($N$2:N369),$N$2:$N$1001,0),MATCH(COLUMNS($U$1006:Z1006),$U$1006:$AC$1006,0)), HYPERLINK("#",""), HYPERLINK(CONCATENATE("#metadata!", ADDRESS(INDEX($P$2:$P$1001,MATCH(ROWS($N$2:N369),$N$2:$N$1001,0),0), INDEX($U$1004:$AC$1004,1,MATCH(COLUMNS($U$1006:Z1006),$U$1006:$AC$1006,0)))),"Fix")))</f>
        <v>0</v>
      </c>
      <c r="H369" s="3">
        <f>IF(OR(INDEX($O$2:$O$1001,MATCH(ROWS($N$2:N369),$N$2:$N$1001,0),1)&gt;=100000,INDEX($U$1005:$AC$1005,1,MATCH(COLUMNS($U$1006:AA1006),$U$1006:$AC$1006,0))&gt;=100000), " ",IF(INDEX($U$2:$AC$1001,MATCH(ROWS($N$2:N369),$N$2:$N$1001,0),MATCH(COLUMNS($U$1006:AA1006),$U$1006:$AC$1006,0)), HYPERLINK("#",""), HYPERLINK(CONCATENATE("#metadata!", ADDRESS(INDEX($P$2:$P$1001,MATCH(ROWS($N$2:N369),$N$2:$N$1001,0),0), INDEX($U$1004:$AC$1004,1,MATCH(COLUMNS($U$1006:AA1006),$U$1006:$AC$1006,0)))),"Fix")))</f>
        <v>0</v>
      </c>
      <c r="I369" s="3">
        <f>IF(OR(INDEX($O$2:$O$1001,MATCH(ROWS($N$2:N369),$N$2:$N$1001,0),1)&gt;=100000,INDEX($U$1005:$AC$1005,1,MATCH(COLUMNS($U$1006:AB1006),$U$1006:$AC$1006,0))&gt;=100000), " ",IF(INDEX($U$2:$AC$1001,MATCH(ROWS($N$2:N369),$N$2:$N$1001,0),MATCH(COLUMNS($U$1006:AB1006),$U$1006:$AC$1006,0)), HYPERLINK("#",""), HYPERLINK(CONCATENATE("#metadata!", ADDRESS(INDEX($P$2:$P$1001,MATCH(ROWS($N$2:N369),$N$2:$N$1001,0),0), INDEX($U$1004:$AC$1004,1,MATCH(COLUMNS($U$1006:AB1006),$U$1006:$AC$1006,0)))),"Fix")))</f>
        <v>0</v>
      </c>
      <c r="J369" s="3">
        <f>IF(OR(INDEX($O$2:$O$1001,MATCH(ROWS($N$2:N369),$N$2:$N$1001,0),1)&gt;=100000,INDEX($U$1005:$AC$1005,1,MATCH(COLUMNS($U$1006:AC1006),$U$1006:$AC$1006,0))&gt;=100000), " ",IF(INDEX($U$2:$AC$1001,MATCH(ROWS($N$2:N369),$N$2:$N$1001,0),MATCH(COLUMNS($U$1006:AC1006),$U$1006:$AC$1006,0)), HYPERLINK("#",""), HYPERLINK(CONCATENATE("#metadata!", ADDRESS(INDEX($P$2:$P$1001,MATCH(ROWS($N$2:N369),$N$2:$N$1001,0),0), INDEX($U$1004:$AC$1004,1,MATCH(COLUMNS($U$1006:AC1006),$U$1006:$AC$1006,0)))),"Fix")))</f>
        <v>0</v>
      </c>
      <c r="N369">
        <v>0</v>
      </c>
      <c r="O369">
        <v>0</v>
      </c>
      <c r="P369">
        <v>0</v>
      </c>
      <c r="Q369">
        <f>IF(R369,TRUE,AND(U369:AC369))</f>
        <v>0</v>
      </c>
      <c r="R369">
        <f>COUNTBLANK(metadata!B369:J369)=COLUMNS(metadata!B369:J369)</f>
        <v>0</v>
      </c>
      <c r="S369">
        <v>0</v>
      </c>
      <c r="U369">
        <f>AND(IF(metadata!B369="",FALSE,TRUE),COUNTIF(metadata!B:B, metadata!B369) = 1,NOT(ISERROR(SUMPRODUCT(SEARCH(MID(metadata!B369,ROW(INDIRECT("1:"&amp;LEN(metadata!B369))), 1),"0123456789abcdefghijklmnopqrstuvwxyzABCDEFGHIJKLMNOPQRSTUVWXYZ.")))))</f>
        <v>0</v>
      </c>
      <c r="V369">
        <f>AND(IF(metadata!C369="",FALSE,TRUE),exact(metadata!C369,"UBERON:genitourinary"))</f>
        <v>0</v>
      </c>
      <c r="W369">
        <f>AND(IF(metadata!D369="",FALSE,TRUE),exact(metadata!D369,"UBERON:urine"))</f>
        <v>0</v>
      </c>
      <c r="X369">
        <f>AND(IF(metadata!E369="",FALSE,TRUE),exact(metadata!E369,"UBERON:kidney"))</f>
        <v>0</v>
      </c>
      <c r="Y369">
        <f>AND(IF(metadata!F369="",FALSE,TRUE),exact(metadata!F369,"animal corpus"))</f>
        <v>0</v>
      </c>
      <c r="Z369">
        <f>AND(IF(metadata!G369="",FALSE,TRUE),exact(metadata!G369,"urine"))</f>
        <v>0</v>
      </c>
      <c r="AA369">
        <f>AND(IF(metadata!H369="",FALSE,TRUE),exact(metadata!H369,"urine"))</f>
        <v>0</v>
      </c>
      <c r="AB369">
        <f>AND(IF(metadata!I369="",FALSE,TRUE),exact(metadata!I369,"urine metagenome"))</f>
        <v>0</v>
      </c>
      <c r="AC369">
        <f>AND(IF(metadata!J369="",FALSE,TRUE),exact(metadata!J369,"1346744"))</f>
        <v>0</v>
      </c>
    </row>
    <row r="370" spans="1:29">
      <c r="A370" s="4">
        <f>IF(B370=" "," ",HYPERLINK(CONCATENATE("#metadata!",ADDRESS(INDEX($P$2:$P$1001,MATCH(ROWS($N$2:N370),$N$2:$N$1001,0),0),1)),INDEX($S$2:$S$1001,MATCH(ROWS($N$2:N370),$N$2:$N$1001,0),0)))</f>
        <v>0</v>
      </c>
      <c r="B370" s="3">
        <f>IF(OR(INDEX($O$2:$O$1001,MATCH(ROWS($N$2:N370),$N$2:$N$1001,0),1)&gt;=100000,INDEX($U$1005:$AC$1005,1,MATCH(COLUMNS($U$1006:U1006),$U$1006:$AC$1006,0))&gt;=100000), " ",IF(INDEX($U$2:$AC$1001,MATCH(ROWS($N$2:N370),$N$2:$N$1001,0),MATCH(COLUMNS($U$1006:U1006),$U$1006:$AC$1006,0)), HYPERLINK("#",""), HYPERLINK(CONCATENATE("#metadata!", ADDRESS(INDEX($P$2:$P$1001,MATCH(ROWS($N$2:N370),$N$2:$N$1001,0),0), INDEX($U$1004:$AC$1004,1,MATCH(COLUMNS($U$1006:U1006),$U$1006:$AC$1006,0)))),"Fix")))</f>
        <v>0</v>
      </c>
      <c r="C370" s="3">
        <f>IF(OR(INDEX($O$2:$O$1001,MATCH(ROWS($N$2:N370),$N$2:$N$1001,0),1)&gt;=100000,INDEX($U$1005:$AC$1005,1,MATCH(COLUMNS($U$1006:V1006),$U$1006:$AC$1006,0))&gt;=100000), " ",IF(INDEX($U$2:$AC$1001,MATCH(ROWS($N$2:N370),$N$2:$N$1001,0),MATCH(COLUMNS($U$1006:V1006),$U$1006:$AC$1006,0)), HYPERLINK("#",""), HYPERLINK(CONCATENATE("#metadata!", ADDRESS(INDEX($P$2:$P$1001,MATCH(ROWS($N$2:N370),$N$2:$N$1001,0),0), INDEX($U$1004:$AC$1004,1,MATCH(COLUMNS($U$1006:V1006),$U$1006:$AC$1006,0)))),"Fix")))</f>
        <v>0</v>
      </c>
      <c r="D370" s="3">
        <f>IF(OR(INDEX($O$2:$O$1001,MATCH(ROWS($N$2:N370),$N$2:$N$1001,0),1)&gt;=100000,INDEX($U$1005:$AC$1005,1,MATCH(COLUMNS($U$1006:W1006),$U$1006:$AC$1006,0))&gt;=100000), " ",IF(INDEX($U$2:$AC$1001,MATCH(ROWS($N$2:N370),$N$2:$N$1001,0),MATCH(COLUMNS($U$1006:W1006),$U$1006:$AC$1006,0)), HYPERLINK("#",""), HYPERLINK(CONCATENATE("#metadata!", ADDRESS(INDEX($P$2:$P$1001,MATCH(ROWS($N$2:N370),$N$2:$N$1001,0),0), INDEX($U$1004:$AC$1004,1,MATCH(COLUMNS($U$1006:W1006),$U$1006:$AC$1006,0)))),"Fix")))</f>
        <v>0</v>
      </c>
      <c r="E370" s="3">
        <f>IF(OR(INDEX($O$2:$O$1001,MATCH(ROWS($N$2:N370),$N$2:$N$1001,0),1)&gt;=100000,INDEX($U$1005:$AC$1005,1,MATCH(COLUMNS($U$1006:X1006),$U$1006:$AC$1006,0))&gt;=100000), " ",IF(INDEX($U$2:$AC$1001,MATCH(ROWS($N$2:N370),$N$2:$N$1001,0),MATCH(COLUMNS($U$1006:X1006),$U$1006:$AC$1006,0)), HYPERLINK("#",""), HYPERLINK(CONCATENATE("#metadata!", ADDRESS(INDEX($P$2:$P$1001,MATCH(ROWS($N$2:N370),$N$2:$N$1001,0),0), INDEX($U$1004:$AC$1004,1,MATCH(COLUMNS($U$1006:X1006),$U$1006:$AC$1006,0)))),"Fix")))</f>
        <v>0</v>
      </c>
      <c r="F370" s="3">
        <f>IF(OR(INDEX($O$2:$O$1001,MATCH(ROWS($N$2:N370),$N$2:$N$1001,0),1)&gt;=100000,INDEX($U$1005:$AC$1005,1,MATCH(COLUMNS($U$1006:Y1006),$U$1006:$AC$1006,0))&gt;=100000), " ",IF(INDEX($U$2:$AC$1001,MATCH(ROWS($N$2:N370),$N$2:$N$1001,0),MATCH(COLUMNS($U$1006:Y1006),$U$1006:$AC$1006,0)), HYPERLINK("#",""), HYPERLINK(CONCATENATE("#metadata!", ADDRESS(INDEX($P$2:$P$1001,MATCH(ROWS($N$2:N370),$N$2:$N$1001,0),0), INDEX($U$1004:$AC$1004,1,MATCH(COLUMNS($U$1006:Y1006),$U$1006:$AC$1006,0)))),"Fix")))</f>
        <v>0</v>
      </c>
      <c r="G370" s="3">
        <f>IF(OR(INDEX($O$2:$O$1001,MATCH(ROWS($N$2:N370),$N$2:$N$1001,0),1)&gt;=100000,INDEX($U$1005:$AC$1005,1,MATCH(COLUMNS($U$1006:Z1006),$U$1006:$AC$1006,0))&gt;=100000), " ",IF(INDEX($U$2:$AC$1001,MATCH(ROWS($N$2:N370),$N$2:$N$1001,0),MATCH(COLUMNS($U$1006:Z1006),$U$1006:$AC$1006,0)), HYPERLINK("#",""), HYPERLINK(CONCATENATE("#metadata!", ADDRESS(INDEX($P$2:$P$1001,MATCH(ROWS($N$2:N370),$N$2:$N$1001,0),0), INDEX($U$1004:$AC$1004,1,MATCH(COLUMNS($U$1006:Z1006),$U$1006:$AC$1006,0)))),"Fix")))</f>
        <v>0</v>
      </c>
      <c r="H370" s="3">
        <f>IF(OR(INDEX($O$2:$O$1001,MATCH(ROWS($N$2:N370),$N$2:$N$1001,0),1)&gt;=100000,INDEX($U$1005:$AC$1005,1,MATCH(COLUMNS($U$1006:AA1006),$U$1006:$AC$1006,0))&gt;=100000), " ",IF(INDEX($U$2:$AC$1001,MATCH(ROWS($N$2:N370),$N$2:$N$1001,0),MATCH(COLUMNS($U$1006:AA1006),$U$1006:$AC$1006,0)), HYPERLINK("#",""), HYPERLINK(CONCATENATE("#metadata!", ADDRESS(INDEX($P$2:$P$1001,MATCH(ROWS($N$2:N370),$N$2:$N$1001,0),0), INDEX($U$1004:$AC$1004,1,MATCH(COLUMNS($U$1006:AA1006),$U$1006:$AC$1006,0)))),"Fix")))</f>
        <v>0</v>
      </c>
      <c r="I370" s="3">
        <f>IF(OR(INDEX($O$2:$O$1001,MATCH(ROWS($N$2:N370),$N$2:$N$1001,0),1)&gt;=100000,INDEX($U$1005:$AC$1005,1,MATCH(COLUMNS($U$1006:AB1006),$U$1006:$AC$1006,0))&gt;=100000), " ",IF(INDEX($U$2:$AC$1001,MATCH(ROWS($N$2:N370),$N$2:$N$1001,0),MATCH(COLUMNS($U$1006:AB1006),$U$1006:$AC$1006,0)), HYPERLINK("#",""), HYPERLINK(CONCATENATE("#metadata!", ADDRESS(INDEX($P$2:$P$1001,MATCH(ROWS($N$2:N370),$N$2:$N$1001,0),0), INDEX($U$1004:$AC$1004,1,MATCH(COLUMNS($U$1006:AB1006),$U$1006:$AC$1006,0)))),"Fix")))</f>
        <v>0</v>
      </c>
      <c r="J370" s="3">
        <f>IF(OR(INDEX($O$2:$O$1001,MATCH(ROWS($N$2:N370),$N$2:$N$1001,0),1)&gt;=100000,INDEX($U$1005:$AC$1005,1,MATCH(COLUMNS($U$1006:AC1006),$U$1006:$AC$1006,0))&gt;=100000), " ",IF(INDEX($U$2:$AC$1001,MATCH(ROWS($N$2:N370),$N$2:$N$1001,0),MATCH(COLUMNS($U$1006:AC1006),$U$1006:$AC$1006,0)), HYPERLINK("#",""), HYPERLINK(CONCATENATE("#metadata!", ADDRESS(INDEX($P$2:$P$1001,MATCH(ROWS($N$2:N370),$N$2:$N$1001,0),0), INDEX($U$1004:$AC$1004,1,MATCH(COLUMNS($U$1006:AC1006),$U$1006:$AC$1006,0)))),"Fix")))</f>
        <v>0</v>
      </c>
      <c r="N370">
        <v>0</v>
      </c>
      <c r="O370">
        <v>0</v>
      </c>
      <c r="P370">
        <v>0</v>
      </c>
      <c r="Q370">
        <f>IF(R370,TRUE,AND(U370:AC370))</f>
        <v>0</v>
      </c>
      <c r="R370">
        <f>COUNTBLANK(metadata!B370:J370)=COLUMNS(metadata!B370:J370)</f>
        <v>0</v>
      </c>
      <c r="S370">
        <v>0</v>
      </c>
      <c r="U370">
        <f>AND(IF(metadata!B370="",FALSE,TRUE),COUNTIF(metadata!B:B, metadata!B370) = 1,NOT(ISERROR(SUMPRODUCT(SEARCH(MID(metadata!B370,ROW(INDIRECT("1:"&amp;LEN(metadata!B370))), 1),"0123456789abcdefghijklmnopqrstuvwxyzABCDEFGHIJKLMNOPQRSTUVWXYZ.")))))</f>
        <v>0</v>
      </c>
      <c r="V370">
        <f>AND(IF(metadata!C370="",FALSE,TRUE),exact(metadata!C370,"UBERON:genitourinary"))</f>
        <v>0</v>
      </c>
      <c r="W370">
        <f>AND(IF(metadata!D370="",FALSE,TRUE),exact(metadata!D370,"UBERON:urine"))</f>
        <v>0</v>
      </c>
      <c r="X370">
        <f>AND(IF(metadata!E370="",FALSE,TRUE),exact(metadata!E370,"UBERON:kidney"))</f>
        <v>0</v>
      </c>
      <c r="Y370">
        <f>AND(IF(metadata!F370="",FALSE,TRUE),exact(metadata!F370,"animal corpus"))</f>
        <v>0</v>
      </c>
      <c r="Z370">
        <f>AND(IF(metadata!G370="",FALSE,TRUE),exact(metadata!G370,"urine"))</f>
        <v>0</v>
      </c>
      <c r="AA370">
        <f>AND(IF(metadata!H370="",FALSE,TRUE),exact(metadata!H370,"urine"))</f>
        <v>0</v>
      </c>
      <c r="AB370">
        <f>AND(IF(metadata!I370="",FALSE,TRUE),exact(metadata!I370,"urine metagenome"))</f>
        <v>0</v>
      </c>
      <c r="AC370">
        <f>AND(IF(metadata!J370="",FALSE,TRUE),exact(metadata!J370,"1346744"))</f>
        <v>0</v>
      </c>
    </row>
    <row r="371" spans="1:29">
      <c r="A371" s="4">
        <f>IF(B371=" "," ",HYPERLINK(CONCATENATE("#metadata!",ADDRESS(INDEX($P$2:$P$1001,MATCH(ROWS($N$2:N371),$N$2:$N$1001,0),0),1)),INDEX($S$2:$S$1001,MATCH(ROWS($N$2:N371),$N$2:$N$1001,0),0)))</f>
        <v>0</v>
      </c>
      <c r="B371" s="3">
        <f>IF(OR(INDEX($O$2:$O$1001,MATCH(ROWS($N$2:N371),$N$2:$N$1001,0),1)&gt;=100000,INDEX($U$1005:$AC$1005,1,MATCH(COLUMNS($U$1006:U1006),$U$1006:$AC$1006,0))&gt;=100000), " ",IF(INDEX($U$2:$AC$1001,MATCH(ROWS($N$2:N371),$N$2:$N$1001,0),MATCH(COLUMNS($U$1006:U1006),$U$1006:$AC$1006,0)), HYPERLINK("#",""), HYPERLINK(CONCATENATE("#metadata!", ADDRESS(INDEX($P$2:$P$1001,MATCH(ROWS($N$2:N371),$N$2:$N$1001,0),0), INDEX($U$1004:$AC$1004,1,MATCH(COLUMNS($U$1006:U1006),$U$1006:$AC$1006,0)))),"Fix")))</f>
        <v>0</v>
      </c>
      <c r="C371" s="3">
        <f>IF(OR(INDEX($O$2:$O$1001,MATCH(ROWS($N$2:N371),$N$2:$N$1001,0),1)&gt;=100000,INDEX($U$1005:$AC$1005,1,MATCH(COLUMNS($U$1006:V1006),$U$1006:$AC$1006,0))&gt;=100000), " ",IF(INDEX($U$2:$AC$1001,MATCH(ROWS($N$2:N371),$N$2:$N$1001,0),MATCH(COLUMNS($U$1006:V1006),$U$1006:$AC$1006,0)), HYPERLINK("#",""), HYPERLINK(CONCATENATE("#metadata!", ADDRESS(INDEX($P$2:$P$1001,MATCH(ROWS($N$2:N371),$N$2:$N$1001,0),0), INDEX($U$1004:$AC$1004,1,MATCH(COLUMNS($U$1006:V1006),$U$1006:$AC$1006,0)))),"Fix")))</f>
        <v>0</v>
      </c>
      <c r="D371" s="3">
        <f>IF(OR(INDEX($O$2:$O$1001,MATCH(ROWS($N$2:N371),$N$2:$N$1001,0),1)&gt;=100000,INDEX($U$1005:$AC$1005,1,MATCH(COLUMNS($U$1006:W1006),$U$1006:$AC$1006,0))&gt;=100000), " ",IF(INDEX($U$2:$AC$1001,MATCH(ROWS($N$2:N371),$N$2:$N$1001,0),MATCH(COLUMNS($U$1006:W1006),$U$1006:$AC$1006,0)), HYPERLINK("#",""), HYPERLINK(CONCATENATE("#metadata!", ADDRESS(INDEX($P$2:$P$1001,MATCH(ROWS($N$2:N371),$N$2:$N$1001,0),0), INDEX($U$1004:$AC$1004,1,MATCH(COLUMNS($U$1006:W1006),$U$1006:$AC$1006,0)))),"Fix")))</f>
        <v>0</v>
      </c>
      <c r="E371" s="3">
        <f>IF(OR(INDEX($O$2:$O$1001,MATCH(ROWS($N$2:N371),$N$2:$N$1001,0),1)&gt;=100000,INDEX($U$1005:$AC$1005,1,MATCH(COLUMNS($U$1006:X1006),$U$1006:$AC$1006,0))&gt;=100000), " ",IF(INDEX($U$2:$AC$1001,MATCH(ROWS($N$2:N371),$N$2:$N$1001,0),MATCH(COLUMNS($U$1006:X1006),$U$1006:$AC$1006,0)), HYPERLINK("#",""), HYPERLINK(CONCATENATE("#metadata!", ADDRESS(INDEX($P$2:$P$1001,MATCH(ROWS($N$2:N371),$N$2:$N$1001,0),0), INDEX($U$1004:$AC$1004,1,MATCH(COLUMNS($U$1006:X1006),$U$1006:$AC$1006,0)))),"Fix")))</f>
        <v>0</v>
      </c>
      <c r="F371" s="3">
        <f>IF(OR(INDEX($O$2:$O$1001,MATCH(ROWS($N$2:N371),$N$2:$N$1001,0),1)&gt;=100000,INDEX($U$1005:$AC$1005,1,MATCH(COLUMNS($U$1006:Y1006),$U$1006:$AC$1006,0))&gt;=100000), " ",IF(INDEX($U$2:$AC$1001,MATCH(ROWS($N$2:N371),$N$2:$N$1001,0),MATCH(COLUMNS($U$1006:Y1006),$U$1006:$AC$1006,0)), HYPERLINK("#",""), HYPERLINK(CONCATENATE("#metadata!", ADDRESS(INDEX($P$2:$P$1001,MATCH(ROWS($N$2:N371),$N$2:$N$1001,0),0), INDEX($U$1004:$AC$1004,1,MATCH(COLUMNS($U$1006:Y1006),$U$1006:$AC$1006,0)))),"Fix")))</f>
        <v>0</v>
      </c>
      <c r="G371" s="3">
        <f>IF(OR(INDEX($O$2:$O$1001,MATCH(ROWS($N$2:N371),$N$2:$N$1001,0),1)&gt;=100000,INDEX($U$1005:$AC$1005,1,MATCH(COLUMNS($U$1006:Z1006),$U$1006:$AC$1006,0))&gt;=100000), " ",IF(INDEX($U$2:$AC$1001,MATCH(ROWS($N$2:N371),$N$2:$N$1001,0),MATCH(COLUMNS($U$1006:Z1006),$U$1006:$AC$1006,0)), HYPERLINK("#",""), HYPERLINK(CONCATENATE("#metadata!", ADDRESS(INDEX($P$2:$P$1001,MATCH(ROWS($N$2:N371),$N$2:$N$1001,0),0), INDEX($U$1004:$AC$1004,1,MATCH(COLUMNS($U$1006:Z1006),$U$1006:$AC$1006,0)))),"Fix")))</f>
        <v>0</v>
      </c>
      <c r="H371" s="3">
        <f>IF(OR(INDEX($O$2:$O$1001,MATCH(ROWS($N$2:N371),$N$2:$N$1001,0),1)&gt;=100000,INDEX($U$1005:$AC$1005,1,MATCH(COLUMNS($U$1006:AA1006),$U$1006:$AC$1006,0))&gt;=100000), " ",IF(INDEX($U$2:$AC$1001,MATCH(ROWS($N$2:N371),$N$2:$N$1001,0),MATCH(COLUMNS($U$1006:AA1006),$U$1006:$AC$1006,0)), HYPERLINK("#",""), HYPERLINK(CONCATENATE("#metadata!", ADDRESS(INDEX($P$2:$P$1001,MATCH(ROWS($N$2:N371),$N$2:$N$1001,0),0), INDEX($U$1004:$AC$1004,1,MATCH(COLUMNS($U$1006:AA1006),$U$1006:$AC$1006,0)))),"Fix")))</f>
        <v>0</v>
      </c>
      <c r="I371" s="3">
        <f>IF(OR(INDEX($O$2:$O$1001,MATCH(ROWS($N$2:N371),$N$2:$N$1001,0),1)&gt;=100000,INDEX($U$1005:$AC$1005,1,MATCH(COLUMNS($U$1006:AB1006),$U$1006:$AC$1006,0))&gt;=100000), " ",IF(INDEX($U$2:$AC$1001,MATCH(ROWS($N$2:N371),$N$2:$N$1001,0),MATCH(COLUMNS($U$1006:AB1006),$U$1006:$AC$1006,0)), HYPERLINK("#",""), HYPERLINK(CONCATENATE("#metadata!", ADDRESS(INDEX($P$2:$P$1001,MATCH(ROWS($N$2:N371),$N$2:$N$1001,0),0), INDEX($U$1004:$AC$1004,1,MATCH(COLUMNS($U$1006:AB1006),$U$1006:$AC$1006,0)))),"Fix")))</f>
        <v>0</v>
      </c>
      <c r="J371" s="3">
        <f>IF(OR(INDEX($O$2:$O$1001,MATCH(ROWS($N$2:N371),$N$2:$N$1001,0),1)&gt;=100000,INDEX($U$1005:$AC$1005,1,MATCH(COLUMNS($U$1006:AC1006),$U$1006:$AC$1006,0))&gt;=100000), " ",IF(INDEX($U$2:$AC$1001,MATCH(ROWS($N$2:N371),$N$2:$N$1001,0),MATCH(COLUMNS($U$1006:AC1006),$U$1006:$AC$1006,0)), HYPERLINK("#",""), HYPERLINK(CONCATENATE("#metadata!", ADDRESS(INDEX($P$2:$P$1001,MATCH(ROWS($N$2:N371),$N$2:$N$1001,0),0), INDEX($U$1004:$AC$1004,1,MATCH(COLUMNS($U$1006:AC1006),$U$1006:$AC$1006,0)))),"Fix")))</f>
        <v>0</v>
      </c>
      <c r="N371">
        <v>0</v>
      </c>
      <c r="O371">
        <v>0</v>
      </c>
      <c r="P371">
        <v>0</v>
      </c>
      <c r="Q371">
        <f>IF(R371,TRUE,AND(U371:AC371))</f>
        <v>0</v>
      </c>
      <c r="R371">
        <f>COUNTBLANK(metadata!B371:J371)=COLUMNS(metadata!B371:J371)</f>
        <v>0</v>
      </c>
      <c r="S371">
        <v>0</v>
      </c>
      <c r="U371">
        <f>AND(IF(metadata!B371="",FALSE,TRUE),COUNTIF(metadata!B:B, metadata!B371) = 1,NOT(ISERROR(SUMPRODUCT(SEARCH(MID(metadata!B371,ROW(INDIRECT("1:"&amp;LEN(metadata!B371))), 1),"0123456789abcdefghijklmnopqrstuvwxyzABCDEFGHIJKLMNOPQRSTUVWXYZ.")))))</f>
        <v>0</v>
      </c>
      <c r="V371">
        <f>AND(IF(metadata!C371="",FALSE,TRUE),exact(metadata!C371,"UBERON:genitourinary"))</f>
        <v>0</v>
      </c>
      <c r="W371">
        <f>AND(IF(metadata!D371="",FALSE,TRUE),exact(metadata!D371,"UBERON:urine"))</f>
        <v>0</v>
      </c>
      <c r="X371">
        <f>AND(IF(metadata!E371="",FALSE,TRUE),exact(metadata!E371,"UBERON:kidney"))</f>
        <v>0</v>
      </c>
      <c r="Y371">
        <f>AND(IF(metadata!F371="",FALSE,TRUE),exact(metadata!F371,"animal corpus"))</f>
        <v>0</v>
      </c>
      <c r="Z371">
        <f>AND(IF(metadata!G371="",FALSE,TRUE),exact(metadata!G371,"urine"))</f>
        <v>0</v>
      </c>
      <c r="AA371">
        <f>AND(IF(metadata!H371="",FALSE,TRUE),exact(metadata!H371,"urine"))</f>
        <v>0</v>
      </c>
      <c r="AB371">
        <f>AND(IF(metadata!I371="",FALSE,TRUE),exact(metadata!I371,"urine metagenome"))</f>
        <v>0</v>
      </c>
      <c r="AC371">
        <f>AND(IF(metadata!J371="",FALSE,TRUE),exact(metadata!J371,"1346744"))</f>
        <v>0</v>
      </c>
    </row>
    <row r="372" spans="1:29">
      <c r="A372" s="4">
        <f>IF(B372=" "," ",HYPERLINK(CONCATENATE("#metadata!",ADDRESS(INDEX($P$2:$P$1001,MATCH(ROWS($N$2:N372),$N$2:$N$1001,0),0),1)),INDEX($S$2:$S$1001,MATCH(ROWS($N$2:N372),$N$2:$N$1001,0),0)))</f>
        <v>0</v>
      </c>
      <c r="B372" s="3">
        <f>IF(OR(INDEX($O$2:$O$1001,MATCH(ROWS($N$2:N372),$N$2:$N$1001,0),1)&gt;=100000,INDEX($U$1005:$AC$1005,1,MATCH(COLUMNS($U$1006:U1006),$U$1006:$AC$1006,0))&gt;=100000), " ",IF(INDEX($U$2:$AC$1001,MATCH(ROWS($N$2:N372),$N$2:$N$1001,0),MATCH(COLUMNS($U$1006:U1006),$U$1006:$AC$1006,0)), HYPERLINK("#",""), HYPERLINK(CONCATENATE("#metadata!", ADDRESS(INDEX($P$2:$P$1001,MATCH(ROWS($N$2:N372),$N$2:$N$1001,0),0), INDEX($U$1004:$AC$1004,1,MATCH(COLUMNS($U$1006:U1006),$U$1006:$AC$1006,0)))),"Fix")))</f>
        <v>0</v>
      </c>
      <c r="C372" s="3">
        <f>IF(OR(INDEX($O$2:$O$1001,MATCH(ROWS($N$2:N372),$N$2:$N$1001,0),1)&gt;=100000,INDEX($U$1005:$AC$1005,1,MATCH(COLUMNS($U$1006:V1006),$U$1006:$AC$1006,0))&gt;=100000), " ",IF(INDEX($U$2:$AC$1001,MATCH(ROWS($N$2:N372),$N$2:$N$1001,0),MATCH(COLUMNS($U$1006:V1006),$U$1006:$AC$1006,0)), HYPERLINK("#",""), HYPERLINK(CONCATENATE("#metadata!", ADDRESS(INDEX($P$2:$P$1001,MATCH(ROWS($N$2:N372),$N$2:$N$1001,0),0), INDEX($U$1004:$AC$1004,1,MATCH(COLUMNS($U$1006:V1006),$U$1006:$AC$1006,0)))),"Fix")))</f>
        <v>0</v>
      </c>
      <c r="D372" s="3">
        <f>IF(OR(INDEX($O$2:$O$1001,MATCH(ROWS($N$2:N372),$N$2:$N$1001,0),1)&gt;=100000,INDEX($U$1005:$AC$1005,1,MATCH(COLUMNS($U$1006:W1006),$U$1006:$AC$1006,0))&gt;=100000), " ",IF(INDEX($U$2:$AC$1001,MATCH(ROWS($N$2:N372),$N$2:$N$1001,0),MATCH(COLUMNS($U$1006:W1006),$U$1006:$AC$1006,0)), HYPERLINK("#",""), HYPERLINK(CONCATENATE("#metadata!", ADDRESS(INDEX($P$2:$P$1001,MATCH(ROWS($N$2:N372),$N$2:$N$1001,0),0), INDEX($U$1004:$AC$1004,1,MATCH(COLUMNS($U$1006:W1006),$U$1006:$AC$1006,0)))),"Fix")))</f>
        <v>0</v>
      </c>
      <c r="E372" s="3">
        <f>IF(OR(INDEX($O$2:$O$1001,MATCH(ROWS($N$2:N372),$N$2:$N$1001,0),1)&gt;=100000,INDEX($U$1005:$AC$1005,1,MATCH(COLUMNS($U$1006:X1006),$U$1006:$AC$1006,0))&gt;=100000), " ",IF(INDEX($U$2:$AC$1001,MATCH(ROWS($N$2:N372),$N$2:$N$1001,0),MATCH(COLUMNS($U$1006:X1006),$U$1006:$AC$1006,0)), HYPERLINK("#",""), HYPERLINK(CONCATENATE("#metadata!", ADDRESS(INDEX($P$2:$P$1001,MATCH(ROWS($N$2:N372),$N$2:$N$1001,0),0), INDEX($U$1004:$AC$1004,1,MATCH(COLUMNS($U$1006:X1006),$U$1006:$AC$1006,0)))),"Fix")))</f>
        <v>0</v>
      </c>
      <c r="F372" s="3">
        <f>IF(OR(INDEX($O$2:$O$1001,MATCH(ROWS($N$2:N372),$N$2:$N$1001,0),1)&gt;=100000,INDEX($U$1005:$AC$1005,1,MATCH(COLUMNS($U$1006:Y1006),$U$1006:$AC$1006,0))&gt;=100000), " ",IF(INDEX($U$2:$AC$1001,MATCH(ROWS($N$2:N372),$N$2:$N$1001,0),MATCH(COLUMNS($U$1006:Y1006),$U$1006:$AC$1006,0)), HYPERLINK("#",""), HYPERLINK(CONCATENATE("#metadata!", ADDRESS(INDEX($P$2:$P$1001,MATCH(ROWS($N$2:N372),$N$2:$N$1001,0),0), INDEX($U$1004:$AC$1004,1,MATCH(COLUMNS($U$1006:Y1006),$U$1006:$AC$1006,0)))),"Fix")))</f>
        <v>0</v>
      </c>
      <c r="G372" s="3">
        <f>IF(OR(INDEX($O$2:$O$1001,MATCH(ROWS($N$2:N372),$N$2:$N$1001,0),1)&gt;=100000,INDEX($U$1005:$AC$1005,1,MATCH(COLUMNS($U$1006:Z1006),$U$1006:$AC$1006,0))&gt;=100000), " ",IF(INDEX($U$2:$AC$1001,MATCH(ROWS($N$2:N372),$N$2:$N$1001,0),MATCH(COLUMNS($U$1006:Z1006),$U$1006:$AC$1006,0)), HYPERLINK("#",""), HYPERLINK(CONCATENATE("#metadata!", ADDRESS(INDEX($P$2:$P$1001,MATCH(ROWS($N$2:N372),$N$2:$N$1001,0),0), INDEX($U$1004:$AC$1004,1,MATCH(COLUMNS($U$1006:Z1006),$U$1006:$AC$1006,0)))),"Fix")))</f>
        <v>0</v>
      </c>
      <c r="H372" s="3">
        <f>IF(OR(INDEX($O$2:$O$1001,MATCH(ROWS($N$2:N372),$N$2:$N$1001,0),1)&gt;=100000,INDEX($U$1005:$AC$1005,1,MATCH(COLUMNS($U$1006:AA1006),$U$1006:$AC$1006,0))&gt;=100000), " ",IF(INDEX($U$2:$AC$1001,MATCH(ROWS($N$2:N372),$N$2:$N$1001,0),MATCH(COLUMNS($U$1006:AA1006),$U$1006:$AC$1006,0)), HYPERLINK("#",""), HYPERLINK(CONCATENATE("#metadata!", ADDRESS(INDEX($P$2:$P$1001,MATCH(ROWS($N$2:N372),$N$2:$N$1001,0),0), INDEX($U$1004:$AC$1004,1,MATCH(COLUMNS($U$1006:AA1006),$U$1006:$AC$1006,0)))),"Fix")))</f>
        <v>0</v>
      </c>
      <c r="I372" s="3">
        <f>IF(OR(INDEX($O$2:$O$1001,MATCH(ROWS($N$2:N372),$N$2:$N$1001,0),1)&gt;=100000,INDEX($U$1005:$AC$1005,1,MATCH(COLUMNS($U$1006:AB1006),$U$1006:$AC$1006,0))&gt;=100000), " ",IF(INDEX($U$2:$AC$1001,MATCH(ROWS($N$2:N372),$N$2:$N$1001,0),MATCH(COLUMNS($U$1006:AB1006),$U$1006:$AC$1006,0)), HYPERLINK("#",""), HYPERLINK(CONCATENATE("#metadata!", ADDRESS(INDEX($P$2:$P$1001,MATCH(ROWS($N$2:N372),$N$2:$N$1001,0),0), INDEX($U$1004:$AC$1004,1,MATCH(COLUMNS($U$1006:AB1006),$U$1006:$AC$1006,0)))),"Fix")))</f>
        <v>0</v>
      </c>
      <c r="J372" s="3">
        <f>IF(OR(INDEX($O$2:$O$1001,MATCH(ROWS($N$2:N372),$N$2:$N$1001,0),1)&gt;=100000,INDEX($U$1005:$AC$1005,1,MATCH(COLUMNS($U$1006:AC1006),$U$1006:$AC$1006,0))&gt;=100000), " ",IF(INDEX($U$2:$AC$1001,MATCH(ROWS($N$2:N372),$N$2:$N$1001,0),MATCH(COLUMNS($U$1006:AC1006),$U$1006:$AC$1006,0)), HYPERLINK("#",""), HYPERLINK(CONCATENATE("#metadata!", ADDRESS(INDEX($P$2:$P$1001,MATCH(ROWS($N$2:N372),$N$2:$N$1001,0),0), INDEX($U$1004:$AC$1004,1,MATCH(COLUMNS($U$1006:AC1006),$U$1006:$AC$1006,0)))),"Fix")))</f>
        <v>0</v>
      </c>
      <c r="N372">
        <v>0</v>
      </c>
      <c r="O372">
        <v>0</v>
      </c>
      <c r="P372">
        <v>0</v>
      </c>
      <c r="Q372">
        <f>IF(R372,TRUE,AND(U372:AC372))</f>
        <v>0</v>
      </c>
      <c r="R372">
        <f>COUNTBLANK(metadata!B372:J372)=COLUMNS(metadata!B372:J372)</f>
        <v>0</v>
      </c>
      <c r="S372">
        <v>0</v>
      </c>
      <c r="U372">
        <f>AND(IF(metadata!B372="",FALSE,TRUE),COUNTIF(metadata!B:B, metadata!B372) = 1,NOT(ISERROR(SUMPRODUCT(SEARCH(MID(metadata!B372,ROW(INDIRECT("1:"&amp;LEN(metadata!B372))), 1),"0123456789abcdefghijklmnopqrstuvwxyzABCDEFGHIJKLMNOPQRSTUVWXYZ.")))))</f>
        <v>0</v>
      </c>
      <c r="V372">
        <f>AND(IF(metadata!C372="",FALSE,TRUE),exact(metadata!C372,"UBERON:genitourinary"))</f>
        <v>0</v>
      </c>
      <c r="W372">
        <f>AND(IF(metadata!D372="",FALSE,TRUE),exact(metadata!D372,"UBERON:urine"))</f>
        <v>0</v>
      </c>
      <c r="X372">
        <f>AND(IF(metadata!E372="",FALSE,TRUE),exact(metadata!E372,"UBERON:kidney"))</f>
        <v>0</v>
      </c>
      <c r="Y372">
        <f>AND(IF(metadata!F372="",FALSE,TRUE),exact(metadata!F372,"animal corpus"))</f>
        <v>0</v>
      </c>
      <c r="Z372">
        <f>AND(IF(metadata!G372="",FALSE,TRUE),exact(metadata!G372,"urine"))</f>
        <v>0</v>
      </c>
      <c r="AA372">
        <f>AND(IF(metadata!H372="",FALSE,TRUE),exact(metadata!H372,"urine"))</f>
        <v>0</v>
      </c>
      <c r="AB372">
        <f>AND(IF(metadata!I372="",FALSE,TRUE),exact(metadata!I372,"urine metagenome"))</f>
        <v>0</v>
      </c>
      <c r="AC372">
        <f>AND(IF(metadata!J372="",FALSE,TRUE),exact(metadata!J372,"1346744"))</f>
        <v>0</v>
      </c>
    </row>
    <row r="373" spans="1:29">
      <c r="A373" s="4">
        <f>IF(B373=" "," ",HYPERLINK(CONCATENATE("#metadata!",ADDRESS(INDEX($P$2:$P$1001,MATCH(ROWS($N$2:N373),$N$2:$N$1001,0),0),1)),INDEX($S$2:$S$1001,MATCH(ROWS($N$2:N373),$N$2:$N$1001,0),0)))</f>
        <v>0</v>
      </c>
      <c r="B373" s="3">
        <f>IF(OR(INDEX($O$2:$O$1001,MATCH(ROWS($N$2:N373),$N$2:$N$1001,0),1)&gt;=100000,INDEX($U$1005:$AC$1005,1,MATCH(COLUMNS($U$1006:U1006),$U$1006:$AC$1006,0))&gt;=100000), " ",IF(INDEX($U$2:$AC$1001,MATCH(ROWS($N$2:N373),$N$2:$N$1001,0),MATCH(COLUMNS($U$1006:U1006),$U$1006:$AC$1006,0)), HYPERLINK("#",""), HYPERLINK(CONCATENATE("#metadata!", ADDRESS(INDEX($P$2:$P$1001,MATCH(ROWS($N$2:N373),$N$2:$N$1001,0),0), INDEX($U$1004:$AC$1004,1,MATCH(COLUMNS($U$1006:U1006),$U$1006:$AC$1006,0)))),"Fix")))</f>
        <v>0</v>
      </c>
      <c r="C373" s="3">
        <f>IF(OR(INDEX($O$2:$O$1001,MATCH(ROWS($N$2:N373),$N$2:$N$1001,0),1)&gt;=100000,INDEX($U$1005:$AC$1005,1,MATCH(COLUMNS($U$1006:V1006),$U$1006:$AC$1006,0))&gt;=100000), " ",IF(INDEX($U$2:$AC$1001,MATCH(ROWS($N$2:N373),$N$2:$N$1001,0),MATCH(COLUMNS($U$1006:V1006),$U$1006:$AC$1006,0)), HYPERLINK("#",""), HYPERLINK(CONCATENATE("#metadata!", ADDRESS(INDEX($P$2:$P$1001,MATCH(ROWS($N$2:N373),$N$2:$N$1001,0),0), INDEX($U$1004:$AC$1004,1,MATCH(COLUMNS($U$1006:V1006),$U$1006:$AC$1006,0)))),"Fix")))</f>
        <v>0</v>
      </c>
      <c r="D373" s="3">
        <f>IF(OR(INDEX($O$2:$O$1001,MATCH(ROWS($N$2:N373),$N$2:$N$1001,0),1)&gt;=100000,INDEX($U$1005:$AC$1005,1,MATCH(COLUMNS($U$1006:W1006),$U$1006:$AC$1006,0))&gt;=100000), " ",IF(INDEX($U$2:$AC$1001,MATCH(ROWS($N$2:N373),$N$2:$N$1001,0),MATCH(COLUMNS($U$1006:W1006),$U$1006:$AC$1006,0)), HYPERLINK("#",""), HYPERLINK(CONCATENATE("#metadata!", ADDRESS(INDEX($P$2:$P$1001,MATCH(ROWS($N$2:N373),$N$2:$N$1001,0),0), INDEX($U$1004:$AC$1004,1,MATCH(COLUMNS($U$1006:W1006),$U$1006:$AC$1006,0)))),"Fix")))</f>
        <v>0</v>
      </c>
      <c r="E373" s="3">
        <f>IF(OR(INDEX($O$2:$O$1001,MATCH(ROWS($N$2:N373),$N$2:$N$1001,0),1)&gt;=100000,INDEX($U$1005:$AC$1005,1,MATCH(COLUMNS($U$1006:X1006),$U$1006:$AC$1006,0))&gt;=100000), " ",IF(INDEX($U$2:$AC$1001,MATCH(ROWS($N$2:N373),$N$2:$N$1001,0),MATCH(COLUMNS($U$1006:X1006),$U$1006:$AC$1006,0)), HYPERLINK("#",""), HYPERLINK(CONCATENATE("#metadata!", ADDRESS(INDEX($P$2:$P$1001,MATCH(ROWS($N$2:N373),$N$2:$N$1001,0),0), INDEX($U$1004:$AC$1004,1,MATCH(COLUMNS($U$1006:X1006),$U$1006:$AC$1006,0)))),"Fix")))</f>
        <v>0</v>
      </c>
      <c r="F373" s="3">
        <f>IF(OR(INDEX($O$2:$O$1001,MATCH(ROWS($N$2:N373),$N$2:$N$1001,0),1)&gt;=100000,INDEX($U$1005:$AC$1005,1,MATCH(COLUMNS($U$1006:Y1006),$U$1006:$AC$1006,0))&gt;=100000), " ",IF(INDEX($U$2:$AC$1001,MATCH(ROWS($N$2:N373),$N$2:$N$1001,0),MATCH(COLUMNS($U$1006:Y1006),$U$1006:$AC$1006,0)), HYPERLINK("#",""), HYPERLINK(CONCATENATE("#metadata!", ADDRESS(INDEX($P$2:$P$1001,MATCH(ROWS($N$2:N373),$N$2:$N$1001,0),0), INDEX($U$1004:$AC$1004,1,MATCH(COLUMNS($U$1006:Y1006),$U$1006:$AC$1006,0)))),"Fix")))</f>
        <v>0</v>
      </c>
      <c r="G373" s="3">
        <f>IF(OR(INDEX($O$2:$O$1001,MATCH(ROWS($N$2:N373),$N$2:$N$1001,0),1)&gt;=100000,INDEX($U$1005:$AC$1005,1,MATCH(COLUMNS($U$1006:Z1006),$U$1006:$AC$1006,0))&gt;=100000), " ",IF(INDEX($U$2:$AC$1001,MATCH(ROWS($N$2:N373),$N$2:$N$1001,0),MATCH(COLUMNS($U$1006:Z1006),$U$1006:$AC$1006,0)), HYPERLINK("#",""), HYPERLINK(CONCATENATE("#metadata!", ADDRESS(INDEX($P$2:$P$1001,MATCH(ROWS($N$2:N373),$N$2:$N$1001,0),0), INDEX($U$1004:$AC$1004,1,MATCH(COLUMNS($U$1006:Z1006),$U$1006:$AC$1006,0)))),"Fix")))</f>
        <v>0</v>
      </c>
      <c r="H373" s="3">
        <f>IF(OR(INDEX($O$2:$O$1001,MATCH(ROWS($N$2:N373),$N$2:$N$1001,0),1)&gt;=100000,INDEX($U$1005:$AC$1005,1,MATCH(COLUMNS($U$1006:AA1006),$U$1006:$AC$1006,0))&gt;=100000), " ",IF(INDEX($U$2:$AC$1001,MATCH(ROWS($N$2:N373),$N$2:$N$1001,0),MATCH(COLUMNS($U$1006:AA1006),$U$1006:$AC$1006,0)), HYPERLINK("#",""), HYPERLINK(CONCATENATE("#metadata!", ADDRESS(INDEX($P$2:$P$1001,MATCH(ROWS($N$2:N373),$N$2:$N$1001,0),0), INDEX($U$1004:$AC$1004,1,MATCH(COLUMNS($U$1006:AA1006),$U$1006:$AC$1006,0)))),"Fix")))</f>
        <v>0</v>
      </c>
      <c r="I373" s="3">
        <f>IF(OR(INDEX($O$2:$O$1001,MATCH(ROWS($N$2:N373),$N$2:$N$1001,0),1)&gt;=100000,INDEX($U$1005:$AC$1005,1,MATCH(COLUMNS($U$1006:AB1006),$U$1006:$AC$1006,0))&gt;=100000), " ",IF(INDEX($U$2:$AC$1001,MATCH(ROWS($N$2:N373),$N$2:$N$1001,0),MATCH(COLUMNS($U$1006:AB1006),$U$1006:$AC$1006,0)), HYPERLINK("#",""), HYPERLINK(CONCATENATE("#metadata!", ADDRESS(INDEX($P$2:$P$1001,MATCH(ROWS($N$2:N373),$N$2:$N$1001,0),0), INDEX($U$1004:$AC$1004,1,MATCH(COLUMNS($U$1006:AB1006),$U$1006:$AC$1006,0)))),"Fix")))</f>
        <v>0</v>
      </c>
      <c r="J373" s="3">
        <f>IF(OR(INDEX($O$2:$O$1001,MATCH(ROWS($N$2:N373),$N$2:$N$1001,0),1)&gt;=100000,INDEX($U$1005:$AC$1005,1,MATCH(COLUMNS($U$1006:AC1006),$U$1006:$AC$1006,0))&gt;=100000), " ",IF(INDEX($U$2:$AC$1001,MATCH(ROWS($N$2:N373),$N$2:$N$1001,0),MATCH(COLUMNS($U$1006:AC1006),$U$1006:$AC$1006,0)), HYPERLINK("#",""), HYPERLINK(CONCATENATE("#metadata!", ADDRESS(INDEX($P$2:$P$1001,MATCH(ROWS($N$2:N373),$N$2:$N$1001,0),0), INDEX($U$1004:$AC$1004,1,MATCH(COLUMNS($U$1006:AC1006),$U$1006:$AC$1006,0)))),"Fix")))</f>
        <v>0</v>
      </c>
      <c r="N373">
        <v>0</v>
      </c>
      <c r="O373">
        <v>0</v>
      </c>
      <c r="P373">
        <v>0</v>
      </c>
      <c r="Q373">
        <f>IF(R373,TRUE,AND(U373:AC373))</f>
        <v>0</v>
      </c>
      <c r="R373">
        <f>COUNTBLANK(metadata!B373:J373)=COLUMNS(metadata!B373:J373)</f>
        <v>0</v>
      </c>
      <c r="S373">
        <v>0</v>
      </c>
      <c r="U373">
        <f>AND(IF(metadata!B373="",FALSE,TRUE),COUNTIF(metadata!B:B, metadata!B373) = 1,NOT(ISERROR(SUMPRODUCT(SEARCH(MID(metadata!B373,ROW(INDIRECT("1:"&amp;LEN(metadata!B373))), 1),"0123456789abcdefghijklmnopqrstuvwxyzABCDEFGHIJKLMNOPQRSTUVWXYZ.")))))</f>
        <v>0</v>
      </c>
      <c r="V373">
        <f>AND(IF(metadata!C373="",FALSE,TRUE),exact(metadata!C373,"UBERON:genitourinary"))</f>
        <v>0</v>
      </c>
      <c r="W373">
        <f>AND(IF(metadata!D373="",FALSE,TRUE),exact(metadata!D373,"UBERON:urine"))</f>
        <v>0</v>
      </c>
      <c r="X373">
        <f>AND(IF(metadata!E373="",FALSE,TRUE),exact(metadata!E373,"UBERON:kidney"))</f>
        <v>0</v>
      </c>
      <c r="Y373">
        <f>AND(IF(metadata!F373="",FALSE,TRUE),exact(metadata!F373,"animal corpus"))</f>
        <v>0</v>
      </c>
      <c r="Z373">
        <f>AND(IF(metadata!G373="",FALSE,TRUE),exact(metadata!G373,"urine"))</f>
        <v>0</v>
      </c>
      <c r="AA373">
        <f>AND(IF(metadata!H373="",FALSE,TRUE),exact(metadata!H373,"urine"))</f>
        <v>0</v>
      </c>
      <c r="AB373">
        <f>AND(IF(metadata!I373="",FALSE,TRUE),exact(metadata!I373,"urine metagenome"))</f>
        <v>0</v>
      </c>
      <c r="AC373">
        <f>AND(IF(metadata!J373="",FALSE,TRUE),exact(metadata!J373,"1346744"))</f>
        <v>0</v>
      </c>
    </row>
    <row r="374" spans="1:29">
      <c r="A374" s="4">
        <f>IF(B374=" "," ",HYPERLINK(CONCATENATE("#metadata!",ADDRESS(INDEX($P$2:$P$1001,MATCH(ROWS($N$2:N374),$N$2:$N$1001,0),0),1)),INDEX($S$2:$S$1001,MATCH(ROWS($N$2:N374),$N$2:$N$1001,0),0)))</f>
        <v>0</v>
      </c>
      <c r="B374" s="3">
        <f>IF(OR(INDEX($O$2:$O$1001,MATCH(ROWS($N$2:N374),$N$2:$N$1001,0),1)&gt;=100000,INDEX($U$1005:$AC$1005,1,MATCH(COLUMNS($U$1006:U1006),$U$1006:$AC$1006,0))&gt;=100000), " ",IF(INDEX($U$2:$AC$1001,MATCH(ROWS($N$2:N374),$N$2:$N$1001,0),MATCH(COLUMNS($U$1006:U1006),$U$1006:$AC$1006,0)), HYPERLINK("#",""), HYPERLINK(CONCATENATE("#metadata!", ADDRESS(INDEX($P$2:$P$1001,MATCH(ROWS($N$2:N374),$N$2:$N$1001,0),0), INDEX($U$1004:$AC$1004,1,MATCH(COLUMNS($U$1006:U1006),$U$1006:$AC$1006,0)))),"Fix")))</f>
        <v>0</v>
      </c>
      <c r="C374" s="3">
        <f>IF(OR(INDEX($O$2:$O$1001,MATCH(ROWS($N$2:N374),$N$2:$N$1001,0),1)&gt;=100000,INDEX($U$1005:$AC$1005,1,MATCH(COLUMNS($U$1006:V1006),$U$1006:$AC$1006,0))&gt;=100000), " ",IF(INDEX($U$2:$AC$1001,MATCH(ROWS($N$2:N374),$N$2:$N$1001,0),MATCH(COLUMNS($U$1006:V1006),$U$1006:$AC$1006,0)), HYPERLINK("#",""), HYPERLINK(CONCATENATE("#metadata!", ADDRESS(INDEX($P$2:$P$1001,MATCH(ROWS($N$2:N374),$N$2:$N$1001,0),0), INDEX($U$1004:$AC$1004,1,MATCH(COLUMNS($U$1006:V1006),$U$1006:$AC$1006,0)))),"Fix")))</f>
        <v>0</v>
      </c>
      <c r="D374" s="3">
        <f>IF(OR(INDEX($O$2:$O$1001,MATCH(ROWS($N$2:N374),$N$2:$N$1001,0),1)&gt;=100000,INDEX($U$1005:$AC$1005,1,MATCH(COLUMNS($U$1006:W1006),$U$1006:$AC$1006,0))&gt;=100000), " ",IF(INDEX($U$2:$AC$1001,MATCH(ROWS($N$2:N374),$N$2:$N$1001,0),MATCH(COLUMNS($U$1006:W1006),$U$1006:$AC$1006,0)), HYPERLINK("#",""), HYPERLINK(CONCATENATE("#metadata!", ADDRESS(INDEX($P$2:$P$1001,MATCH(ROWS($N$2:N374),$N$2:$N$1001,0),0), INDEX($U$1004:$AC$1004,1,MATCH(COLUMNS($U$1006:W1006),$U$1006:$AC$1006,0)))),"Fix")))</f>
        <v>0</v>
      </c>
      <c r="E374" s="3">
        <f>IF(OR(INDEX($O$2:$O$1001,MATCH(ROWS($N$2:N374),$N$2:$N$1001,0),1)&gt;=100000,INDEX($U$1005:$AC$1005,1,MATCH(COLUMNS($U$1006:X1006),$U$1006:$AC$1006,0))&gt;=100000), " ",IF(INDEX($U$2:$AC$1001,MATCH(ROWS($N$2:N374),$N$2:$N$1001,0),MATCH(COLUMNS($U$1006:X1006),$U$1006:$AC$1006,0)), HYPERLINK("#",""), HYPERLINK(CONCATENATE("#metadata!", ADDRESS(INDEX($P$2:$P$1001,MATCH(ROWS($N$2:N374),$N$2:$N$1001,0),0), INDEX($U$1004:$AC$1004,1,MATCH(COLUMNS($U$1006:X1006),$U$1006:$AC$1006,0)))),"Fix")))</f>
        <v>0</v>
      </c>
      <c r="F374" s="3">
        <f>IF(OR(INDEX($O$2:$O$1001,MATCH(ROWS($N$2:N374),$N$2:$N$1001,0),1)&gt;=100000,INDEX($U$1005:$AC$1005,1,MATCH(COLUMNS($U$1006:Y1006),$U$1006:$AC$1006,0))&gt;=100000), " ",IF(INDEX($U$2:$AC$1001,MATCH(ROWS($N$2:N374),$N$2:$N$1001,0),MATCH(COLUMNS($U$1006:Y1006),$U$1006:$AC$1006,0)), HYPERLINK("#",""), HYPERLINK(CONCATENATE("#metadata!", ADDRESS(INDEX($P$2:$P$1001,MATCH(ROWS($N$2:N374),$N$2:$N$1001,0),0), INDEX($U$1004:$AC$1004,1,MATCH(COLUMNS($U$1006:Y1006),$U$1006:$AC$1006,0)))),"Fix")))</f>
        <v>0</v>
      </c>
      <c r="G374" s="3">
        <f>IF(OR(INDEX($O$2:$O$1001,MATCH(ROWS($N$2:N374),$N$2:$N$1001,0),1)&gt;=100000,INDEX($U$1005:$AC$1005,1,MATCH(COLUMNS($U$1006:Z1006),$U$1006:$AC$1006,0))&gt;=100000), " ",IF(INDEX($U$2:$AC$1001,MATCH(ROWS($N$2:N374),$N$2:$N$1001,0),MATCH(COLUMNS($U$1006:Z1006),$U$1006:$AC$1006,0)), HYPERLINK("#",""), HYPERLINK(CONCATENATE("#metadata!", ADDRESS(INDEX($P$2:$P$1001,MATCH(ROWS($N$2:N374),$N$2:$N$1001,0),0), INDEX($U$1004:$AC$1004,1,MATCH(COLUMNS($U$1006:Z1006),$U$1006:$AC$1006,0)))),"Fix")))</f>
        <v>0</v>
      </c>
      <c r="H374" s="3">
        <f>IF(OR(INDEX($O$2:$O$1001,MATCH(ROWS($N$2:N374),$N$2:$N$1001,0),1)&gt;=100000,INDEX($U$1005:$AC$1005,1,MATCH(COLUMNS($U$1006:AA1006),$U$1006:$AC$1006,0))&gt;=100000), " ",IF(INDEX($U$2:$AC$1001,MATCH(ROWS($N$2:N374),$N$2:$N$1001,0),MATCH(COLUMNS($U$1006:AA1006),$U$1006:$AC$1006,0)), HYPERLINK("#",""), HYPERLINK(CONCATENATE("#metadata!", ADDRESS(INDEX($P$2:$P$1001,MATCH(ROWS($N$2:N374),$N$2:$N$1001,0),0), INDEX($U$1004:$AC$1004,1,MATCH(COLUMNS($U$1006:AA1006),$U$1006:$AC$1006,0)))),"Fix")))</f>
        <v>0</v>
      </c>
      <c r="I374" s="3">
        <f>IF(OR(INDEX($O$2:$O$1001,MATCH(ROWS($N$2:N374),$N$2:$N$1001,0),1)&gt;=100000,INDEX($U$1005:$AC$1005,1,MATCH(COLUMNS($U$1006:AB1006),$U$1006:$AC$1006,0))&gt;=100000), " ",IF(INDEX($U$2:$AC$1001,MATCH(ROWS($N$2:N374),$N$2:$N$1001,0),MATCH(COLUMNS($U$1006:AB1006),$U$1006:$AC$1006,0)), HYPERLINK("#",""), HYPERLINK(CONCATENATE("#metadata!", ADDRESS(INDEX($P$2:$P$1001,MATCH(ROWS($N$2:N374),$N$2:$N$1001,0),0), INDEX($U$1004:$AC$1004,1,MATCH(COLUMNS($U$1006:AB1006),$U$1006:$AC$1006,0)))),"Fix")))</f>
        <v>0</v>
      </c>
      <c r="J374" s="3">
        <f>IF(OR(INDEX($O$2:$O$1001,MATCH(ROWS($N$2:N374),$N$2:$N$1001,0),1)&gt;=100000,INDEX($U$1005:$AC$1005,1,MATCH(COLUMNS($U$1006:AC1006),$U$1006:$AC$1006,0))&gt;=100000), " ",IF(INDEX($U$2:$AC$1001,MATCH(ROWS($N$2:N374),$N$2:$N$1001,0),MATCH(COLUMNS($U$1006:AC1006),$U$1006:$AC$1006,0)), HYPERLINK("#",""), HYPERLINK(CONCATENATE("#metadata!", ADDRESS(INDEX($P$2:$P$1001,MATCH(ROWS($N$2:N374),$N$2:$N$1001,0),0), INDEX($U$1004:$AC$1004,1,MATCH(COLUMNS($U$1006:AC1006),$U$1006:$AC$1006,0)))),"Fix")))</f>
        <v>0</v>
      </c>
      <c r="N374">
        <v>0</v>
      </c>
      <c r="O374">
        <v>0</v>
      </c>
      <c r="P374">
        <v>0</v>
      </c>
      <c r="Q374">
        <f>IF(R374,TRUE,AND(U374:AC374))</f>
        <v>0</v>
      </c>
      <c r="R374">
        <f>COUNTBLANK(metadata!B374:J374)=COLUMNS(metadata!B374:J374)</f>
        <v>0</v>
      </c>
      <c r="S374">
        <v>0</v>
      </c>
      <c r="U374">
        <f>AND(IF(metadata!B374="",FALSE,TRUE),COUNTIF(metadata!B:B, metadata!B374) = 1,NOT(ISERROR(SUMPRODUCT(SEARCH(MID(metadata!B374,ROW(INDIRECT("1:"&amp;LEN(metadata!B374))), 1),"0123456789abcdefghijklmnopqrstuvwxyzABCDEFGHIJKLMNOPQRSTUVWXYZ.")))))</f>
        <v>0</v>
      </c>
      <c r="V374">
        <f>AND(IF(metadata!C374="",FALSE,TRUE),exact(metadata!C374,"UBERON:genitourinary"))</f>
        <v>0</v>
      </c>
      <c r="W374">
        <f>AND(IF(metadata!D374="",FALSE,TRUE),exact(metadata!D374,"UBERON:urine"))</f>
        <v>0</v>
      </c>
      <c r="X374">
        <f>AND(IF(metadata!E374="",FALSE,TRUE),exact(metadata!E374,"UBERON:kidney"))</f>
        <v>0</v>
      </c>
      <c r="Y374">
        <f>AND(IF(metadata!F374="",FALSE,TRUE),exact(metadata!F374,"animal corpus"))</f>
        <v>0</v>
      </c>
      <c r="Z374">
        <f>AND(IF(metadata!G374="",FALSE,TRUE),exact(metadata!G374,"urine"))</f>
        <v>0</v>
      </c>
      <c r="AA374">
        <f>AND(IF(metadata!H374="",FALSE,TRUE),exact(metadata!H374,"urine"))</f>
        <v>0</v>
      </c>
      <c r="AB374">
        <f>AND(IF(metadata!I374="",FALSE,TRUE),exact(metadata!I374,"urine metagenome"))</f>
        <v>0</v>
      </c>
      <c r="AC374">
        <f>AND(IF(metadata!J374="",FALSE,TRUE),exact(metadata!J374,"1346744"))</f>
        <v>0</v>
      </c>
    </row>
    <row r="375" spans="1:29">
      <c r="A375" s="4">
        <f>IF(B375=" "," ",HYPERLINK(CONCATENATE("#metadata!",ADDRESS(INDEX($P$2:$P$1001,MATCH(ROWS($N$2:N375),$N$2:$N$1001,0),0),1)),INDEX($S$2:$S$1001,MATCH(ROWS($N$2:N375),$N$2:$N$1001,0),0)))</f>
        <v>0</v>
      </c>
      <c r="B375" s="3">
        <f>IF(OR(INDEX($O$2:$O$1001,MATCH(ROWS($N$2:N375),$N$2:$N$1001,0),1)&gt;=100000,INDEX($U$1005:$AC$1005,1,MATCH(COLUMNS($U$1006:U1006),$U$1006:$AC$1006,0))&gt;=100000), " ",IF(INDEX($U$2:$AC$1001,MATCH(ROWS($N$2:N375),$N$2:$N$1001,0),MATCH(COLUMNS($U$1006:U1006),$U$1006:$AC$1006,0)), HYPERLINK("#",""), HYPERLINK(CONCATENATE("#metadata!", ADDRESS(INDEX($P$2:$P$1001,MATCH(ROWS($N$2:N375),$N$2:$N$1001,0),0), INDEX($U$1004:$AC$1004,1,MATCH(COLUMNS($U$1006:U1006),$U$1006:$AC$1006,0)))),"Fix")))</f>
        <v>0</v>
      </c>
      <c r="C375" s="3">
        <f>IF(OR(INDEX($O$2:$O$1001,MATCH(ROWS($N$2:N375),$N$2:$N$1001,0),1)&gt;=100000,INDEX($U$1005:$AC$1005,1,MATCH(COLUMNS($U$1006:V1006),$U$1006:$AC$1006,0))&gt;=100000), " ",IF(INDEX($U$2:$AC$1001,MATCH(ROWS($N$2:N375),$N$2:$N$1001,0),MATCH(COLUMNS($U$1006:V1006),$U$1006:$AC$1006,0)), HYPERLINK("#",""), HYPERLINK(CONCATENATE("#metadata!", ADDRESS(INDEX($P$2:$P$1001,MATCH(ROWS($N$2:N375),$N$2:$N$1001,0),0), INDEX($U$1004:$AC$1004,1,MATCH(COLUMNS($U$1006:V1006),$U$1006:$AC$1006,0)))),"Fix")))</f>
        <v>0</v>
      </c>
      <c r="D375" s="3">
        <f>IF(OR(INDEX($O$2:$O$1001,MATCH(ROWS($N$2:N375),$N$2:$N$1001,0),1)&gt;=100000,INDEX($U$1005:$AC$1005,1,MATCH(COLUMNS($U$1006:W1006),$U$1006:$AC$1006,0))&gt;=100000), " ",IF(INDEX($U$2:$AC$1001,MATCH(ROWS($N$2:N375),$N$2:$N$1001,0),MATCH(COLUMNS($U$1006:W1006),$U$1006:$AC$1006,0)), HYPERLINK("#",""), HYPERLINK(CONCATENATE("#metadata!", ADDRESS(INDEX($P$2:$P$1001,MATCH(ROWS($N$2:N375),$N$2:$N$1001,0),0), INDEX($U$1004:$AC$1004,1,MATCH(COLUMNS($U$1006:W1006),$U$1006:$AC$1006,0)))),"Fix")))</f>
        <v>0</v>
      </c>
      <c r="E375" s="3">
        <f>IF(OR(INDEX($O$2:$O$1001,MATCH(ROWS($N$2:N375),$N$2:$N$1001,0),1)&gt;=100000,INDEX($U$1005:$AC$1005,1,MATCH(COLUMNS($U$1006:X1006),$U$1006:$AC$1006,0))&gt;=100000), " ",IF(INDEX($U$2:$AC$1001,MATCH(ROWS($N$2:N375),$N$2:$N$1001,0),MATCH(COLUMNS($U$1006:X1006),$U$1006:$AC$1006,0)), HYPERLINK("#",""), HYPERLINK(CONCATENATE("#metadata!", ADDRESS(INDEX($P$2:$P$1001,MATCH(ROWS($N$2:N375),$N$2:$N$1001,0),0), INDEX($U$1004:$AC$1004,1,MATCH(COLUMNS($U$1006:X1006),$U$1006:$AC$1006,0)))),"Fix")))</f>
        <v>0</v>
      </c>
      <c r="F375" s="3">
        <f>IF(OR(INDEX($O$2:$O$1001,MATCH(ROWS($N$2:N375),$N$2:$N$1001,0),1)&gt;=100000,INDEX($U$1005:$AC$1005,1,MATCH(COLUMNS($U$1006:Y1006),$U$1006:$AC$1006,0))&gt;=100000), " ",IF(INDEX($U$2:$AC$1001,MATCH(ROWS($N$2:N375),$N$2:$N$1001,0),MATCH(COLUMNS($U$1006:Y1006),$U$1006:$AC$1006,0)), HYPERLINK("#",""), HYPERLINK(CONCATENATE("#metadata!", ADDRESS(INDEX($P$2:$P$1001,MATCH(ROWS($N$2:N375),$N$2:$N$1001,0),0), INDEX($U$1004:$AC$1004,1,MATCH(COLUMNS($U$1006:Y1006),$U$1006:$AC$1006,0)))),"Fix")))</f>
        <v>0</v>
      </c>
      <c r="G375" s="3">
        <f>IF(OR(INDEX($O$2:$O$1001,MATCH(ROWS($N$2:N375),$N$2:$N$1001,0),1)&gt;=100000,INDEX($U$1005:$AC$1005,1,MATCH(COLUMNS($U$1006:Z1006),$U$1006:$AC$1006,0))&gt;=100000), " ",IF(INDEX($U$2:$AC$1001,MATCH(ROWS($N$2:N375),$N$2:$N$1001,0),MATCH(COLUMNS($U$1006:Z1006),$U$1006:$AC$1006,0)), HYPERLINK("#",""), HYPERLINK(CONCATENATE("#metadata!", ADDRESS(INDEX($P$2:$P$1001,MATCH(ROWS($N$2:N375),$N$2:$N$1001,0),0), INDEX($U$1004:$AC$1004,1,MATCH(COLUMNS($U$1006:Z1006),$U$1006:$AC$1006,0)))),"Fix")))</f>
        <v>0</v>
      </c>
      <c r="H375" s="3">
        <f>IF(OR(INDEX($O$2:$O$1001,MATCH(ROWS($N$2:N375),$N$2:$N$1001,0),1)&gt;=100000,INDEX($U$1005:$AC$1005,1,MATCH(COLUMNS($U$1006:AA1006),$U$1006:$AC$1006,0))&gt;=100000), " ",IF(INDEX($U$2:$AC$1001,MATCH(ROWS($N$2:N375),$N$2:$N$1001,0),MATCH(COLUMNS($U$1006:AA1006),$U$1006:$AC$1006,0)), HYPERLINK("#",""), HYPERLINK(CONCATENATE("#metadata!", ADDRESS(INDEX($P$2:$P$1001,MATCH(ROWS($N$2:N375),$N$2:$N$1001,0),0), INDEX($U$1004:$AC$1004,1,MATCH(COLUMNS($U$1006:AA1006),$U$1006:$AC$1006,0)))),"Fix")))</f>
        <v>0</v>
      </c>
      <c r="I375" s="3">
        <f>IF(OR(INDEX($O$2:$O$1001,MATCH(ROWS($N$2:N375),$N$2:$N$1001,0),1)&gt;=100000,INDEX($U$1005:$AC$1005,1,MATCH(COLUMNS($U$1006:AB1006),$U$1006:$AC$1006,0))&gt;=100000), " ",IF(INDEX($U$2:$AC$1001,MATCH(ROWS($N$2:N375),$N$2:$N$1001,0),MATCH(COLUMNS($U$1006:AB1006),$U$1006:$AC$1006,0)), HYPERLINK("#",""), HYPERLINK(CONCATENATE("#metadata!", ADDRESS(INDEX($P$2:$P$1001,MATCH(ROWS($N$2:N375),$N$2:$N$1001,0),0), INDEX($U$1004:$AC$1004,1,MATCH(COLUMNS($U$1006:AB1006),$U$1006:$AC$1006,0)))),"Fix")))</f>
        <v>0</v>
      </c>
      <c r="J375" s="3">
        <f>IF(OR(INDEX($O$2:$O$1001,MATCH(ROWS($N$2:N375),$N$2:$N$1001,0),1)&gt;=100000,INDEX($U$1005:$AC$1005,1,MATCH(COLUMNS($U$1006:AC1006),$U$1006:$AC$1006,0))&gt;=100000), " ",IF(INDEX($U$2:$AC$1001,MATCH(ROWS($N$2:N375),$N$2:$N$1001,0),MATCH(COLUMNS($U$1006:AC1006),$U$1006:$AC$1006,0)), HYPERLINK("#",""), HYPERLINK(CONCATENATE("#metadata!", ADDRESS(INDEX($P$2:$P$1001,MATCH(ROWS($N$2:N375),$N$2:$N$1001,0),0), INDEX($U$1004:$AC$1004,1,MATCH(COLUMNS($U$1006:AC1006),$U$1006:$AC$1006,0)))),"Fix")))</f>
        <v>0</v>
      </c>
      <c r="N375">
        <v>0</v>
      </c>
      <c r="O375">
        <v>0</v>
      </c>
      <c r="P375">
        <v>0</v>
      </c>
      <c r="Q375">
        <f>IF(R375,TRUE,AND(U375:AC375))</f>
        <v>0</v>
      </c>
      <c r="R375">
        <f>COUNTBLANK(metadata!B375:J375)=COLUMNS(metadata!B375:J375)</f>
        <v>0</v>
      </c>
      <c r="S375">
        <v>0</v>
      </c>
      <c r="U375">
        <f>AND(IF(metadata!B375="",FALSE,TRUE),COUNTIF(metadata!B:B, metadata!B375) = 1,NOT(ISERROR(SUMPRODUCT(SEARCH(MID(metadata!B375,ROW(INDIRECT("1:"&amp;LEN(metadata!B375))), 1),"0123456789abcdefghijklmnopqrstuvwxyzABCDEFGHIJKLMNOPQRSTUVWXYZ.")))))</f>
        <v>0</v>
      </c>
      <c r="V375">
        <f>AND(IF(metadata!C375="",FALSE,TRUE),exact(metadata!C375,"UBERON:genitourinary"))</f>
        <v>0</v>
      </c>
      <c r="W375">
        <f>AND(IF(metadata!D375="",FALSE,TRUE),exact(metadata!D375,"UBERON:urine"))</f>
        <v>0</v>
      </c>
      <c r="X375">
        <f>AND(IF(metadata!E375="",FALSE,TRUE),exact(metadata!E375,"UBERON:kidney"))</f>
        <v>0</v>
      </c>
      <c r="Y375">
        <f>AND(IF(metadata!F375="",FALSE,TRUE),exact(metadata!F375,"animal corpus"))</f>
        <v>0</v>
      </c>
      <c r="Z375">
        <f>AND(IF(metadata!G375="",FALSE,TRUE),exact(metadata!G375,"urine"))</f>
        <v>0</v>
      </c>
      <c r="AA375">
        <f>AND(IF(metadata!H375="",FALSE,TRUE),exact(metadata!H375,"urine"))</f>
        <v>0</v>
      </c>
      <c r="AB375">
        <f>AND(IF(metadata!I375="",FALSE,TRUE),exact(metadata!I375,"urine metagenome"))</f>
        <v>0</v>
      </c>
      <c r="AC375">
        <f>AND(IF(metadata!J375="",FALSE,TRUE),exact(metadata!J375,"1346744"))</f>
        <v>0</v>
      </c>
    </row>
    <row r="376" spans="1:29">
      <c r="A376" s="4">
        <f>IF(B376=" "," ",HYPERLINK(CONCATENATE("#metadata!",ADDRESS(INDEX($P$2:$P$1001,MATCH(ROWS($N$2:N376),$N$2:$N$1001,0),0),1)),INDEX($S$2:$S$1001,MATCH(ROWS($N$2:N376),$N$2:$N$1001,0),0)))</f>
        <v>0</v>
      </c>
      <c r="B376" s="3">
        <f>IF(OR(INDEX($O$2:$O$1001,MATCH(ROWS($N$2:N376),$N$2:$N$1001,0),1)&gt;=100000,INDEX($U$1005:$AC$1005,1,MATCH(COLUMNS($U$1006:U1006),$U$1006:$AC$1006,0))&gt;=100000), " ",IF(INDEX($U$2:$AC$1001,MATCH(ROWS($N$2:N376),$N$2:$N$1001,0),MATCH(COLUMNS($U$1006:U1006),$U$1006:$AC$1006,0)), HYPERLINK("#",""), HYPERLINK(CONCATENATE("#metadata!", ADDRESS(INDEX($P$2:$P$1001,MATCH(ROWS($N$2:N376),$N$2:$N$1001,0),0), INDEX($U$1004:$AC$1004,1,MATCH(COLUMNS($U$1006:U1006),$U$1006:$AC$1006,0)))),"Fix")))</f>
        <v>0</v>
      </c>
      <c r="C376" s="3">
        <f>IF(OR(INDEX($O$2:$O$1001,MATCH(ROWS($N$2:N376),$N$2:$N$1001,0),1)&gt;=100000,INDEX($U$1005:$AC$1005,1,MATCH(COLUMNS($U$1006:V1006),$U$1006:$AC$1006,0))&gt;=100000), " ",IF(INDEX($U$2:$AC$1001,MATCH(ROWS($N$2:N376),$N$2:$N$1001,0),MATCH(COLUMNS($U$1006:V1006),$U$1006:$AC$1006,0)), HYPERLINK("#",""), HYPERLINK(CONCATENATE("#metadata!", ADDRESS(INDEX($P$2:$P$1001,MATCH(ROWS($N$2:N376),$N$2:$N$1001,0),0), INDEX($U$1004:$AC$1004,1,MATCH(COLUMNS($U$1006:V1006),$U$1006:$AC$1006,0)))),"Fix")))</f>
        <v>0</v>
      </c>
      <c r="D376" s="3">
        <f>IF(OR(INDEX($O$2:$O$1001,MATCH(ROWS($N$2:N376),$N$2:$N$1001,0),1)&gt;=100000,INDEX($U$1005:$AC$1005,1,MATCH(COLUMNS($U$1006:W1006),$U$1006:$AC$1006,0))&gt;=100000), " ",IF(INDEX($U$2:$AC$1001,MATCH(ROWS($N$2:N376),$N$2:$N$1001,0),MATCH(COLUMNS($U$1006:W1006),$U$1006:$AC$1006,0)), HYPERLINK("#",""), HYPERLINK(CONCATENATE("#metadata!", ADDRESS(INDEX($P$2:$P$1001,MATCH(ROWS($N$2:N376),$N$2:$N$1001,0),0), INDEX($U$1004:$AC$1004,1,MATCH(COLUMNS($U$1006:W1006),$U$1006:$AC$1006,0)))),"Fix")))</f>
        <v>0</v>
      </c>
      <c r="E376" s="3">
        <f>IF(OR(INDEX($O$2:$O$1001,MATCH(ROWS($N$2:N376),$N$2:$N$1001,0),1)&gt;=100000,INDEX($U$1005:$AC$1005,1,MATCH(COLUMNS($U$1006:X1006),$U$1006:$AC$1006,0))&gt;=100000), " ",IF(INDEX($U$2:$AC$1001,MATCH(ROWS($N$2:N376),$N$2:$N$1001,0),MATCH(COLUMNS($U$1006:X1006),$U$1006:$AC$1006,0)), HYPERLINK("#",""), HYPERLINK(CONCATENATE("#metadata!", ADDRESS(INDEX($P$2:$P$1001,MATCH(ROWS($N$2:N376),$N$2:$N$1001,0),0), INDEX($U$1004:$AC$1004,1,MATCH(COLUMNS($U$1006:X1006),$U$1006:$AC$1006,0)))),"Fix")))</f>
        <v>0</v>
      </c>
      <c r="F376" s="3">
        <f>IF(OR(INDEX($O$2:$O$1001,MATCH(ROWS($N$2:N376),$N$2:$N$1001,0),1)&gt;=100000,INDEX($U$1005:$AC$1005,1,MATCH(COLUMNS($U$1006:Y1006),$U$1006:$AC$1006,0))&gt;=100000), " ",IF(INDEX($U$2:$AC$1001,MATCH(ROWS($N$2:N376),$N$2:$N$1001,0),MATCH(COLUMNS($U$1006:Y1006),$U$1006:$AC$1006,0)), HYPERLINK("#",""), HYPERLINK(CONCATENATE("#metadata!", ADDRESS(INDEX($P$2:$P$1001,MATCH(ROWS($N$2:N376),$N$2:$N$1001,0),0), INDEX($U$1004:$AC$1004,1,MATCH(COLUMNS($U$1006:Y1006),$U$1006:$AC$1006,0)))),"Fix")))</f>
        <v>0</v>
      </c>
      <c r="G376" s="3">
        <f>IF(OR(INDEX($O$2:$O$1001,MATCH(ROWS($N$2:N376),$N$2:$N$1001,0),1)&gt;=100000,INDEX($U$1005:$AC$1005,1,MATCH(COLUMNS($U$1006:Z1006),$U$1006:$AC$1006,0))&gt;=100000), " ",IF(INDEX($U$2:$AC$1001,MATCH(ROWS($N$2:N376),$N$2:$N$1001,0),MATCH(COLUMNS($U$1006:Z1006),$U$1006:$AC$1006,0)), HYPERLINK("#",""), HYPERLINK(CONCATENATE("#metadata!", ADDRESS(INDEX($P$2:$P$1001,MATCH(ROWS($N$2:N376),$N$2:$N$1001,0),0), INDEX($U$1004:$AC$1004,1,MATCH(COLUMNS($U$1006:Z1006),$U$1006:$AC$1006,0)))),"Fix")))</f>
        <v>0</v>
      </c>
      <c r="H376" s="3">
        <f>IF(OR(INDEX($O$2:$O$1001,MATCH(ROWS($N$2:N376),$N$2:$N$1001,0),1)&gt;=100000,INDEX($U$1005:$AC$1005,1,MATCH(COLUMNS($U$1006:AA1006),$U$1006:$AC$1006,0))&gt;=100000), " ",IF(INDEX($U$2:$AC$1001,MATCH(ROWS($N$2:N376),$N$2:$N$1001,0),MATCH(COLUMNS($U$1006:AA1006),$U$1006:$AC$1006,0)), HYPERLINK("#",""), HYPERLINK(CONCATENATE("#metadata!", ADDRESS(INDEX($P$2:$P$1001,MATCH(ROWS($N$2:N376),$N$2:$N$1001,0),0), INDEX($U$1004:$AC$1004,1,MATCH(COLUMNS($U$1006:AA1006),$U$1006:$AC$1006,0)))),"Fix")))</f>
        <v>0</v>
      </c>
      <c r="I376" s="3">
        <f>IF(OR(INDEX($O$2:$O$1001,MATCH(ROWS($N$2:N376),$N$2:$N$1001,0),1)&gt;=100000,INDEX($U$1005:$AC$1005,1,MATCH(COLUMNS($U$1006:AB1006),$U$1006:$AC$1006,0))&gt;=100000), " ",IF(INDEX($U$2:$AC$1001,MATCH(ROWS($N$2:N376),$N$2:$N$1001,0),MATCH(COLUMNS($U$1006:AB1006),$U$1006:$AC$1006,0)), HYPERLINK("#",""), HYPERLINK(CONCATENATE("#metadata!", ADDRESS(INDEX($P$2:$P$1001,MATCH(ROWS($N$2:N376),$N$2:$N$1001,0),0), INDEX($U$1004:$AC$1004,1,MATCH(COLUMNS($U$1006:AB1006),$U$1006:$AC$1006,0)))),"Fix")))</f>
        <v>0</v>
      </c>
      <c r="J376" s="3">
        <f>IF(OR(INDEX($O$2:$O$1001,MATCH(ROWS($N$2:N376),$N$2:$N$1001,0),1)&gt;=100000,INDEX($U$1005:$AC$1005,1,MATCH(COLUMNS($U$1006:AC1006),$U$1006:$AC$1006,0))&gt;=100000), " ",IF(INDEX($U$2:$AC$1001,MATCH(ROWS($N$2:N376),$N$2:$N$1001,0),MATCH(COLUMNS($U$1006:AC1006),$U$1006:$AC$1006,0)), HYPERLINK("#",""), HYPERLINK(CONCATENATE("#metadata!", ADDRESS(INDEX($P$2:$P$1001,MATCH(ROWS($N$2:N376),$N$2:$N$1001,0),0), INDEX($U$1004:$AC$1004,1,MATCH(COLUMNS($U$1006:AC1006),$U$1006:$AC$1006,0)))),"Fix")))</f>
        <v>0</v>
      </c>
      <c r="N376">
        <v>0</v>
      </c>
      <c r="O376">
        <v>0</v>
      </c>
      <c r="P376">
        <v>0</v>
      </c>
      <c r="Q376">
        <f>IF(R376,TRUE,AND(U376:AC376))</f>
        <v>0</v>
      </c>
      <c r="R376">
        <f>COUNTBLANK(metadata!B376:J376)=COLUMNS(metadata!B376:J376)</f>
        <v>0</v>
      </c>
      <c r="S376">
        <v>0</v>
      </c>
      <c r="U376">
        <f>AND(IF(metadata!B376="",FALSE,TRUE),COUNTIF(metadata!B:B, metadata!B376) = 1,NOT(ISERROR(SUMPRODUCT(SEARCH(MID(metadata!B376,ROW(INDIRECT("1:"&amp;LEN(metadata!B376))), 1),"0123456789abcdefghijklmnopqrstuvwxyzABCDEFGHIJKLMNOPQRSTUVWXYZ.")))))</f>
        <v>0</v>
      </c>
      <c r="V376">
        <f>AND(IF(metadata!C376="",FALSE,TRUE),exact(metadata!C376,"UBERON:genitourinary"))</f>
        <v>0</v>
      </c>
      <c r="W376">
        <f>AND(IF(metadata!D376="",FALSE,TRUE),exact(metadata!D376,"UBERON:urine"))</f>
        <v>0</v>
      </c>
      <c r="X376">
        <f>AND(IF(metadata!E376="",FALSE,TRUE),exact(metadata!E376,"UBERON:kidney"))</f>
        <v>0</v>
      </c>
      <c r="Y376">
        <f>AND(IF(metadata!F376="",FALSE,TRUE),exact(metadata!F376,"animal corpus"))</f>
        <v>0</v>
      </c>
      <c r="Z376">
        <f>AND(IF(metadata!G376="",FALSE,TRUE),exact(metadata!G376,"urine"))</f>
        <v>0</v>
      </c>
      <c r="AA376">
        <f>AND(IF(metadata!H376="",FALSE,TRUE),exact(metadata!H376,"urine"))</f>
        <v>0</v>
      </c>
      <c r="AB376">
        <f>AND(IF(metadata!I376="",FALSE,TRUE),exact(metadata!I376,"urine metagenome"))</f>
        <v>0</v>
      </c>
      <c r="AC376">
        <f>AND(IF(metadata!J376="",FALSE,TRUE),exact(metadata!J376,"1346744"))</f>
        <v>0</v>
      </c>
    </row>
    <row r="377" spans="1:29">
      <c r="A377" s="4">
        <f>IF(B377=" "," ",HYPERLINK(CONCATENATE("#metadata!",ADDRESS(INDEX($P$2:$P$1001,MATCH(ROWS($N$2:N377),$N$2:$N$1001,0),0),1)),INDEX($S$2:$S$1001,MATCH(ROWS($N$2:N377),$N$2:$N$1001,0),0)))</f>
        <v>0</v>
      </c>
      <c r="B377" s="3">
        <f>IF(OR(INDEX($O$2:$O$1001,MATCH(ROWS($N$2:N377),$N$2:$N$1001,0),1)&gt;=100000,INDEX($U$1005:$AC$1005,1,MATCH(COLUMNS($U$1006:U1006),$U$1006:$AC$1006,0))&gt;=100000), " ",IF(INDEX($U$2:$AC$1001,MATCH(ROWS($N$2:N377),$N$2:$N$1001,0),MATCH(COLUMNS($U$1006:U1006),$U$1006:$AC$1006,0)), HYPERLINK("#",""), HYPERLINK(CONCATENATE("#metadata!", ADDRESS(INDEX($P$2:$P$1001,MATCH(ROWS($N$2:N377),$N$2:$N$1001,0),0), INDEX($U$1004:$AC$1004,1,MATCH(COLUMNS($U$1006:U1006),$U$1006:$AC$1006,0)))),"Fix")))</f>
        <v>0</v>
      </c>
      <c r="C377" s="3">
        <f>IF(OR(INDEX($O$2:$O$1001,MATCH(ROWS($N$2:N377),$N$2:$N$1001,0),1)&gt;=100000,INDEX($U$1005:$AC$1005,1,MATCH(COLUMNS($U$1006:V1006),$U$1006:$AC$1006,0))&gt;=100000), " ",IF(INDEX($U$2:$AC$1001,MATCH(ROWS($N$2:N377),$N$2:$N$1001,0),MATCH(COLUMNS($U$1006:V1006),$U$1006:$AC$1006,0)), HYPERLINK("#",""), HYPERLINK(CONCATENATE("#metadata!", ADDRESS(INDEX($P$2:$P$1001,MATCH(ROWS($N$2:N377),$N$2:$N$1001,0),0), INDEX($U$1004:$AC$1004,1,MATCH(COLUMNS($U$1006:V1006),$U$1006:$AC$1006,0)))),"Fix")))</f>
        <v>0</v>
      </c>
      <c r="D377" s="3">
        <f>IF(OR(INDEX($O$2:$O$1001,MATCH(ROWS($N$2:N377),$N$2:$N$1001,0),1)&gt;=100000,INDEX($U$1005:$AC$1005,1,MATCH(COLUMNS($U$1006:W1006),$U$1006:$AC$1006,0))&gt;=100000), " ",IF(INDEX($U$2:$AC$1001,MATCH(ROWS($N$2:N377),$N$2:$N$1001,0),MATCH(COLUMNS($U$1006:W1006),$U$1006:$AC$1006,0)), HYPERLINK("#",""), HYPERLINK(CONCATENATE("#metadata!", ADDRESS(INDEX($P$2:$P$1001,MATCH(ROWS($N$2:N377),$N$2:$N$1001,0),0), INDEX($U$1004:$AC$1004,1,MATCH(COLUMNS($U$1006:W1006),$U$1006:$AC$1006,0)))),"Fix")))</f>
        <v>0</v>
      </c>
      <c r="E377" s="3">
        <f>IF(OR(INDEX($O$2:$O$1001,MATCH(ROWS($N$2:N377),$N$2:$N$1001,0),1)&gt;=100000,INDEX($U$1005:$AC$1005,1,MATCH(COLUMNS($U$1006:X1006),$U$1006:$AC$1006,0))&gt;=100000), " ",IF(INDEX($U$2:$AC$1001,MATCH(ROWS($N$2:N377),$N$2:$N$1001,0),MATCH(COLUMNS($U$1006:X1006),$U$1006:$AC$1006,0)), HYPERLINK("#",""), HYPERLINK(CONCATENATE("#metadata!", ADDRESS(INDEX($P$2:$P$1001,MATCH(ROWS($N$2:N377),$N$2:$N$1001,0),0), INDEX($U$1004:$AC$1004,1,MATCH(COLUMNS($U$1006:X1006),$U$1006:$AC$1006,0)))),"Fix")))</f>
        <v>0</v>
      </c>
      <c r="F377" s="3">
        <f>IF(OR(INDEX($O$2:$O$1001,MATCH(ROWS($N$2:N377),$N$2:$N$1001,0),1)&gt;=100000,INDEX($U$1005:$AC$1005,1,MATCH(COLUMNS($U$1006:Y1006),$U$1006:$AC$1006,0))&gt;=100000), " ",IF(INDEX($U$2:$AC$1001,MATCH(ROWS($N$2:N377),$N$2:$N$1001,0),MATCH(COLUMNS($U$1006:Y1006),$U$1006:$AC$1006,0)), HYPERLINK("#",""), HYPERLINK(CONCATENATE("#metadata!", ADDRESS(INDEX($P$2:$P$1001,MATCH(ROWS($N$2:N377),$N$2:$N$1001,0),0), INDEX($U$1004:$AC$1004,1,MATCH(COLUMNS($U$1006:Y1006),$U$1006:$AC$1006,0)))),"Fix")))</f>
        <v>0</v>
      </c>
      <c r="G377" s="3">
        <f>IF(OR(INDEX($O$2:$O$1001,MATCH(ROWS($N$2:N377),$N$2:$N$1001,0),1)&gt;=100000,INDEX($U$1005:$AC$1005,1,MATCH(COLUMNS($U$1006:Z1006),$U$1006:$AC$1006,0))&gt;=100000), " ",IF(INDEX($U$2:$AC$1001,MATCH(ROWS($N$2:N377),$N$2:$N$1001,0),MATCH(COLUMNS($U$1006:Z1006),$U$1006:$AC$1006,0)), HYPERLINK("#",""), HYPERLINK(CONCATENATE("#metadata!", ADDRESS(INDEX($P$2:$P$1001,MATCH(ROWS($N$2:N377),$N$2:$N$1001,0),0), INDEX($U$1004:$AC$1004,1,MATCH(COLUMNS($U$1006:Z1006),$U$1006:$AC$1006,0)))),"Fix")))</f>
        <v>0</v>
      </c>
      <c r="H377" s="3">
        <f>IF(OR(INDEX($O$2:$O$1001,MATCH(ROWS($N$2:N377),$N$2:$N$1001,0),1)&gt;=100000,INDEX($U$1005:$AC$1005,1,MATCH(COLUMNS($U$1006:AA1006),$U$1006:$AC$1006,0))&gt;=100000), " ",IF(INDEX($U$2:$AC$1001,MATCH(ROWS($N$2:N377),$N$2:$N$1001,0),MATCH(COLUMNS($U$1006:AA1006),$U$1006:$AC$1006,0)), HYPERLINK("#",""), HYPERLINK(CONCATENATE("#metadata!", ADDRESS(INDEX($P$2:$P$1001,MATCH(ROWS($N$2:N377),$N$2:$N$1001,0),0), INDEX($U$1004:$AC$1004,1,MATCH(COLUMNS($U$1006:AA1006),$U$1006:$AC$1006,0)))),"Fix")))</f>
        <v>0</v>
      </c>
      <c r="I377" s="3">
        <f>IF(OR(INDEX($O$2:$O$1001,MATCH(ROWS($N$2:N377),$N$2:$N$1001,0),1)&gt;=100000,INDEX($U$1005:$AC$1005,1,MATCH(COLUMNS($U$1006:AB1006),$U$1006:$AC$1006,0))&gt;=100000), " ",IF(INDEX($U$2:$AC$1001,MATCH(ROWS($N$2:N377),$N$2:$N$1001,0),MATCH(COLUMNS($U$1006:AB1006),$U$1006:$AC$1006,0)), HYPERLINK("#",""), HYPERLINK(CONCATENATE("#metadata!", ADDRESS(INDEX($P$2:$P$1001,MATCH(ROWS($N$2:N377),$N$2:$N$1001,0),0), INDEX($U$1004:$AC$1004,1,MATCH(COLUMNS($U$1006:AB1006),$U$1006:$AC$1006,0)))),"Fix")))</f>
        <v>0</v>
      </c>
      <c r="J377" s="3">
        <f>IF(OR(INDEX($O$2:$O$1001,MATCH(ROWS($N$2:N377),$N$2:$N$1001,0),1)&gt;=100000,INDEX($U$1005:$AC$1005,1,MATCH(COLUMNS($U$1006:AC1006),$U$1006:$AC$1006,0))&gt;=100000), " ",IF(INDEX($U$2:$AC$1001,MATCH(ROWS($N$2:N377),$N$2:$N$1001,0),MATCH(COLUMNS($U$1006:AC1006),$U$1006:$AC$1006,0)), HYPERLINK("#",""), HYPERLINK(CONCATENATE("#metadata!", ADDRESS(INDEX($P$2:$P$1001,MATCH(ROWS($N$2:N377),$N$2:$N$1001,0),0), INDEX($U$1004:$AC$1004,1,MATCH(COLUMNS($U$1006:AC1006),$U$1006:$AC$1006,0)))),"Fix")))</f>
        <v>0</v>
      </c>
      <c r="N377">
        <v>0</v>
      </c>
      <c r="O377">
        <v>0</v>
      </c>
      <c r="P377">
        <v>0</v>
      </c>
      <c r="Q377">
        <f>IF(R377,TRUE,AND(U377:AC377))</f>
        <v>0</v>
      </c>
      <c r="R377">
        <f>COUNTBLANK(metadata!B377:J377)=COLUMNS(metadata!B377:J377)</f>
        <v>0</v>
      </c>
      <c r="S377">
        <v>0</v>
      </c>
      <c r="U377">
        <f>AND(IF(metadata!B377="",FALSE,TRUE),COUNTIF(metadata!B:B, metadata!B377) = 1,NOT(ISERROR(SUMPRODUCT(SEARCH(MID(metadata!B377,ROW(INDIRECT("1:"&amp;LEN(metadata!B377))), 1),"0123456789abcdefghijklmnopqrstuvwxyzABCDEFGHIJKLMNOPQRSTUVWXYZ.")))))</f>
        <v>0</v>
      </c>
      <c r="V377">
        <f>AND(IF(metadata!C377="",FALSE,TRUE),exact(metadata!C377,"UBERON:genitourinary"))</f>
        <v>0</v>
      </c>
      <c r="W377">
        <f>AND(IF(metadata!D377="",FALSE,TRUE),exact(metadata!D377,"UBERON:urine"))</f>
        <v>0</v>
      </c>
      <c r="X377">
        <f>AND(IF(metadata!E377="",FALSE,TRUE),exact(metadata!E377,"UBERON:kidney"))</f>
        <v>0</v>
      </c>
      <c r="Y377">
        <f>AND(IF(metadata!F377="",FALSE,TRUE),exact(metadata!F377,"animal corpus"))</f>
        <v>0</v>
      </c>
      <c r="Z377">
        <f>AND(IF(metadata!G377="",FALSE,TRUE),exact(metadata!G377,"urine"))</f>
        <v>0</v>
      </c>
      <c r="AA377">
        <f>AND(IF(metadata!H377="",FALSE,TRUE),exact(metadata!H377,"urine"))</f>
        <v>0</v>
      </c>
      <c r="AB377">
        <f>AND(IF(metadata!I377="",FALSE,TRUE),exact(metadata!I377,"urine metagenome"))</f>
        <v>0</v>
      </c>
      <c r="AC377">
        <f>AND(IF(metadata!J377="",FALSE,TRUE),exact(metadata!J377,"1346744"))</f>
        <v>0</v>
      </c>
    </row>
    <row r="378" spans="1:29">
      <c r="A378" s="4">
        <f>IF(B378=" "," ",HYPERLINK(CONCATENATE("#metadata!",ADDRESS(INDEX($P$2:$P$1001,MATCH(ROWS($N$2:N378),$N$2:$N$1001,0),0),1)),INDEX($S$2:$S$1001,MATCH(ROWS($N$2:N378),$N$2:$N$1001,0),0)))</f>
        <v>0</v>
      </c>
      <c r="B378" s="3">
        <f>IF(OR(INDEX($O$2:$O$1001,MATCH(ROWS($N$2:N378),$N$2:$N$1001,0),1)&gt;=100000,INDEX($U$1005:$AC$1005,1,MATCH(COLUMNS($U$1006:U1006),$U$1006:$AC$1006,0))&gt;=100000), " ",IF(INDEX($U$2:$AC$1001,MATCH(ROWS($N$2:N378),$N$2:$N$1001,0),MATCH(COLUMNS($U$1006:U1006),$U$1006:$AC$1006,0)), HYPERLINK("#",""), HYPERLINK(CONCATENATE("#metadata!", ADDRESS(INDEX($P$2:$P$1001,MATCH(ROWS($N$2:N378),$N$2:$N$1001,0),0), INDEX($U$1004:$AC$1004,1,MATCH(COLUMNS($U$1006:U1006),$U$1006:$AC$1006,0)))),"Fix")))</f>
        <v>0</v>
      </c>
      <c r="C378" s="3">
        <f>IF(OR(INDEX($O$2:$O$1001,MATCH(ROWS($N$2:N378),$N$2:$N$1001,0),1)&gt;=100000,INDEX($U$1005:$AC$1005,1,MATCH(COLUMNS($U$1006:V1006),$U$1006:$AC$1006,0))&gt;=100000), " ",IF(INDEX($U$2:$AC$1001,MATCH(ROWS($N$2:N378),$N$2:$N$1001,0),MATCH(COLUMNS($U$1006:V1006),$U$1006:$AC$1006,0)), HYPERLINK("#",""), HYPERLINK(CONCATENATE("#metadata!", ADDRESS(INDEX($P$2:$P$1001,MATCH(ROWS($N$2:N378),$N$2:$N$1001,0),0), INDEX($U$1004:$AC$1004,1,MATCH(COLUMNS($U$1006:V1006),$U$1006:$AC$1006,0)))),"Fix")))</f>
        <v>0</v>
      </c>
      <c r="D378" s="3">
        <f>IF(OR(INDEX($O$2:$O$1001,MATCH(ROWS($N$2:N378),$N$2:$N$1001,0),1)&gt;=100000,INDEX($U$1005:$AC$1005,1,MATCH(COLUMNS($U$1006:W1006),$U$1006:$AC$1006,0))&gt;=100000), " ",IF(INDEX($U$2:$AC$1001,MATCH(ROWS($N$2:N378),$N$2:$N$1001,0),MATCH(COLUMNS($U$1006:W1006),$U$1006:$AC$1006,0)), HYPERLINK("#",""), HYPERLINK(CONCATENATE("#metadata!", ADDRESS(INDEX($P$2:$P$1001,MATCH(ROWS($N$2:N378),$N$2:$N$1001,0),0), INDEX($U$1004:$AC$1004,1,MATCH(COLUMNS($U$1006:W1006),$U$1006:$AC$1006,0)))),"Fix")))</f>
        <v>0</v>
      </c>
      <c r="E378" s="3">
        <f>IF(OR(INDEX($O$2:$O$1001,MATCH(ROWS($N$2:N378),$N$2:$N$1001,0),1)&gt;=100000,INDEX($U$1005:$AC$1005,1,MATCH(COLUMNS($U$1006:X1006),$U$1006:$AC$1006,0))&gt;=100000), " ",IF(INDEX($U$2:$AC$1001,MATCH(ROWS($N$2:N378),$N$2:$N$1001,0),MATCH(COLUMNS($U$1006:X1006),$U$1006:$AC$1006,0)), HYPERLINK("#",""), HYPERLINK(CONCATENATE("#metadata!", ADDRESS(INDEX($P$2:$P$1001,MATCH(ROWS($N$2:N378),$N$2:$N$1001,0),0), INDEX($U$1004:$AC$1004,1,MATCH(COLUMNS($U$1006:X1006),$U$1006:$AC$1006,0)))),"Fix")))</f>
        <v>0</v>
      </c>
      <c r="F378" s="3">
        <f>IF(OR(INDEX($O$2:$O$1001,MATCH(ROWS($N$2:N378),$N$2:$N$1001,0),1)&gt;=100000,INDEX($U$1005:$AC$1005,1,MATCH(COLUMNS($U$1006:Y1006),$U$1006:$AC$1006,0))&gt;=100000), " ",IF(INDEX($U$2:$AC$1001,MATCH(ROWS($N$2:N378),$N$2:$N$1001,0),MATCH(COLUMNS($U$1006:Y1006),$U$1006:$AC$1006,0)), HYPERLINK("#",""), HYPERLINK(CONCATENATE("#metadata!", ADDRESS(INDEX($P$2:$P$1001,MATCH(ROWS($N$2:N378),$N$2:$N$1001,0),0), INDEX($U$1004:$AC$1004,1,MATCH(COLUMNS($U$1006:Y1006),$U$1006:$AC$1006,0)))),"Fix")))</f>
        <v>0</v>
      </c>
      <c r="G378" s="3">
        <f>IF(OR(INDEX($O$2:$O$1001,MATCH(ROWS($N$2:N378),$N$2:$N$1001,0),1)&gt;=100000,INDEX($U$1005:$AC$1005,1,MATCH(COLUMNS($U$1006:Z1006),$U$1006:$AC$1006,0))&gt;=100000), " ",IF(INDEX($U$2:$AC$1001,MATCH(ROWS($N$2:N378),$N$2:$N$1001,0),MATCH(COLUMNS($U$1006:Z1006),$U$1006:$AC$1006,0)), HYPERLINK("#",""), HYPERLINK(CONCATENATE("#metadata!", ADDRESS(INDEX($P$2:$P$1001,MATCH(ROWS($N$2:N378),$N$2:$N$1001,0),0), INDEX($U$1004:$AC$1004,1,MATCH(COLUMNS($U$1006:Z1006),$U$1006:$AC$1006,0)))),"Fix")))</f>
        <v>0</v>
      </c>
      <c r="H378" s="3">
        <f>IF(OR(INDEX($O$2:$O$1001,MATCH(ROWS($N$2:N378),$N$2:$N$1001,0),1)&gt;=100000,INDEX($U$1005:$AC$1005,1,MATCH(COLUMNS($U$1006:AA1006),$U$1006:$AC$1006,0))&gt;=100000), " ",IF(INDEX($U$2:$AC$1001,MATCH(ROWS($N$2:N378),$N$2:$N$1001,0),MATCH(COLUMNS($U$1006:AA1006),$U$1006:$AC$1006,0)), HYPERLINK("#",""), HYPERLINK(CONCATENATE("#metadata!", ADDRESS(INDEX($P$2:$P$1001,MATCH(ROWS($N$2:N378),$N$2:$N$1001,0),0), INDEX($U$1004:$AC$1004,1,MATCH(COLUMNS($U$1006:AA1006),$U$1006:$AC$1006,0)))),"Fix")))</f>
        <v>0</v>
      </c>
      <c r="I378" s="3">
        <f>IF(OR(INDEX($O$2:$O$1001,MATCH(ROWS($N$2:N378),$N$2:$N$1001,0),1)&gt;=100000,INDEX($U$1005:$AC$1005,1,MATCH(COLUMNS($U$1006:AB1006),$U$1006:$AC$1006,0))&gt;=100000), " ",IF(INDEX($U$2:$AC$1001,MATCH(ROWS($N$2:N378),$N$2:$N$1001,0),MATCH(COLUMNS($U$1006:AB1006),$U$1006:$AC$1006,0)), HYPERLINK("#",""), HYPERLINK(CONCATENATE("#metadata!", ADDRESS(INDEX($P$2:$P$1001,MATCH(ROWS($N$2:N378),$N$2:$N$1001,0),0), INDEX($U$1004:$AC$1004,1,MATCH(COLUMNS($U$1006:AB1006),$U$1006:$AC$1006,0)))),"Fix")))</f>
        <v>0</v>
      </c>
      <c r="J378" s="3">
        <f>IF(OR(INDEX($O$2:$O$1001,MATCH(ROWS($N$2:N378),$N$2:$N$1001,0),1)&gt;=100000,INDEX($U$1005:$AC$1005,1,MATCH(COLUMNS($U$1006:AC1006),$U$1006:$AC$1006,0))&gt;=100000), " ",IF(INDEX($U$2:$AC$1001,MATCH(ROWS($N$2:N378),$N$2:$N$1001,0),MATCH(COLUMNS($U$1006:AC1006),$U$1006:$AC$1006,0)), HYPERLINK("#",""), HYPERLINK(CONCATENATE("#metadata!", ADDRESS(INDEX($P$2:$P$1001,MATCH(ROWS($N$2:N378),$N$2:$N$1001,0),0), INDEX($U$1004:$AC$1004,1,MATCH(COLUMNS($U$1006:AC1006),$U$1006:$AC$1006,0)))),"Fix")))</f>
        <v>0</v>
      </c>
      <c r="N378">
        <v>0</v>
      </c>
      <c r="O378">
        <v>0</v>
      </c>
      <c r="P378">
        <v>0</v>
      </c>
      <c r="Q378">
        <f>IF(R378,TRUE,AND(U378:AC378))</f>
        <v>0</v>
      </c>
      <c r="R378">
        <f>COUNTBLANK(metadata!B378:J378)=COLUMNS(metadata!B378:J378)</f>
        <v>0</v>
      </c>
      <c r="S378">
        <v>0</v>
      </c>
      <c r="U378">
        <f>AND(IF(metadata!B378="",FALSE,TRUE),COUNTIF(metadata!B:B, metadata!B378) = 1,NOT(ISERROR(SUMPRODUCT(SEARCH(MID(metadata!B378,ROW(INDIRECT("1:"&amp;LEN(metadata!B378))), 1),"0123456789abcdefghijklmnopqrstuvwxyzABCDEFGHIJKLMNOPQRSTUVWXYZ.")))))</f>
        <v>0</v>
      </c>
      <c r="V378">
        <f>AND(IF(metadata!C378="",FALSE,TRUE),exact(metadata!C378,"UBERON:genitourinary"))</f>
        <v>0</v>
      </c>
      <c r="W378">
        <f>AND(IF(metadata!D378="",FALSE,TRUE),exact(metadata!D378,"UBERON:urine"))</f>
        <v>0</v>
      </c>
      <c r="X378">
        <f>AND(IF(metadata!E378="",FALSE,TRUE),exact(metadata!E378,"UBERON:kidney"))</f>
        <v>0</v>
      </c>
      <c r="Y378">
        <f>AND(IF(metadata!F378="",FALSE,TRUE),exact(metadata!F378,"animal corpus"))</f>
        <v>0</v>
      </c>
      <c r="Z378">
        <f>AND(IF(metadata!G378="",FALSE,TRUE),exact(metadata!G378,"urine"))</f>
        <v>0</v>
      </c>
      <c r="AA378">
        <f>AND(IF(metadata!H378="",FALSE,TRUE),exact(metadata!H378,"urine"))</f>
        <v>0</v>
      </c>
      <c r="AB378">
        <f>AND(IF(metadata!I378="",FALSE,TRUE),exact(metadata!I378,"urine metagenome"))</f>
        <v>0</v>
      </c>
      <c r="AC378">
        <f>AND(IF(metadata!J378="",FALSE,TRUE),exact(metadata!J378,"1346744"))</f>
        <v>0</v>
      </c>
    </row>
    <row r="379" spans="1:29">
      <c r="A379" s="4">
        <f>IF(B379=" "," ",HYPERLINK(CONCATENATE("#metadata!",ADDRESS(INDEX($P$2:$P$1001,MATCH(ROWS($N$2:N379),$N$2:$N$1001,0),0),1)),INDEX($S$2:$S$1001,MATCH(ROWS($N$2:N379),$N$2:$N$1001,0),0)))</f>
        <v>0</v>
      </c>
      <c r="B379" s="3">
        <f>IF(OR(INDEX($O$2:$O$1001,MATCH(ROWS($N$2:N379),$N$2:$N$1001,0),1)&gt;=100000,INDEX($U$1005:$AC$1005,1,MATCH(COLUMNS($U$1006:U1006),$U$1006:$AC$1006,0))&gt;=100000), " ",IF(INDEX($U$2:$AC$1001,MATCH(ROWS($N$2:N379),$N$2:$N$1001,0),MATCH(COLUMNS($U$1006:U1006),$U$1006:$AC$1006,0)), HYPERLINK("#",""), HYPERLINK(CONCATENATE("#metadata!", ADDRESS(INDEX($P$2:$P$1001,MATCH(ROWS($N$2:N379),$N$2:$N$1001,0),0), INDEX($U$1004:$AC$1004,1,MATCH(COLUMNS($U$1006:U1006),$U$1006:$AC$1006,0)))),"Fix")))</f>
        <v>0</v>
      </c>
      <c r="C379" s="3">
        <f>IF(OR(INDEX($O$2:$O$1001,MATCH(ROWS($N$2:N379),$N$2:$N$1001,0),1)&gt;=100000,INDEX($U$1005:$AC$1005,1,MATCH(COLUMNS($U$1006:V1006),$U$1006:$AC$1006,0))&gt;=100000), " ",IF(INDEX($U$2:$AC$1001,MATCH(ROWS($N$2:N379),$N$2:$N$1001,0),MATCH(COLUMNS($U$1006:V1006),$U$1006:$AC$1006,0)), HYPERLINK("#",""), HYPERLINK(CONCATENATE("#metadata!", ADDRESS(INDEX($P$2:$P$1001,MATCH(ROWS($N$2:N379),$N$2:$N$1001,0),0), INDEX($U$1004:$AC$1004,1,MATCH(COLUMNS($U$1006:V1006),$U$1006:$AC$1006,0)))),"Fix")))</f>
        <v>0</v>
      </c>
      <c r="D379" s="3">
        <f>IF(OR(INDEX($O$2:$O$1001,MATCH(ROWS($N$2:N379),$N$2:$N$1001,0),1)&gt;=100000,INDEX($U$1005:$AC$1005,1,MATCH(COLUMNS($U$1006:W1006),$U$1006:$AC$1006,0))&gt;=100000), " ",IF(INDEX($U$2:$AC$1001,MATCH(ROWS($N$2:N379),$N$2:$N$1001,0),MATCH(COLUMNS($U$1006:W1006),$U$1006:$AC$1006,0)), HYPERLINK("#",""), HYPERLINK(CONCATENATE("#metadata!", ADDRESS(INDEX($P$2:$P$1001,MATCH(ROWS($N$2:N379),$N$2:$N$1001,0),0), INDEX($U$1004:$AC$1004,1,MATCH(COLUMNS($U$1006:W1006),$U$1006:$AC$1006,0)))),"Fix")))</f>
        <v>0</v>
      </c>
      <c r="E379" s="3">
        <f>IF(OR(INDEX($O$2:$O$1001,MATCH(ROWS($N$2:N379),$N$2:$N$1001,0),1)&gt;=100000,INDEX($U$1005:$AC$1005,1,MATCH(COLUMNS($U$1006:X1006),$U$1006:$AC$1006,0))&gt;=100000), " ",IF(INDEX($U$2:$AC$1001,MATCH(ROWS($N$2:N379),$N$2:$N$1001,0),MATCH(COLUMNS($U$1006:X1006),$U$1006:$AC$1006,0)), HYPERLINK("#",""), HYPERLINK(CONCATENATE("#metadata!", ADDRESS(INDEX($P$2:$P$1001,MATCH(ROWS($N$2:N379),$N$2:$N$1001,0),0), INDEX($U$1004:$AC$1004,1,MATCH(COLUMNS($U$1006:X1006),$U$1006:$AC$1006,0)))),"Fix")))</f>
        <v>0</v>
      </c>
      <c r="F379" s="3">
        <f>IF(OR(INDEX($O$2:$O$1001,MATCH(ROWS($N$2:N379),$N$2:$N$1001,0),1)&gt;=100000,INDEX($U$1005:$AC$1005,1,MATCH(COLUMNS($U$1006:Y1006),$U$1006:$AC$1006,0))&gt;=100000), " ",IF(INDEX($U$2:$AC$1001,MATCH(ROWS($N$2:N379),$N$2:$N$1001,0),MATCH(COLUMNS($U$1006:Y1006),$U$1006:$AC$1006,0)), HYPERLINK("#",""), HYPERLINK(CONCATENATE("#metadata!", ADDRESS(INDEX($P$2:$P$1001,MATCH(ROWS($N$2:N379),$N$2:$N$1001,0),0), INDEX($U$1004:$AC$1004,1,MATCH(COLUMNS($U$1006:Y1006),$U$1006:$AC$1006,0)))),"Fix")))</f>
        <v>0</v>
      </c>
      <c r="G379" s="3">
        <f>IF(OR(INDEX($O$2:$O$1001,MATCH(ROWS($N$2:N379),$N$2:$N$1001,0),1)&gt;=100000,INDEX($U$1005:$AC$1005,1,MATCH(COLUMNS($U$1006:Z1006),$U$1006:$AC$1006,0))&gt;=100000), " ",IF(INDEX($U$2:$AC$1001,MATCH(ROWS($N$2:N379),$N$2:$N$1001,0),MATCH(COLUMNS($U$1006:Z1006),$U$1006:$AC$1006,0)), HYPERLINK("#",""), HYPERLINK(CONCATENATE("#metadata!", ADDRESS(INDEX($P$2:$P$1001,MATCH(ROWS($N$2:N379),$N$2:$N$1001,0),0), INDEX($U$1004:$AC$1004,1,MATCH(COLUMNS($U$1006:Z1006),$U$1006:$AC$1006,0)))),"Fix")))</f>
        <v>0</v>
      </c>
      <c r="H379" s="3">
        <f>IF(OR(INDEX($O$2:$O$1001,MATCH(ROWS($N$2:N379),$N$2:$N$1001,0),1)&gt;=100000,INDEX($U$1005:$AC$1005,1,MATCH(COLUMNS($U$1006:AA1006),$U$1006:$AC$1006,0))&gt;=100000), " ",IF(INDEX($U$2:$AC$1001,MATCH(ROWS($N$2:N379),$N$2:$N$1001,0),MATCH(COLUMNS($U$1006:AA1006),$U$1006:$AC$1006,0)), HYPERLINK("#",""), HYPERLINK(CONCATENATE("#metadata!", ADDRESS(INDEX($P$2:$P$1001,MATCH(ROWS($N$2:N379),$N$2:$N$1001,0),0), INDEX($U$1004:$AC$1004,1,MATCH(COLUMNS($U$1006:AA1006),$U$1006:$AC$1006,0)))),"Fix")))</f>
        <v>0</v>
      </c>
      <c r="I379" s="3">
        <f>IF(OR(INDEX($O$2:$O$1001,MATCH(ROWS($N$2:N379),$N$2:$N$1001,0),1)&gt;=100000,INDEX($U$1005:$AC$1005,1,MATCH(COLUMNS($U$1006:AB1006),$U$1006:$AC$1006,0))&gt;=100000), " ",IF(INDEX($U$2:$AC$1001,MATCH(ROWS($N$2:N379),$N$2:$N$1001,0),MATCH(COLUMNS($U$1006:AB1006),$U$1006:$AC$1006,0)), HYPERLINK("#",""), HYPERLINK(CONCATENATE("#metadata!", ADDRESS(INDEX($P$2:$P$1001,MATCH(ROWS($N$2:N379),$N$2:$N$1001,0),0), INDEX($U$1004:$AC$1004,1,MATCH(COLUMNS($U$1006:AB1006),$U$1006:$AC$1006,0)))),"Fix")))</f>
        <v>0</v>
      </c>
      <c r="J379" s="3">
        <f>IF(OR(INDEX($O$2:$O$1001,MATCH(ROWS($N$2:N379),$N$2:$N$1001,0),1)&gt;=100000,INDEX($U$1005:$AC$1005,1,MATCH(COLUMNS($U$1006:AC1006),$U$1006:$AC$1006,0))&gt;=100000), " ",IF(INDEX($U$2:$AC$1001,MATCH(ROWS($N$2:N379),$N$2:$N$1001,0),MATCH(COLUMNS($U$1006:AC1006),$U$1006:$AC$1006,0)), HYPERLINK("#",""), HYPERLINK(CONCATENATE("#metadata!", ADDRESS(INDEX($P$2:$P$1001,MATCH(ROWS($N$2:N379),$N$2:$N$1001,0),0), INDEX($U$1004:$AC$1004,1,MATCH(COLUMNS($U$1006:AC1006),$U$1006:$AC$1006,0)))),"Fix")))</f>
        <v>0</v>
      </c>
      <c r="N379">
        <v>0</v>
      </c>
      <c r="O379">
        <v>0</v>
      </c>
      <c r="P379">
        <v>0</v>
      </c>
      <c r="Q379">
        <f>IF(R379,TRUE,AND(U379:AC379))</f>
        <v>0</v>
      </c>
      <c r="R379">
        <f>COUNTBLANK(metadata!B379:J379)=COLUMNS(metadata!B379:J379)</f>
        <v>0</v>
      </c>
      <c r="S379">
        <v>0</v>
      </c>
      <c r="U379">
        <f>AND(IF(metadata!B379="",FALSE,TRUE),COUNTIF(metadata!B:B, metadata!B379) = 1,NOT(ISERROR(SUMPRODUCT(SEARCH(MID(metadata!B379,ROW(INDIRECT("1:"&amp;LEN(metadata!B379))), 1),"0123456789abcdefghijklmnopqrstuvwxyzABCDEFGHIJKLMNOPQRSTUVWXYZ.")))))</f>
        <v>0</v>
      </c>
      <c r="V379">
        <f>AND(IF(metadata!C379="",FALSE,TRUE),exact(metadata!C379,"UBERON:genitourinary"))</f>
        <v>0</v>
      </c>
      <c r="W379">
        <f>AND(IF(metadata!D379="",FALSE,TRUE),exact(metadata!D379,"UBERON:urine"))</f>
        <v>0</v>
      </c>
      <c r="X379">
        <f>AND(IF(metadata!E379="",FALSE,TRUE),exact(metadata!E379,"UBERON:kidney"))</f>
        <v>0</v>
      </c>
      <c r="Y379">
        <f>AND(IF(metadata!F379="",FALSE,TRUE),exact(metadata!F379,"animal corpus"))</f>
        <v>0</v>
      </c>
      <c r="Z379">
        <f>AND(IF(metadata!G379="",FALSE,TRUE),exact(metadata!G379,"urine"))</f>
        <v>0</v>
      </c>
      <c r="AA379">
        <f>AND(IF(metadata!H379="",FALSE,TRUE),exact(metadata!H379,"urine"))</f>
        <v>0</v>
      </c>
      <c r="AB379">
        <f>AND(IF(metadata!I379="",FALSE,TRUE),exact(metadata!I379,"urine metagenome"))</f>
        <v>0</v>
      </c>
      <c r="AC379">
        <f>AND(IF(metadata!J379="",FALSE,TRUE),exact(metadata!J379,"1346744"))</f>
        <v>0</v>
      </c>
    </row>
    <row r="380" spans="1:29">
      <c r="A380" s="4">
        <f>IF(B380=" "," ",HYPERLINK(CONCATENATE("#metadata!",ADDRESS(INDEX($P$2:$P$1001,MATCH(ROWS($N$2:N380),$N$2:$N$1001,0),0),1)),INDEX($S$2:$S$1001,MATCH(ROWS($N$2:N380),$N$2:$N$1001,0),0)))</f>
        <v>0</v>
      </c>
      <c r="B380" s="3">
        <f>IF(OR(INDEX($O$2:$O$1001,MATCH(ROWS($N$2:N380),$N$2:$N$1001,0),1)&gt;=100000,INDEX($U$1005:$AC$1005,1,MATCH(COLUMNS($U$1006:U1006),$U$1006:$AC$1006,0))&gt;=100000), " ",IF(INDEX($U$2:$AC$1001,MATCH(ROWS($N$2:N380),$N$2:$N$1001,0),MATCH(COLUMNS($U$1006:U1006),$U$1006:$AC$1006,0)), HYPERLINK("#",""), HYPERLINK(CONCATENATE("#metadata!", ADDRESS(INDEX($P$2:$P$1001,MATCH(ROWS($N$2:N380),$N$2:$N$1001,0),0), INDEX($U$1004:$AC$1004,1,MATCH(COLUMNS($U$1006:U1006),$U$1006:$AC$1006,0)))),"Fix")))</f>
        <v>0</v>
      </c>
      <c r="C380" s="3">
        <f>IF(OR(INDEX($O$2:$O$1001,MATCH(ROWS($N$2:N380),$N$2:$N$1001,0),1)&gt;=100000,INDEX($U$1005:$AC$1005,1,MATCH(COLUMNS($U$1006:V1006),$U$1006:$AC$1006,0))&gt;=100000), " ",IF(INDEX($U$2:$AC$1001,MATCH(ROWS($N$2:N380),$N$2:$N$1001,0),MATCH(COLUMNS($U$1006:V1006),$U$1006:$AC$1006,0)), HYPERLINK("#",""), HYPERLINK(CONCATENATE("#metadata!", ADDRESS(INDEX($P$2:$P$1001,MATCH(ROWS($N$2:N380),$N$2:$N$1001,0),0), INDEX($U$1004:$AC$1004,1,MATCH(COLUMNS($U$1006:V1006),$U$1006:$AC$1006,0)))),"Fix")))</f>
        <v>0</v>
      </c>
      <c r="D380" s="3">
        <f>IF(OR(INDEX($O$2:$O$1001,MATCH(ROWS($N$2:N380),$N$2:$N$1001,0),1)&gt;=100000,INDEX($U$1005:$AC$1005,1,MATCH(COLUMNS($U$1006:W1006),$U$1006:$AC$1006,0))&gt;=100000), " ",IF(INDEX($U$2:$AC$1001,MATCH(ROWS($N$2:N380),$N$2:$N$1001,0),MATCH(COLUMNS($U$1006:W1006),$U$1006:$AC$1006,0)), HYPERLINK("#",""), HYPERLINK(CONCATENATE("#metadata!", ADDRESS(INDEX($P$2:$P$1001,MATCH(ROWS($N$2:N380),$N$2:$N$1001,0),0), INDEX($U$1004:$AC$1004,1,MATCH(COLUMNS($U$1006:W1006),$U$1006:$AC$1006,0)))),"Fix")))</f>
        <v>0</v>
      </c>
      <c r="E380" s="3">
        <f>IF(OR(INDEX($O$2:$O$1001,MATCH(ROWS($N$2:N380),$N$2:$N$1001,0),1)&gt;=100000,INDEX($U$1005:$AC$1005,1,MATCH(COLUMNS($U$1006:X1006),$U$1006:$AC$1006,0))&gt;=100000), " ",IF(INDEX($U$2:$AC$1001,MATCH(ROWS($N$2:N380),$N$2:$N$1001,0),MATCH(COLUMNS($U$1006:X1006),$U$1006:$AC$1006,0)), HYPERLINK("#",""), HYPERLINK(CONCATENATE("#metadata!", ADDRESS(INDEX($P$2:$P$1001,MATCH(ROWS($N$2:N380),$N$2:$N$1001,0),0), INDEX($U$1004:$AC$1004,1,MATCH(COLUMNS($U$1006:X1006),$U$1006:$AC$1006,0)))),"Fix")))</f>
        <v>0</v>
      </c>
      <c r="F380" s="3">
        <f>IF(OR(INDEX($O$2:$O$1001,MATCH(ROWS($N$2:N380),$N$2:$N$1001,0),1)&gt;=100000,INDEX($U$1005:$AC$1005,1,MATCH(COLUMNS($U$1006:Y1006),$U$1006:$AC$1006,0))&gt;=100000), " ",IF(INDEX($U$2:$AC$1001,MATCH(ROWS($N$2:N380),$N$2:$N$1001,0),MATCH(COLUMNS($U$1006:Y1006),$U$1006:$AC$1006,0)), HYPERLINK("#",""), HYPERLINK(CONCATENATE("#metadata!", ADDRESS(INDEX($P$2:$P$1001,MATCH(ROWS($N$2:N380),$N$2:$N$1001,0),0), INDEX($U$1004:$AC$1004,1,MATCH(COLUMNS($U$1006:Y1006),$U$1006:$AC$1006,0)))),"Fix")))</f>
        <v>0</v>
      </c>
      <c r="G380" s="3">
        <f>IF(OR(INDEX($O$2:$O$1001,MATCH(ROWS($N$2:N380),$N$2:$N$1001,0),1)&gt;=100000,INDEX($U$1005:$AC$1005,1,MATCH(COLUMNS($U$1006:Z1006),$U$1006:$AC$1006,0))&gt;=100000), " ",IF(INDEX($U$2:$AC$1001,MATCH(ROWS($N$2:N380),$N$2:$N$1001,0),MATCH(COLUMNS($U$1006:Z1006),$U$1006:$AC$1006,0)), HYPERLINK("#",""), HYPERLINK(CONCATENATE("#metadata!", ADDRESS(INDEX($P$2:$P$1001,MATCH(ROWS($N$2:N380),$N$2:$N$1001,0),0), INDEX($U$1004:$AC$1004,1,MATCH(COLUMNS($U$1006:Z1006),$U$1006:$AC$1006,0)))),"Fix")))</f>
        <v>0</v>
      </c>
      <c r="H380" s="3">
        <f>IF(OR(INDEX($O$2:$O$1001,MATCH(ROWS($N$2:N380),$N$2:$N$1001,0),1)&gt;=100000,INDEX($U$1005:$AC$1005,1,MATCH(COLUMNS($U$1006:AA1006),$U$1006:$AC$1006,0))&gt;=100000), " ",IF(INDEX($U$2:$AC$1001,MATCH(ROWS($N$2:N380),$N$2:$N$1001,0),MATCH(COLUMNS($U$1006:AA1006),$U$1006:$AC$1006,0)), HYPERLINK("#",""), HYPERLINK(CONCATENATE("#metadata!", ADDRESS(INDEX($P$2:$P$1001,MATCH(ROWS($N$2:N380),$N$2:$N$1001,0),0), INDEX($U$1004:$AC$1004,1,MATCH(COLUMNS($U$1006:AA1006),$U$1006:$AC$1006,0)))),"Fix")))</f>
        <v>0</v>
      </c>
      <c r="I380" s="3">
        <f>IF(OR(INDEX($O$2:$O$1001,MATCH(ROWS($N$2:N380),$N$2:$N$1001,0),1)&gt;=100000,INDEX($U$1005:$AC$1005,1,MATCH(COLUMNS($U$1006:AB1006),$U$1006:$AC$1006,0))&gt;=100000), " ",IF(INDEX($U$2:$AC$1001,MATCH(ROWS($N$2:N380),$N$2:$N$1001,0),MATCH(COLUMNS($U$1006:AB1006),$U$1006:$AC$1006,0)), HYPERLINK("#",""), HYPERLINK(CONCATENATE("#metadata!", ADDRESS(INDEX($P$2:$P$1001,MATCH(ROWS($N$2:N380),$N$2:$N$1001,0),0), INDEX($U$1004:$AC$1004,1,MATCH(COLUMNS($U$1006:AB1006),$U$1006:$AC$1006,0)))),"Fix")))</f>
        <v>0</v>
      </c>
      <c r="J380" s="3">
        <f>IF(OR(INDEX($O$2:$O$1001,MATCH(ROWS($N$2:N380),$N$2:$N$1001,0),1)&gt;=100000,INDEX($U$1005:$AC$1005,1,MATCH(COLUMNS($U$1006:AC1006),$U$1006:$AC$1006,0))&gt;=100000), " ",IF(INDEX($U$2:$AC$1001,MATCH(ROWS($N$2:N380),$N$2:$N$1001,0),MATCH(COLUMNS($U$1006:AC1006),$U$1006:$AC$1006,0)), HYPERLINK("#",""), HYPERLINK(CONCATENATE("#metadata!", ADDRESS(INDEX($P$2:$P$1001,MATCH(ROWS($N$2:N380),$N$2:$N$1001,0),0), INDEX($U$1004:$AC$1004,1,MATCH(COLUMNS($U$1006:AC1006),$U$1006:$AC$1006,0)))),"Fix")))</f>
        <v>0</v>
      </c>
      <c r="N380">
        <v>0</v>
      </c>
      <c r="O380">
        <v>0</v>
      </c>
      <c r="P380">
        <v>0</v>
      </c>
      <c r="Q380">
        <f>IF(R380,TRUE,AND(U380:AC380))</f>
        <v>0</v>
      </c>
      <c r="R380">
        <f>COUNTBLANK(metadata!B380:J380)=COLUMNS(metadata!B380:J380)</f>
        <v>0</v>
      </c>
      <c r="S380">
        <v>0</v>
      </c>
      <c r="U380">
        <f>AND(IF(metadata!B380="",FALSE,TRUE),COUNTIF(metadata!B:B, metadata!B380) = 1,NOT(ISERROR(SUMPRODUCT(SEARCH(MID(metadata!B380,ROW(INDIRECT("1:"&amp;LEN(metadata!B380))), 1),"0123456789abcdefghijklmnopqrstuvwxyzABCDEFGHIJKLMNOPQRSTUVWXYZ.")))))</f>
        <v>0</v>
      </c>
      <c r="V380">
        <f>AND(IF(metadata!C380="",FALSE,TRUE),exact(metadata!C380,"UBERON:genitourinary"))</f>
        <v>0</v>
      </c>
      <c r="W380">
        <f>AND(IF(metadata!D380="",FALSE,TRUE),exact(metadata!D380,"UBERON:urine"))</f>
        <v>0</v>
      </c>
      <c r="X380">
        <f>AND(IF(metadata!E380="",FALSE,TRUE),exact(metadata!E380,"UBERON:kidney"))</f>
        <v>0</v>
      </c>
      <c r="Y380">
        <f>AND(IF(metadata!F380="",FALSE,TRUE),exact(metadata!F380,"animal corpus"))</f>
        <v>0</v>
      </c>
      <c r="Z380">
        <f>AND(IF(metadata!G380="",FALSE,TRUE),exact(metadata!G380,"urine"))</f>
        <v>0</v>
      </c>
      <c r="AA380">
        <f>AND(IF(metadata!H380="",FALSE,TRUE),exact(metadata!H380,"urine"))</f>
        <v>0</v>
      </c>
      <c r="AB380">
        <f>AND(IF(metadata!I380="",FALSE,TRUE),exact(metadata!I380,"urine metagenome"))</f>
        <v>0</v>
      </c>
      <c r="AC380">
        <f>AND(IF(metadata!J380="",FALSE,TRUE),exact(metadata!J380,"1346744"))</f>
        <v>0</v>
      </c>
    </row>
    <row r="381" spans="1:29">
      <c r="A381" s="4">
        <f>IF(B381=" "," ",HYPERLINK(CONCATENATE("#metadata!",ADDRESS(INDEX($P$2:$P$1001,MATCH(ROWS($N$2:N381),$N$2:$N$1001,0),0),1)),INDEX($S$2:$S$1001,MATCH(ROWS($N$2:N381),$N$2:$N$1001,0),0)))</f>
        <v>0</v>
      </c>
      <c r="B381" s="3">
        <f>IF(OR(INDEX($O$2:$O$1001,MATCH(ROWS($N$2:N381),$N$2:$N$1001,0),1)&gt;=100000,INDEX($U$1005:$AC$1005,1,MATCH(COLUMNS($U$1006:U1006),$U$1006:$AC$1006,0))&gt;=100000), " ",IF(INDEX($U$2:$AC$1001,MATCH(ROWS($N$2:N381),$N$2:$N$1001,0),MATCH(COLUMNS($U$1006:U1006),$U$1006:$AC$1006,0)), HYPERLINK("#",""), HYPERLINK(CONCATENATE("#metadata!", ADDRESS(INDEX($P$2:$P$1001,MATCH(ROWS($N$2:N381),$N$2:$N$1001,0),0), INDEX($U$1004:$AC$1004,1,MATCH(COLUMNS($U$1006:U1006),$U$1006:$AC$1006,0)))),"Fix")))</f>
        <v>0</v>
      </c>
      <c r="C381" s="3">
        <f>IF(OR(INDEX($O$2:$O$1001,MATCH(ROWS($N$2:N381),$N$2:$N$1001,0),1)&gt;=100000,INDEX($U$1005:$AC$1005,1,MATCH(COLUMNS($U$1006:V1006),$U$1006:$AC$1006,0))&gt;=100000), " ",IF(INDEX($U$2:$AC$1001,MATCH(ROWS($N$2:N381),$N$2:$N$1001,0),MATCH(COLUMNS($U$1006:V1006),$U$1006:$AC$1006,0)), HYPERLINK("#",""), HYPERLINK(CONCATENATE("#metadata!", ADDRESS(INDEX($P$2:$P$1001,MATCH(ROWS($N$2:N381),$N$2:$N$1001,0),0), INDEX($U$1004:$AC$1004,1,MATCH(COLUMNS($U$1006:V1006),$U$1006:$AC$1006,0)))),"Fix")))</f>
        <v>0</v>
      </c>
      <c r="D381" s="3">
        <f>IF(OR(INDEX($O$2:$O$1001,MATCH(ROWS($N$2:N381),$N$2:$N$1001,0),1)&gt;=100000,INDEX($U$1005:$AC$1005,1,MATCH(COLUMNS($U$1006:W1006),$U$1006:$AC$1006,0))&gt;=100000), " ",IF(INDEX($U$2:$AC$1001,MATCH(ROWS($N$2:N381),$N$2:$N$1001,0),MATCH(COLUMNS($U$1006:W1006),$U$1006:$AC$1006,0)), HYPERLINK("#",""), HYPERLINK(CONCATENATE("#metadata!", ADDRESS(INDEX($P$2:$P$1001,MATCH(ROWS($N$2:N381),$N$2:$N$1001,0),0), INDEX($U$1004:$AC$1004,1,MATCH(COLUMNS($U$1006:W1006),$U$1006:$AC$1006,0)))),"Fix")))</f>
        <v>0</v>
      </c>
      <c r="E381" s="3">
        <f>IF(OR(INDEX($O$2:$O$1001,MATCH(ROWS($N$2:N381),$N$2:$N$1001,0),1)&gt;=100000,INDEX($U$1005:$AC$1005,1,MATCH(COLUMNS($U$1006:X1006),$U$1006:$AC$1006,0))&gt;=100000), " ",IF(INDEX($U$2:$AC$1001,MATCH(ROWS($N$2:N381),$N$2:$N$1001,0),MATCH(COLUMNS($U$1006:X1006),$U$1006:$AC$1006,0)), HYPERLINK("#",""), HYPERLINK(CONCATENATE("#metadata!", ADDRESS(INDEX($P$2:$P$1001,MATCH(ROWS($N$2:N381),$N$2:$N$1001,0),0), INDEX($U$1004:$AC$1004,1,MATCH(COLUMNS($U$1006:X1006),$U$1006:$AC$1006,0)))),"Fix")))</f>
        <v>0</v>
      </c>
      <c r="F381" s="3">
        <f>IF(OR(INDEX($O$2:$O$1001,MATCH(ROWS($N$2:N381),$N$2:$N$1001,0),1)&gt;=100000,INDEX($U$1005:$AC$1005,1,MATCH(COLUMNS($U$1006:Y1006),$U$1006:$AC$1006,0))&gt;=100000), " ",IF(INDEX($U$2:$AC$1001,MATCH(ROWS($N$2:N381),$N$2:$N$1001,0),MATCH(COLUMNS($U$1006:Y1006),$U$1006:$AC$1006,0)), HYPERLINK("#",""), HYPERLINK(CONCATENATE("#metadata!", ADDRESS(INDEX($P$2:$P$1001,MATCH(ROWS($N$2:N381),$N$2:$N$1001,0),0), INDEX($U$1004:$AC$1004,1,MATCH(COLUMNS($U$1006:Y1006),$U$1006:$AC$1006,0)))),"Fix")))</f>
        <v>0</v>
      </c>
      <c r="G381" s="3">
        <f>IF(OR(INDEX($O$2:$O$1001,MATCH(ROWS($N$2:N381),$N$2:$N$1001,0),1)&gt;=100000,INDEX($U$1005:$AC$1005,1,MATCH(COLUMNS($U$1006:Z1006),$U$1006:$AC$1006,0))&gt;=100000), " ",IF(INDEX($U$2:$AC$1001,MATCH(ROWS($N$2:N381),$N$2:$N$1001,0),MATCH(COLUMNS($U$1006:Z1006),$U$1006:$AC$1006,0)), HYPERLINK("#",""), HYPERLINK(CONCATENATE("#metadata!", ADDRESS(INDEX($P$2:$P$1001,MATCH(ROWS($N$2:N381),$N$2:$N$1001,0),0), INDEX($U$1004:$AC$1004,1,MATCH(COLUMNS($U$1006:Z1006),$U$1006:$AC$1006,0)))),"Fix")))</f>
        <v>0</v>
      </c>
      <c r="H381" s="3">
        <f>IF(OR(INDEX($O$2:$O$1001,MATCH(ROWS($N$2:N381),$N$2:$N$1001,0),1)&gt;=100000,INDEX($U$1005:$AC$1005,1,MATCH(COLUMNS($U$1006:AA1006),$U$1006:$AC$1006,0))&gt;=100000), " ",IF(INDEX($U$2:$AC$1001,MATCH(ROWS($N$2:N381),$N$2:$N$1001,0),MATCH(COLUMNS($U$1006:AA1006),$U$1006:$AC$1006,0)), HYPERLINK("#",""), HYPERLINK(CONCATENATE("#metadata!", ADDRESS(INDEX($P$2:$P$1001,MATCH(ROWS($N$2:N381),$N$2:$N$1001,0),0), INDEX($U$1004:$AC$1004,1,MATCH(COLUMNS($U$1006:AA1006),$U$1006:$AC$1006,0)))),"Fix")))</f>
        <v>0</v>
      </c>
      <c r="I381" s="3">
        <f>IF(OR(INDEX($O$2:$O$1001,MATCH(ROWS($N$2:N381),$N$2:$N$1001,0),1)&gt;=100000,INDEX($U$1005:$AC$1005,1,MATCH(COLUMNS($U$1006:AB1006),$U$1006:$AC$1006,0))&gt;=100000), " ",IF(INDEX($U$2:$AC$1001,MATCH(ROWS($N$2:N381),$N$2:$N$1001,0),MATCH(COLUMNS($U$1006:AB1006),$U$1006:$AC$1006,0)), HYPERLINK("#",""), HYPERLINK(CONCATENATE("#metadata!", ADDRESS(INDEX($P$2:$P$1001,MATCH(ROWS($N$2:N381),$N$2:$N$1001,0),0), INDEX($U$1004:$AC$1004,1,MATCH(COLUMNS($U$1006:AB1006),$U$1006:$AC$1006,0)))),"Fix")))</f>
        <v>0</v>
      </c>
      <c r="J381" s="3">
        <f>IF(OR(INDEX($O$2:$O$1001,MATCH(ROWS($N$2:N381),$N$2:$N$1001,0),1)&gt;=100000,INDEX($U$1005:$AC$1005,1,MATCH(COLUMNS($U$1006:AC1006),$U$1006:$AC$1006,0))&gt;=100000), " ",IF(INDEX($U$2:$AC$1001,MATCH(ROWS($N$2:N381),$N$2:$N$1001,0),MATCH(COLUMNS($U$1006:AC1006),$U$1006:$AC$1006,0)), HYPERLINK("#",""), HYPERLINK(CONCATENATE("#metadata!", ADDRESS(INDEX($P$2:$P$1001,MATCH(ROWS($N$2:N381),$N$2:$N$1001,0),0), INDEX($U$1004:$AC$1004,1,MATCH(COLUMNS($U$1006:AC1006),$U$1006:$AC$1006,0)))),"Fix")))</f>
        <v>0</v>
      </c>
      <c r="N381">
        <v>0</v>
      </c>
      <c r="O381">
        <v>0</v>
      </c>
      <c r="P381">
        <v>0</v>
      </c>
      <c r="Q381">
        <f>IF(R381,TRUE,AND(U381:AC381))</f>
        <v>0</v>
      </c>
      <c r="R381">
        <f>COUNTBLANK(metadata!B381:J381)=COLUMNS(metadata!B381:J381)</f>
        <v>0</v>
      </c>
      <c r="S381">
        <v>0</v>
      </c>
      <c r="U381">
        <f>AND(IF(metadata!B381="",FALSE,TRUE),COUNTIF(metadata!B:B, metadata!B381) = 1,NOT(ISERROR(SUMPRODUCT(SEARCH(MID(metadata!B381,ROW(INDIRECT("1:"&amp;LEN(metadata!B381))), 1),"0123456789abcdefghijklmnopqrstuvwxyzABCDEFGHIJKLMNOPQRSTUVWXYZ.")))))</f>
        <v>0</v>
      </c>
      <c r="V381">
        <f>AND(IF(metadata!C381="",FALSE,TRUE),exact(metadata!C381,"UBERON:genitourinary"))</f>
        <v>0</v>
      </c>
      <c r="W381">
        <f>AND(IF(metadata!D381="",FALSE,TRUE),exact(metadata!D381,"UBERON:urine"))</f>
        <v>0</v>
      </c>
      <c r="X381">
        <f>AND(IF(metadata!E381="",FALSE,TRUE),exact(metadata!E381,"UBERON:kidney"))</f>
        <v>0</v>
      </c>
      <c r="Y381">
        <f>AND(IF(metadata!F381="",FALSE,TRUE),exact(metadata!F381,"animal corpus"))</f>
        <v>0</v>
      </c>
      <c r="Z381">
        <f>AND(IF(metadata!G381="",FALSE,TRUE),exact(metadata!G381,"urine"))</f>
        <v>0</v>
      </c>
      <c r="AA381">
        <f>AND(IF(metadata!H381="",FALSE,TRUE),exact(metadata!H381,"urine"))</f>
        <v>0</v>
      </c>
      <c r="AB381">
        <f>AND(IF(metadata!I381="",FALSE,TRUE),exact(metadata!I381,"urine metagenome"))</f>
        <v>0</v>
      </c>
      <c r="AC381">
        <f>AND(IF(metadata!J381="",FALSE,TRUE),exact(metadata!J381,"1346744"))</f>
        <v>0</v>
      </c>
    </row>
    <row r="382" spans="1:29">
      <c r="A382" s="4">
        <f>IF(B382=" "," ",HYPERLINK(CONCATENATE("#metadata!",ADDRESS(INDEX($P$2:$P$1001,MATCH(ROWS($N$2:N382),$N$2:$N$1001,0),0),1)),INDEX($S$2:$S$1001,MATCH(ROWS($N$2:N382),$N$2:$N$1001,0),0)))</f>
        <v>0</v>
      </c>
      <c r="B382" s="3">
        <f>IF(OR(INDEX($O$2:$O$1001,MATCH(ROWS($N$2:N382),$N$2:$N$1001,0),1)&gt;=100000,INDEX($U$1005:$AC$1005,1,MATCH(COLUMNS($U$1006:U1006),$U$1006:$AC$1006,0))&gt;=100000), " ",IF(INDEX($U$2:$AC$1001,MATCH(ROWS($N$2:N382),$N$2:$N$1001,0),MATCH(COLUMNS($U$1006:U1006),$U$1006:$AC$1006,0)), HYPERLINK("#",""), HYPERLINK(CONCATENATE("#metadata!", ADDRESS(INDEX($P$2:$P$1001,MATCH(ROWS($N$2:N382),$N$2:$N$1001,0),0), INDEX($U$1004:$AC$1004,1,MATCH(COLUMNS($U$1006:U1006),$U$1006:$AC$1006,0)))),"Fix")))</f>
        <v>0</v>
      </c>
      <c r="C382" s="3">
        <f>IF(OR(INDEX($O$2:$O$1001,MATCH(ROWS($N$2:N382),$N$2:$N$1001,0),1)&gt;=100000,INDEX($U$1005:$AC$1005,1,MATCH(COLUMNS($U$1006:V1006),$U$1006:$AC$1006,0))&gt;=100000), " ",IF(INDEX($U$2:$AC$1001,MATCH(ROWS($N$2:N382),$N$2:$N$1001,0),MATCH(COLUMNS($U$1006:V1006),$U$1006:$AC$1006,0)), HYPERLINK("#",""), HYPERLINK(CONCATENATE("#metadata!", ADDRESS(INDEX($P$2:$P$1001,MATCH(ROWS($N$2:N382),$N$2:$N$1001,0),0), INDEX($U$1004:$AC$1004,1,MATCH(COLUMNS($U$1006:V1006),$U$1006:$AC$1006,0)))),"Fix")))</f>
        <v>0</v>
      </c>
      <c r="D382" s="3">
        <f>IF(OR(INDEX($O$2:$O$1001,MATCH(ROWS($N$2:N382),$N$2:$N$1001,0),1)&gt;=100000,INDEX($U$1005:$AC$1005,1,MATCH(COLUMNS($U$1006:W1006),$U$1006:$AC$1006,0))&gt;=100000), " ",IF(INDEX($U$2:$AC$1001,MATCH(ROWS($N$2:N382),$N$2:$N$1001,0),MATCH(COLUMNS($U$1006:W1006),$U$1006:$AC$1006,0)), HYPERLINK("#",""), HYPERLINK(CONCATENATE("#metadata!", ADDRESS(INDEX($P$2:$P$1001,MATCH(ROWS($N$2:N382),$N$2:$N$1001,0),0), INDEX($U$1004:$AC$1004,1,MATCH(COLUMNS($U$1006:W1006),$U$1006:$AC$1006,0)))),"Fix")))</f>
        <v>0</v>
      </c>
      <c r="E382" s="3">
        <f>IF(OR(INDEX($O$2:$O$1001,MATCH(ROWS($N$2:N382),$N$2:$N$1001,0),1)&gt;=100000,INDEX($U$1005:$AC$1005,1,MATCH(COLUMNS($U$1006:X1006),$U$1006:$AC$1006,0))&gt;=100000), " ",IF(INDEX($U$2:$AC$1001,MATCH(ROWS($N$2:N382),$N$2:$N$1001,0),MATCH(COLUMNS($U$1006:X1006),$U$1006:$AC$1006,0)), HYPERLINK("#",""), HYPERLINK(CONCATENATE("#metadata!", ADDRESS(INDEX($P$2:$P$1001,MATCH(ROWS($N$2:N382),$N$2:$N$1001,0),0), INDEX($U$1004:$AC$1004,1,MATCH(COLUMNS($U$1006:X1006),$U$1006:$AC$1006,0)))),"Fix")))</f>
        <v>0</v>
      </c>
      <c r="F382" s="3">
        <f>IF(OR(INDEX($O$2:$O$1001,MATCH(ROWS($N$2:N382),$N$2:$N$1001,0),1)&gt;=100000,INDEX($U$1005:$AC$1005,1,MATCH(COLUMNS($U$1006:Y1006),$U$1006:$AC$1006,0))&gt;=100000), " ",IF(INDEX($U$2:$AC$1001,MATCH(ROWS($N$2:N382),$N$2:$N$1001,0),MATCH(COLUMNS($U$1006:Y1006),$U$1006:$AC$1006,0)), HYPERLINK("#",""), HYPERLINK(CONCATENATE("#metadata!", ADDRESS(INDEX($P$2:$P$1001,MATCH(ROWS($N$2:N382),$N$2:$N$1001,0),0), INDEX($U$1004:$AC$1004,1,MATCH(COLUMNS($U$1006:Y1006),$U$1006:$AC$1006,0)))),"Fix")))</f>
        <v>0</v>
      </c>
      <c r="G382" s="3">
        <f>IF(OR(INDEX($O$2:$O$1001,MATCH(ROWS($N$2:N382),$N$2:$N$1001,0),1)&gt;=100000,INDEX($U$1005:$AC$1005,1,MATCH(COLUMNS($U$1006:Z1006),$U$1006:$AC$1006,0))&gt;=100000), " ",IF(INDEX($U$2:$AC$1001,MATCH(ROWS($N$2:N382),$N$2:$N$1001,0),MATCH(COLUMNS($U$1006:Z1006),$U$1006:$AC$1006,0)), HYPERLINK("#",""), HYPERLINK(CONCATENATE("#metadata!", ADDRESS(INDEX($P$2:$P$1001,MATCH(ROWS($N$2:N382),$N$2:$N$1001,0),0), INDEX($U$1004:$AC$1004,1,MATCH(COLUMNS($U$1006:Z1006),$U$1006:$AC$1006,0)))),"Fix")))</f>
        <v>0</v>
      </c>
      <c r="H382" s="3">
        <f>IF(OR(INDEX($O$2:$O$1001,MATCH(ROWS($N$2:N382),$N$2:$N$1001,0),1)&gt;=100000,INDEX($U$1005:$AC$1005,1,MATCH(COLUMNS($U$1006:AA1006),$U$1006:$AC$1006,0))&gt;=100000), " ",IF(INDEX($U$2:$AC$1001,MATCH(ROWS($N$2:N382),$N$2:$N$1001,0),MATCH(COLUMNS($U$1006:AA1006),$U$1006:$AC$1006,0)), HYPERLINK("#",""), HYPERLINK(CONCATENATE("#metadata!", ADDRESS(INDEX($P$2:$P$1001,MATCH(ROWS($N$2:N382),$N$2:$N$1001,0),0), INDEX($U$1004:$AC$1004,1,MATCH(COLUMNS($U$1006:AA1006),$U$1006:$AC$1006,0)))),"Fix")))</f>
        <v>0</v>
      </c>
      <c r="I382" s="3">
        <f>IF(OR(INDEX($O$2:$O$1001,MATCH(ROWS($N$2:N382),$N$2:$N$1001,0),1)&gt;=100000,INDEX($U$1005:$AC$1005,1,MATCH(COLUMNS($U$1006:AB1006),$U$1006:$AC$1006,0))&gt;=100000), " ",IF(INDEX($U$2:$AC$1001,MATCH(ROWS($N$2:N382),$N$2:$N$1001,0),MATCH(COLUMNS($U$1006:AB1006),$U$1006:$AC$1006,0)), HYPERLINK("#",""), HYPERLINK(CONCATENATE("#metadata!", ADDRESS(INDEX($P$2:$P$1001,MATCH(ROWS($N$2:N382),$N$2:$N$1001,0),0), INDEX($U$1004:$AC$1004,1,MATCH(COLUMNS($U$1006:AB1006),$U$1006:$AC$1006,0)))),"Fix")))</f>
        <v>0</v>
      </c>
      <c r="J382" s="3">
        <f>IF(OR(INDEX($O$2:$O$1001,MATCH(ROWS($N$2:N382),$N$2:$N$1001,0),1)&gt;=100000,INDEX($U$1005:$AC$1005,1,MATCH(COLUMNS($U$1006:AC1006),$U$1006:$AC$1006,0))&gt;=100000), " ",IF(INDEX($U$2:$AC$1001,MATCH(ROWS($N$2:N382),$N$2:$N$1001,0),MATCH(COLUMNS($U$1006:AC1006),$U$1006:$AC$1006,0)), HYPERLINK("#",""), HYPERLINK(CONCATENATE("#metadata!", ADDRESS(INDEX($P$2:$P$1001,MATCH(ROWS($N$2:N382),$N$2:$N$1001,0),0), INDEX($U$1004:$AC$1004,1,MATCH(COLUMNS($U$1006:AC1006),$U$1006:$AC$1006,0)))),"Fix")))</f>
        <v>0</v>
      </c>
      <c r="N382">
        <v>0</v>
      </c>
      <c r="O382">
        <v>0</v>
      </c>
      <c r="P382">
        <v>0</v>
      </c>
      <c r="Q382">
        <f>IF(R382,TRUE,AND(U382:AC382))</f>
        <v>0</v>
      </c>
      <c r="R382">
        <f>COUNTBLANK(metadata!B382:J382)=COLUMNS(metadata!B382:J382)</f>
        <v>0</v>
      </c>
      <c r="S382">
        <v>0</v>
      </c>
      <c r="U382">
        <f>AND(IF(metadata!B382="",FALSE,TRUE),COUNTIF(metadata!B:B, metadata!B382) = 1,NOT(ISERROR(SUMPRODUCT(SEARCH(MID(metadata!B382,ROW(INDIRECT("1:"&amp;LEN(metadata!B382))), 1),"0123456789abcdefghijklmnopqrstuvwxyzABCDEFGHIJKLMNOPQRSTUVWXYZ.")))))</f>
        <v>0</v>
      </c>
      <c r="V382">
        <f>AND(IF(metadata!C382="",FALSE,TRUE),exact(metadata!C382,"UBERON:genitourinary"))</f>
        <v>0</v>
      </c>
      <c r="W382">
        <f>AND(IF(metadata!D382="",FALSE,TRUE),exact(metadata!D382,"UBERON:urine"))</f>
        <v>0</v>
      </c>
      <c r="X382">
        <f>AND(IF(metadata!E382="",FALSE,TRUE),exact(metadata!E382,"UBERON:kidney"))</f>
        <v>0</v>
      </c>
      <c r="Y382">
        <f>AND(IF(metadata!F382="",FALSE,TRUE),exact(metadata!F382,"animal corpus"))</f>
        <v>0</v>
      </c>
      <c r="Z382">
        <f>AND(IF(metadata!G382="",FALSE,TRUE),exact(metadata!G382,"urine"))</f>
        <v>0</v>
      </c>
      <c r="AA382">
        <f>AND(IF(metadata!H382="",FALSE,TRUE),exact(metadata!H382,"urine"))</f>
        <v>0</v>
      </c>
      <c r="AB382">
        <f>AND(IF(metadata!I382="",FALSE,TRUE),exact(metadata!I382,"urine metagenome"))</f>
        <v>0</v>
      </c>
      <c r="AC382">
        <f>AND(IF(metadata!J382="",FALSE,TRUE),exact(metadata!J382,"1346744"))</f>
        <v>0</v>
      </c>
    </row>
    <row r="383" spans="1:29">
      <c r="A383" s="4">
        <f>IF(B383=" "," ",HYPERLINK(CONCATENATE("#metadata!",ADDRESS(INDEX($P$2:$P$1001,MATCH(ROWS($N$2:N383),$N$2:$N$1001,0),0),1)),INDEX($S$2:$S$1001,MATCH(ROWS($N$2:N383),$N$2:$N$1001,0),0)))</f>
        <v>0</v>
      </c>
      <c r="B383" s="3">
        <f>IF(OR(INDEX($O$2:$O$1001,MATCH(ROWS($N$2:N383),$N$2:$N$1001,0),1)&gt;=100000,INDEX($U$1005:$AC$1005,1,MATCH(COLUMNS($U$1006:U1006),$U$1006:$AC$1006,0))&gt;=100000), " ",IF(INDEX($U$2:$AC$1001,MATCH(ROWS($N$2:N383),$N$2:$N$1001,0),MATCH(COLUMNS($U$1006:U1006),$U$1006:$AC$1006,0)), HYPERLINK("#",""), HYPERLINK(CONCATENATE("#metadata!", ADDRESS(INDEX($P$2:$P$1001,MATCH(ROWS($N$2:N383),$N$2:$N$1001,0),0), INDEX($U$1004:$AC$1004,1,MATCH(COLUMNS($U$1006:U1006),$U$1006:$AC$1006,0)))),"Fix")))</f>
        <v>0</v>
      </c>
      <c r="C383" s="3">
        <f>IF(OR(INDEX($O$2:$O$1001,MATCH(ROWS($N$2:N383),$N$2:$N$1001,0),1)&gt;=100000,INDEX($U$1005:$AC$1005,1,MATCH(COLUMNS($U$1006:V1006),$U$1006:$AC$1006,0))&gt;=100000), " ",IF(INDEX($U$2:$AC$1001,MATCH(ROWS($N$2:N383),$N$2:$N$1001,0),MATCH(COLUMNS($U$1006:V1006),$U$1006:$AC$1006,0)), HYPERLINK("#",""), HYPERLINK(CONCATENATE("#metadata!", ADDRESS(INDEX($P$2:$P$1001,MATCH(ROWS($N$2:N383),$N$2:$N$1001,0),0), INDEX($U$1004:$AC$1004,1,MATCH(COLUMNS($U$1006:V1006),$U$1006:$AC$1006,0)))),"Fix")))</f>
        <v>0</v>
      </c>
      <c r="D383" s="3">
        <f>IF(OR(INDEX($O$2:$O$1001,MATCH(ROWS($N$2:N383),$N$2:$N$1001,0),1)&gt;=100000,INDEX($U$1005:$AC$1005,1,MATCH(COLUMNS($U$1006:W1006),$U$1006:$AC$1006,0))&gt;=100000), " ",IF(INDEX($U$2:$AC$1001,MATCH(ROWS($N$2:N383),$N$2:$N$1001,0),MATCH(COLUMNS($U$1006:W1006),$U$1006:$AC$1006,0)), HYPERLINK("#",""), HYPERLINK(CONCATENATE("#metadata!", ADDRESS(INDEX($P$2:$P$1001,MATCH(ROWS($N$2:N383),$N$2:$N$1001,0),0), INDEX($U$1004:$AC$1004,1,MATCH(COLUMNS($U$1006:W1006),$U$1006:$AC$1006,0)))),"Fix")))</f>
        <v>0</v>
      </c>
      <c r="E383" s="3">
        <f>IF(OR(INDEX($O$2:$O$1001,MATCH(ROWS($N$2:N383),$N$2:$N$1001,0),1)&gt;=100000,INDEX($U$1005:$AC$1005,1,MATCH(COLUMNS($U$1006:X1006),$U$1006:$AC$1006,0))&gt;=100000), " ",IF(INDEX($U$2:$AC$1001,MATCH(ROWS($N$2:N383),$N$2:$N$1001,0),MATCH(COLUMNS($U$1006:X1006),$U$1006:$AC$1006,0)), HYPERLINK("#",""), HYPERLINK(CONCATENATE("#metadata!", ADDRESS(INDEX($P$2:$P$1001,MATCH(ROWS($N$2:N383),$N$2:$N$1001,0),0), INDEX($U$1004:$AC$1004,1,MATCH(COLUMNS($U$1006:X1006),$U$1006:$AC$1006,0)))),"Fix")))</f>
        <v>0</v>
      </c>
      <c r="F383" s="3">
        <f>IF(OR(INDEX($O$2:$O$1001,MATCH(ROWS($N$2:N383),$N$2:$N$1001,0),1)&gt;=100000,INDEX($U$1005:$AC$1005,1,MATCH(COLUMNS($U$1006:Y1006),$U$1006:$AC$1006,0))&gt;=100000), " ",IF(INDEX($U$2:$AC$1001,MATCH(ROWS($N$2:N383),$N$2:$N$1001,0),MATCH(COLUMNS($U$1006:Y1006),$U$1006:$AC$1006,0)), HYPERLINK("#",""), HYPERLINK(CONCATENATE("#metadata!", ADDRESS(INDEX($P$2:$P$1001,MATCH(ROWS($N$2:N383),$N$2:$N$1001,0),0), INDEX($U$1004:$AC$1004,1,MATCH(COLUMNS($U$1006:Y1006),$U$1006:$AC$1006,0)))),"Fix")))</f>
        <v>0</v>
      </c>
      <c r="G383" s="3">
        <f>IF(OR(INDEX($O$2:$O$1001,MATCH(ROWS($N$2:N383),$N$2:$N$1001,0),1)&gt;=100000,INDEX($U$1005:$AC$1005,1,MATCH(COLUMNS($U$1006:Z1006),$U$1006:$AC$1006,0))&gt;=100000), " ",IF(INDEX($U$2:$AC$1001,MATCH(ROWS($N$2:N383),$N$2:$N$1001,0),MATCH(COLUMNS($U$1006:Z1006),$U$1006:$AC$1006,0)), HYPERLINK("#",""), HYPERLINK(CONCATENATE("#metadata!", ADDRESS(INDEX($P$2:$P$1001,MATCH(ROWS($N$2:N383),$N$2:$N$1001,0),0), INDEX($U$1004:$AC$1004,1,MATCH(COLUMNS($U$1006:Z1006),$U$1006:$AC$1006,0)))),"Fix")))</f>
        <v>0</v>
      </c>
      <c r="H383" s="3">
        <f>IF(OR(INDEX($O$2:$O$1001,MATCH(ROWS($N$2:N383),$N$2:$N$1001,0),1)&gt;=100000,INDEX($U$1005:$AC$1005,1,MATCH(COLUMNS($U$1006:AA1006),$U$1006:$AC$1006,0))&gt;=100000), " ",IF(INDEX($U$2:$AC$1001,MATCH(ROWS($N$2:N383),$N$2:$N$1001,0),MATCH(COLUMNS($U$1006:AA1006),$U$1006:$AC$1006,0)), HYPERLINK("#",""), HYPERLINK(CONCATENATE("#metadata!", ADDRESS(INDEX($P$2:$P$1001,MATCH(ROWS($N$2:N383),$N$2:$N$1001,0),0), INDEX($U$1004:$AC$1004,1,MATCH(COLUMNS($U$1006:AA1006),$U$1006:$AC$1006,0)))),"Fix")))</f>
        <v>0</v>
      </c>
      <c r="I383" s="3">
        <f>IF(OR(INDEX($O$2:$O$1001,MATCH(ROWS($N$2:N383),$N$2:$N$1001,0),1)&gt;=100000,INDEX($U$1005:$AC$1005,1,MATCH(COLUMNS($U$1006:AB1006),$U$1006:$AC$1006,0))&gt;=100000), " ",IF(INDEX($U$2:$AC$1001,MATCH(ROWS($N$2:N383),$N$2:$N$1001,0),MATCH(COLUMNS($U$1006:AB1006),$U$1006:$AC$1006,0)), HYPERLINK("#",""), HYPERLINK(CONCATENATE("#metadata!", ADDRESS(INDEX($P$2:$P$1001,MATCH(ROWS($N$2:N383),$N$2:$N$1001,0),0), INDEX($U$1004:$AC$1004,1,MATCH(COLUMNS($U$1006:AB1006),$U$1006:$AC$1006,0)))),"Fix")))</f>
        <v>0</v>
      </c>
      <c r="J383" s="3">
        <f>IF(OR(INDEX($O$2:$O$1001,MATCH(ROWS($N$2:N383),$N$2:$N$1001,0),1)&gt;=100000,INDEX($U$1005:$AC$1005,1,MATCH(COLUMNS($U$1006:AC1006),$U$1006:$AC$1006,0))&gt;=100000), " ",IF(INDEX($U$2:$AC$1001,MATCH(ROWS($N$2:N383),$N$2:$N$1001,0),MATCH(COLUMNS($U$1006:AC1006),$U$1006:$AC$1006,0)), HYPERLINK("#",""), HYPERLINK(CONCATENATE("#metadata!", ADDRESS(INDEX($P$2:$P$1001,MATCH(ROWS($N$2:N383),$N$2:$N$1001,0),0), INDEX($U$1004:$AC$1004,1,MATCH(COLUMNS($U$1006:AC1006),$U$1006:$AC$1006,0)))),"Fix")))</f>
        <v>0</v>
      </c>
      <c r="N383">
        <v>0</v>
      </c>
      <c r="O383">
        <v>0</v>
      </c>
      <c r="P383">
        <v>0</v>
      </c>
      <c r="Q383">
        <f>IF(R383,TRUE,AND(U383:AC383))</f>
        <v>0</v>
      </c>
      <c r="R383">
        <f>COUNTBLANK(metadata!B383:J383)=COLUMNS(metadata!B383:J383)</f>
        <v>0</v>
      </c>
      <c r="S383">
        <v>0</v>
      </c>
      <c r="U383">
        <f>AND(IF(metadata!B383="",FALSE,TRUE),COUNTIF(metadata!B:B, metadata!B383) = 1,NOT(ISERROR(SUMPRODUCT(SEARCH(MID(metadata!B383,ROW(INDIRECT("1:"&amp;LEN(metadata!B383))), 1),"0123456789abcdefghijklmnopqrstuvwxyzABCDEFGHIJKLMNOPQRSTUVWXYZ.")))))</f>
        <v>0</v>
      </c>
      <c r="V383">
        <f>AND(IF(metadata!C383="",FALSE,TRUE),exact(metadata!C383,"UBERON:genitourinary"))</f>
        <v>0</v>
      </c>
      <c r="W383">
        <f>AND(IF(metadata!D383="",FALSE,TRUE),exact(metadata!D383,"UBERON:urine"))</f>
        <v>0</v>
      </c>
      <c r="X383">
        <f>AND(IF(metadata!E383="",FALSE,TRUE),exact(metadata!E383,"UBERON:kidney"))</f>
        <v>0</v>
      </c>
      <c r="Y383">
        <f>AND(IF(metadata!F383="",FALSE,TRUE),exact(metadata!F383,"animal corpus"))</f>
        <v>0</v>
      </c>
      <c r="Z383">
        <f>AND(IF(metadata!G383="",FALSE,TRUE),exact(metadata!G383,"urine"))</f>
        <v>0</v>
      </c>
      <c r="AA383">
        <f>AND(IF(metadata!H383="",FALSE,TRUE),exact(metadata!H383,"urine"))</f>
        <v>0</v>
      </c>
      <c r="AB383">
        <f>AND(IF(metadata!I383="",FALSE,TRUE),exact(metadata!I383,"urine metagenome"))</f>
        <v>0</v>
      </c>
      <c r="AC383">
        <f>AND(IF(metadata!J383="",FALSE,TRUE),exact(metadata!J383,"1346744"))</f>
        <v>0</v>
      </c>
    </row>
    <row r="384" spans="1:29">
      <c r="A384" s="4">
        <f>IF(B384=" "," ",HYPERLINK(CONCATENATE("#metadata!",ADDRESS(INDEX($P$2:$P$1001,MATCH(ROWS($N$2:N384),$N$2:$N$1001,0),0),1)),INDEX($S$2:$S$1001,MATCH(ROWS($N$2:N384),$N$2:$N$1001,0),0)))</f>
        <v>0</v>
      </c>
      <c r="B384" s="3">
        <f>IF(OR(INDEX($O$2:$O$1001,MATCH(ROWS($N$2:N384),$N$2:$N$1001,0),1)&gt;=100000,INDEX($U$1005:$AC$1005,1,MATCH(COLUMNS($U$1006:U1006),$U$1006:$AC$1006,0))&gt;=100000), " ",IF(INDEX($U$2:$AC$1001,MATCH(ROWS($N$2:N384),$N$2:$N$1001,0),MATCH(COLUMNS($U$1006:U1006),$U$1006:$AC$1006,0)), HYPERLINK("#",""), HYPERLINK(CONCATENATE("#metadata!", ADDRESS(INDEX($P$2:$P$1001,MATCH(ROWS($N$2:N384),$N$2:$N$1001,0),0), INDEX($U$1004:$AC$1004,1,MATCH(COLUMNS($U$1006:U1006),$U$1006:$AC$1006,0)))),"Fix")))</f>
        <v>0</v>
      </c>
      <c r="C384" s="3">
        <f>IF(OR(INDEX($O$2:$O$1001,MATCH(ROWS($N$2:N384),$N$2:$N$1001,0),1)&gt;=100000,INDEX($U$1005:$AC$1005,1,MATCH(COLUMNS($U$1006:V1006),$U$1006:$AC$1006,0))&gt;=100000), " ",IF(INDEX($U$2:$AC$1001,MATCH(ROWS($N$2:N384),$N$2:$N$1001,0),MATCH(COLUMNS($U$1006:V1006),$U$1006:$AC$1006,0)), HYPERLINK("#",""), HYPERLINK(CONCATENATE("#metadata!", ADDRESS(INDEX($P$2:$P$1001,MATCH(ROWS($N$2:N384),$N$2:$N$1001,0),0), INDEX($U$1004:$AC$1004,1,MATCH(COLUMNS($U$1006:V1006),$U$1006:$AC$1006,0)))),"Fix")))</f>
        <v>0</v>
      </c>
      <c r="D384" s="3">
        <f>IF(OR(INDEX($O$2:$O$1001,MATCH(ROWS($N$2:N384),$N$2:$N$1001,0),1)&gt;=100000,INDEX($U$1005:$AC$1005,1,MATCH(COLUMNS($U$1006:W1006),$U$1006:$AC$1006,0))&gt;=100000), " ",IF(INDEX($U$2:$AC$1001,MATCH(ROWS($N$2:N384),$N$2:$N$1001,0),MATCH(COLUMNS($U$1006:W1006),$U$1006:$AC$1006,0)), HYPERLINK("#",""), HYPERLINK(CONCATENATE("#metadata!", ADDRESS(INDEX($P$2:$P$1001,MATCH(ROWS($N$2:N384),$N$2:$N$1001,0),0), INDEX($U$1004:$AC$1004,1,MATCH(COLUMNS($U$1006:W1006),$U$1006:$AC$1006,0)))),"Fix")))</f>
        <v>0</v>
      </c>
      <c r="E384" s="3">
        <f>IF(OR(INDEX($O$2:$O$1001,MATCH(ROWS($N$2:N384),$N$2:$N$1001,0),1)&gt;=100000,INDEX($U$1005:$AC$1005,1,MATCH(COLUMNS($U$1006:X1006),$U$1006:$AC$1006,0))&gt;=100000), " ",IF(INDEX($U$2:$AC$1001,MATCH(ROWS($N$2:N384),$N$2:$N$1001,0),MATCH(COLUMNS($U$1006:X1006),$U$1006:$AC$1006,0)), HYPERLINK("#",""), HYPERLINK(CONCATENATE("#metadata!", ADDRESS(INDEX($P$2:$P$1001,MATCH(ROWS($N$2:N384),$N$2:$N$1001,0),0), INDEX($U$1004:$AC$1004,1,MATCH(COLUMNS($U$1006:X1006),$U$1006:$AC$1006,0)))),"Fix")))</f>
        <v>0</v>
      </c>
      <c r="F384" s="3">
        <f>IF(OR(INDEX($O$2:$O$1001,MATCH(ROWS($N$2:N384),$N$2:$N$1001,0),1)&gt;=100000,INDEX($U$1005:$AC$1005,1,MATCH(COLUMNS($U$1006:Y1006),$U$1006:$AC$1006,0))&gt;=100000), " ",IF(INDEX($U$2:$AC$1001,MATCH(ROWS($N$2:N384),$N$2:$N$1001,0),MATCH(COLUMNS($U$1006:Y1006),$U$1006:$AC$1006,0)), HYPERLINK("#",""), HYPERLINK(CONCATENATE("#metadata!", ADDRESS(INDEX($P$2:$P$1001,MATCH(ROWS($N$2:N384),$N$2:$N$1001,0),0), INDEX($U$1004:$AC$1004,1,MATCH(COLUMNS($U$1006:Y1006),$U$1006:$AC$1006,0)))),"Fix")))</f>
        <v>0</v>
      </c>
      <c r="G384" s="3">
        <f>IF(OR(INDEX($O$2:$O$1001,MATCH(ROWS($N$2:N384),$N$2:$N$1001,0),1)&gt;=100000,INDEX($U$1005:$AC$1005,1,MATCH(COLUMNS($U$1006:Z1006),$U$1006:$AC$1006,0))&gt;=100000), " ",IF(INDEX($U$2:$AC$1001,MATCH(ROWS($N$2:N384),$N$2:$N$1001,0),MATCH(COLUMNS($U$1006:Z1006),$U$1006:$AC$1006,0)), HYPERLINK("#",""), HYPERLINK(CONCATENATE("#metadata!", ADDRESS(INDEX($P$2:$P$1001,MATCH(ROWS($N$2:N384),$N$2:$N$1001,0),0), INDEX($U$1004:$AC$1004,1,MATCH(COLUMNS($U$1006:Z1006),$U$1006:$AC$1006,0)))),"Fix")))</f>
        <v>0</v>
      </c>
      <c r="H384" s="3">
        <f>IF(OR(INDEX($O$2:$O$1001,MATCH(ROWS($N$2:N384),$N$2:$N$1001,0),1)&gt;=100000,INDEX($U$1005:$AC$1005,1,MATCH(COLUMNS($U$1006:AA1006),$U$1006:$AC$1006,0))&gt;=100000), " ",IF(INDEX($U$2:$AC$1001,MATCH(ROWS($N$2:N384),$N$2:$N$1001,0),MATCH(COLUMNS($U$1006:AA1006),$U$1006:$AC$1006,0)), HYPERLINK("#",""), HYPERLINK(CONCATENATE("#metadata!", ADDRESS(INDEX($P$2:$P$1001,MATCH(ROWS($N$2:N384),$N$2:$N$1001,0),0), INDEX($U$1004:$AC$1004,1,MATCH(COLUMNS($U$1006:AA1006),$U$1006:$AC$1006,0)))),"Fix")))</f>
        <v>0</v>
      </c>
      <c r="I384" s="3">
        <f>IF(OR(INDEX($O$2:$O$1001,MATCH(ROWS($N$2:N384),$N$2:$N$1001,0),1)&gt;=100000,INDEX($U$1005:$AC$1005,1,MATCH(COLUMNS($U$1006:AB1006),$U$1006:$AC$1006,0))&gt;=100000), " ",IF(INDEX($U$2:$AC$1001,MATCH(ROWS($N$2:N384),$N$2:$N$1001,0),MATCH(COLUMNS($U$1006:AB1006),$U$1006:$AC$1006,0)), HYPERLINK("#",""), HYPERLINK(CONCATENATE("#metadata!", ADDRESS(INDEX($P$2:$P$1001,MATCH(ROWS($N$2:N384),$N$2:$N$1001,0),0), INDEX($U$1004:$AC$1004,1,MATCH(COLUMNS($U$1006:AB1006),$U$1006:$AC$1006,0)))),"Fix")))</f>
        <v>0</v>
      </c>
      <c r="J384" s="3">
        <f>IF(OR(INDEX($O$2:$O$1001,MATCH(ROWS($N$2:N384),$N$2:$N$1001,0),1)&gt;=100000,INDEX($U$1005:$AC$1005,1,MATCH(COLUMNS($U$1006:AC1006),$U$1006:$AC$1006,0))&gt;=100000), " ",IF(INDEX($U$2:$AC$1001,MATCH(ROWS($N$2:N384),$N$2:$N$1001,0),MATCH(COLUMNS($U$1006:AC1006),$U$1006:$AC$1006,0)), HYPERLINK("#",""), HYPERLINK(CONCATENATE("#metadata!", ADDRESS(INDEX($P$2:$P$1001,MATCH(ROWS($N$2:N384),$N$2:$N$1001,0),0), INDEX($U$1004:$AC$1004,1,MATCH(COLUMNS($U$1006:AC1006),$U$1006:$AC$1006,0)))),"Fix")))</f>
        <v>0</v>
      </c>
      <c r="N384">
        <v>0</v>
      </c>
      <c r="O384">
        <v>0</v>
      </c>
      <c r="P384">
        <v>0</v>
      </c>
      <c r="Q384">
        <f>IF(R384,TRUE,AND(U384:AC384))</f>
        <v>0</v>
      </c>
      <c r="R384">
        <f>COUNTBLANK(metadata!B384:J384)=COLUMNS(metadata!B384:J384)</f>
        <v>0</v>
      </c>
      <c r="S384">
        <v>0</v>
      </c>
      <c r="U384">
        <f>AND(IF(metadata!B384="",FALSE,TRUE),COUNTIF(metadata!B:B, metadata!B384) = 1,NOT(ISERROR(SUMPRODUCT(SEARCH(MID(metadata!B384,ROW(INDIRECT("1:"&amp;LEN(metadata!B384))), 1),"0123456789abcdefghijklmnopqrstuvwxyzABCDEFGHIJKLMNOPQRSTUVWXYZ.")))))</f>
        <v>0</v>
      </c>
      <c r="V384">
        <f>AND(IF(metadata!C384="",FALSE,TRUE),exact(metadata!C384,"UBERON:genitourinary"))</f>
        <v>0</v>
      </c>
      <c r="W384">
        <f>AND(IF(metadata!D384="",FALSE,TRUE),exact(metadata!D384,"UBERON:urine"))</f>
        <v>0</v>
      </c>
      <c r="X384">
        <f>AND(IF(metadata!E384="",FALSE,TRUE),exact(metadata!E384,"UBERON:kidney"))</f>
        <v>0</v>
      </c>
      <c r="Y384">
        <f>AND(IF(metadata!F384="",FALSE,TRUE),exact(metadata!F384,"animal corpus"))</f>
        <v>0</v>
      </c>
      <c r="Z384">
        <f>AND(IF(metadata!G384="",FALSE,TRUE),exact(metadata!G384,"urine"))</f>
        <v>0</v>
      </c>
      <c r="AA384">
        <f>AND(IF(metadata!H384="",FALSE,TRUE),exact(metadata!H384,"urine"))</f>
        <v>0</v>
      </c>
      <c r="AB384">
        <f>AND(IF(metadata!I384="",FALSE,TRUE),exact(metadata!I384,"urine metagenome"))</f>
        <v>0</v>
      </c>
      <c r="AC384">
        <f>AND(IF(metadata!J384="",FALSE,TRUE),exact(metadata!J384,"1346744"))</f>
        <v>0</v>
      </c>
    </row>
    <row r="385" spans="1:29">
      <c r="A385" s="4">
        <f>IF(B385=" "," ",HYPERLINK(CONCATENATE("#metadata!",ADDRESS(INDEX($P$2:$P$1001,MATCH(ROWS($N$2:N385),$N$2:$N$1001,0),0),1)),INDEX($S$2:$S$1001,MATCH(ROWS($N$2:N385),$N$2:$N$1001,0),0)))</f>
        <v>0</v>
      </c>
      <c r="B385" s="3">
        <f>IF(OR(INDEX($O$2:$O$1001,MATCH(ROWS($N$2:N385),$N$2:$N$1001,0),1)&gt;=100000,INDEX($U$1005:$AC$1005,1,MATCH(COLUMNS($U$1006:U1006),$U$1006:$AC$1006,0))&gt;=100000), " ",IF(INDEX($U$2:$AC$1001,MATCH(ROWS($N$2:N385),$N$2:$N$1001,0),MATCH(COLUMNS($U$1006:U1006),$U$1006:$AC$1006,0)), HYPERLINK("#",""), HYPERLINK(CONCATENATE("#metadata!", ADDRESS(INDEX($P$2:$P$1001,MATCH(ROWS($N$2:N385),$N$2:$N$1001,0),0), INDEX($U$1004:$AC$1004,1,MATCH(COLUMNS($U$1006:U1006),$U$1006:$AC$1006,0)))),"Fix")))</f>
        <v>0</v>
      </c>
      <c r="C385" s="3">
        <f>IF(OR(INDEX($O$2:$O$1001,MATCH(ROWS($N$2:N385),$N$2:$N$1001,0),1)&gt;=100000,INDEX($U$1005:$AC$1005,1,MATCH(COLUMNS($U$1006:V1006),$U$1006:$AC$1006,0))&gt;=100000), " ",IF(INDEX($U$2:$AC$1001,MATCH(ROWS($N$2:N385),$N$2:$N$1001,0),MATCH(COLUMNS($U$1006:V1006),$U$1006:$AC$1006,0)), HYPERLINK("#",""), HYPERLINK(CONCATENATE("#metadata!", ADDRESS(INDEX($P$2:$P$1001,MATCH(ROWS($N$2:N385),$N$2:$N$1001,0),0), INDEX($U$1004:$AC$1004,1,MATCH(COLUMNS($U$1006:V1006),$U$1006:$AC$1006,0)))),"Fix")))</f>
        <v>0</v>
      </c>
      <c r="D385" s="3">
        <f>IF(OR(INDEX($O$2:$O$1001,MATCH(ROWS($N$2:N385),$N$2:$N$1001,0),1)&gt;=100000,INDEX($U$1005:$AC$1005,1,MATCH(COLUMNS($U$1006:W1006),$U$1006:$AC$1006,0))&gt;=100000), " ",IF(INDEX($U$2:$AC$1001,MATCH(ROWS($N$2:N385),$N$2:$N$1001,0),MATCH(COLUMNS($U$1006:W1006),$U$1006:$AC$1006,0)), HYPERLINK("#",""), HYPERLINK(CONCATENATE("#metadata!", ADDRESS(INDEX($P$2:$P$1001,MATCH(ROWS($N$2:N385),$N$2:$N$1001,0),0), INDEX($U$1004:$AC$1004,1,MATCH(COLUMNS($U$1006:W1006),$U$1006:$AC$1006,0)))),"Fix")))</f>
        <v>0</v>
      </c>
      <c r="E385" s="3">
        <f>IF(OR(INDEX($O$2:$O$1001,MATCH(ROWS($N$2:N385),$N$2:$N$1001,0),1)&gt;=100000,INDEX($U$1005:$AC$1005,1,MATCH(COLUMNS($U$1006:X1006),$U$1006:$AC$1006,0))&gt;=100000), " ",IF(INDEX($U$2:$AC$1001,MATCH(ROWS($N$2:N385),$N$2:$N$1001,0),MATCH(COLUMNS($U$1006:X1006),$U$1006:$AC$1006,0)), HYPERLINK("#",""), HYPERLINK(CONCATENATE("#metadata!", ADDRESS(INDEX($P$2:$P$1001,MATCH(ROWS($N$2:N385),$N$2:$N$1001,0),0), INDEX($U$1004:$AC$1004,1,MATCH(COLUMNS($U$1006:X1006),$U$1006:$AC$1006,0)))),"Fix")))</f>
        <v>0</v>
      </c>
      <c r="F385" s="3">
        <f>IF(OR(INDEX($O$2:$O$1001,MATCH(ROWS($N$2:N385),$N$2:$N$1001,0),1)&gt;=100000,INDEX($U$1005:$AC$1005,1,MATCH(COLUMNS($U$1006:Y1006),$U$1006:$AC$1006,0))&gt;=100000), " ",IF(INDEX($U$2:$AC$1001,MATCH(ROWS($N$2:N385),$N$2:$N$1001,0),MATCH(COLUMNS($U$1006:Y1006),$U$1006:$AC$1006,0)), HYPERLINK("#",""), HYPERLINK(CONCATENATE("#metadata!", ADDRESS(INDEX($P$2:$P$1001,MATCH(ROWS($N$2:N385),$N$2:$N$1001,0),0), INDEX($U$1004:$AC$1004,1,MATCH(COLUMNS($U$1006:Y1006),$U$1006:$AC$1006,0)))),"Fix")))</f>
        <v>0</v>
      </c>
      <c r="G385" s="3">
        <f>IF(OR(INDEX($O$2:$O$1001,MATCH(ROWS($N$2:N385),$N$2:$N$1001,0),1)&gt;=100000,INDEX($U$1005:$AC$1005,1,MATCH(COLUMNS($U$1006:Z1006),$U$1006:$AC$1006,0))&gt;=100000), " ",IF(INDEX($U$2:$AC$1001,MATCH(ROWS($N$2:N385),$N$2:$N$1001,0),MATCH(COLUMNS($U$1006:Z1006),$U$1006:$AC$1006,0)), HYPERLINK("#",""), HYPERLINK(CONCATENATE("#metadata!", ADDRESS(INDEX($P$2:$P$1001,MATCH(ROWS($N$2:N385),$N$2:$N$1001,0),0), INDEX($U$1004:$AC$1004,1,MATCH(COLUMNS($U$1006:Z1006),$U$1006:$AC$1006,0)))),"Fix")))</f>
        <v>0</v>
      </c>
      <c r="H385" s="3">
        <f>IF(OR(INDEX($O$2:$O$1001,MATCH(ROWS($N$2:N385),$N$2:$N$1001,0),1)&gt;=100000,INDEX($U$1005:$AC$1005,1,MATCH(COLUMNS($U$1006:AA1006),$U$1006:$AC$1006,0))&gt;=100000), " ",IF(INDEX($U$2:$AC$1001,MATCH(ROWS($N$2:N385),$N$2:$N$1001,0),MATCH(COLUMNS($U$1006:AA1006),$U$1006:$AC$1006,0)), HYPERLINK("#",""), HYPERLINK(CONCATENATE("#metadata!", ADDRESS(INDEX($P$2:$P$1001,MATCH(ROWS($N$2:N385),$N$2:$N$1001,0),0), INDEX($U$1004:$AC$1004,1,MATCH(COLUMNS($U$1006:AA1006),$U$1006:$AC$1006,0)))),"Fix")))</f>
        <v>0</v>
      </c>
      <c r="I385" s="3">
        <f>IF(OR(INDEX($O$2:$O$1001,MATCH(ROWS($N$2:N385),$N$2:$N$1001,0),1)&gt;=100000,INDEX($U$1005:$AC$1005,1,MATCH(COLUMNS($U$1006:AB1006),$U$1006:$AC$1006,0))&gt;=100000), " ",IF(INDEX($U$2:$AC$1001,MATCH(ROWS($N$2:N385),$N$2:$N$1001,0),MATCH(COLUMNS($U$1006:AB1006),$U$1006:$AC$1006,0)), HYPERLINK("#",""), HYPERLINK(CONCATENATE("#metadata!", ADDRESS(INDEX($P$2:$P$1001,MATCH(ROWS($N$2:N385),$N$2:$N$1001,0),0), INDEX($U$1004:$AC$1004,1,MATCH(COLUMNS($U$1006:AB1006),$U$1006:$AC$1006,0)))),"Fix")))</f>
        <v>0</v>
      </c>
      <c r="J385" s="3">
        <f>IF(OR(INDEX($O$2:$O$1001,MATCH(ROWS($N$2:N385),$N$2:$N$1001,0),1)&gt;=100000,INDEX($U$1005:$AC$1005,1,MATCH(COLUMNS($U$1006:AC1006),$U$1006:$AC$1006,0))&gt;=100000), " ",IF(INDEX($U$2:$AC$1001,MATCH(ROWS($N$2:N385),$N$2:$N$1001,0),MATCH(COLUMNS($U$1006:AC1006),$U$1006:$AC$1006,0)), HYPERLINK("#",""), HYPERLINK(CONCATENATE("#metadata!", ADDRESS(INDEX($P$2:$P$1001,MATCH(ROWS($N$2:N385),$N$2:$N$1001,0),0), INDEX($U$1004:$AC$1004,1,MATCH(COLUMNS($U$1006:AC1006),$U$1006:$AC$1006,0)))),"Fix")))</f>
        <v>0</v>
      </c>
      <c r="N385">
        <v>0</v>
      </c>
      <c r="O385">
        <v>0</v>
      </c>
      <c r="P385">
        <v>0</v>
      </c>
      <c r="Q385">
        <f>IF(R385,TRUE,AND(U385:AC385))</f>
        <v>0</v>
      </c>
      <c r="R385">
        <f>COUNTBLANK(metadata!B385:J385)=COLUMNS(metadata!B385:J385)</f>
        <v>0</v>
      </c>
      <c r="S385">
        <v>0</v>
      </c>
      <c r="U385">
        <f>AND(IF(metadata!B385="",FALSE,TRUE),COUNTIF(metadata!B:B, metadata!B385) = 1,NOT(ISERROR(SUMPRODUCT(SEARCH(MID(metadata!B385,ROW(INDIRECT("1:"&amp;LEN(metadata!B385))), 1),"0123456789abcdefghijklmnopqrstuvwxyzABCDEFGHIJKLMNOPQRSTUVWXYZ.")))))</f>
        <v>0</v>
      </c>
      <c r="V385">
        <f>AND(IF(metadata!C385="",FALSE,TRUE),exact(metadata!C385,"UBERON:genitourinary"))</f>
        <v>0</v>
      </c>
      <c r="W385">
        <f>AND(IF(metadata!D385="",FALSE,TRUE),exact(metadata!D385,"UBERON:urine"))</f>
        <v>0</v>
      </c>
      <c r="X385">
        <f>AND(IF(metadata!E385="",FALSE,TRUE),exact(metadata!E385,"UBERON:kidney"))</f>
        <v>0</v>
      </c>
      <c r="Y385">
        <f>AND(IF(metadata!F385="",FALSE,TRUE),exact(metadata!F385,"animal corpus"))</f>
        <v>0</v>
      </c>
      <c r="Z385">
        <f>AND(IF(metadata!G385="",FALSE,TRUE),exact(metadata!G385,"urine"))</f>
        <v>0</v>
      </c>
      <c r="AA385">
        <f>AND(IF(metadata!H385="",FALSE,TRUE),exact(metadata!H385,"urine"))</f>
        <v>0</v>
      </c>
      <c r="AB385">
        <f>AND(IF(metadata!I385="",FALSE,TRUE),exact(metadata!I385,"urine metagenome"))</f>
        <v>0</v>
      </c>
      <c r="AC385">
        <f>AND(IF(metadata!J385="",FALSE,TRUE),exact(metadata!J385,"1346744"))</f>
        <v>0</v>
      </c>
    </row>
    <row r="386" spans="1:29">
      <c r="A386" s="4">
        <f>IF(B386=" "," ",HYPERLINK(CONCATENATE("#metadata!",ADDRESS(INDEX($P$2:$P$1001,MATCH(ROWS($N$2:N386),$N$2:$N$1001,0),0),1)),INDEX($S$2:$S$1001,MATCH(ROWS($N$2:N386),$N$2:$N$1001,0),0)))</f>
        <v>0</v>
      </c>
      <c r="B386" s="3">
        <f>IF(OR(INDEX($O$2:$O$1001,MATCH(ROWS($N$2:N386),$N$2:$N$1001,0),1)&gt;=100000,INDEX($U$1005:$AC$1005,1,MATCH(COLUMNS($U$1006:U1006),$U$1006:$AC$1006,0))&gt;=100000), " ",IF(INDEX($U$2:$AC$1001,MATCH(ROWS($N$2:N386),$N$2:$N$1001,0),MATCH(COLUMNS($U$1006:U1006),$U$1006:$AC$1006,0)), HYPERLINK("#",""), HYPERLINK(CONCATENATE("#metadata!", ADDRESS(INDEX($P$2:$P$1001,MATCH(ROWS($N$2:N386),$N$2:$N$1001,0),0), INDEX($U$1004:$AC$1004,1,MATCH(COLUMNS($U$1006:U1006),$U$1006:$AC$1006,0)))),"Fix")))</f>
        <v>0</v>
      </c>
      <c r="C386" s="3">
        <f>IF(OR(INDEX($O$2:$O$1001,MATCH(ROWS($N$2:N386),$N$2:$N$1001,0),1)&gt;=100000,INDEX($U$1005:$AC$1005,1,MATCH(COLUMNS($U$1006:V1006),$U$1006:$AC$1006,0))&gt;=100000), " ",IF(INDEX($U$2:$AC$1001,MATCH(ROWS($N$2:N386),$N$2:$N$1001,0),MATCH(COLUMNS($U$1006:V1006),$U$1006:$AC$1006,0)), HYPERLINK("#",""), HYPERLINK(CONCATENATE("#metadata!", ADDRESS(INDEX($P$2:$P$1001,MATCH(ROWS($N$2:N386),$N$2:$N$1001,0),0), INDEX($U$1004:$AC$1004,1,MATCH(COLUMNS($U$1006:V1006),$U$1006:$AC$1006,0)))),"Fix")))</f>
        <v>0</v>
      </c>
      <c r="D386" s="3">
        <f>IF(OR(INDEX($O$2:$O$1001,MATCH(ROWS($N$2:N386),$N$2:$N$1001,0),1)&gt;=100000,INDEX($U$1005:$AC$1005,1,MATCH(COLUMNS($U$1006:W1006),$U$1006:$AC$1006,0))&gt;=100000), " ",IF(INDEX($U$2:$AC$1001,MATCH(ROWS($N$2:N386),$N$2:$N$1001,0),MATCH(COLUMNS($U$1006:W1006),$U$1006:$AC$1006,0)), HYPERLINK("#",""), HYPERLINK(CONCATENATE("#metadata!", ADDRESS(INDEX($P$2:$P$1001,MATCH(ROWS($N$2:N386),$N$2:$N$1001,0),0), INDEX($U$1004:$AC$1004,1,MATCH(COLUMNS($U$1006:W1006),$U$1006:$AC$1006,0)))),"Fix")))</f>
        <v>0</v>
      </c>
      <c r="E386" s="3">
        <f>IF(OR(INDEX($O$2:$O$1001,MATCH(ROWS($N$2:N386),$N$2:$N$1001,0),1)&gt;=100000,INDEX($U$1005:$AC$1005,1,MATCH(COLUMNS($U$1006:X1006),$U$1006:$AC$1006,0))&gt;=100000), " ",IF(INDEX($U$2:$AC$1001,MATCH(ROWS($N$2:N386),$N$2:$N$1001,0),MATCH(COLUMNS($U$1006:X1006),$U$1006:$AC$1006,0)), HYPERLINK("#",""), HYPERLINK(CONCATENATE("#metadata!", ADDRESS(INDEX($P$2:$P$1001,MATCH(ROWS($N$2:N386),$N$2:$N$1001,0),0), INDEX($U$1004:$AC$1004,1,MATCH(COLUMNS($U$1006:X1006),$U$1006:$AC$1006,0)))),"Fix")))</f>
        <v>0</v>
      </c>
      <c r="F386" s="3">
        <f>IF(OR(INDEX($O$2:$O$1001,MATCH(ROWS($N$2:N386),$N$2:$N$1001,0),1)&gt;=100000,INDEX($U$1005:$AC$1005,1,MATCH(COLUMNS($U$1006:Y1006),$U$1006:$AC$1006,0))&gt;=100000), " ",IF(INDEX($U$2:$AC$1001,MATCH(ROWS($N$2:N386),$N$2:$N$1001,0),MATCH(COLUMNS($U$1006:Y1006),$U$1006:$AC$1006,0)), HYPERLINK("#",""), HYPERLINK(CONCATENATE("#metadata!", ADDRESS(INDEX($P$2:$P$1001,MATCH(ROWS($N$2:N386),$N$2:$N$1001,0),0), INDEX($U$1004:$AC$1004,1,MATCH(COLUMNS($U$1006:Y1006),$U$1006:$AC$1006,0)))),"Fix")))</f>
        <v>0</v>
      </c>
      <c r="G386" s="3">
        <f>IF(OR(INDEX($O$2:$O$1001,MATCH(ROWS($N$2:N386),$N$2:$N$1001,0),1)&gt;=100000,INDEX($U$1005:$AC$1005,1,MATCH(COLUMNS($U$1006:Z1006),$U$1006:$AC$1006,0))&gt;=100000), " ",IF(INDEX($U$2:$AC$1001,MATCH(ROWS($N$2:N386),$N$2:$N$1001,0),MATCH(COLUMNS($U$1006:Z1006),$U$1006:$AC$1006,0)), HYPERLINK("#",""), HYPERLINK(CONCATENATE("#metadata!", ADDRESS(INDEX($P$2:$P$1001,MATCH(ROWS($N$2:N386),$N$2:$N$1001,0),0), INDEX($U$1004:$AC$1004,1,MATCH(COLUMNS($U$1006:Z1006),$U$1006:$AC$1006,0)))),"Fix")))</f>
        <v>0</v>
      </c>
      <c r="H386" s="3">
        <f>IF(OR(INDEX($O$2:$O$1001,MATCH(ROWS($N$2:N386),$N$2:$N$1001,0),1)&gt;=100000,INDEX($U$1005:$AC$1005,1,MATCH(COLUMNS($U$1006:AA1006),$U$1006:$AC$1006,0))&gt;=100000), " ",IF(INDEX($U$2:$AC$1001,MATCH(ROWS($N$2:N386),$N$2:$N$1001,0),MATCH(COLUMNS($U$1006:AA1006),$U$1006:$AC$1006,0)), HYPERLINK("#",""), HYPERLINK(CONCATENATE("#metadata!", ADDRESS(INDEX($P$2:$P$1001,MATCH(ROWS($N$2:N386),$N$2:$N$1001,0),0), INDEX($U$1004:$AC$1004,1,MATCH(COLUMNS($U$1006:AA1006),$U$1006:$AC$1006,0)))),"Fix")))</f>
        <v>0</v>
      </c>
      <c r="I386" s="3">
        <f>IF(OR(INDEX($O$2:$O$1001,MATCH(ROWS($N$2:N386),$N$2:$N$1001,0),1)&gt;=100000,INDEX($U$1005:$AC$1005,1,MATCH(COLUMNS($U$1006:AB1006),$U$1006:$AC$1006,0))&gt;=100000), " ",IF(INDEX($U$2:$AC$1001,MATCH(ROWS($N$2:N386),$N$2:$N$1001,0),MATCH(COLUMNS($U$1006:AB1006),$U$1006:$AC$1006,0)), HYPERLINK("#",""), HYPERLINK(CONCATENATE("#metadata!", ADDRESS(INDEX($P$2:$P$1001,MATCH(ROWS($N$2:N386),$N$2:$N$1001,0),0), INDEX($U$1004:$AC$1004,1,MATCH(COLUMNS($U$1006:AB1006),$U$1006:$AC$1006,0)))),"Fix")))</f>
        <v>0</v>
      </c>
      <c r="J386" s="3">
        <f>IF(OR(INDEX($O$2:$O$1001,MATCH(ROWS($N$2:N386),$N$2:$N$1001,0),1)&gt;=100000,INDEX($U$1005:$AC$1005,1,MATCH(COLUMNS($U$1006:AC1006),$U$1006:$AC$1006,0))&gt;=100000), " ",IF(INDEX($U$2:$AC$1001,MATCH(ROWS($N$2:N386),$N$2:$N$1001,0),MATCH(COLUMNS($U$1006:AC1006),$U$1006:$AC$1006,0)), HYPERLINK("#",""), HYPERLINK(CONCATENATE("#metadata!", ADDRESS(INDEX($P$2:$P$1001,MATCH(ROWS($N$2:N386),$N$2:$N$1001,0),0), INDEX($U$1004:$AC$1004,1,MATCH(COLUMNS($U$1006:AC1006),$U$1006:$AC$1006,0)))),"Fix")))</f>
        <v>0</v>
      </c>
      <c r="N386">
        <v>0</v>
      </c>
      <c r="O386">
        <v>0</v>
      </c>
      <c r="P386">
        <v>0</v>
      </c>
      <c r="Q386">
        <f>IF(R386,TRUE,AND(U386:AC386))</f>
        <v>0</v>
      </c>
      <c r="R386">
        <f>COUNTBLANK(metadata!B386:J386)=COLUMNS(metadata!B386:J386)</f>
        <v>0</v>
      </c>
      <c r="S386">
        <v>0</v>
      </c>
      <c r="U386">
        <f>AND(IF(metadata!B386="",FALSE,TRUE),COUNTIF(metadata!B:B, metadata!B386) = 1,NOT(ISERROR(SUMPRODUCT(SEARCH(MID(metadata!B386,ROW(INDIRECT("1:"&amp;LEN(metadata!B386))), 1),"0123456789abcdefghijklmnopqrstuvwxyzABCDEFGHIJKLMNOPQRSTUVWXYZ.")))))</f>
        <v>0</v>
      </c>
      <c r="V386">
        <f>AND(IF(metadata!C386="",FALSE,TRUE),exact(metadata!C386,"UBERON:genitourinary"))</f>
        <v>0</v>
      </c>
      <c r="W386">
        <f>AND(IF(metadata!D386="",FALSE,TRUE),exact(metadata!D386,"UBERON:urine"))</f>
        <v>0</v>
      </c>
      <c r="X386">
        <f>AND(IF(metadata!E386="",FALSE,TRUE),exact(metadata!E386,"UBERON:kidney"))</f>
        <v>0</v>
      </c>
      <c r="Y386">
        <f>AND(IF(metadata!F386="",FALSE,TRUE),exact(metadata!F386,"animal corpus"))</f>
        <v>0</v>
      </c>
      <c r="Z386">
        <f>AND(IF(metadata!G386="",FALSE,TRUE),exact(metadata!G386,"urine"))</f>
        <v>0</v>
      </c>
      <c r="AA386">
        <f>AND(IF(metadata!H386="",FALSE,TRUE),exact(metadata!H386,"urine"))</f>
        <v>0</v>
      </c>
      <c r="AB386">
        <f>AND(IF(metadata!I386="",FALSE,TRUE),exact(metadata!I386,"urine metagenome"))</f>
        <v>0</v>
      </c>
      <c r="AC386">
        <f>AND(IF(metadata!J386="",FALSE,TRUE),exact(metadata!J386,"1346744"))</f>
        <v>0</v>
      </c>
    </row>
    <row r="387" spans="1:29">
      <c r="A387" s="4">
        <f>IF(B387=" "," ",HYPERLINK(CONCATENATE("#metadata!",ADDRESS(INDEX($P$2:$P$1001,MATCH(ROWS($N$2:N387),$N$2:$N$1001,0),0),1)),INDEX($S$2:$S$1001,MATCH(ROWS($N$2:N387),$N$2:$N$1001,0),0)))</f>
        <v>0</v>
      </c>
      <c r="B387" s="3">
        <f>IF(OR(INDEX($O$2:$O$1001,MATCH(ROWS($N$2:N387),$N$2:$N$1001,0),1)&gt;=100000,INDEX($U$1005:$AC$1005,1,MATCH(COLUMNS($U$1006:U1006),$U$1006:$AC$1006,0))&gt;=100000), " ",IF(INDEX($U$2:$AC$1001,MATCH(ROWS($N$2:N387),$N$2:$N$1001,0),MATCH(COLUMNS($U$1006:U1006),$U$1006:$AC$1006,0)), HYPERLINK("#",""), HYPERLINK(CONCATENATE("#metadata!", ADDRESS(INDEX($P$2:$P$1001,MATCH(ROWS($N$2:N387),$N$2:$N$1001,0),0), INDEX($U$1004:$AC$1004,1,MATCH(COLUMNS($U$1006:U1006),$U$1006:$AC$1006,0)))),"Fix")))</f>
        <v>0</v>
      </c>
      <c r="C387" s="3">
        <f>IF(OR(INDEX($O$2:$O$1001,MATCH(ROWS($N$2:N387),$N$2:$N$1001,0),1)&gt;=100000,INDEX($U$1005:$AC$1005,1,MATCH(COLUMNS($U$1006:V1006),$U$1006:$AC$1006,0))&gt;=100000), " ",IF(INDEX($U$2:$AC$1001,MATCH(ROWS($N$2:N387),$N$2:$N$1001,0),MATCH(COLUMNS($U$1006:V1006),$U$1006:$AC$1006,0)), HYPERLINK("#",""), HYPERLINK(CONCATENATE("#metadata!", ADDRESS(INDEX($P$2:$P$1001,MATCH(ROWS($N$2:N387),$N$2:$N$1001,0),0), INDEX($U$1004:$AC$1004,1,MATCH(COLUMNS($U$1006:V1006),$U$1006:$AC$1006,0)))),"Fix")))</f>
        <v>0</v>
      </c>
      <c r="D387" s="3">
        <f>IF(OR(INDEX($O$2:$O$1001,MATCH(ROWS($N$2:N387),$N$2:$N$1001,0),1)&gt;=100000,INDEX($U$1005:$AC$1005,1,MATCH(COLUMNS($U$1006:W1006),$U$1006:$AC$1006,0))&gt;=100000), " ",IF(INDEX($U$2:$AC$1001,MATCH(ROWS($N$2:N387),$N$2:$N$1001,0),MATCH(COLUMNS($U$1006:W1006),$U$1006:$AC$1006,0)), HYPERLINK("#",""), HYPERLINK(CONCATENATE("#metadata!", ADDRESS(INDEX($P$2:$P$1001,MATCH(ROWS($N$2:N387),$N$2:$N$1001,0),0), INDEX($U$1004:$AC$1004,1,MATCH(COLUMNS($U$1006:W1006),$U$1006:$AC$1006,0)))),"Fix")))</f>
        <v>0</v>
      </c>
      <c r="E387" s="3">
        <f>IF(OR(INDEX($O$2:$O$1001,MATCH(ROWS($N$2:N387),$N$2:$N$1001,0),1)&gt;=100000,INDEX($U$1005:$AC$1005,1,MATCH(COLUMNS($U$1006:X1006),$U$1006:$AC$1006,0))&gt;=100000), " ",IF(INDEX($U$2:$AC$1001,MATCH(ROWS($N$2:N387),$N$2:$N$1001,0),MATCH(COLUMNS($U$1006:X1006),$U$1006:$AC$1006,0)), HYPERLINK("#",""), HYPERLINK(CONCATENATE("#metadata!", ADDRESS(INDEX($P$2:$P$1001,MATCH(ROWS($N$2:N387),$N$2:$N$1001,0),0), INDEX($U$1004:$AC$1004,1,MATCH(COLUMNS($U$1006:X1006),$U$1006:$AC$1006,0)))),"Fix")))</f>
        <v>0</v>
      </c>
      <c r="F387" s="3">
        <f>IF(OR(INDEX($O$2:$O$1001,MATCH(ROWS($N$2:N387),$N$2:$N$1001,0),1)&gt;=100000,INDEX($U$1005:$AC$1005,1,MATCH(COLUMNS($U$1006:Y1006),$U$1006:$AC$1006,0))&gt;=100000), " ",IF(INDEX($U$2:$AC$1001,MATCH(ROWS($N$2:N387),$N$2:$N$1001,0),MATCH(COLUMNS($U$1006:Y1006),$U$1006:$AC$1006,0)), HYPERLINK("#",""), HYPERLINK(CONCATENATE("#metadata!", ADDRESS(INDEX($P$2:$P$1001,MATCH(ROWS($N$2:N387),$N$2:$N$1001,0),0), INDEX($U$1004:$AC$1004,1,MATCH(COLUMNS($U$1006:Y1006),$U$1006:$AC$1006,0)))),"Fix")))</f>
        <v>0</v>
      </c>
      <c r="G387" s="3">
        <f>IF(OR(INDEX($O$2:$O$1001,MATCH(ROWS($N$2:N387),$N$2:$N$1001,0),1)&gt;=100000,INDEX($U$1005:$AC$1005,1,MATCH(COLUMNS($U$1006:Z1006),$U$1006:$AC$1006,0))&gt;=100000), " ",IF(INDEX($U$2:$AC$1001,MATCH(ROWS($N$2:N387),$N$2:$N$1001,0),MATCH(COLUMNS($U$1006:Z1006),$U$1006:$AC$1006,0)), HYPERLINK("#",""), HYPERLINK(CONCATENATE("#metadata!", ADDRESS(INDEX($P$2:$P$1001,MATCH(ROWS($N$2:N387),$N$2:$N$1001,0),0), INDEX($U$1004:$AC$1004,1,MATCH(COLUMNS($U$1006:Z1006),$U$1006:$AC$1006,0)))),"Fix")))</f>
        <v>0</v>
      </c>
      <c r="H387" s="3">
        <f>IF(OR(INDEX($O$2:$O$1001,MATCH(ROWS($N$2:N387),$N$2:$N$1001,0),1)&gt;=100000,INDEX($U$1005:$AC$1005,1,MATCH(COLUMNS($U$1006:AA1006),$U$1006:$AC$1006,0))&gt;=100000), " ",IF(INDEX($U$2:$AC$1001,MATCH(ROWS($N$2:N387),$N$2:$N$1001,0),MATCH(COLUMNS($U$1006:AA1006),$U$1006:$AC$1006,0)), HYPERLINK("#",""), HYPERLINK(CONCATENATE("#metadata!", ADDRESS(INDEX($P$2:$P$1001,MATCH(ROWS($N$2:N387),$N$2:$N$1001,0),0), INDEX($U$1004:$AC$1004,1,MATCH(COLUMNS($U$1006:AA1006),$U$1006:$AC$1006,0)))),"Fix")))</f>
        <v>0</v>
      </c>
      <c r="I387" s="3">
        <f>IF(OR(INDEX($O$2:$O$1001,MATCH(ROWS($N$2:N387),$N$2:$N$1001,0),1)&gt;=100000,INDEX($U$1005:$AC$1005,1,MATCH(COLUMNS($U$1006:AB1006),$U$1006:$AC$1006,0))&gt;=100000), " ",IF(INDEX($U$2:$AC$1001,MATCH(ROWS($N$2:N387),$N$2:$N$1001,0),MATCH(COLUMNS($U$1006:AB1006),$U$1006:$AC$1006,0)), HYPERLINK("#",""), HYPERLINK(CONCATENATE("#metadata!", ADDRESS(INDEX($P$2:$P$1001,MATCH(ROWS($N$2:N387),$N$2:$N$1001,0),0), INDEX($U$1004:$AC$1004,1,MATCH(COLUMNS($U$1006:AB1006),$U$1006:$AC$1006,0)))),"Fix")))</f>
        <v>0</v>
      </c>
      <c r="J387" s="3">
        <f>IF(OR(INDEX($O$2:$O$1001,MATCH(ROWS($N$2:N387),$N$2:$N$1001,0),1)&gt;=100000,INDEX($U$1005:$AC$1005,1,MATCH(COLUMNS($U$1006:AC1006),$U$1006:$AC$1006,0))&gt;=100000), " ",IF(INDEX($U$2:$AC$1001,MATCH(ROWS($N$2:N387),$N$2:$N$1001,0),MATCH(COLUMNS($U$1006:AC1006),$U$1006:$AC$1006,0)), HYPERLINK("#",""), HYPERLINK(CONCATENATE("#metadata!", ADDRESS(INDEX($P$2:$P$1001,MATCH(ROWS($N$2:N387),$N$2:$N$1001,0),0), INDEX($U$1004:$AC$1004,1,MATCH(COLUMNS($U$1006:AC1006),$U$1006:$AC$1006,0)))),"Fix")))</f>
        <v>0</v>
      </c>
      <c r="N387">
        <v>0</v>
      </c>
      <c r="O387">
        <v>0</v>
      </c>
      <c r="P387">
        <v>0</v>
      </c>
      <c r="Q387">
        <f>IF(R387,TRUE,AND(U387:AC387))</f>
        <v>0</v>
      </c>
      <c r="R387">
        <f>COUNTBLANK(metadata!B387:J387)=COLUMNS(metadata!B387:J387)</f>
        <v>0</v>
      </c>
      <c r="S387">
        <v>0</v>
      </c>
      <c r="U387">
        <f>AND(IF(metadata!B387="",FALSE,TRUE),COUNTIF(metadata!B:B, metadata!B387) = 1,NOT(ISERROR(SUMPRODUCT(SEARCH(MID(metadata!B387,ROW(INDIRECT("1:"&amp;LEN(metadata!B387))), 1),"0123456789abcdefghijklmnopqrstuvwxyzABCDEFGHIJKLMNOPQRSTUVWXYZ.")))))</f>
        <v>0</v>
      </c>
      <c r="V387">
        <f>AND(IF(metadata!C387="",FALSE,TRUE),exact(metadata!C387,"UBERON:genitourinary"))</f>
        <v>0</v>
      </c>
      <c r="W387">
        <f>AND(IF(metadata!D387="",FALSE,TRUE),exact(metadata!D387,"UBERON:urine"))</f>
        <v>0</v>
      </c>
      <c r="X387">
        <f>AND(IF(metadata!E387="",FALSE,TRUE),exact(metadata!E387,"UBERON:kidney"))</f>
        <v>0</v>
      </c>
      <c r="Y387">
        <f>AND(IF(metadata!F387="",FALSE,TRUE),exact(metadata!F387,"animal corpus"))</f>
        <v>0</v>
      </c>
      <c r="Z387">
        <f>AND(IF(metadata!G387="",FALSE,TRUE),exact(metadata!G387,"urine"))</f>
        <v>0</v>
      </c>
      <c r="AA387">
        <f>AND(IF(metadata!H387="",FALSE,TRUE),exact(metadata!H387,"urine"))</f>
        <v>0</v>
      </c>
      <c r="AB387">
        <f>AND(IF(metadata!I387="",FALSE,TRUE),exact(metadata!I387,"urine metagenome"))</f>
        <v>0</v>
      </c>
      <c r="AC387">
        <f>AND(IF(metadata!J387="",FALSE,TRUE),exact(metadata!J387,"1346744"))</f>
        <v>0</v>
      </c>
    </row>
    <row r="388" spans="1:29">
      <c r="A388" s="4">
        <f>IF(B388=" "," ",HYPERLINK(CONCATENATE("#metadata!",ADDRESS(INDEX($P$2:$P$1001,MATCH(ROWS($N$2:N388),$N$2:$N$1001,0),0),1)),INDEX($S$2:$S$1001,MATCH(ROWS($N$2:N388),$N$2:$N$1001,0),0)))</f>
        <v>0</v>
      </c>
      <c r="B388" s="3">
        <f>IF(OR(INDEX($O$2:$O$1001,MATCH(ROWS($N$2:N388),$N$2:$N$1001,0),1)&gt;=100000,INDEX($U$1005:$AC$1005,1,MATCH(COLUMNS($U$1006:U1006),$U$1006:$AC$1006,0))&gt;=100000), " ",IF(INDEX($U$2:$AC$1001,MATCH(ROWS($N$2:N388),$N$2:$N$1001,0),MATCH(COLUMNS($U$1006:U1006),$U$1006:$AC$1006,0)), HYPERLINK("#",""), HYPERLINK(CONCATENATE("#metadata!", ADDRESS(INDEX($P$2:$P$1001,MATCH(ROWS($N$2:N388),$N$2:$N$1001,0),0), INDEX($U$1004:$AC$1004,1,MATCH(COLUMNS($U$1006:U1006),$U$1006:$AC$1006,0)))),"Fix")))</f>
        <v>0</v>
      </c>
      <c r="C388" s="3">
        <f>IF(OR(INDEX($O$2:$O$1001,MATCH(ROWS($N$2:N388),$N$2:$N$1001,0),1)&gt;=100000,INDEX($U$1005:$AC$1005,1,MATCH(COLUMNS($U$1006:V1006),$U$1006:$AC$1006,0))&gt;=100000), " ",IF(INDEX($U$2:$AC$1001,MATCH(ROWS($N$2:N388),$N$2:$N$1001,0),MATCH(COLUMNS($U$1006:V1006),$U$1006:$AC$1006,0)), HYPERLINK("#",""), HYPERLINK(CONCATENATE("#metadata!", ADDRESS(INDEX($P$2:$P$1001,MATCH(ROWS($N$2:N388),$N$2:$N$1001,0),0), INDEX($U$1004:$AC$1004,1,MATCH(COLUMNS($U$1006:V1006),$U$1006:$AC$1006,0)))),"Fix")))</f>
        <v>0</v>
      </c>
      <c r="D388" s="3">
        <f>IF(OR(INDEX($O$2:$O$1001,MATCH(ROWS($N$2:N388),$N$2:$N$1001,0),1)&gt;=100000,INDEX($U$1005:$AC$1005,1,MATCH(COLUMNS($U$1006:W1006),$U$1006:$AC$1006,0))&gt;=100000), " ",IF(INDEX($U$2:$AC$1001,MATCH(ROWS($N$2:N388),$N$2:$N$1001,0),MATCH(COLUMNS($U$1006:W1006),$U$1006:$AC$1006,0)), HYPERLINK("#",""), HYPERLINK(CONCATENATE("#metadata!", ADDRESS(INDEX($P$2:$P$1001,MATCH(ROWS($N$2:N388),$N$2:$N$1001,0),0), INDEX($U$1004:$AC$1004,1,MATCH(COLUMNS($U$1006:W1006),$U$1006:$AC$1006,0)))),"Fix")))</f>
        <v>0</v>
      </c>
      <c r="E388" s="3">
        <f>IF(OR(INDEX($O$2:$O$1001,MATCH(ROWS($N$2:N388),$N$2:$N$1001,0),1)&gt;=100000,INDEX($U$1005:$AC$1005,1,MATCH(COLUMNS($U$1006:X1006),$U$1006:$AC$1006,0))&gt;=100000), " ",IF(INDEX($U$2:$AC$1001,MATCH(ROWS($N$2:N388),$N$2:$N$1001,0),MATCH(COLUMNS($U$1006:X1006),$U$1006:$AC$1006,0)), HYPERLINK("#",""), HYPERLINK(CONCATENATE("#metadata!", ADDRESS(INDEX($P$2:$P$1001,MATCH(ROWS($N$2:N388),$N$2:$N$1001,0),0), INDEX($U$1004:$AC$1004,1,MATCH(COLUMNS($U$1006:X1006),$U$1006:$AC$1006,0)))),"Fix")))</f>
        <v>0</v>
      </c>
      <c r="F388" s="3">
        <f>IF(OR(INDEX($O$2:$O$1001,MATCH(ROWS($N$2:N388),$N$2:$N$1001,0),1)&gt;=100000,INDEX($U$1005:$AC$1005,1,MATCH(COLUMNS($U$1006:Y1006),$U$1006:$AC$1006,0))&gt;=100000), " ",IF(INDEX($U$2:$AC$1001,MATCH(ROWS($N$2:N388),$N$2:$N$1001,0),MATCH(COLUMNS($U$1006:Y1006),$U$1006:$AC$1006,0)), HYPERLINK("#",""), HYPERLINK(CONCATENATE("#metadata!", ADDRESS(INDEX($P$2:$P$1001,MATCH(ROWS($N$2:N388),$N$2:$N$1001,0),0), INDEX($U$1004:$AC$1004,1,MATCH(COLUMNS($U$1006:Y1006),$U$1006:$AC$1006,0)))),"Fix")))</f>
        <v>0</v>
      </c>
      <c r="G388" s="3">
        <f>IF(OR(INDEX($O$2:$O$1001,MATCH(ROWS($N$2:N388),$N$2:$N$1001,0),1)&gt;=100000,INDEX($U$1005:$AC$1005,1,MATCH(COLUMNS($U$1006:Z1006),$U$1006:$AC$1006,0))&gt;=100000), " ",IF(INDEX($U$2:$AC$1001,MATCH(ROWS($N$2:N388),$N$2:$N$1001,0),MATCH(COLUMNS($U$1006:Z1006),$U$1006:$AC$1006,0)), HYPERLINK("#",""), HYPERLINK(CONCATENATE("#metadata!", ADDRESS(INDEX($P$2:$P$1001,MATCH(ROWS($N$2:N388),$N$2:$N$1001,0),0), INDEX($U$1004:$AC$1004,1,MATCH(COLUMNS($U$1006:Z1006),$U$1006:$AC$1006,0)))),"Fix")))</f>
        <v>0</v>
      </c>
      <c r="H388" s="3">
        <f>IF(OR(INDEX($O$2:$O$1001,MATCH(ROWS($N$2:N388),$N$2:$N$1001,0),1)&gt;=100000,INDEX($U$1005:$AC$1005,1,MATCH(COLUMNS($U$1006:AA1006),$U$1006:$AC$1006,0))&gt;=100000), " ",IF(INDEX($U$2:$AC$1001,MATCH(ROWS($N$2:N388),$N$2:$N$1001,0),MATCH(COLUMNS($U$1006:AA1006),$U$1006:$AC$1006,0)), HYPERLINK("#",""), HYPERLINK(CONCATENATE("#metadata!", ADDRESS(INDEX($P$2:$P$1001,MATCH(ROWS($N$2:N388),$N$2:$N$1001,0),0), INDEX($U$1004:$AC$1004,1,MATCH(COLUMNS($U$1006:AA1006),$U$1006:$AC$1006,0)))),"Fix")))</f>
        <v>0</v>
      </c>
      <c r="I388" s="3">
        <f>IF(OR(INDEX($O$2:$O$1001,MATCH(ROWS($N$2:N388),$N$2:$N$1001,0),1)&gt;=100000,INDEX($U$1005:$AC$1005,1,MATCH(COLUMNS($U$1006:AB1006),$U$1006:$AC$1006,0))&gt;=100000), " ",IF(INDEX($U$2:$AC$1001,MATCH(ROWS($N$2:N388),$N$2:$N$1001,0),MATCH(COLUMNS($U$1006:AB1006),$U$1006:$AC$1006,0)), HYPERLINK("#",""), HYPERLINK(CONCATENATE("#metadata!", ADDRESS(INDEX($P$2:$P$1001,MATCH(ROWS($N$2:N388),$N$2:$N$1001,0),0), INDEX($U$1004:$AC$1004,1,MATCH(COLUMNS($U$1006:AB1006),$U$1006:$AC$1006,0)))),"Fix")))</f>
        <v>0</v>
      </c>
      <c r="J388" s="3">
        <f>IF(OR(INDEX($O$2:$O$1001,MATCH(ROWS($N$2:N388),$N$2:$N$1001,0),1)&gt;=100000,INDEX($U$1005:$AC$1005,1,MATCH(COLUMNS($U$1006:AC1006),$U$1006:$AC$1006,0))&gt;=100000), " ",IF(INDEX($U$2:$AC$1001,MATCH(ROWS($N$2:N388),$N$2:$N$1001,0),MATCH(COLUMNS($U$1006:AC1006),$U$1006:$AC$1006,0)), HYPERLINK("#",""), HYPERLINK(CONCATENATE("#metadata!", ADDRESS(INDEX($P$2:$P$1001,MATCH(ROWS($N$2:N388),$N$2:$N$1001,0),0), INDEX($U$1004:$AC$1004,1,MATCH(COLUMNS($U$1006:AC1006),$U$1006:$AC$1006,0)))),"Fix")))</f>
        <v>0</v>
      </c>
      <c r="N388">
        <v>0</v>
      </c>
      <c r="O388">
        <v>0</v>
      </c>
      <c r="P388">
        <v>0</v>
      </c>
      <c r="Q388">
        <f>IF(R388,TRUE,AND(U388:AC388))</f>
        <v>0</v>
      </c>
      <c r="R388">
        <f>COUNTBLANK(metadata!B388:J388)=COLUMNS(metadata!B388:J388)</f>
        <v>0</v>
      </c>
      <c r="S388">
        <v>0</v>
      </c>
      <c r="U388">
        <f>AND(IF(metadata!B388="",FALSE,TRUE),COUNTIF(metadata!B:B, metadata!B388) = 1,NOT(ISERROR(SUMPRODUCT(SEARCH(MID(metadata!B388,ROW(INDIRECT("1:"&amp;LEN(metadata!B388))), 1),"0123456789abcdefghijklmnopqrstuvwxyzABCDEFGHIJKLMNOPQRSTUVWXYZ.")))))</f>
        <v>0</v>
      </c>
      <c r="V388">
        <f>AND(IF(metadata!C388="",FALSE,TRUE),exact(metadata!C388,"UBERON:genitourinary"))</f>
        <v>0</v>
      </c>
      <c r="W388">
        <f>AND(IF(metadata!D388="",FALSE,TRUE),exact(metadata!D388,"UBERON:urine"))</f>
        <v>0</v>
      </c>
      <c r="X388">
        <f>AND(IF(metadata!E388="",FALSE,TRUE),exact(metadata!E388,"UBERON:kidney"))</f>
        <v>0</v>
      </c>
      <c r="Y388">
        <f>AND(IF(metadata!F388="",FALSE,TRUE),exact(metadata!F388,"animal corpus"))</f>
        <v>0</v>
      </c>
      <c r="Z388">
        <f>AND(IF(metadata!G388="",FALSE,TRUE),exact(metadata!G388,"urine"))</f>
        <v>0</v>
      </c>
      <c r="AA388">
        <f>AND(IF(metadata!H388="",FALSE,TRUE),exact(metadata!H388,"urine"))</f>
        <v>0</v>
      </c>
      <c r="AB388">
        <f>AND(IF(metadata!I388="",FALSE,TRUE),exact(metadata!I388,"urine metagenome"))</f>
        <v>0</v>
      </c>
      <c r="AC388">
        <f>AND(IF(metadata!J388="",FALSE,TRUE),exact(metadata!J388,"1346744"))</f>
        <v>0</v>
      </c>
    </row>
    <row r="389" spans="1:29">
      <c r="A389" s="4">
        <f>IF(B389=" "," ",HYPERLINK(CONCATENATE("#metadata!",ADDRESS(INDEX($P$2:$P$1001,MATCH(ROWS($N$2:N389),$N$2:$N$1001,0),0),1)),INDEX($S$2:$S$1001,MATCH(ROWS($N$2:N389),$N$2:$N$1001,0),0)))</f>
        <v>0</v>
      </c>
      <c r="B389" s="3">
        <f>IF(OR(INDEX($O$2:$O$1001,MATCH(ROWS($N$2:N389),$N$2:$N$1001,0),1)&gt;=100000,INDEX($U$1005:$AC$1005,1,MATCH(COLUMNS($U$1006:U1006),$U$1006:$AC$1006,0))&gt;=100000), " ",IF(INDEX($U$2:$AC$1001,MATCH(ROWS($N$2:N389),$N$2:$N$1001,0),MATCH(COLUMNS($U$1006:U1006),$U$1006:$AC$1006,0)), HYPERLINK("#",""), HYPERLINK(CONCATENATE("#metadata!", ADDRESS(INDEX($P$2:$P$1001,MATCH(ROWS($N$2:N389),$N$2:$N$1001,0),0), INDEX($U$1004:$AC$1004,1,MATCH(COLUMNS($U$1006:U1006),$U$1006:$AC$1006,0)))),"Fix")))</f>
        <v>0</v>
      </c>
      <c r="C389" s="3">
        <f>IF(OR(INDEX($O$2:$O$1001,MATCH(ROWS($N$2:N389),$N$2:$N$1001,0),1)&gt;=100000,INDEX($U$1005:$AC$1005,1,MATCH(COLUMNS($U$1006:V1006),$U$1006:$AC$1006,0))&gt;=100000), " ",IF(INDEX($U$2:$AC$1001,MATCH(ROWS($N$2:N389),$N$2:$N$1001,0),MATCH(COLUMNS($U$1006:V1006),$U$1006:$AC$1006,0)), HYPERLINK("#",""), HYPERLINK(CONCATENATE("#metadata!", ADDRESS(INDEX($P$2:$P$1001,MATCH(ROWS($N$2:N389),$N$2:$N$1001,0),0), INDEX($U$1004:$AC$1004,1,MATCH(COLUMNS($U$1006:V1006),$U$1006:$AC$1006,0)))),"Fix")))</f>
        <v>0</v>
      </c>
      <c r="D389" s="3">
        <f>IF(OR(INDEX($O$2:$O$1001,MATCH(ROWS($N$2:N389),$N$2:$N$1001,0),1)&gt;=100000,INDEX($U$1005:$AC$1005,1,MATCH(COLUMNS($U$1006:W1006),$U$1006:$AC$1006,0))&gt;=100000), " ",IF(INDEX($U$2:$AC$1001,MATCH(ROWS($N$2:N389),$N$2:$N$1001,0),MATCH(COLUMNS($U$1006:W1006),$U$1006:$AC$1006,0)), HYPERLINK("#",""), HYPERLINK(CONCATENATE("#metadata!", ADDRESS(INDEX($P$2:$P$1001,MATCH(ROWS($N$2:N389),$N$2:$N$1001,0),0), INDEX($U$1004:$AC$1004,1,MATCH(COLUMNS($U$1006:W1006),$U$1006:$AC$1006,0)))),"Fix")))</f>
        <v>0</v>
      </c>
      <c r="E389" s="3">
        <f>IF(OR(INDEX($O$2:$O$1001,MATCH(ROWS($N$2:N389),$N$2:$N$1001,0),1)&gt;=100000,INDEX($U$1005:$AC$1005,1,MATCH(COLUMNS($U$1006:X1006),$U$1006:$AC$1006,0))&gt;=100000), " ",IF(INDEX($U$2:$AC$1001,MATCH(ROWS($N$2:N389),$N$2:$N$1001,0),MATCH(COLUMNS($U$1006:X1006),$U$1006:$AC$1006,0)), HYPERLINK("#",""), HYPERLINK(CONCATENATE("#metadata!", ADDRESS(INDEX($P$2:$P$1001,MATCH(ROWS($N$2:N389),$N$2:$N$1001,0),0), INDEX($U$1004:$AC$1004,1,MATCH(COLUMNS($U$1006:X1006),$U$1006:$AC$1006,0)))),"Fix")))</f>
        <v>0</v>
      </c>
      <c r="F389" s="3">
        <f>IF(OR(INDEX($O$2:$O$1001,MATCH(ROWS($N$2:N389),$N$2:$N$1001,0),1)&gt;=100000,INDEX($U$1005:$AC$1005,1,MATCH(COLUMNS($U$1006:Y1006),$U$1006:$AC$1006,0))&gt;=100000), " ",IF(INDEX($U$2:$AC$1001,MATCH(ROWS($N$2:N389),$N$2:$N$1001,0),MATCH(COLUMNS($U$1006:Y1006),$U$1006:$AC$1006,0)), HYPERLINK("#",""), HYPERLINK(CONCATENATE("#metadata!", ADDRESS(INDEX($P$2:$P$1001,MATCH(ROWS($N$2:N389),$N$2:$N$1001,0),0), INDEX($U$1004:$AC$1004,1,MATCH(COLUMNS($U$1006:Y1006),$U$1006:$AC$1006,0)))),"Fix")))</f>
        <v>0</v>
      </c>
      <c r="G389" s="3">
        <f>IF(OR(INDEX($O$2:$O$1001,MATCH(ROWS($N$2:N389),$N$2:$N$1001,0),1)&gt;=100000,INDEX($U$1005:$AC$1005,1,MATCH(COLUMNS($U$1006:Z1006),$U$1006:$AC$1006,0))&gt;=100000), " ",IF(INDEX($U$2:$AC$1001,MATCH(ROWS($N$2:N389),$N$2:$N$1001,0),MATCH(COLUMNS($U$1006:Z1006),$U$1006:$AC$1006,0)), HYPERLINK("#",""), HYPERLINK(CONCATENATE("#metadata!", ADDRESS(INDEX($P$2:$P$1001,MATCH(ROWS($N$2:N389),$N$2:$N$1001,0),0), INDEX($U$1004:$AC$1004,1,MATCH(COLUMNS($U$1006:Z1006),$U$1006:$AC$1006,0)))),"Fix")))</f>
        <v>0</v>
      </c>
      <c r="H389" s="3">
        <f>IF(OR(INDEX($O$2:$O$1001,MATCH(ROWS($N$2:N389),$N$2:$N$1001,0),1)&gt;=100000,INDEX($U$1005:$AC$1005,1,MATCH(COLUMNS($U$1006:AA1006),$U$1006:$AC$1006,0))&gt;=100000), " ",IF(INDEX($U$2:$AC$1001,MATCH(ROWS($N$2:N389),$N$2:$N$1001,0),MATCH(COLUMNS($U$1006:AA1006),$U$1006:$AC$1006,0)), HYPERLINK("#",""), HYPERLINK(CONCATENATE("#metadata!", ADDRESS(INDEX($P$2:$P$1001,MATCH(ROWS($N$2:N389),$N$2:$N$1001,0),0), INDEX($U$1004:$AC$1004,1,MATCH(COLUMNS($U$1006:AA1006),$U$1006:$AC$1006,0)))),"Fix")))</f>
        <v>0</v>
      </c>
      <c r="I389" s="3">
        <f>IF(OR(INDEX($O$2:$O$1001,MATCH(ROWS($N$2:N389),$N$2:$N$1001,0),1)&gt;=100000,INDEX($U$1005:$AC$1005,1,MATCH(COLUMNS($U$1006:AB1006),$U$1006:$AC$1006,0))&gt;=100000), " ",IF(INDEX($U$2:$AC$1001,MATCH(ROWS($N$2:N389),$N$2:$N$1001,0),MATCH(COLUMNS($U$1006:AB1006),$U$1006:$AC$1006,0)), HYPERLINK("#",""), HYPERLINK(CONCATENATE("#metadata!", ADDRESS(INDEX($P$2:$P$1001,MATCH(ROWS($N$2:N389),$N$2:$N$1001,0),0), INDEX($U$1004:$AC$1004,1,MATCH(COLUMNS($U$1006:AB1006),$U$1006:$AC$1006,0)))),"Fix")))</f>
        <v>0</v>
      </c>
      <c r="J389" s="3">
        <f>IF(OR(INDEX($O$2:$O$1001,MATCH(ROWS($N$2:N389),$N$2:$N$1001,0),1)&gt;=100000,INDEX($U$1005:$AC$1005,1,MATCH(COLUMNS($U$1006:AC1006),$U$1006:$AC$1006,0))&gt;=100000), " ",IF(INDEX($U$2:$AC$1001,MATCH(ROWS($N$2:N389),$N$2:$N$1001,0),MATCH(COLUMNS($U$1006:AC1006),$U$1006:$AC$1006,0)), HYPERLINK("#",""), HYPERLINK(CONCATENATE("#metadata!", ADDRESS(INDEX($P$2:$P$1001,MATCH(ROWS($N$2:N389),$N$2:$N$1001,0),0), INDEX($U$1004:$AC$1004,1,MATCH(COLUMNS($U$1006:AC1006),$U$1006:$AC$1006,0)))),"Fix")))</f>
        <v>0</v>
      </c>
      <c r="N389">
        <v>0</v>
      </c>
      <c r="O389">
        <v>0</v>
      </c>
      <c r="P389">
        <v>0</v>
      </c>
      <c r="Q389">
        <f>IF(R389,TRUE,AND(U389:AC389))</f>
        <v>0</v>
      </c>
      <c r="R389">
        <f>COUNTBLANK(metadata!B389:J389)=COLUMNS(metadata!B389:J389)</f>
        <v>0</v>
      </c>
      <c r="S389">
        <v>0</v>
      </c>
      <c r="U389">
        <f>AND(IF(metadata!B389="",FALSE,TRUE),COUNTIF(metadata!B:B, metadata!B389) = 1,NOT(ISERROR(SUMPRODUCT(SEARCH(MID(metadata!B389,ROW(INDIRECT("1:"&amp;LEN(metadata!B389))), 1),"0123456789abcdefghijklmnopqrstuvwxyzABCDEFGHIJKLMNOPQRSTUVWXYZ.")))))</f>
        <v>0</v>
      </c>
      <c r="V389">
        <f>AND(IF(metadata!C389="",FALSE,TRUE),exact(metadata!C389,"UBERON:genitourinary"))</f>
        <v>0</v>
      </c>
      <c r="W389">
        <f>AND(IF(metadata!D389="",FALSE,TRUE),exact(metadata!D389,"UBERON:urine"))</f>
        <v>0</v>
      </c>
      <c r="X389">
        <f>AND(IF(metadata!E389="",FALSE,TRUE),exact(metadata!E389,"UBERON:kidney"))</f>
        <v>0</v>
      </c>
      <c r="Y389">
        <f>AND(IF(metadata!F389="",FALSE,TRUE),exact(metadata!F389,"animal corpus"))</f>
        <v>0</v>
      </c>
      <c r="Z389">
        <f>AND(IF(metadata!G389="",FALSE,TRUE),exact(metadata!G389,"urine"))</f>
        <v>0</v>
      </c>
      <c r="AA389">
        <f>AND(IF(metadata!H389="",FALSE,TRUE),exact(metadata!H389,"urine"))</f>
        <v>0</v>
      </c>
      <c r="AB389">
        <f>AND(IF(metadata!I389="",FALSE,TRUE),exact(metadata!I389,"urine metagenome"))</f>
        <v>0</v>
      </c>
      <c r="AC389">
        <f>AND(IF(metadata!J389="",FALSE,TRUE),exact(metadata!J389,"1346744"))</f>
        <v>0</v>
      </c>
    </row>
    <row r="390" spans="1:29">
      <c r="A390" s="4">
        <f>IF(B390=" "," ",HYPERLINK(CONCATENATE("#metadata!",ADDRESS(INDEX($P$2:$P$1001,MATCH(ROWS($N$2:N390),$N$2:$N$1001,0),0),1)),INDEX($S$2:$S$1001,MATCH(ROWS($N$2:N390),$N$2:$N$1001,0),0)))</f>
        <v>0</v>
      </c>
      <c r="B390" s="3">
        <f>IF(OR(INDEX($O$2:$O$1001,MATCH(ROWS($N$2:N390),$N$2:$N$1001,0),1)&gt;=100000,INDEX($U$1005:$AC$1005,1,MATCH(COLUMNS($U$1006:U1006),$U$1006:$AC$1006,0))&gt;=100000), " ",IF(INDEX($U$2:$AC$1001,MATCH(ROWS($N$2:N390),$N$2:$N$1001,0),MATCH(COLUMNS($U$1006:U1006),$U$1006:$AC$1006,0)), HYPERLINK("#",""), HYPERLINK(CONCATENATE("#metadata!", ADDRESS(INDEX($P$2:$P$1001,MATCH(ROWS($N$2:N390),$N$2:$N$1001,0),0), INDEX($U$1004:$AC$1004,1,MATCH(COLUMNS($U$1006:U1006),$U$1006:$AC$1006,0)))),"Fix")))</f>
        <v>0</v>
      </c>
      <c r="C390" s="3">
        <f>IF(OR(INDEX($O$2:$O$1001,MATCH(ROWS($N$2:N390),$N$2:$N$1001,0),1)&gt;=100000,INDEX($U$1005:$AC$1005,1,MATCH(COLUMNS($U$1006:V1006),$U$1006:$AC$1006,0))&gt;=100000), " ",IF(INDEX($U$2:$AC$1001,MATCH(ROWS($N$2:N390),$N$2:$N$1001,0),MATCH(COLUMNS($U$1006:V1006),$U$1006:$AC$1006,0)), HYPERLINK("#",""), HYPERLINK(CONCATENATE("#metadata!", ADDRESS(INDEX($P$2:$P$1001,MATCH(ROWS($N$2:N390),$N$2:$N$1001,0),0), INDEX($U$1004:$AC$1004,1,MATCH(COLUMNS($U$1006:V1006),$U$1006:$AC$1006,0)))),"Fix")))</f>
        <v>0</v>
      </c>
      <c r="D390" s="3">
        <f>IF(OR(INDEX($O$2:$O$1001,MATCH(ROWS($N$2:N390),$N$2:$N$1001,0),1)&gt;=100000,INDEX($U$1005:$AC$1005,1,MATCH(COLUMNS($U$1006:W1006),$U$1006:$AC$1006,0))&gt;=100000), " ",IF(INDEX($U$2:$AC$1001,MATCH(ROWS($N$2:N390),$N$2:$N$1001,0),MATCH(COLUMNS($U$1006:W1006),$U$1006:$AC$1006,0)), HYPERLINK("#",""), HYPERLINK(CONCATENATE("#metadata!", ADDRESS(INDEX($P$2:$P$1001,MATCH(ROWS($N$2:N390),$N$2:$N$1001,0),0), INDEX($U$1004:$AC$1004,1,MATCH(COLUMNS($U$1006:W1006),$U$1006:$AC$1006,0)))),"Fix")))</f>
        <v>0</v>
      </c>
      <c r="E390" s="3">
        <f>IF(OR(INDEX($O$2:$O$1001,MATCH(ROWS($N$2:N390),$N$2:$N$1001,0),1)&gt;=100000,INDEX($U$1005:$AC$1005,1,MATCH(COLUMNS($U$1006:X1006),$U$1006:$AC$1006,0))&gt;=100000), " ",IF(INDEX($U$2:$AC$1001,MATCH(ROWS($N$2:N390),$N$2:$N$1001,0),MATCH(COLUMNS($U$1006:X1006),$U$1006:$AC$1006,0)), HYPERLINK("#",""), HYPERLINK(CONCATENATE("#metadata!", ADDRESS(INDEX($P$2:$P$1001,MATCH(ROWS($N$2:N390),$N$2:$N$1001,0),0), INDEX($U$1004:$AC$1004,1,MATCH(COLUMNS($U$1006:X1006),$U$1006:$AC$1006,0)))),"Fix")))</f>
        <v>0</v>
      </c>
      <c r="F390" s="3">
        <f>IF(OR(INDEX($O$2:$O$1001,MATCH(ROWS($N$2:N390),$N$2:$N$1001,0),1)&gt;=100000,INDEX($U$1005:$AC$1005,1,MATCH(COLUMNS($U$1006:Y1006),$U$1006:$AC$1006,0))&gt;=100000), " ",IF(INDEX($U$2:$AC$1001,MATCH(ROWS($N$2:N390),$N$2:$N$1001,0),MATCH(COLUMNS($U$1006:Y1006),$U$1006:$AC$1006,0)), HYPERLINK("#",""), HYPERLINK(CONCATENATE("#metadata!", ADDRESS(INDEX($P$2:$P$1001,MATCH(ROWS($N$2:N390),$N$2:$N$1001,0),0), INDEX($U$1004:$AC$1004,1,MATCH(COLUMNS($U$1006:Y1006),$U$1006:$AC$1006,0)))),"Fix")))</f>
        <v>0</v>
      </c>
      <c r="G390" s="3">
        <f>IF(OR(INDEX($O$2:$O$1001,MATCH(ROWS($N$2:N390),$N$2:$N$1001,0),1)&gt;=100000,INDEX($U$1005:$AC$1005,1,MATCH(COLUMNS($U$1006:Z1006),$U$1006:$AC$1006,0))&gt;=100000), " ",IF(INDEX($U$2:$AC$1001,MATCH(ROWS($N$2:N390),$N$2:$N$1001,0),MATCH(COLUMNS($U$1006:Z1006),$U$1006:$AC$1006,0)), HYPERLINK("#",""), HYPERLINK(CONCATENATE("#metadata!", ADDRESS(INDEX($P$2:$P$1001,MATCH(ROWS($N$2:N390),$N$2:$N$1001,0),0), INDEX($U$1004:$AC$1004,1,MATCH(COLUMNS($U$1006:Z1006),$U$1006:$AC$1006,0)))),"Fix")))</f>
        <v>0</v>
      </c>
      <c r="H390" s="3">
        <f>IF(OR(INDEX($O$2:$O$1001,MATCH(ROWS($N$2:N390),$N$2:$N$1001,0),1)&gt;=100000,INDEX($U$1005:$AC$1005,1,MATCH(COLUMNS($U$1006:AA1006),$U$1006:$AC$1006,0))&gt;=100000), " ",IF(INDEX($U$2:$AC$1001,MATCH(ROWS($N$2:N390),$N$2:$N$1001,0),MATCH(COLUMNS($U$1006:AA1006),$U$1006:$AC$1006,0)), HYPERLINK("#",""), HYPERLINK(CONCATENATE("#metadata!", ADDRESS(INDEX($P$2:$P$1001,MATCH(ROWS($N$2:N390),$N$2:$N$1001,0),0), INDEX($U$1004:$AC$1004,1,MATCH(COLUMNS($U$1006:AA1006),$U$1006:$AC$1006,0)))),"Fix")))</f>
        <v>0</v>
      </c>
      <c r="I390" s="3">
        <f>IF(OR(INDEX($O$2:$O$1001,MATCH(ROWS($N$2:N390),$N$2:$N$1001,0),1)&gt;=100000,INDEX($U$1005:$AC$1005,1,MATCH(COLUMNS($U$1006:AB1006),$U$1006:$AC$1006,0))&gt;=100000), " ",IF(INDEX($U$2:$AC$1001,MATCH(ROWS($N$2:N390),$N$2:$N$1001,0),MATCH(COLUMNS($U$1006:AB1006),$U$1006:$AC$1006,0)), HYPERLINK("#",""), HYPERLINK(CONCATENATE("#metadata!", ADDRESS(INDEX($P$2:$P$1001,MATCH(ROWS($N$2:N390),$N$2:$N$1001,0),0), INDEX($U$1004:$AC$1004,1,MATCH(COLUMNS($U$1006:AB1006),$U$1006:$AC$1006,0)))),"Fix")))</f>
        <v>0</v>
      </c>
      <c r="J390" s="3">
        <f>IF(OR(INDEX($O$2:$O$1001,MATCH(ROWS($N$2:N390),$N$2:$N$1001,0),1)&gt;=100000,INDEX($U$1005:$AC$1005,1,MATCH(COLUMNS($U$1006:AC1006),$U$1006:$AC$1006,0))&gt;=100000), " ",IF(INDEX($U$2:$AC$1001,MATCH(ROWS($N$2:N390),$N$2:$N$1001,0),MATCH(COLUMNS($U$1006:AC1006),$U$1006:$AC$1006,0)), HYPERLINK("#",""), HYPERLINK(CONCATENATE("#metadata!", ADDRESS(INDEX($P$2:$P$1001,MATCH(ROWS($N$2:N390),$N$2:$N$1001,0),0), INDEX($U$1004:$AC$1004,1,MATCH(COLUMNS($U$1006:AC1006),$U$1006:$AC$1006,0)))),"Fix")))</f>
        <v>0</v>
      </c>
      <c r="N390">
        <v>0</v>
      </c>
      <c r="O390">
        <v>0</v>
      </c>
      <c r="P390">
        <v>0</v>
      </c>
      <c r="Q390">
        <f>IF(R390,TRUE,AND(U390:AC390))</f>
        <v>0</v>
      </c>
      <c r="R390">
        <f>COUNTBLANK(metadata!B390:J390)=COLUMNS(metadata!B390:J390)</f>
        <v>0</v>
      </c>
      <c r="S390">
        <v>0</v>
      </c>
      <c r="U390">
        <f>AND(IF(metadata!B390="",FALSE,TRUE),COUNTIF(metadata!B:B, metadata!B390) = 1,NOT(ISERROR(SUMPRODUCT(SEARCH(MID(metadata!B390,ROW(INDIRECT("1:"&amp;LEN(metadata!B390))), 1),"0123456789abcdefghijklmnopqrstuvwxyzABCDEFGHIJKLMNOPQRSTUVWXYZ.")))))</f>
        <v>0</v>
      </c>
      <c r="V390">
        <f>AND(IF(metadata!C390="",FALSE,TRUE),exact(metadata!C390,"UBERON:genitourinary"))</f>
        <v>0</v>
      </c>
      <c r="W390">
        <f>AND(IF(metadata!D390="",FALSE,TRUE),exact(metadata!D390,"UBERON:urine"))</f>
        <v>0</v>
      </c>
      <c r="X390">
        <f>AND(IF(metadata!E390="",FALSE,TRUE),exact(metadata!E390,"UBERON:kidney"))</f>
        <v>0</v>
      </c>
      <c r="Y390">
        <f>AND(IF(metadata!F390="",FALSE,TRUE),exact(metadata!F390,"animal corpus"))</f>
        <v>0</v>
      </c>
      <c r="Z390">
        <f>AND(IF(metadata!G390="",FALSE,TRUE),exact(metadata!G390,"urine"))</f>
        <v>0</v>
      </c>
      <c r="AA390">
        <f>AND(IF(metadata!H390="",FALSE,TRUE),exact(metadata!H390,"urine"))</f>
        <v>0</v>
      </c>
      <c r="AB390">
        <f>AND(IF(metadata!I390="",FALSE,TRUE),exact(metadata!I390,"urine metagenome"))</f>
        <v>0</v>
      </c>
      <c r="AC390">
        <f>AND(IF(metadata!J390="",FALSE,TRUE),exact(metadata!J390,"1346744"))</f>
        <v>0</v>
      </c>
    </row>
    <row r="391" spans="1:29">
      <c r="A391" s="4">
        <f>IF(B391=" "," ",HYPERLINK(CONCATENATE("#metadata!",ADDRESS(INDEX($P$2:$P$1001,MATCH(ROWS($N$2:N391),$N$2:$N$1001,0),0),1)),INDEX($S$2:$S$1001,MATCH(ROWS($N$2:N391),$N$2:$N$1001,0),0)))</f>
        <v>0</v>
      </c>
      <c r="B391" s="3">
        <f>IF(OR(INDEX($O$2:$O$1001,MATCH(ROWS($N$2:N391),$N$2:$N$1001,0),1)&gt;=100000,INDEX($U$1005:$AC$1005,1,MATCH(COLUMNS($U$1006:U1006),$U$1006:$AC$1006,0))&gt;=100000), " ",IF(INDEX($U$2:$AC$1001,MATCH(ROWS($N$2:N391),$N$2:$N$1001,0),MATCH(COLUMNS($U$1006:U1006),$U$1006:$AC$1006,0)), HYPERLINK("#",""), HYPERLINK(CONCATENATE("#metadata!", ADDRESS(INDEX($P$2:$P$1001,MATCH(ROWS($N$2:N391),$N$2:$N$1001,0),0), INDEX($U$1004:$AC$1004,1,MATCH(COLUMNS($U$1006:U1006),$U$1006:$AC$1006,0)))),"Fix")))</f>
        <v>0</v>
      </c>
      <c r="C391" s="3">
        <f>IF(OR(INDEX($O$2:$O$1001,MATCH(ROWS($N$2:N391),$N$2:$N$1001,0),1)&gt;=100000,INDEX($U$1005:$AC$1005,1,MATCH(COLUMNS($U$1006:V1006),$U$1006:$AC$1006,0))&gt;=100000), " ",IF(INDEX($U$2:$AC$1001,MATCH(ROWS($N$2:N391),$N$2:$N$1001,0),MATCH(COLUMNS($U$1006:V1006),$U$1006:$AC$1006,0)), HYPERLINK("#",""), HYPERLINK(CONCATENATE("#metadata!", ADDRESS(INDEX($P$2:$P$1001,MATCH(ROWS($N$2:N391),$N$2:$N$1001,0),0), INDEX($U$1004:$AC$1004,1,MATCH(COLUMNS($U$1006:V1006),$U$1006:$AC$1006,0)))),"Fix")))</f>
        <v>0</v>
      </c>
      <c r="D391" s="3">
        <f>IF(OR(INDEX($O$2:$O$1001,MATCH(ROWS($N$2:N391),$N$2:$N$1001,0),1)&gt;=100000,INDEX($U$1005:$AC$1005,1,MATCH(COLUMNS($U$1006:W1006),$U$1006:$AC$1006,0))&gt;=100000), " ",IF(INDEX($U$2:$AC$1001,MATCH(ROWS($N$2:N391),$N$2:$N$1001,0),MATCH(COLUMNS($U$1006:W1006),$U$1006:$AC$1006,0)), HYPERLINK("#",""), HYPERLINK(CONCATENATE("#metadata!", ADDRESS(INDEX($P$2:$P$1001,MATCH(ROWS($N$2:N391),$N$2:$N$1001,0),0), INDEX($U$1004:$AC$1004,1,MATCH(COLUMNS($U$1006:W1006),$U$1006:$AC$1006,0)))),"Fix")))</f>
        <v>0</v>
      </c>
      <c r="E391" s="3">
        <f>IF(OR(INDEX($O$2:$O$1001,MATCH(ROWS($N$2:N391),$N$2:$N$1001,0),1)&gt;=100000,INDEX($U$1005:$AC$1005,1,MATCH(COLUMNS($U$1006:X1006),$U$1006:$AC$1006,0))&gt;=100000), " ",IF(INDEX($U$2:$AC$1001,MATCH(ROWS($N$2:N391),$N$2:$N$1001,0),MATCH(COLUMNS($U$1006:X1006),$U$1006:$AC$1006,0)), HYPERLINK("#",""), HYPERLINK(CONCATENATE("#metadata!", ADDRESS(INDEX($P$2:$P$1001,MATCH(ROWS($N$2:N391),$N$2:$N$1001,0),0), INDEX($U$1004:$AC$1004,1,MATCH(COLUMNS($U$1006:X1006),$U$1006:$AC$1006,0)))),"Fix")))</f>
        <v>0</v>
      </c>
      <c r="F391" s="3">
        <f>IF(OR(INDEX($O$2:$O$1001,MATCH(ROWS($N$2:N391),$N$2:$N$1001,0),1)&gt;=100000,INDEX($U$1005:$AC$1005,1,MATCH(COLUMNS($U$1006:Y1006),$U$1006:$AC$1006,0))&gt;=100000), " ",IF(INDEX($U$2:$AC$1001,MATCH(ROWS($N$2:N391),$N$2:$N$1001,0),MATCH(COLUMNS($U$1006:Y1006),$U$1006:$AC$1006,0)), HYPERLINK("#",""), HYPERLINK(CONCATENATE("#metadata!", ADDRESS(INDEX($P$2:$P$1001,MATCH(ROWS($N$2:N391),$N$2:$N$1001,0),0), INDEX($U$1004:$AC$1004,1,MATCH(COLUMNS($U$1006:Y1006),$U$1006:$AC$1006,0)))),"Fix")))</f>
        <v>0</v>
      </c>
      <c r="G391" s="3">
        <f>IF(OR(INDEX($O$2:$O$1001,MATCH(ROWS($N$2:N391),$N$2:$N$1001,0),1)&gt;=100000,INDEX($U$1005:$AC$1005,1,MATCH(COLUMNS($U$1006:Z1006),$U$1006:$AC$1006,0))&gt;=100000), " ",IF(INDEX($U$2:$AC$1001,MATCH(ROWS($N$2:N391),$N$2:$N$1001,0),MATCH(COLUMNS($U$1006:Z1006),$U$1006:$AC$1006,0)), HYPERLINK("#",""), HYPERLINK(CONCATENATE("#metadata!", ADDRESS(INDEX($P$2:$P$1001,MATCH(ROWS($N$2:N391),$N$2:$N$1001,0),0), INDEX($U$1004:$AC$1004,1,MATCH(COLUMNS($U$1006:Z1006),$U$1006:$AC$1006,0)))),"Fix")))</f>
        <v>0</v>
      </c>
      <c r="H391" s="3">
        <f>IF(OR(INDEX($O$2:$O$1001,MATCH(ROWS($N$2:N391),$N$2:$N$1001,0),1)&gt;=100000,INDEX($U$1005:$AC$1005,1,MATCH(COLUMNS($U$1006:AA1006),$U$1006:$AC$1006,0))&gt;=100000), " ",IF(INDEX($U$2:$AC$1001,MATCH(ROWS($N$2:N391),$N$2:$N$1001,0),MATCH(COLUMNS($U$1006:AA1006),$U$1006:$AC$1006,0)), HYPERLINK("#",""), HYPERLINK(CONCATENATE("#metadata!", ADDRESS(INDEX($P$2:$P$1001,MATCH(ROWS($N$2:N391),$N$2:$N$1001,0),0), INDEX($U$1004:$AC$1004,1,MATCH(COLUMNS($U$1006:AA1006),$U$1006:$AC$1006,0)))),"Fix")))</f>
        <v>0</v>
      </c>
      <c r="I391" s="3">
        <f>IF(OR(INDEX($O$2:$O$1001,MATCH(ROWS($N$2:N391),$N$2:$N$1001,0),1)&gt;=100000,INDEX($U$1005:$AC$1005,1,MATCH(COLUMNS($U$1006:AB1006),$U$1006:$AC$1006,0))&gt;=100000), " ",IF(INDEX($U$2:$AC$1001,MATCH(ROWS($N$2:N391),$N$2:$N$1001,0),MATCH(COLUMNS($U$1006:AB1006),$U$1006:$AC$1006,0)), HYPERLINK("#",""), HYPERLINK(CONCATENATE("#metadata!", ADDRESS(INDEX($P$2:$P$1001,MATCH(ROWS($N$2:N391),$N$2:$N$1001,0),0), INDEX($U$1004:$AC$1004,1,MATCH(COLUMNS($U$1006:AB1006),$U$1006:$AC$1006,0)))),"Fix")))</f>
        <v>0</v>
      </c>
      <c r="J391" s="3">
        <f>IF(OR(INDEX($O$2:$O$1001,MATCH(ROWS($N$2:N391),$N$2:$N$1001,0),1)&gt;=100000,INDEX($U$1005:$AC$1005,1,MATCH(COLUMNS($U$1006:AC1006),$U$1006:$AC$1006,0))&gt;=100000), " ",IF(INDEX($U$2:$AC$1001,MATCH(ROWS($N$2:N391),$N$2:$N$1001,0),MATCH(COLUMNS($U$1006:AC1006),$U$1006:$AC$1006,0)), HYPERLINK("#",""), HYPERLINK(CONCATENATE("#metadata!", ADDRESS(INDEX($P$2:$P$1001,MATCH(ROWS($N$2:N391),$N$2:$N$1001,0),0), INDEX($U$1004:$AC$1004,1,MATCH(COLUMNS($U$1006:AC1006),$U$1006:$AC$1006,0)))),"Fix")))</f>
        <v>0</v>
      </c>
      <c r="N391">
        <v>0</v>
      </c>
      <c r="O391">
        <v>0</v>
      </c>
      <c r="P391">
        <v>0</v>
      </c>
      <c r="Q391">
        <f>IF(R391,TRUE,AND(U391:AC391))</f>
        <v>0</v>
      </c>
      <c r="R391">
        <f>COUNTBLANK(metadata!B391:J391)=COLUMNS(metadata!B391:J391)</f>
        <v>0</v>
      </c>
      <c r="S391">
        <v>0</v>
      </c>
      <c r="U391">
        <f>AND(IF(metadata!B391="",FALSE,TRUE),COUNTIF(metadata!B:B, metadata!B391) = 1,NOT(ISERROR(SUMPRODUCT(SEARCH(MID(metadata!B391,ROW(INDIRECT("1:"&amp;LEN(metadata!B391))), 1),"0123456789abcdefghijklmnopqrstuvwxyzABCDEFGHIJKLMNOPQRSTUVWXYZ.")))))</f>
        <v>0</v>
      </c>
      <c r="V391">
        <f>AND(IF(metadata!C391="",FALSE,TRUE),exact(metadata!C391,"UBERON:genitourinary"))</f>
        <v>0</v>
      </c>
      <c r="W391">
        <f>AND(IF(metadata!D391="",FALSE,TRUE),exact(metadata!D391,"UBERON:urine"))</f>
        <v>0</v>
      </c>
      <c r="X391">
        <f>AND(IF(metadata!E391="",FALSE,TRUE),exact(metadata!E391,"UBERON:kidney"))</f>
        <v>0</v>
      </c>
      <c r="Y391">
        <f>AND(IF(metadata!F391="",FALSE,TRUE),exact(metadata!F391,"animal corpus"))</f>
        <v>0</v>
      </c>
      <c r="Z391">
        <f>AND(IF(metadata!G391="",FALSE,TRUE),exact(metadata!G391,"urine"))</f>
        <v>0</v>
      </c>
      <c r="AA391">
        <f>AND(IF(metadata!H391="",FALSE,TRUE),exact(metadata!H391,"urine"))</f>
        <v>0</v>
      </c>
      <c r="AB391">
        <f>AND(IF(metadata!I391="",FALSE,TRUE),exact(metadata!I391,"urine metagenome"))</f>
        <v>0</v>
      </c>
      <c r="AC391">
        <f>AND(IF(metadata!J391="",FALSE,TRUE),exact(metadata!J391,"1346744"))</f>
        <v>0</v>
      </c>
    </row>
    <row r="392" spans="1:29">
      <c r="A392" s="4">
        <f>IF(B392=" "," ",HYPERLINK(CONCATENATE("#metadata!",ADDRESS(INDEX($P$2:$P$1001,MATCH(ROWS($N$2:N392),$N$2:$N$1001,0),0),1)),INDEX($S$2:$S$1001,MATCH(ROWS($N$2:N392),$N$2:$N$1001,0),0)))</f>
        <v>0</v>
      </c>
      <c r="B392" s="3">
        <f>IF(OR(INDEX($O$2:$O$1001,MATCH(ROWS($N$2:N392),$N$2:$N$1001,0),1)&gt;=100000,INDEX($U$1005:$AC$1005,1,MATCH(COLUMNS($U$1006:U1006),$U$1006:$AC$1006,0))&gt;=100000), " ",IF(INDEX($U$2:$AC$1001,MATCH(ROWS($N$2:N392),$N$2:$N$1001,0),MATCH(COLUMNS($U$1006:U1006),$U$1006:$AC$1006,0)), HYPERLINK("#",""), HYPERLINK(CONCATENATE("#metadata!", ADDRESS(INDEX($P$2:$P$1001,MATCH(ROWS($N$2:N392),$N$2:$N$1001,0),0), INDEX($U$1004:$AC$1004,1,MATCH(COLUMNS($U$1006:U1006),$U$1006:$AC$1006,0)))),"Fix")))</f>
        <v>0</v>
      </c>
      <c r="C392" s="3">
        <f>IF(OR(INDEX($O$2:$O$1001,MATCH(ROWS($N$2:N392),$N$2:$N$1001,0),1)&gt;=100000,INDEX($U$1005:$AC$1005,1,MATCH(COLUMNS($U$1006:V1006),$U$1006:$AC$1006,0))&gt;=100000), " ",IF(INDEX($U$2:$AC$1001,MATCH(ROWS($N$2:N392),$N$2:$N$1001,0),MATCH(COLUMNS($U$1006:V1006),$U$1006:$AC$1006,0)), HYPERLINK("#",""), HYPERLINK(CONCATENATE("#metadata!", ADDRESS(INDEX($P$2:$P$1001,MATCH(ROWS($N$2:N392),$N$2:$N$1001,0),0), INDEX($U$1004:$AC$1004,1,MATCH(COLUMNS($U$1006:V1006),$U$1006:$AC$1006,0)))),"Fix")))</f>
        <v>0</v>
      </c>
      <c r="D392" s="3">
        <f>IF(OR(INDEX($O$2:$O$1001,MATCH(ROWS($N$2:N392),$N$2:$N$1001,0),1)&gt;=100000,INDEX($U$1005:$AC$1005,1,MATCH(COLUMNS($U$1006:W1006),$U$1006:$AC$1006,0))&gt;=100000), " ",IF(INDEX($U$2:$AC$1001,MATCH(ROWS($N$2:N392),$N$2:$N$1001,0),MATCH(COLUMNS($U$1006:W1006),$U$1006:$AC$1006,0)), HYPERLINK("#",""), HYPERLINK(CONCATENATE("#metadata!", ADDRESS(INDEX($P$2:$P$1001,MATCH(ROWS($N$2:N392),$N$2:$N$1001,0),0), INDEX($U$1004:$AC$1004,1,MATCH(COLUMNS($U$1006:W1006),$U$1006:$AC$1006,0)))),"Fix")))</f>
        <v>0</v>
      </c>
      <c r="E392" s="3">
        <f>IF(OR(INDEX($O$2:$O$1001,MATCH(ROWS($N$2:N392),$N$2:$N$1001,0),1)&gt;=100000,INDEX($U$1005:$AC$1005,1,MATCH(COLUMNS($U$1006:X1006),$U$1006:$AC$1006,0))&gt;=100000), " ",IF(INDEX($U$2:$AC$1001,MATCH(ROWS($N$2:N392),$N$2:$N$1001,0),MATCH(COLUMNS($U$1006:X1006),$U$1006:$AC$1006,0)), HYPERLINK("#",""), HYPERLINK(CONCATENATE("#metadata!", ADDRESS(INDEX($P$2:$P$1001,MATCH(ROWS($N$2:N392),$N$2:$N$1001,0),0), INDEX($U$1004:$AC$1004,1,MATCH(COLUMNS($U$1006:X1006),$U$1006:$AC$1006,0)))),"Fix")))</f>
        <v>0</v>
      </c>
      <c r="F392" s="3">
        <f>IF(OR(INDEX($O$2:$O$1001,MATCH(ROWS($N$2:N392),$N$2:$N$1001,0),1)&gt;=100000,INDEX($U$1005:$AC$1005,1,MATCH(COLUMNS($U$1006:Y1006),$U$1006:$AC$1006,0))&gt;=100000), " ",IF(INDEX($U$2:$AC$1001,MATCH(ROWS($N$2:N392),$N$2:$N$1001,0),MATCH(COLUMNS($U$1006:Y1006),$U$1006:$AC$1006,0)), HYPERLINK("#",""), HYPERLINK(CONCATENATE("#metadata!", ADDRESS(INDEX($P$2:$P$1001,MATCH(ROWS($N$2:N392),$N$2:$N$1001,0),0), INDEX($U$1004:$AC$1004,1,MATCH(COLUMNS($U$1006:Y1006),$U$1006:$AC$1006,0)))),"Fix")))</f>
        <v>0</v>
      </c>
      <c r="G392" s="3">
        <f>IF(OR(INDEX($O$2:$O$1001,MATCH(ROWS($N$2:N392),$N$2:$N$1001,0),1)&gt;=100000,INDEX($U$1005:$AC$1005,1,MATCH(COLUMNS($U$1006:Z1006),$U$1006:$AC$1006,0))&gt;=100000), " ",IF(INDEX($U$2:$AC$1001,MATCH(ROWS($N$2:N392),$N$2:$N$1001,0),MATCH(COLUMNS($U$1006:Z1006),$U$1006:$AC$1006,0)), HYPERLINK("#",""), HYPERLINK(CONCATENATE("#metadata!", ADDRESS(INDEX($P$2:$P$1001,MATCH(ROWS($N$2:N392),$N$2:$N$1001,0),0), INDEX($U$1004:$AC$1004,1,MATCH(COLUMNS($U$1006:Z1006),$U$1006:$AC$1006,0)))),"Fix")))</f>
        <v>0</v>
      </c>
      <c r="H392" s="3">
        <f>IF(OR(INDEX($O$2:$O$1001,MATCH(ROWS($N$2:N392),$N$2:$N$1001,0),1)&gt;=100000,INDEX($U$1005:$AC$1005,1,MATCH(COLUMNS($U$1006:AA1006),$U$1006:$AC$1006,0))&gt;=100000), " ",IF(INDEX($U$2:$AC$1001,MATCH(ROWS($N$2:N392),$N$2:$N$1001,0),MATCH(COLUMNS($U$1006:AA1006),$U$1006:$AC$1006,0)), HYPERLINK("#",""), HYPERLINK(CONCATENATE("#metadata!", ADDRESS(INDEX($P$2:$P$1001,MATCH(ROWS($N$2:N392),$N$2:$N$1001,0),0), INDEX($U$1004:$AC$1004,1,MATCH(COLUMNS($U$1006:AA1006),$U$1006:$AC$1006,0)))),"Fix")))</f>
        <v>0</v>
      </c>
      <c r="I392" s="3">
        <f>IF(OR(INDEX($O$2:$O$1001,MATCH(ROWS($N$2:N392),$N$2:$N$1001,0),1)&gt;=100000,INDEX($U$1005:$AC$1005,1,MATCH(COLUMNS($U$1006:AB1006),$U$1006:$AC$1006,0))&gt;=100000), " ",IF(INDEX($U$2:$AC$1001,MATCH(ROWS($N$2:N392),$N$2:$N$1001,0),MATCH(COLUMNS($U$1006:AB1006),$U$1006:$AC$1006,0)), HYPERLINK("#",""), HYPERLINK(CONCATENATE("#metadata!", ADDRESS(INDEX($P$2:$P$1001,MATCH(ROWS($N$2:N392),$N$2:$N$1001,0),0), INDEX($U$1004:$AC$1004,1,MATCH(COLUMNS($U$1006:AB1006),$U$1006:$AC$1006,0)))),"Fix")))</f>
        <v>0</v>
      </c>
      <c r="J392" s="3">
        <f>IF(OR(INDEX($O$2:$O$1001,MATCH(ROWS($N$2:N392),$N$2:$N$1001,0),1)&gt;=100000,INDEX($U$1005:$AC$1005,1,MATCH(COLUMNS($U$1006:AC1006),$U$1006:$AC$1006,0))&gt;=100000), " ",IF(INDEX($U$2:$AC$1001,MATCH(ROWS($N$2:N392),$N$2:$N$1001,0),MATCH(COLUMNS($U$1006:AC1006),$U$1006:$AC$1006,0)), HYPERLINK("#",""), HYPERLINK(CONCATENATE("#metadata!", ADDRESS(INDEX($P$2:$P$1001,MATCH(ROWS($N$2:N392),$N$2:$N$1001,0),0), INDEX($U$1004:$AC$1004,1,MATCH(COLUMNS($U$1006:AC1006),$U$1006:$AC$1006,0)))),"Fix")))</f>
        <v>0</v>
      </c>
      <c r="N392">
        <v>0</v>
      </c>
      <c r="O392">
        <v>0</v>
      </c>
      <c r="P392">
        <v>0</v>
      </c>
      <c r="Q392">
        <f>IF(R392,TRUE,AND(U392:AC392))</f>
        <v>0</v>
      </c>
      <c r="R392">
        <f>COUNTBLANK(metadata!B392:J392)=COLUMNS(metadata!B392:J392)</f>
        <v>0</v>
      </c>
      <c r="S392">
        <v>0</v>
      </c>
      <c r="U392">
        <f>AND(IF(metadata!B392="",FALSE,TRUE),COUNTIF(metadata!B:B, metadata!B392) = 1,NOT(ISERROR(SUMPRODUCT(SEARCH(MID(metadata!B392,ROW(INDIRECT("1:"&amp;LEN(metadata!B392))), 1),"0123456789abcdefghijklmnopqrstuvwxyzABCDEFGHIJKLMNOPQRSTUVWXYZ.")))))</f>
        <v>0</v>
      </c>
      <c r="V392">
        <f>AND(IF(metadata!C392="",FALSE,TRUE),exact(metadata!C392,"UBERON:genitourinary"))</f>
        <v>0</v>
      </c>
      <c r="W392">
        <f>AND(IF(metadata!D392="",FALSE,TRUE),exact(metadata!D392,"UBERON:urine"))</f>
        <v>0</v>
      </c>
      <c r="X392">
        <f>AND(IF(metadata!E392="",FALSE,TRUE),exact(metadata!E392,"UBERON:kidney"))</f>
        <v>0</v>
      </c>
      <c r="Y392">
        <f>AND(IF(metadata!F392="",FALSE,TRUE),exact(metadata!F392,"animal corpus"))</f>
        <v>0</v>
      </c>
      <c r="Z392">
        <f>AND(IF(metadata!G392="",FALSE,TRUE),exact(metadata!G392,"urine"))</f>
        <v>0</v>
      </c>
      <c r="AA392">
        <f>AND(IF(metadata!H392="",FALSE,TRUE),exact(metadata!H392,"urine"))</f>
        <v>0</v>
      </c>
      <c r="AB392">
        <f>AND(IF(metadata!I392="",FALSE,TRUE),exact(metadata!I392,"urine metagenome"))</f>
        <v>0</v>
      </c>
      <c r="AC392">
        <f>AND(IF(metadata!J392="",FALSE,TRUE),exact(metadata!J392,"1346744"))</f>
        <v>0</v>
      </c>
    </row>
    <row r="393" spans="1:29">
      <c r="A393" s="4">
        <f>IF(B393=" "," ",HYPERLINK(CONCATENATE("#metadata!",ADDRESS(INDEX($P$2:$P$1001,MATCH(ROWS($N$2:N393),$N$2:$N$1001,0),0),1)),INDEX($S$2:$S$1001,MATCH(ROWS($N$2:N393),$N$2:$N$1001,0),0)))</f>
        <v>0</v>
      </c>
      <c r="B393" s="3">
        <f>IF(OR(INDEX($O$2:$O$1001,MATCH(ROWS($N$2:N393),$N$2:$N$1001,0),1)&gt;=100000,INDEX($U$1005:$AC$1005,1,MATCH(COLUMNS($U$1006:U1006),$U$1006:$AC$1006,0))&gt;=100000), " ",IF(INDEX($U$2:$AC$1001,MATCH(ROWS($N$2:N393),$N$2:$N$1001,0),MATCH(COLUMNS($U$1006:U1006),$U$1006:$AC$1006,0)), HYPERLINK("#",""), HYPERLINK(CONCATENATE("#metadata!", ADDRESS(INDEX($P$2:$P$1001,MATCH(ROWS($N$2:N393),$N$2:$N$1001,0),0), INDEX($U$1004:$AC$1004,1,MATCH(COLUMNS($U$1006:U1006),$U$1006:$AC$1006,0)))),"Fix")))</f>
        <v>0</v>
      </c>
      <c r="C393" s="3">
        <f>IF(OR(INDEX($O$2:$O$1001,MATCH(ROWS($N$2:N393),$N$2:$N$1001,0),1)&gt;=100000,INDEX($U$1005:$AC$1005,1,MATCH(COLUMNS($U$1006:V1006),$U$1006:$AC$1006,0))&gt;=100000), " ",IF(INDEX($U$2:$AC$1001,MATCH(ROWS($N$2:N393),$N$2:$N$1001,0),MATCH(COLUMNS($U$1006:V1006),$U$1006:$AC$1006,0)), HYPERLINK("#",""), HYPERLINK(CONCATENATE("#metadata!", ADDRESS(INDEX($P$2:$P$1001,MATCH(ROWS($N$2:N393),$N$2:$N$1001,0),0), INDEX($U$1004:$AC$1004,1,MATCH(COLUMNS($U$1006:V1006),$U$1006:$AC$1006,0)))),"Fix")))</f>
        <v>0</v>
      </c>
      <c r="D393" s="3">
        <f>IF(OR(INDEX($O$2:$O$1001,MATCH(ROWS($N$2:N393),$N$2:$N$1001,0),1)&gt;=100000,INDEX($U$1005:$AC$1005,1,MATCH(COLUMNS($U$1006:W1006),$U$1006:$AC$1006,0))&gt;=100000), " ",IF(INDEX($U$2:$AC$1001,MATCH(ROWS($N$2:N393),$N$2:$N$1001,0),MATCH(COLUMNS($U$1006:W1006),$U$1006:$AC$1006,0)), HYPERLINK("#",""), HYPERLINK(CONCATENATE("#metadata!", ADDRESS(INDEX($P$2:$P$1001,MATCH(ROWS($N$2:N393),$N$2:$N$1001,0),0), INDEX($U$1004:$AC$1004,1,MATCH(COLUMNS($U$1006:W1006),$U$1006:$AC$1006,0)))),"Fix")))</f>
        <v>0</v>
      </c>
      <c r="E393" s="3">
        <f>IF(OR(INDEX($O$2:$O$1001,MATCH(ROWS($N$2:N393),$N$2:$N$1001,0),1)&gt;=100000,INDEX($U$1005:$AC$1005,1,MATCH(COLUMNS($U$1006:X1006),$U$1006:$AC$1006,0))&gt;=100000), " ",IF(INDEX($U$2:$AC$1001,MATCH(ROWS($N$2:N393),$N$2:$N$1001,0),MATCH(COLUMNS($U$1006:X1006),$U$1006:$AC$1006,0)), HYPERLINK("#",""), HYPERLINK(CONCATENATE("#metadata!", ADDRESS(INDEX($P$2:$P$1001,MATCH(ROWS($N$2:N393),$N$2:$N$1001,0),0), INDEX($U$1004:$AC$1004,1,MATCH(COLUMNS($U$1006:X1006),$U$1006:$AC$1006,0)))),"Fix")))</f>
        <v>0</v>
      </c>
      <c r="F393" s="3">
        <f>IF(OR(INDEX($O$2:$O$1001,MATCH(ROWS($N$2:N393),$N$2:$N$1001,0),1)&gt;=100000,INDEX($U$1005:$AC$1005,1,MATCH(COLUMNS($U$1006:Y1006),$U$1006:$AC$1006,0))&gt;=100000), " ",IF(INDEX($U$2:$AC$1001,MATCH(ROWS($N$2:N393),$N$2:$N$1001,0),MATCH(COLUMNS($U$1006:Y1006),$U$1006:$AC$1006,0)), HYPERLINK("#",""), HYPERLINK(CONCATENATE("#metadata!", ADDRESS(INDEX($P$2:$P$1001,MATCH(ROWS($N$2:N393),$N$2:$N$1001,0),0), INDEX($U$1004:$AC$1004,1,MATCH(COLUMNS($U$1006:Y1006),$U$1006:$AC$1006,0)))),"Fix")))</f>
        <v>0</v>
      </c>
      <c r="G393" s="3">
        <f>IF(OR(INDEX($O$2:$O$1001,MATCH(ROWS($N$2:N393),$N$2:$N$1001,0),1)&gt;=100000,INDEX($U$1005:$AC$1005,1,MATCH(COLUMNS($U$1006:Z1006),$U$1006:$AC$1006,0))&gt;=100000), " ",IF(INDEX($U$2:$AC$1001,MATCH(ROWS($N$2:N393),$N$2:$N$1001,0),MATCH(COLUMNS($U$1006:Z1006),$U$1006:$AC$1006,0)), HYPERLINK("#",""), HYPERLINK(CONCATENATE("#metadata!", ADDRESS(INDEX($P$2:$P$1001,MATCH(ROWS($N$2:N393),$N$2:$N$1001,0),0), INDEX($U$1004:$AC$1004,1,MATCH(COLUMNS($U$1006:Z1006),$U$1006:$AC$1006,0)))),"Fix")))</f>
        <v>0</v>
      </c>
      <c r="H393" s="3">
        <f>IF(OR(INDEX($O$2:$O$1001,MATCH(ROWS($N$2:N393),$N$2:$N$1001,0),1)&gt;=100000,INDEX($U$1005:$AC$1005,1,MATCH(COLUMNS($U$1006:AA1006),$U$1006:$AC$1006,0))&gt;=100000), " ",IF(INDEX($U$2:$AC$1001,MATCH(ROWS($N$2:N393),$N$2:$N$1001,0),MATCH(COLUMNS($U$1006:AA1006),$U$1006:$AC$1006,0)), HYPERLINK("#",""), HYPERLINK(CONCATENATE("#metadata!", ADDRESS(INDEX($P$2:$P$1001,MATCH(ROWS($N$2:N393),$N$2:$N$1001,0),0), INDEX($U$1004:$AC$1004,1,MATCH(COLUMNS($U$1006:AA1006),$U$1006:$AC$1006,0)))),"Fix")))</f>
        <v>0</v>
      </c>
      <c r="I393" s="3">
        <f>IF(OR(INDEX($O$2:$O$1001,MATCH(ROWS($N$2:N393),$N$2:$N$1001,0),1)&gt;=100000,INDEX($U$1005:$AC$1005,1,MATCH(COLUMNS($U$1006:AB1006),$U$1006:$AC$1006,0))&gt;=100000), " ",IF(INDEX($U$2:$AC$1001,MATCH(ROWS($N$2:N393),$N$2:$N$1001,0),MATCH(COLUMNS($U$1006:AB1006),$U$1006:$AC$1006,0)), HYPERLINK("#",""), HYPERLINK(CONCATENATE("#metadata!", ADDRESS(INDEX($P$2:$P$1001,MATCH(ROWS($N$2:N393),$N$2:$N$1001,0),0), INDEX($U$1004:$AC$1004,1,MATCH(COLUMNS($U$1006:AB1006),$U$1006:$AC$1006,0)))),"Fix")))</f>
        <v>0</v>
      </c>
      <c r="J393" s="3">
        <f>IF(OR(INDEX($O$2:$O$1001,MATCH(ROWS($N$2:N393),$N$2:$N$1001,0),1)&gt;=100000,INDEX($U$1005:$AC$1005,1,MATCH(COLUMNS($U$1006:AC1006),$U$1006:$AC$1006,0))&gt;=100000), " ",IF(INDEX($U$2:$AC$1001,MATCH(ROWS($N$2:N393),$N$2:$N$1001,0),MATCH(COLUMNS($U$1006:AC1006),$U$1006:$AC$1006,0)), HYPERLINK("#",""), HYPERLINK(CONCATENATE("#metadata!", ADDRESS(INDEX($P$2:$P$1001,MATCH(ROWS($N$2:N393),$N$2:$N$1001,0),0), INDEX($U$1004:$AC$1004,1,MATCH(COLUMNS($U$1006:AC1006),$U$1006:$AC$1006,0)))),"Fix")))</f>
        <v>0</v>
      </c>
      <c r="N393">
        <v>0</v>
      </c>
      <c r="O393">
        <v>0</v>
      </c>
      <c r="P393">
        <v>0</v>
      </c>
      <c r="Q393">
        <f>IF(R393,TRUE,AND(U393:AC393))</f>
        <v>0</v>
      </c>
      <c r="R393">
        <f>COUNTBLANK(metadata!B393:J393)=COLUMNS(metadata!B393:J393)</f>
        <v>0</v>
      </c>
      <c r="S393">
        <v>0</v>
      </c>
      <c r="U393">
        <f>AND(IF(metadata!B393="",FALSE,TRUE),COUNTIF(metadata!B:B, metadata!B393) = 1,NOT(ISERROR(SUMPRODUCT(SEARCH(MID(metadata!B393,ROW(INDIRECT("1:"&amp;LEN(metadata!B393))), 1),"0123456789abcdefghijklmnopqrstuvwxyzABCDEFGHIJKLMNOPQRSTUVWXYZ.")))))</f>
        <v>0</v>
      </c>
      <c r="V393">
        <f>AND(IF(metadata!C393="",FALSE,TRUE),exact(metadata!C393,"UBERON:genitourinary"))</f>
        <v>0</v>
      </c>
      <c r="W393">
        <f>AND(IF(metadata!D393="",FALSE,TRUE),exact(metadata!D393,"UBERON:urine"))</f>
        <v>0</v>
      </c>
      <c r="X393">
        <f>AND(IF(metadata!E393="",FALSE,TRUE),exact(metadata!E393,"UBERON:kidney"))</f>
        <v>0</v>
      </c>
      <c r="Y393">
        <f>AND(IF(metadata!F393="",FALSE,TRUE),exact(metadata!F393,"animal corpus"))</f>
        <v>0</v>
      </c>
      <c r="Z393">
        <f>AND(IF(metadata!G393="",FALSE,TRUE),exact(metadata!G393,"urine"))</f>
        <v>0</v>
      </c>
      <c r="AA393">
        <f>AND(IF(metadata!H393="",FALSE,TRUE),exact(metadata!H393,"urine"))</f>
        <v>0</v>
      </c>
      <c r="AB393">
        <f>AND(IF(metadata!I393="",FALSE,TRUE),exact(metadata!I393,"urine metagenome"))</f>
        <v>0</v>
      </c>
      <c r="AC393">
        <f>AND(IF(metadata!J393="",FALSE,TRUE),exact(metadata!J393,"1346744"))</f>
        <v>0</v>
      </c>
    </row>
    <row r="394" spans="1:29">
      <c r="A394" s="4">
        <f>IF(B394=" "," ",HYPERLINK(CONCATENATE("#metadata!",ADDRESS(INDEX($P$2:$P$1001,MATCH(ROWS($N$2:N394),$N$2:$N$1001,0),0),1)),INDEX($S$2:$S$1001,MATCH(ROWS($N$2:N394),$N$2:$N$1001,0),0)))</f>
        <v>0</v>
      </c>
      <c r="B394" s="3">
        <f>IF(OR(INDEX($O$2:$O$1001,MATCH(ROWS($N$2:N394),$N$2:$N$1001,0),1)&gt;=100000,INDEX($U$1005:$AC$1005,1,MATCH(COLUMNS($U$1006:U1006),$U$1006:$AC$1006,0))&gt;=100000), " ",IF(INDEX($U$2:$AC$1001,MATCH(ROWS($N$2:N394),$N$2:$N$1001,0),MATCH(COLUMNS($U$1006:U1006),$U$1006:$AC$1006,0)), HYPERLINK("#",""), HYPERLINK(CONCATENATE("#metadata!", ADDRESS(INDEX($P$2:$P$1001,MATCH(ROWS($N$2:N394),$N$2:$N$1001,0),0), INDEX($U$1004:$AC$1004,1,MATCH(COLUMNS($U$1006:U1006),$U$1006:$AC$1006,0)))),"Fix")))</f>
        <v>0</v>
      </c>
      <c r="C394" s="3">
        <f>IF(OR(INDEX($O$2:$O$1001,MATCH(ROWS($N$2:N394),$N$2:$N$1001,0),1)&gt;=100000,INDEX($U$1005:$AC$1005,1,MATCH(COLUMNS($U$1006:V1006),$U$1006:$AC$1006,0))&gt;=100000), " ",IF(INDEX($U$2:$AC$1001,MATCH(ROWS($N$2:N394),$N$2:$N$1001,0),MATCH(COLUMNS($U$1006:V1006),$U$1006:$AC$1006,0)), HYPERLINK("#",""), HYPERLINK(CONCATENATE("#metadata!", ADDRESS(INDEX($P$2:$P$1001,MATCH(ROWS($N$2:N394),$N$2:$N$1001,0),0), INDEX($U$1004:$AC$1004,1,MATCH(COLUMNS($U$1006:V1006),$U$1006:$AC$1006,0)))),"Fix")))</f>
        <v>0</v>
      </c>
      <c r="D394" s="3">
        <f>IF(OR(INDEX($O$2:$O$1001,MATCH(ROWS($N$2:N394),$N$2:$N$1001,0),1)&gt;=100000,INDEX($U$1005:$AC$1005,1,MATCH(COLUMNS($U$1006:W1006),$U$1006:$AC$1006,0))&gt;=100000), " ",IF(INDEX($U$2:$AC$1001,MATCH(ROWS($N$2:N394),$N$2:$N$1001,0),MATCH(COLUMNS($U$1006:W1006),$U$1006:$AC$1006,0)), HYPERLINK("#",""), HYPERLINK(CONCATENATE("#metadata!", ADDRESS(INDEX($P$2:$P$1001,MATCH(ROWS($N$2:N394),$N$2:$N$1001,0),0), INDEX($U$1004:$AC$1004,1,MATCH(COLUMNS($U$1006:W1006),$U$1006:$AC$1006,0)))),"Fix")))</f>
        <v>0</v>
      </c>
      <c r="E394" s="3">
        <f>IF(OR(INDEX($O$2:$O$1001,MATCH(ROWS($N$2:N394),$N$2:$N$1001,0),1)&gt;=100000,INDEX($U$1005:$AC$1005,1,MATCH(COLUMNS($U$1006:X1006),$U$1006:$AC$1006,0))&gt;=100000), " ",IF(INDEX($U$2:$AC$1001,MATCH(ROWS($N$2:N394),$N$2:$N$1001,0),MATCH(COLUMNS($U$1006:X1006),$U$1006:$AC$1006,0)), HYPERLINK("#",""), HYPERLINK(CONCATENATE("#metadata!", ADDRESS(INDEX($P$2:$P$1001,MATCH(ROWS($N$2:N394),$N$2:$N$1001,0),0), INDEX($U$1004:$AC$1004,1,MATCH(COLUMNS($U$1006:X1006),$U$1006:$AC$1006,0)))),"Fix")))</f>
        <v>0</v>
      </c>
      <c r="F394" s="3">
        <f>IF(OR(INDEX($O$2:$O$1001,MATCH(ROWS($N$2:N394),$N$2:$N$1001,0),1)&gt;=100000,INDEX($U$1005:$AC$1005,1,MATCH(COLUMNS($U$1006:Y1006),$U$1006:$AC$1006,0))&gt;=100000), " ",IF(INDEX($U$2:$AC$1001,MATCH(ROWS($N$2:N394),$N$2:$N$1001,0),MATCH(COLUMNS($U$1006:Y1006),$U$1006:$AC$1006,0)), HYPERLINK("#",""), HYPERLINK(CONCATENATE("#metadata!", ADDRESS(INDEX($P$2:$P$1001,MATCH(ROWS($N$2:N394),$N$2:$N$1001,0),0), INDEX($U$1004:$AC$1004,1,MATCH(COLUMNS($U$1006:Y1006),$U$1006:$AC$1006,0)))),"Fix")))</f>
        <v>0</v>
      </c>
      <c r="G394" s="3">
        <f>IF(OR(INDEX($O$2:$O$1001,MATCH(ROWS($N$2:N394),$N$2:$N$1001,0),1)&gt;=100000,INDEX($U$1005:$AC$1005,1,MATCH(COLUMNS($U$1006:Z1006),$U$1006:$AC$1006,0))&gt;=100000), " ",IF(INDEX($U$2:$AC$1001,MATCH(ROWS($N$2:N394),$N$2:$N$1001,0),MATCH(COLUMNS($U$1006:Z1006),$U$1006:$AC$1006,0)), HYPERLINK("#",""), HYPERLINK(CONCATENATE("#metadata!", ADDRESS(INDEX($P$2:$P$1001,MATCH(ROWS($N$2:N394),$N$2:$N$1001,0),0), INDEX($U$1004:$AC$1004,1,MATCH(COLUMNS($U$1006:Z1006),$U$1006:$AC$1006,0)))),"Fix")))</f>
        <v>0</v>
      </c>
      <c r="H394" s="3">
        <f>IF(OR(INDEX($O$2:$O$1001,MATCH(ROWS($N$2:N394),$N$2:$N$1001,0),1)&gt;=100000,INDEX($U$1005:$AC$1005,1,MATCH(COLUMNS($U$1006:AA1006),$U$1006:$AC$1006,0))&gt;=100000), " ",IF(INDEX($U$2:$AC$1001,MATCH(ROWS($N$2:N394),$N$2:$N$1001,0),MATCH(COLUMNS($U$1006:AA1006),$U$1006:$AC$1006,0)), HYPERLINK("#",""), HYPERLINK(CONCATENATE("#metadata!", ADDRESS(INDEX($P$2:$P$1001,MATCH(ROWS($N$2:N394),$N$2:$N$1001,0),0), INDEX($U$1004:$AC$1004,1,MATCH(COLUMNS($U$1006:AA1006),$U$1006:$AC$1006,0)))),"Fix")))</f>
        <v>0</v>
      </c>
      <c r="I394" s="3">
        <f>IF(OR(INDEX($O$2:$O$1001,MATCH(ROWS($N$2:N394),$N$2:$N$1001,0),1)&gt;=100000,INDEX($U$1005:$AC$1005,1,MATCH(COLUMNS($U$1006:AB1006),$U$1006:$AC$1006,0))&gt;=100000), " ",IF(INDEX($U$2:$AC$1001,MATCH(ROWS($N$2:N394),$N$2:$N$1001,0),MATCH(COLUMNS($U$1006:AB1006),$U$1006:$AC$1006,0)), HYPERLINK("#",""), HYPERLINK(CONCATENATE("#metadata!", ADDRESS(INDEX($P$2:$P$1001,MATCH(ROWS($N$2:N394),$N$2:$N$1001,0),0), INDEX($U$1004:$AC$1004,1,MATCH(COLUMNS($U$1006:AB1006),$U$1006:$AC$1006,0)))),"Fix")))</f>
        <v>0</v>
      </c>
      <c r="J394" s="3">
        <f>IF(OR(INDEX($O$2:$O$1001,MATCH(ROWS($N$2:N394),$N$2:$N$1001,0),1)&gt;=100000,INDEX($U$1005:$AC$1005,1,MATCH(COLUMNS($U$1006:AC1006),$U$1006:$AC$1006,0))&gt;=100000), " ",IF(INDEX($U$2:$AC$1001,MATCH(ROWS($N$2:N394),$N$2:$N$1001,0),MATCH(COLUMNS($U$1006:AC1006),$U$1006:$AC$1006,0)), HYPERLINK("#",""), HYPERLINK(CONCATENATE("#metadata!", ADDRESS(INDEX($P$2:$P$1001,MATCH(ROWS($N$2:N394),$N$2:$N$1001,0),0), INDEX($U$1004:$AC$1004,1,MATCH(COLUMNS($U$1006:AC1006),$U$1006:$AC$1006,0)))),"Fix")))</f>
        <v>0</v>
      </c>
      <c r="N394">
        <v>0</v>
      </c>
      <c r="O394">
        <v>0</v>
      </c>
      <c r="P394">
        <v>0</v>
      </c>
      <c r="Q394">
        <f>IF(R394,TRUE,AND(U394:AC394))</f>
        <v>0</v>
      </c>
      <c r="R394">
        <f>COUNTBLANK(metadata!B394:J394)=COLUMNS(metadata!B394:J394)</f>
        <v>0</v>
      </c>
      <c r="S394">
        <v>0</v>
      </c>
      <c r="U394">
        <f>AND(IF(metadata!B394="",FALSE,TRUE),COUNTIF(metadata!B:B, metadata!B394) = 1,NOT(ISERROR(SUMPRODUCT(SEARCH(MID(metadata!B394,ROW(INDIRECT("1:"&amp;LEN(metadata!B394))), 1),"0123456789abcdefghijklmnopqrstuvwxyzABCDEFGHIJKLMNOPQRSTUVWXYZ.")))))</f>
        <v>0</v>
      </c>
      <c r="V394">
        <f>AND(IF(metadata!C394="",FALSE,TRUE),exact(metadata!C394,"UBERON:genitourinary"))</f>
        <v>0</v>
      </c>
      <c r="W394">
        <f>AND(IF(metadata!D394="",FALSE,TRUE),exact(metadata!D394,"UBERON:urine"))</f>
        <v>0</v>
      </c>
      <c r="X394">
        <f>AND(IF(metadata!E394="",FALSE,TRUE),exact(metadata!E394,"UBERON:kidney"))</f>
        <v>0</v>
      </c>
      <c r="Y394">
        <f>AND(IF(metadata!F394="",FALSE,TRUE),exact(metadata!F394,"animal corpus"))</f>
        <v>0</v>
      </c>
      <c r="Z394">
        <f>AND(IF(metadata!G394="",FALSE,TRUE),exact(metadata!G394,"urine"))</f>
        <v>0</v>
      </c>
      <c r="AA394">
        <f>AND(IF(metadata!H394="",FALSE,TRUE),exact(metadata!H394,"urine"))</f>
        <v>0</v>
      </c>
      <c r="AB394">
        <f>AND(IF(metadata!I394="",FALSE,TRUE),exact(metadata!I394,"urine metagenome"))</f>
        <v>0</v>
      </c>
      <c r="AC394">
        <f>AND(IF(metadata!J394="",FALSE,TRUE),exact(metadata!J394,"1346744"))</f>
        <v>0</v>
      </c>
    </row>
    <row r="395" spans="1:29">
      <c r="A395" s="4">
        <f>IF(B395=" "," ",HYPERLINK(CONCATENATE("#metadata!",ADDRESS(INDEX($P$2:$P$1001,MATCH(ROWS($N$2:N395),$N$2:$N$1001,0),0),1)),INDEX($S$2:$S$1001,MATCH(ROWS($N$2:N395),$N$2:$N$1001,0),0)))</f>
        <v>0</v>
      </c>
      <c r="B395" s="3">
        <f>IF(OR(INDEX($O$2:$O$1001,MATCH(ROWS($N$2:N395),$N$2:$N$1001,0),1)&gt;=100000,INDEX($U$1005:$AC$1005,1,MATCH(COLUMNS($U$1006:U1006),$U$1006:$AC$1006,0))&gt;=100000), " ",IF(INDEX($U$2:$AC$1001,MATCH(ROWS($N$2:N395),$N$2:$N$1001,0),MATCH(COLUMNS($U$1006:U1006),$U$1006:$AC$1006,0)), HYPERLINK("#",""), HYPERLINK(CONCATENATE("#metadata!", ADDRESS(INDEX($P$2:$P$1001,MATCH(ROWS($N$2:N395),$N$2:$N$1001,0),0), INDEX($U$1004:$AC$1004,1,MATCH(COLUMNS($U$1006:U1006),$U$1006:$AC$1006,0)))),"Fix")))</f>
        <v>0</v>
      </c>
      <c r="C395" s="3">
        <f>IF(OR(INDEX($O$2:$O$1001,MATCH(ROWS($N$2:N395),$N$2:$N$1001,0),1)&gt;=100000,INDEX($U$1005:$AC$1005,1,MATCH(COLUMNS($U$1006:V1006),$U$1006:$AC$1006,0))&gt;=100000), " ",IF(INDEX($U$2:$AC$1001,MATCH(ROWS($N$2:N395),$N$2:$N$1001,0),MATCH(COLUMNS($U$1006:V1006),$U$1006:$AC$1006,0)), HYPERLINK("#",""), HYPERLINK(CONCATENATE("#metadata!", ADDRESS(INDEX($P$2:$P$1001,MATCH(ROWS($N$2:N395),$N$2:$N$1001,0),0), INDEX($U$1004:$AC$1004,1,MATCH(COLUMNS($U$1006:V1006),$U$1006:$AC$1006,0)))),"Fix")))</f>
        <v>0</v>
      </c>
      <c r="D395" s="3">
        <f>IF(OR(INDEX($O$2:$O$1001,MATCH(ROWS($N$2:N395),$N$2:$N$1001,0),1)&gt;=100000,INDEX($U$1005:$AC$1005,1,MATCH(COLUMNS($U$1006:W1006),$U$1006:$AC$1006,0))&gt;=100000), " ",IF(INDEX($U$2:$AC$1001,MATCH(ROWS($N$2:N395),$N$2:$N$1001,0),MATCH(COLUMNS($U$1006:W1006),$U$1006:$AC$1006,0)), HYPERLINK("#",""), HYPERLINK(CONCATENATE("#metadata!", ADDRESS(INDEX($P$2:$P$1001,MATCH(ROWS($N$2:N395),$N$2:$N$1001,0),0), INDEX($U$1004:$AC$1004,1,MATCH(COLUMNS($U$1006:W1006),$U$1006:$AC$1006,0)))),"Fix")))</f>
        <v>0</v>
      </c>
      <c r="E395" s="3">
        <f>IF(OR(INDEX($O$2:$O$1001,MATCH(ROWS($N$2:N395),$N$2:$N$1001,0),1)&gt;=100000,INDEX($U$1005:$AC$1005,1,MATCH(COLUMNS($U$1006:X1006),$U$1006:$AC$1006,0))&gt;=100000), " ",IF(INDEX($U$2:$AC$1001,MATCH(ROWS($N$2:N395),$N$2:$N$1001,0),MATCH(COLUMNS($U$1006:X1006),$U$1006:$AC$1006,0)), HYPERLINK("#",""), HYPERLINK(CONCATENATE("#metadata!", ADDRESS(INDEX($P$2:$P$1001,MATCH(ROWS($N$2:N395),$N$2:$N$1001,0),0), INDEX($U$1004:$AC$1004,1,MATCH(COLUMNS($U$1006:X1006),$U$1006:$AC$1006,0)))),"Fix")))</f>
        <v>0</v>
      </c>
      <c r="F395" s="3">
        <f>IF(OR(INDEX($O$2:$O$1001,MATCH(ROWS($N$2:N395),$N$2:$N$1001,0),1)&gt;=100000,INDEX($U$1005:$AC$1005,1,MATCH(COLUMNS($U$1006:Y1006),$U$1006:$AC$1006,0))&gt;=100000), " ",IF(INDEX($U$2:$AC$1001,MATCH(ROWS($N$2:N395),$N$2:$N$1001,0),MATCH(COLUMNS($U$1006:Y1006),$U$1006:$AC$1006,0)), HYPERLINK("#",""), HYPERLINK(CONCATENATE("#metadata!", ADDRESS(INDEX($P$2:$P$1001,MATCH(ROWS($N$2:N395),$N$2:$N$1001,0),0), INDEX($U$1004:$AC$1004,1,MATCH(COLUMNS($U$1006:Y1006),$U$1006:$AC$1006,0)))),"Fix")))</f>
        <v>0</v>
      </c>
      <c r="G395" s="3">
        <f>IF(OR(INDEX($O$2:$O$1001,MATCH(ROWS($N$2:N395),$N$2:$N$1001,0),1)&gt;=100000,INDEX($U$1005:$AC$1005,1,MATCH(COLUMNS($U$1006:Z1006),$U$1006:$AC$1006,0))&gt;=100000), " ",IF(INDEX($U$2:$AC$1001,MATCH(ROWS($N$2:N395),$N$2:$N$1001,0),MATCH(COLUMNS($U$1006:Z1006),$U$1006:$AC$1006,0)), HYPERLINK("#",""), HYPERLINK(CONCATENATE("#metadata!", ADDRESS(INDEX($P$2:$P$1001,MATCH(ROWS($N$2:N395),$N$2:$N$1001,0),0), INDEX($U$1004:$AC$1004,1,MATCH(COLUMNS($U$1006:Z1006),$U$1006:$AC$1006,0)))),"Fix")))</f>
        <v>0</v>
      </c>
      <c r="H395" s="3">
        <f>IF(OR(INDEX($O$2:$O$1001,MATCH(ROWS($N$2:N395),$N$2:$N$1001,0),1)&gt;=100000,INDEX($U$1005:$AC$1005,1,MATCH(COLUMNS($U$1006:AA1006),$U$1006:$AC$1006,0))&gt;=100000), " ",IF(INDEX($U$2:$AC$1001,MATCH(ROWS($N$2:N395),$N$2:$N$1001,0),MATCH(COLUMNS($U$1006:AA1006),$U$1006:$AC$1006,0)), HYPERLINK("#",""), HYPERLINK(CONCATENATE("#metadata!", ADDRESS(INDEX($P$2:$P$1001,MATCH(ROWS($N$2:N395),$N$2:$N$1001,0),0), INDEX($U$1004:$AC$1004,1,MATCH(COLUMNS($U$1006:AA1006),$U$1006:$AC$1006,0)))),"Fix")))</f>
        <v>0</v>
      </c>
      <c r="I395" s="3">
        <f>IF(OR(INDEX($O$2:$O$1001,MATCH(ROWS($N$2:N395),$N$2:$N$1001,0),1)&gt;=100000,INDEX($U$1005:$AC$1005,1,MATCH(COLUMNS($U$1006:AB1006),$U$1006:$AC$1006,0))&gt;=100000), " ",IF(INDEX($U$2:$AC$1001,MATCH(ROWS($N$2:N395),$N$2:$N$1001,0),MATCH(COLUMNS($U$1006:AB1006),$U$1006:$AC$1006,0)), HYPERLINK("#",""), HYPERLINK(CONCATENATE("#metadata!", ADDRESS(INDEX($P$2:$P$1001,MATCH(ROWS($N$2:N395),$N$2:$N$1001,0),0), INDEX($U$1004:$AC$1004,1,MATCH(COLUMNS($U$1006:AB1006),$U$1006:$AC$1006,0)))),"Fix")))</f>
        <v>0</v>
      </c>
      <c r="J395" s="3">
        <f>IF(OR(INDEX($O$2:$O$1001,MATCH(ROWS($N$2:N395),$N$2:$N$1001,0),1)&gt;=100000,INDEX($U$1005:$AC$1005,1,MATCH(COLUMNS($U$1006:AC1006),$U$1006:$AC$1006,0))&gt;=100000), " ",IF(INDEX($U$2:$AC$1001,MATCH(ROWS($N$2:N395),$N$2:$N$1001,0),MATCH(COLUMNS($U$1006:AC1006),$U$1006:$AC$1006,0)), HYPERLINK("#",""), HYPERLINK(CONCATENATE("#metadata!", ADDRESS(INDEX($P$2:$P$1001,MATCH(ROWS($N$2:N395),$N$2:$N$1001,0),0), INDEX($U$1004:$AC$1004,1,MATCH(COLUMNS($U$1006:AC1006),$U$1006:$AC$1006,0)))),"Fix")))</f>
        <v>0</v>
      </c>
      <c r="N395">
        <v>0</v>
      </c>
      <c r="O395">
        <v>0</v>
      </c>
      <c r="P395">
        <v>0</v>
      </c>
      <c r="Q395">
        <f>IF(R395,TRUE,AND(U395:AC395))</f>
        <v>0</v>
      </c>
      <c r="R395">
        <f>COUNTBLANK(metadata!B395:J395)=COLUMNS(metadata!B395:J395)</f>
        <v>0</v>
      </c>
      <c r="S395">
        <v>0</v>
      </c>
      <c r="U395">
        <f>AND(IF(metadata!B395="",FALSE,TRUE),COUNTIF(metadata!B:B, metadata!B395) = 1,NOT(ISERROR(SUMPRODUCT(SEARCH(MID(metadata!B395,ROW(INDIRECT("1:"&amp;LEN(metadata!B395))), 1),"0123456789abcdefghijklmnopqrstuvwxyzABCDEFGHIJKLMNOPQRSTUVWXYZ.")))))</f>
        <v>0</v>
      </c>
      <c r="V395">
        <f>AND(IF(metadata!C395="",FALSE,TRUE),exact(metadata!C395,"UBERON:genitourinary"))</f>
        <v>0</v>
      </c>
      <c r="W395">
        <f>AND(IF(metadata!D395="",FALSE,TRUE),exact(metadata!D395,"UBERON:urine"))</f>
        <v>0</v>
      </c>
      <c r="X395">
        <f>AND(IF(metadata!E395="",FALSE,TRUE),exact(metadata!E395,"UBERON:kidney"))</f>
        <v>0</v>
      </c>
      <c r="Y395">
        <f>AND(IF(metadata!F395="",FALSE,TRUE),exact(metadata!F395,"animal corpus"))</f>
        <v>0</v>
      </c>
      <c r="Z395">
        <f>AND(IF(metadata!G395="",FALSE,TRUE),exact(metadata!G395,"urine"))</f>
        <v>0</v>
      </c>
      <c r="AA395">
        <f>AND(IF(metadata!H395="",FALSE,TRUE),exact(metadata!H395,"urine"))</f>
        <v>0</v>
      </c>
      <c r="AB395">
        <f>AND(IF(metadata!I395="",FALSE,TRUE),exact(metadata!I395,"urine metagenome"))</f>
        <v>0</v>
      </c>
      <c r="AC395">
        <f>AND(IF(metadata!J395="",FALSE,TRUE),exact(metadata!J395,"1346744"))</f>
        <v>0</v>
      </c>
    </row>
    <row r="396" spans="1:29">
      <c r="A396" s="4">
        <f>IF(B396=" "," ",HYPERLINK(CONCATENATE("#metadata!",ADDRESS(INDEX($P$2:$P$1001,MATCH(ROWS($N$2:N396),$N$2:$N$1001,0),0),1)),INDEX($S$2:$S$1001,MATCH(ROWS($N$2:N396),$N$2:$N$1001,0),0)))</f>
        <v>0</v>
      </c>
      <c r="B396" s="3">
        <f>IF(OR(INDEX($O$2:$O$1001,MATCH(ROWS($N$2:N396),$N$2:$N$1001,0),1)&gt;=100000,INDEX($U$1005:$AC$1005,1,MATCH(COLUMNS($U$1006:U1006),$U$1006:$AC$1006,0))&gt;=100000), " ",IF(INDEX($U$2:$AC$1001,MATCH(ROWS($N$2:N396),$N$2:$N$1001,0),MATCH(COLUMNS($U$1006:U1006),$U$1006:$AC$1006,0)), HYPERLINK("#",""), HYPERLINK(CONCATENATE("#metadata!", ADDRESS(INDEX($P$2:$P$1001,MATCH(ROWS($N$2:N396),$N$2:$N$1001,0),0), INDEX($U$1004:$AC$1004,1,MATCH(COLUMNS($U$1006:U1006),$U$1006:$AC$1006,0)))),"Fix")))</f>
        <v>0</v>
      </c>
      <c r="C396" s="3">
        <f>IF(OR(INDEX($O$2:$O$1001,MATCH(ROWS($N$2:N396),$N$2:$N$1001,0),1)&gt;=100000,INDEX($U$1005:$AC$1005,1,MATCH(COLUMNS($U$1006:V1006),$U$1006:$AC$1006,0))&gt;=100000), " ",IF(INDEX($U$2:$AC$1001,MATCH(ROWS($N$2:N396),$N$2:$N$1001,0),MATCH(COLUMNS($U$1006:V1006),$U$1006:$AC$1006,0)), HYPERLINK("#",""), HYPERLINK(CONCATENATE("#metadata!", ADDRESS(INDEX($P$2:$P$1001,MATCH(ROWS($N$2:N396),$N$2:$N$1001,0),0), INDEX($U$1004:$AC$1004,1,MATCH(COLUMNS($U$1006:V1006),$U$1006:$AC$1006,0)))),"Fix")))</f>
        <v>0</v>
      </c>
      <c r="D396" s="3">
        <f>IF(OR(INDEX($O$2:$O$1001,MATCH(ROWS($N$2:N396),$N$2:$N$1001,0),1)&gt;=100000,INDEX($U$1005:$AC$1005,1,MATCH(COLUMNS($U$1006:W1006),$U$1006:$AC$1006,0))&gt;=100000), " ",IF(INDEX($U$2:$AC$1001,MATCH(ROWS($N$2:N396),$N$2:$N$1001,0),MATCH(COLUMNS($U$1006:W1006),$U$1006:$AC$1006,0)), HYPERLINK("#",""), HYPERLINK(CONCATENATE("#metadata!", ADDRESS(INDEX($P$2:$P$1001,MATCH(ROWS($N$2:N396),$N$2:$N$1001,0),0), INDEX($U$1004:$AC$1004,1,MATCH(COLUMNS($U$1006:W1006),$U$1006:$AC$1006,0)))),"Fix")))</f>
        <v>0</v>
      </c>
      <c r="E396" s="3">
        <f>IF(OR(INDEX($O$2:$O$1001,MATCH(ROWS($N$2:N396),$N$2:$N$1001,0),1)&gt;=100000,INDEX($U$1005:$AC$1005,1,MATCH(COLUMNS($U$1006:X1006),$U$1006:$AC$1006,0))&gt;=100000), " ",IF(INDEX($U$2:$AC$1001,MATCH(ROWS($N$2:N396),$N$2:$N$1001,0),MATCH(COLUMNS($U$1006:X1006),$U$1006:$AC$1006,0)), HYPERLINK("#",""), HYPERLINK(CONCATENATE("#metadata!", ADDRESS(INDEX($P$2:$P$1001,MATCH(ROWS($N$2:N396),$N$2:$N$1001,0),0), INDEX($U$1004:$AC$1004,1,MATCH(COLUMNS($U$1006:X1006),$U$1006:$AC$1006,0)))),"Fix")))</f>
        <v>0</v>
      </c>
      <c r="F396" s="3">
        <f>IF(OR(INDEX($O$2:$O$1001,MATCH(ROWS($N$2:N396),$N$2:$N$1001,0),1)&gt;=100000,INDEX($U$1005:$AC$1005,1,MATCH(COLUMNS($U$1006:Y1006),$U$1006:$AC$1006,0))&gt;=100000), " ",IF(INDEX($U$2:$AC$1001,MATCH(ROWS($N$2:N396),$N$2:$N$1001,0),MATCH(COLUMNS($U$1006:Y1006),$U$1006:$AC$1006,0)), HYPERLINK("#",""), HYPERLINK(CONCATENATE("#metadata!", ADDRESS(INDEX($P$2:$P$1001,MATCH(ROWS($N$2:N396),$N$2:$N$1001,0),0), INDEX($U$1004:$AC$1004,1,MATCH(COLUMNS($U$1006:Y1006),$U$1006:$AC$1006,0)))),"Fix")))</f>
        <v>0</v>
      </c>
      <c r="G396" s="3">
        <f>IF(OR(INDEX($O$2:$O$1001,MATCH(ROWS($N$2:N396),$N$2:$N$1001,0),1)&gt;=100000,INDEX($U$1005:$AC$1005,1,MATCH(COLUMNS($U$1006:Z1006),$U$1006:$AC$1006,0))&gt;=100000), " ",IF(INDEX($U$2:$AC$1001,MATCH(ROWS($N$2:N396),$N$2:$N$1001,0),MATCH(COLUMNS($U$1006:Z1006),$U$1006:$AC$1006,0)), HYPERLINK("#",""), HYPERLINK(CONCATENATE("#metadata!", ADDRESS(INDEX($P$2:$P$1001,MATCH(ROWS($N$2:N396),$N$2:$N$1001,0),0), INDEX($U$1004:$AC$1004,1,MATCH(COLUMNS($U$1006:Z1006),$U$1006:$AC$1006,0)))),"Fix")))</f>
        <v>0</v>
      </c>
      <c r="H396" s="3">
        <f>IF(OR(INDEX($O$2:$O$1001,MATCH(ROWS($N$2:N396),$N$2:$N$1001,0),1)&gt;=100000,INDEX($U$1005:$AC$1005,1,MATCH(COLUMNS($U$1006:AA1006),$U$1006:$AC$1006,0))&gt;=100000), " ",IF(INDEX($U$2:$AC$1001,MATCH(ROWS($N$2:N396),$N$2:$N$1001,0),MATCH(COLUMNS($U$1006:AA1006),$U$1006:$AC$1006,0)), HYPERLINK("#",""), HYPERLINK(CONCATENATE("#metadata!", ADDRESS(INDEX($P$2:$P$1001,MATCH(ROWS($N$2:N396),$N$2:$N$1001,0),0), INDEX($U$1004:$AC$1004,1,MATCH(COLUMNS($U$1006:AA1006),$U$1006:$AC$1006,0)))),"Fix")))</f>
        <v>0</v>
      </c>
      <c r="I396" s="3">
        <f>IF(OR(INDEX($O$2:$O$1001,MATCH(ROWS($N$2:N396),$N$2:$N$1001,0),1)&gt;=100000,INDEX($U$1005:$AC$1005,1,MATCH(COLUMNS($U$1006:AB1006),$U$1006:$AC$1006,0))&gt;=100000), " ",IF(INDEX($U$2:$AC$1001,MATCH(ROWS($N$2:N396),$N$2:$N$1001,0),MATCH(COLUMNS($U$1006:AB1006),$U$1006:$AC$1006,0)), HYPERLINK("#",""), HYPERLINK(CONCATENATE("#metadata!", ADDRESS(INDEX($P$2:$P$1001,MATCH(ROWS($N$2:N396),$N$2:$N$1001,0),0), INDEX($U$1004:$AC$1004,1,MATCH(COLUMNS($U$1006:AB1006),$U$1006:$AC$1006,0)))),"Fix")))</f>
        <v>0</v>
      </c>
      <c r="J396" s="3">
        <f>IF(OR(INDEX($O$2:$O$1001,MATCH(ROWS($N$2:N396),$N$2:$N$1001,0),1)&gt;=100000,INDEX($U$1005:$AC$1005,1,MATCH(COLUMNS($U$1006:AC1006),$U$1006:$AC$1006,0))&gt;=100000), " ",IF(INDEX($U$2:$AC$1001,MATCH(ROWS($N$2:N396),$N$2:$N$1001,0),MATCH(COLUMNS($U$1006:AC1006),$U$1006:$AC$1006,0)), HYPERLINK("#",""), HYPERLINK(CONCATENATE("#metadata!", ADDRESS(INDEX($P$2:$P$1001,MATCH(ROWS($N$2:N396),$N$2:$N$1001,0),0), INDEX($U$1004:$AC$1004,1,MATCH(COLUMNS($U$1006:AC1006),$U$1006:$AC$1006,0)))),"Fix")))</f>
        <v>0</v>
      </c>
      <c r="N396">
        <v>0</v>
      </c>
      <c r="O396">
        <v>0</v>
      </c>
      <c r="P396">
        <v>0</v>
      </c>
      <c r="Q396">
        <f>IF(R396,TRUE,AND(U396:AC396))</f>
        <v>0</v>
      </c>
      <c r="R396">
        <f>COUNTBLANK(metadata!B396:J396)=COLUMNS(metadata!B396:J396)</f>
        <v>0</v>
      </c>
      <c r="S396">
        <v>0</v>
      </c>
      <c r="U396">
        <f>AND(IF(metadata!B396="",FALSE,TRUE),COUNTIF(metadata!B:B, metadata!B396) = 1,NOT(ISERROR(SUMPRODUCT(SEARCH(MID(metadata!B396,ROW(INDIRECT("1:"&amp;LEN(metadata!B396))), 1),"0123456789abcdefghijklmnopqrstuvwxyzABCDEFGHIJKLMNOPQRSTUVWXYZ.")))))</f>
        <v>0</v>
      </c>
      <c r="V396">
        <f>AND(IF(metadata!C396="",FALSE,TRUE),exact(metadata!C396,"UBERON:genitourinary"))</f>
        <v>0</v>
      </c>
      <c r="W396">
        <f>AND(IF(metadata!D396="",FALSE,TRUE),exact(metadata!D396,"UBERON:urine"))</f>
        <v>0</v>
      </c>
      <c r="X396">
        <f>AND(IF(metadata!E396="",FALSE,TRUE),exact(metadata!E396,"UBERON:kidney"))</f>
        <v>0</v>
      </c>
      <c r="Y396">
        <f>AND(IF(metadata!F396="",FALSE,TRUE),exact(metadata!F396,"animal corpus"))</f>
        <v>0</v>
      </c>
      <c r="Z396">
        <f>AND(IF(metadata!G396="",FALSE,TRUE),exact(metadata!G396,"urine"))</f>
        <v>0</v>
      </c>
      <c r="AA396">
        <f>AND(IF(metadata!H396="",FALSE,TRUE),exact(metadata!H396,"urine"))</f>
        <v>0</v>
      </c>
      <c r="AB396">
        <f>AND(IF(metadata!I396="",FALSE,TRUE),exact(metadata!I396,"urine metagenome"))</f>
        <v>0</v>
      </c>
      <c r="AC396">
        <f>AND(IF(metadata!J396="",FALSE,TRUE),exact(metadata!J396,"1346744"))</f>
        <v>0</v>
      </c>
    </row>
    <row r="397" spans="1:29">
      <c r="A397" s="4">
        <f>IF(B397=" "," ",HYPERLINK(CONCATENATE("#metadata!",ADDRESS(INDEX($P$2:$P$1001,MATCH(ROWS($N$2:N397),$N$2:$N$1001,0),0),1)),INDEX($S$2:$S$1001,MATCH(ROWS($N$2:N397),$N$2:$N$1001,0),0)))</f>
        <v>0</v>
      </c>
      <c r="B397" s="3">
        <f>IF(OR(INDEX($O$2:$O$1001,MATCH(ROWS($N$2:N397),$N$2:$N$1001,0),1)&gt;=100000,INDEX($U$1005:$AC$1005,1,MATCH(COLUMNS($U$1006:U1006),$U$1006:$AC$1006,0))&gt;=100000), " ",IF(INDEX($U$2:$AC$1001,MATCH(ROWS($N$2:N397),$N$2:$N$1001,0),MATCH(COLUMNS($U$1006:U1006),$U$1006:$AC$1006,0)), HYPERLINK("#",""), HYPERLINK(CONCATENATE("#metadata!", ADDRESS(INDEX($P$2:$P$1001,MATCH(ROWS($N$2:N397),$N$2:$N$1001,0),0), INDEX($U$1004:$AC$1004,1,MATCH(COLUMNS($U$1006:U1006),$U$1006:$AC$1006,0)))),"Fix")))</f>
        <v>0</v>
      </c>
      <c r="C397" s="3">
        <f>IF(OR(INDEX($O$2:$O$1001,MATCH(ROWS($N$2:N397),$N$2:$N$1001,0),1)&gt;=100000,INDEX($U$1005:$AC$1005,1,MATCH(COLUMNS($U$1006:V1006),$U$1006:$AC$1006,0))&gt;=100000), " ",IF(INDEX($U$2:$AC$1001,MATCH(ROWS($N$2:N397),$N$2:$N$1001,0),MATCH(COLUMNS($U$1006:V1006),$U$1006:$AC$1006,0)), HYPERLINK("#",""), HYPERLINK(CONCATENATE("#metadata!", ADDRESS(INDEX($P$2:$P$1001,MATCH(ROWS($N$2:N397),$N$2:$N$1001,0),0), INDEX($U$1004:$AC$1004,1,MATCH(COLUMNS($U$1006:V1006),$U$1006:$AC$1006,0)))),"Fix")))</f>
        <v>0</v>
      </c>
      <c r="D397" s="3">
        <f>IF(OR(INDEX($O$2:$O$1001,MATCH(ROWS($N$2:N397),$N$2:$N$1001,0),1)&gt;=100000,INDEX($U$1005:$AC$1005,1,MATCH(COLUMNS($U$1006:W1006),$U$1006:$AC$1006,0))&gt;=100000), " ",IF(INDEX($U$2:$AC$1001,MATCH(ROWS($N$2:N397),$N$2:$N$1001,0),MATCH(COLUMNS($U$1006:W1006),$U$1006:$AC$1006,0)), HYPERLINK("#",""), HYPERLINK(CONCATENATE("#metadata!", ADDRESS(INDEX($P$2:$P$1001,MATCH(ROWS($N$2:N397),$N$2:$N$1001,0),0), INDEX($U$1004:$AC$1004,1,MATCH(COLUMNS($U$1006:W1006),$U$1006:$AC$1006,0)))),"Fix")))</f>
        <v>0</v>
      </c>
      <c r="E397" s="3">
        <f>IF(OR(INDEX($O$2:$O$1001,MATCH(ROWS($N$2:N397),$N$2:$N$1001,0),1)&gt;=100000,INDEX($U$1005:$AC$1005,1,MATCH(COLUMNS($U$1006:X1006),$U$1006:$AC$1006,0))&gt;=100000), " ",IF(INDEX($U$2:$AC$1001,MATCH(ROWS($N$2:N397),$N$2:$N$1001,0),MATCH(COLUMNS($U$1006:X1006),$U$1006:$AC$1006,0)), HYPERLINK("#",""), HYPERLINK(CONCATENATE("#metadata!", ADDRESS(INDEX($P$2:$P$1001,MATCH(ROWS($N$2:N397),$N$2:$N$1001,0),0), INDEX($U$1004:$AC$1004,1,MATCH(COLUMNS($U$1006:X1006),$U$1006:$AC$1006,0)))),"Fix")))</f>
        <v>0</v>
      </c>
      <c r="F397" s="3">
        <f>IF(OR(INDEX($O$2:$O$1001,MATCH(ROWS($N$2:N397),$N$2:$N$1001,0),1)&gt;=100000,INDEX($U$1005:$AC$1005,1,MATCH(COLUMNS($U$1006:Y1006),$U$1006:$AC$1006,0))&gt;=100000), " ",IF(INDEX($U$2:$AC$1001,MATCH(ROWS($N$2:N397),$N$2:$N$1001,0),MATCH(COLUMNS($U$1006:Y1006),$U$1006:$AC$1006,0)), HYPERLINK("#",""), HYPERLINK(CONCATENATE("#metadata!", ADDRESS(INDEX($P$2:$P$1001,MATCH(ROWS($N$2:N397),$N$2:$N$1001,0),0), INDEX($U$1004:$AC$1004,1,MATCH(COLUMNS($U$1006:Y1006),$U$1006:$AC$1006,0)))),"Fix")))</f>
        <v>0</v>
      </c>
      <c r="G397" s="3">
        <f>IF(OR(INDEX($O$2:$O$1001,MATCH(ROWS($N$2:N397),$N$2:$N$1001,0),1)&gt;=100000,INDEX($U$1005:$AC$1005,1,MATCH(COLUMNS($U$1006:Z1006),$U$1006:$AC$1006,0))&gt;=100000), " ",IF(INDEX($U$2:$AC$1001,MATCH(ROWS($N$2:N397),$N$2:$N$1001,0),MATCH(COLUMNS($U$1006:Z1006),$U$1006:$AC$1006,0)), HYPERLINK("#",""), HYPERLINK(CONCATENATE("#metadata!", ADDRESS(INDEX($P$2:$P$1001,MATCH(ROWS($N$2:N397),$N$2:$N$1001,0),0), INDEX($U$1004:$AC$1004,1,MATCH(COLUMNS($U$1006:Z1006),$U$1006:$AC$1006,0)))),"Fix")))</f>
        <v>0</v>
      </c>
      <c r="H397" s="3">
        <f>IF(OR(INDEX($O$2:$O$1001,MATCH(ROWS($N$2:N397),$N$2:$N$1001,0),1)&gt;=100000,INDEX($U$1005:$AC$1005,1,MATCH(COLUMNS($U$1006:AA1006),$U$1006:$AC$1006,0))&gt;=100000), " ",IF(INDEX($U$2:$AC$1001,MATCH(ROWS($N$2:N397),$N$2:$N$1001,0),MATCH(COLUMNS($U$1006:AA1006),$U$1006:$AC$1006,0)), HYPERLINK("#",""), HYPERLINK(CONCATENATE("#metadata!", ADDRESS(INDEX($P$2:$P$1001,MATCH(ROWS($N$2:N397),$N$2:$N$1001,0),0), INDEX($U$1004:$AC$1004,1,MATCH(COLUMNS($U$1006:AA1006),$U$1006:$AC$1006,0)))),"Fix")))</f>
        <v>0</v>
      </c>
      <c r="I397" s="3">
        <f>IF(OR(INDEX($O$2:$O$1001,MATCH(ROWS($N$2:N397),$N$2:$N$1001,0),1)&gt;=100000,INDEX($U$1005:$AC$1005,1,MATCH(COLUMNS($U$1006:AB1006),$U$1006:$AC$1006,0))&gt;=100000), " ",IF(INDEX($U$2:$AC$1001,MATCH(ROWS($N$2:N397),$N$2:$N$1001,0),MATCH(COLUMNS($U$1006:AB1006),$U$1006:$AC$1006,0)), HYPERLINK("#",""), HYPERLINK(CONCATENATE("#metadata!", ADDRESS(INDEX($P$2:$P$1001,MATCH(ROWS($N$2:N397),$N$2:$N$1001,0),0), INDEX($U$1004:$AC$1004,1,MATCH(COLUMNS($U$1006:AB1006),$U$1006:$AC$1006,0)))),"Fix")))</f>
        <v>0</v>
      </c>
      <c r="J397" s="3">
        <f>IF(OR(INDEX($O$2:$O$1001,MATCH(ROWS($N$2:N397),$N$2:$N$1001,0),1)&gt;=100000,INDEX($U$1005:$AC$1005,1,MATCH(COLUMNS($U$1006:AC1006),$U$1006:$AC$1006,0))&gt;=100000), " ",IF(INDEX($U$2:$AC$1001,MATCH(ROWS($N$2:N397),$N$2:$N$1001,0),MATCH(COLUMNS($U$1006:AC1006),$U$1006:$AC$1006,0)), HYPERLINK("#",""), HYPERLINK(CONCATENATE("#metadata!", ADDRESS(INDEX($P$2:$P$1001,MATCH(ROWS($N$2:N397),$N$2:$N$1001,0),0), INDEX($U$1004:$AC$1004,1,MATCH(COLUMNS($U$1006:AC1006),$U$1006:$AC$1006,0)))),"Fix")))</f>
        <v>0</v>
      </c>
      <c r="N397">
        <v>0</v>
      </c>
      <c r="O397">
        <v>0</v>
      </c>
      <c r="P397">
        <v>0</v>
      </c>
      <c r="Q397">
        <f>IF(R397,TRUE,AND(U397:AC397))</f>
        <v>0</v>
      </c>
      <c r="R397">
        <f>COUNTBLANK(metadata!B397:J397)=COLUMNS(metadata!B397:J397)</f>
        <v>0</v>
      </c>
      <c r="S397">
        <v>0</v>
      </c>
      <c r="U397">
        <f>AND(IF(metadata!B397="",FALSE,TRUE),COUNTIF(metadata!B:B, metadata!B397) = 1,NOT(ISERROR(SUMPRODUCT(SEARCH(MID(metadata!B397,ROW(INDIRECT("1:"&amp;LEN(metadata!B397))), 1),"0123456789abcdefghijklmnopqrstuvwxyzABCDEFGHIJKLMNOPQRSTUVWXYZ.")))))</f>
        <v>0</v>
      </c>
      <c r="V397">
        <f>AND(IF(metadata!C397="",FALSE,TRUE),exact(metadata!C397,"UBERON:genitourinary"))</f>
        <v>0</v>
      </c>
      <c r="W397">
        <f>AND(IF(metadata!D397="",FALSE,TRUE),exact(metadata!D397,"UBERON:urine"))</f>
        <v>0</v>
      </c>
      <c r="X397">
        <f>AND(IF(metadata!E397="",FALSE,TRUE),exact(metadata!E397,"UBERON:kidney"))</f>
        <v>0</v>
      </c>
      <c r="Y397">
        <f>AND(IF(metadata!F397="",FALSE,TRUE),exact(metadata!F397,"animal corpus"))</f>
        <v>0</v>
      </c>
      <c r="Z397">
        <f>AND(IF(metadata!G397="",FALSE,TRUE),exact(metadata!G397,"urine"))</f>
        <v>0</v>
      </c>
      <c r="AA397">
        <f>AND(IF(metadata!H397="",FALSE,TRUE),exact(metadata!H397,"urine"))</f>
        <v>0</v>
      </c>
      <c r="AB397">
        <f>AND(IF(metadata!I397="",FALSE,TRUE),exact(metadata!I397,"urine metagenome"))</f>
        <v>0</v>
      </c>
      <c r="AC397">
        <f>AND(IF(metadata!J397="",FALSE,TRUE),exact(metadata!J397,"1346744"))</f>
        <v>0</v>
      </c>
    </row>
    <row r="398" spans="1:29">
      <c r="A398" s="4">
        <f>IF(B398=" "," ",HYPERLINK(CONCATENATE("#metadata!",ADDRESS(INDEX($P$2:$P$1001,MATCH(ROWS($N$2:N398),$N$2:$N$1001,0),0),1)),INDEX($S$2:$S$1001,MATCH(ROWS($N$2:N398),$N$2:$N$1001,0),0)))</f>
        <v>0</v>
      </c>
      <c r="B398" s="3">
        <f>IF(OR(INDEX($O$2:$O$1001,MATCH(ROWS($N$2:N398),$N$2:$N$1001,0),1)&gt;=100000,INDEX($U$1005:$AC$1005,1,MATCH(COLUMNS($U$1006:U1006),$U$1006:$AC$1006,0))&gt;=100000), " ",IF(INDEX($U$2:$AC$1001,MATCH(ROWS($N$2:N398),$N$2:$N$1001,0),MATCH(COLUMNS($U$1006:U1006),$U$1006:$AC$1006,0)), HYPERLINK("#",""), HYPERLINK(CONCATENATE("#metadata!", ADDRESS(INDEX($P$2:$P$1001,MATCH(ROWS($N$2:N398),$N$2:$N$1001,0),0), INDEX($U$1004:$AC$1004,1,MATCH(COLUMNS($U$1006:U1006),$U$1006:$AC$1006,0)))),"Fix")))</f>
        <v>0</v>
      </c>
      <c r="C398" s="3">
        <f>IF(OR(INDEX($O$2:$O$1001,MATCH(ROWS($N$2:N398),$N$2:$N$1001,0),1)&gt;=100000,INDEX($U$1005:$AC$1005,1,MATCH(COLUMNS($U$1006:V1006),$U$1006:$AC$1006,0))&gt;=100000), " ",IF(INDEX($U$2:$AC$1001,MATCH(ROWS($N$2:N398),$N$2:$N$1001,0),MATCH(COLUMNS($U$1006:V1006),$U$1006:$AC$1006,0)), HYPERLINK("#",""), HYPERLINK(CONCATENATE("#metadata!", ADDRESS(INDEX($P$2:$P$1001,MATCH(ROWS($N$2:N398),$N$2:$N$1001,0),0), INDEX($U$1004:$AC$1004,1,MATCH(COLUMNS($U$1006:V1006),$U$1006:$AC$1006,0)))),"Fix")))</f>
        <v>0</v>
      </c>
      <c r="D398" s="3">
        <f>IF(OR(INDEX($O$2:$O$1001,MATCH(ROWS($N$2:N398),$N$2:$N$1001,0),1)&gt;=100000,INDEX($U$1005:$AC$1005,1,MATCH(COLUMNS($U$1006:W1006),$U$1006:$AC$1006,0))&gt;=100000), " ",IF(INDEX($U$2:$AC$1001,MATCH(ROWS($N$2:N398),$N$2:$N$1001,0),MATCH(COLUMNS($U$1006:W1006),$U$1006:$AC$1006,0)), HYPERLINK("#",""), HYPERLINK(CONCATENATE("#metadata!", ADDRESS(INDEX($P$2:$P$1001,MATCH(ROWS($N$2:N398),$N$2:$N$1001,0),0), INDEX($U$1004:$AC$1004,1,MATCH(COLUMNS($U$1006:W1006),$U$1006:$AC$1006,0)))),"Fix")))</f>
        <v>0</v>
      </c>
      <c r="E398" s="3">
        <f>IF(OR(INDEX($O$2:$O$1001,MATCH(ROWS($N$2:N398),$N$2:$N$1001,0),1)&gt;=100000,INDEX($U$1005:$AC$1005,1,MATCH(COLUMNS($U$1006:X1006),$U$1006:$AC$1006,0))&gt;=100000), " ",IF(INDEX($U$2:$AC$1001,MATCH(ROWS($N$2:N398),$N$2:$N$1001,0),MATCH(COLUMNS($U$1006:X1006),$U$1006:$AC$1006,0)), HYPERLINK("#",""), HYPERLINK(CONCATENATE("#metadata!", ADDRESS(INDEX($P$2:$P$1001,MATCH(ROWS($N$2:N398),$N$2:$N$1001,0),0), INDEX($U$1004:$AC$1004,1,MATCH(COLUMNS($U$1006:X1006),$U$1006:$AC$1006,0)))),"Fix")))</f>
        <v>0</v>
      </c>
      <c r="F398" s="3">
        <f>IF(OR(INDEX($O$2:$O$1001,MATCH(ROWS($N$2:N398),$N$2:$N$1001,0),1)&gt;=100000,INDEX($U$1005:$AC$1005,1,MATCH(COLUMNS($U$1006:Y1006),$U$1006:$AC$1006,0))&gt;=100000), " ",IF(INDEX($U$2:$AC$1001,MATCH(ROWS($N$2:N398),$N$2:$N$1001,0),MATCH(COLUMNS($U$1006:Y1006),$U$1006:$AC$1006,0)), HYPERLINK("#",""), HYPERLINK(CONCATENATE("#metadata!", ADDRESS(INDEX($P$2:$P$1001,MATCH(ROWS($N$2:N398),$N$2:$N$1001,0),0), INDEX($U$1004:$AC$1004,1,MATCH(COLUMNS($U$1006:Y1006),$U$1006:$AC$1006,0)))),"Fix")))</f>
        <v>0</v>
      </c>
      <c r="G398" s="3">
        <f>IF(OR(INDEX($O$2:$O$1001,MATCH(ROWS($N$2:N398),$N$2:$N$1001,0),1)&gt;=100000,INDEX($U$1005:$AC$1005,1,MATCH(COLUMNS($U$1006:Z1006),$U$1006:$AC$1006,0))&gt;=100000), " ",IF(INDEX($U$2:$AC$1001,MATCH(ROWS($N$2:N398),$N$2:$N$1001,0),MATCH(COLUMNS($U$1006:Z1006),$U$1006:$AC$1006,0)), HYPERLINK("#",""), HYPERLINK(CONCATENATE("#metadata!", ADDRESS(INDEX($P$2:$P$1001,MATCH(ROWS($N$2:N398),$N$2:$N$1001,0),0), INDEX($U$1004:$AC$1004,1,MATCH(COLUMNS($U$1006:Z1006),$U$1006:$AC$1006,0)))),"Fix")))</f>
        <v>0</v>
      </c>
      <c r="H398" s="3">
        <f>IF(OR(INDEX($O$2:$O$1001,MATCH(ROWS($N$2:N398),$N$2:$N$1001,0),1)&gt;=100000,INDEX($U$1005:$AC$1005,1,MATCH(COLUMNS($U$1006:AA1006),$U$1006:$AC$1006,0))&gt;=100000), " ",IF(INDEX($U$2:$AC$1001,MATCH(ROWS($N$2:N398),$N$2:$N$1001,0),MATCH(COLUMNS($U$1006:AA1006),$U$1006:$AC$1006,0)), HYPERLINK("#",""), HYPERLINK(CONCATENATE("#metadata!", ADDRESS(INDEX($P$2:$P$1001,MATCH(ROWS($N$2:N398),$N$2:$N$1001,0),0), INDEX($U$1004:$AC$1004,1,MATCH(COLUMNS($U$1006:AA1006),$U$1006:$AC$1006,0)))),"Fix")))</f>
        <v>0</v>
      </c>
      <c r="I398" s="3">
        <f>IF(OR(INDEX($O$2:$O$1001,MATCH(ROWS($N$2:N398),$N$2:$N$1001,0),1)&gt;=100000,INDEX($U$1005:$AC$1005,1,MATCH(COLUMNS($U$1006:AB1006),$U$1006:$AC$1006,0))&gt;=100000), " ",IF(INDEX($U$2:$AC$1001,MATCH(ROWS($N$2:N398),$N$2:$N$1001,0),MATCH(COLUMNS($U$1006:AB1006),$U$1006:$AC$1006,0)), HYPERLINK("#",""), HYPERLINK(CONCATENATE("#metadata!", ADDRESS(INDEX($P$2:$P$1001,MATCH(ROWS($N$2:N398),$N$2:$N$1001,0),0), INDEX($U$1004:$AC$1004,1,MATCH(COLUMNS($U$1006:AB1006),$U$1006:$AC$1006,0)))),"Fix")))</f>
        <v>0</v>
      </c>
      <c r="J398" s="3">
        <f>IF(OR(INDEX($O$2:$O$1001,MATCH(ROWS($N$2:N398),$N$2:$N$1001,0),1)&gt;=100000,INDEX($U$1005:$AC$1005,1,MATCH(COLUMNS($U$1006:AC1006),$U$1006:$AC$1006,0))&gt;=100000), " ",IF(INDEX($U$2:$AC$1001,MATCH(ROWS($N$2:N398),$N$2:$N$1001,0),MATCH(COLUMNS($U$1006:AC1006),$U$1006:$AC$1006,0)), HYPERLINK("#",""), HYPERLINK(CONCATENATE("#metadata!", ADDRESS(INDEX($P$2:$P$1001,MATCH(ROWS($N$2:N398),$N$2:$N$1001,0),0), INDEX($U$1004:$AC$1004,1,MATCH(COLUMNS($U$1006:AC1006),$U$1006:$AC$1006,0)))),"Fix")))</f>
        <v>0</v>
      </c>
      <c r="N398">
        <v>0</v>
      </c>
      <c r="O398">
        <v>0</v>
      </c>
      <c r="P398">
        <v>0</v>
      </c>
      <c r="Q398">
        <f>IF(R398,TRUE,AND(U398:AC398))</f>
        <v>0</v>
      </c>
      <c r="R398">
        <f>COUNTBLANK(metadata!B398:J398)=COLUMNS(metadata!B398:J398)</f>
        <v>0</v>
      </c>
      <c r="S398">
        <v>0</v>
      </c>
      <c r="U398">
        <f>AND(IF(metadata!B398="",FALSE,TRUE),COUNTIF(metadata!B:B, metadata!B398) = 1,NOT(ISERROR(SUMPRODUCT(SEARCH(MID(metadata!B398,ROW(INDIRECT("1:"&amp;LEN(metadata!B398))), 1),"0123456789abcdefghijklmnopqrstuvwxyzABCDEFGHIJKLMNOPQRSTUVWXYZ.")))))</f>
        <v>0</v>
      </c>
      <c r="V398">
        <f>AND(IF(metadata!C398="",FALSE,TRUE),exact(metadata!C398,"UBERON:genitourinary"))</f>
        <v>0</v>
      </c>
      <c r="W398">
        <f>AND(IF(metadata!D398="",FALSE,TRUE),exact(metadata!D398,"UBERON:urine"))</f>
        <v>0</v>
      </c>
      <c r="X398">
        <f>AND(IF(metadata!E398="",FALSE,TRUE),exact(metadata!E398,"UBERON:kidney"))</f>
        <v>0</v>
      </c>
      <c r="Y398">
        <f>AND(IF(metadata!F398="",FALSE,TRUE),exact(metadata!F398,"animal corpus"))</f>
        <v>0</v>
      </c>
      <c r="Z398">
        <f>AND(IF(metadata!G398="",FALSE,TRUE),exact(metadata!G398,"urine"))</f>
        <v>0</v>
      </c>
      <c r="AA398">
        <f>AND(IF(metadata!H398="",FALSE,TRUE),exact(metadata!H398,"urine"))</f>
        <v>0</v>
      </c>
      <c r="AB398">
        <f>AND(IF(metadata!I398="",FALSE,TRUE),exact(metadata!I398,"urine metagenome"))</f>
        <v>0</v>
      </c>
      <c r="AC398">
        <f>AND(IF(metadata!J398="",FALSE,TRUE),exact(metadata!J398,"1346744"))</f>
        <v>0</v>
      </c>
    </row>
    <row r="399" spans="1:29">
      <c r="A399" s="4">
        <f>IF(B399=" "," ",HYPERLINK(CONCATENATE("#metadata!",ADDRESS(INDEX($P$2:$P$1001,MATCH(ROWS($N$2:N399),$N$2:$N$1001,0),0),1)),INDEX($S$2:$S$1001,MATCH(ROWS($N$2:N399),$N$2:$N$1001,0),0)))</f>
        <v>0</v>
      </c>
      <c r="B399" s="3">
        <f>IF(OR(INDEX($O$2:$O$1001,MATCH(ROWS($N$2:N399),$N$2:$N$1001,0),1)&gt;=100000,INDEX($U$1005:$AC$1005,1,MATCH(COLUMNS($U$1006:U1006),$U$1006:$AC$1006,0))&gt;=100000), " ",IF(INDEX($U$2:$AC$1001,MATCH(ROWS($N$2:N399),$N$2:$N$1001,0),MATCH(COLUMNS($U$1006:U1006),$U$1006:$AC$1006,0)), HYPERLINK("#",""), HYPERLINK(CONCATENATE("#metadata!", ADDRESS(INDEX($P$2:$P$1001,MATCH(ROWS($N$2:N399),$N$2:$N$1001,0),0), INDEX($U$1004:$AC$1004,1,MATCH(COLUMNS($U$1006:U1006),$U$1006:$AC$1006,0)))),"Fix")))</f>
        <v>0</v>
      </c>
      <c r="C399" s="3">
        <f>IF(OR(INDEX($O$2:$O$1001,MATCH(ROWS($N$2:N399),$N$2:$N$1001,0),1)&gt;=100000,INDEX($U$1005:$AC$1005,1,MATCH(COLUMNS($U$1006:V1006),$U$1006:$AC$1006,0))&gt;=100000), " ",IF(INDEX($U$2:$AC$1001,MATCH(ROWS($N$2:N399),$N$2:$N$1001,0),MATCH(COLUMNS($U$1006:V1006),$U$1006:$AC$1006,0)), HYPERLINK("#",""), HYPERLINK(CONCATENATE("#metadata!", ADDRESS(INDEX($P$2:$P$1001,MATCH(ROWS($N$2:N399),$N$2:$N$1001,0),0), INDEX($U$1004:$AC$1004,1,MATCH(COLUMNS($U$1006:V1006),$U$1006:$AC$1006,0)))),"Fix")))</f>
        <v>0</v>
      </c>
      <c r="D399" s="3">
        <f>IF(OR(INDEX($O$2:$O$1001,MATCH(ROWS($N$2:N399),$N$2:$N$1001,0),1)&gt;=100000,INDEX($U$1005:$AC$1005,1,MATCH(COLUMNS($U$1006:W1006),$U$1006:$AC$1006,0))&gt;=100000), " ",IF(INDEX($U$2:$AC$1001,MATCH(ROWS($N$2:N399),$N$2:$N$1001,0),MATCH(COLUMNS($U$1006:W1006),$U$1006:$AC$1006,0)), HYPERLINK("#",""), HYPERLINK(CONCATENATE("#metadata!", ADDRESS(INDEX($P$2:$P$1001,MATCH(ROWS($N$2:N399),$N$2:$N$1001,0),0), INDEX($U$1004:$AC$1004,1,MATCH(COLUMNS($U$1006:W1006),$U$1006:$AC$1006,0)))),"Fix")))</f>
        <v>0</v>
      </c>
      <c r="E399" s="3">
        <f>IF(OR(INDEX($O$2:$O$1001,MATCH(ROWS($N$2:N399),$N$2:$N$1001,0),1)&gt;=100000,INDEX($U$1005:$AC$1005,1,MATCH(COLUMNS($U$1006:X1006),$U$1006:$AC$1006,0))&gt;=100000), " ",IF(INDEX($U$2:$AC$1001,MATCH(ROWS($N$2:N399),$N$2:$N$1001,0),MATCH(COLUMNS($U$1006:X1006),$U$1006:$AC$1006,0)), HYPERLINK("#",""), HYPERLINK(CONCATENATE("#metadata!", ADDRESS(INDEX($P$2:$P$1001,MATCH(ROWS($N$2:N399),$N$2:$N$1001,0),0), INDEX($U$1004:$AC$1004,1,MATCH(COLUMNS($U$1006:X1006),$U$1006:$AC$1006,0)))),"Fix")))</f>
        <v>0</v>
      </c>
      <c r="F399" s="3">
        <f>IF(OR(INDEX($O$2:$O$1001,MATCH(ROWS($N$2:N399),$N$2:$N$1001,0),1)&gt;=100000,INDEX($U$1005:$AC$1005,1,MATCH(COLUMNS($U$1006:Y1006),$U$1006:$AC$1006,0))&gt;=100000), " ",IF(INDEX($U$2:$AC$1001,MATCH(ROWS($N$2:N399),$N$2:$N$1001,0),MATCH(COLUMNS($U$1006:Y1006),$U$1006:$AC$1006,0)), HYPERLINK("#",""), HYPERLINK(CONCATENATE("#metadata!", ADDRESS(INDEX($P$2:$P$1001,MATCH(ROWS($N$2:N399),$N$2:$N$1001,0),0), INDEX($U$1004:$AC$1004,1,MATCH(COLUMNS($U$1006:Y1006),$U$1006:$AC$1006,0)))),"Fix")))</f>
        <v>0</v>
      </c>
      <c r="G399" s="3">
        <f>IF(OR(INDEX($O$2:$O$1001,MATCH(ROWS($N$2:N399),$N$2:$N$1001,0),1)&gt;=100000,INDEX($U$1005:$AC$1005,1,MATCH(COLUMNS($U$1006:Z1006),$U$1006:$AC$1006,0))&gt;=100000), " ",IF(INDEX($U$2:$AC$1001,MATCH(ROWS($N$2:N399),$N$2:$N$1001,0),MATCH(COLUMNS($U$1006:Z1006),$U$1006:$AC$1006,0)), HYPERLINK("#",""), HYPERLINK(CONCATENATE("#metadata!", ADDRESS(INDEX($P$2:$P$1001,MATCH(ROWS($N$2:N399),$N$2:$N$1001,0),0), INDEX($U$1004:$AC$1004,1,MATCH(COLUMNS($U$1006:Z1006),$U$1006:$AC$1006,0)))),"Fix")))</f>
        <v>0</v>
      </c>
      <c r="H399" s="3">
        <f>IF(OR(INDEX($O$2:$O$1001,MATCH(ROWS($N$2:N399),$N$2:$N$1001,0),1)&gt;=100000,INDEX($U$1005:$AC$1005,1,MATCH(COLUMNS($U$1006:AA1006),$U$1006:$AC$1006,0))&gt;=100000), " ",IF(INDEX($U$2:$AC$1001,MATCH(ROWS($N$2:N399),$N$2:$N$1001,0),MATCH(COLUMNS($U$1006:AA1006),$U$1006:$AC$1006,0)), HYPERLINK("#",""), HYPERLINK(CONCATENATE("#metadata!", ADDRESS(INDEX($P$2:$P$1001,MATCH(ROWS($N$2:N399),$N$2:$N$1001,0),0), INDEX($U$1004:$AC$1004,1,MATCH(COLUMNS($U$1006:AA1006),$U$1006:$AC$1006,0)))),"Fix")))</f>
        <v>0</v>
      </c>
      <c r="I399" s="3">
        <f>IF(OR(INDEX($O$2:$O$1001,MATCH(ROWS($N$2:N399),$N$2:$N$1001,0),1)&gt;=100000,INDEX($U$1005:$AC$1005,1,MATCH(COLUMNS($U$1006:AB1006),$U$1006:$AC$1006,0))&gt;=100000), " ",IF(INDEX($U$2:$AC$1001,MATCH(ROWS($N$2:N399),$N$2:$N$1001,0),MATCH(COLUMNS($U$1006:AB1006),$U$1006:$AC$1006,0)), HYPERLINK("#",""), HYPERLINK(CONCATENATE("#metadata!", ADDRESS(INDEX($P$2:$P$1001,MATCH(ROWS($N$2:N399),$N$2:$N$1001,0),0), INDEX($U$1004:$AC$1004,1,MATCH(COLUMNS($U$1006:AB1006),$U$1006:$AC$1006,0)))),"Fix")))</f>
        <v>0</v>
      </c>
      <c r="J399" s="3">
        <f>IF(OR(INDEX($O$2:$O$1001,MATCH(ROWS($N$2:N399),$N$2:$N$1001,0),1)&gt;=100000,INDEX($U$1005:$AC$1005,1,MATCH(COLUMNS($U$1006:AC1006),$U$1006:$AC$1006,0))&gt;=100000), " ",IF(INDEX($U$2:$AC$1001,MATCH(ROWS($N$2:N399),$N$2:$N$1001,0),MATCH(COLUMNS($U$1006:AC1006),$U$1006:$AC$1006,0)), HYPERLINK("#",""), HYPERLINK(CONCATENATE("#metadata!", ADDRESS(INDEX($P$2:$P$1001,MATCH(ROWS($N$2:N399),$N$2:$N$1001,0),0), INDEX($U$1004:$AC$1004,1,MATCH(COLUMNS($U$1006:AC1006),$U$1006:$AC$1006,0)))),"Fix")))</f>
        <v>0</v>
      </c>
      <c r="N399">
        <v>0</v>
      </c>
      <c r="O399">
        <v>0</v>
      </c>
      <c r="P399">
        <v>0</v>
      </c>
      <c r="Q399">
        <f>IF(R399,TRUE,AND(U399:AC399))</f>
        <v>0</v>
      </c>
      <c r="R399">
        <f>COUNTBLANK(metadata!B399:J399)=COLUMNS(metadata!B399:J399)</f>
        <v>0</v>
      </c>
      <c r="S399">
        <v>0</v>
      </c>
      <c r="U399">
        <f>AND(IF(metadata!B399="",FALSE,TRUE),COUNTIF(metadata!B:B, metadata!B399) = 1,NOT(ISERROR(SUMPRODUCT(SEARCH(MID(metadata!B399,ROW(INDIRECT("1:"&amp;LEN(metadata!B399))), 1),"0123456789abcdefghijklmnopqrstuvwxyzABCDEFGHIJKLMNOPQRSTUVWXYZ.")))))</f>
        <v>0</v>
      </c>
      <c r="V399">
        <f>AND(IF(metadata!C399="",FALSE,TRUE),exact(metadata!C399,"UBERON:genitourinary"))</f>
        <v>0</v>
      </c>
      <c r="W399">
        <f>AND(IF(metadata!D399="",FALSE,TRUE),exact(metadata!D399,"UBERON:urine"))</f>
        <v>0</v>
      </c>
      <c r="X399">
        <f>AND(IF(metadata!E399="",FALSE,TRUE),exact(metadata!E399,"UBERON:kidney"))</f>
        <v>0</v>
      </c>
      <c r="Y399">
        <f>AND(IF(metadata!F399="",FALSE,TRUE),exact(metadata!F399,"animal corpus"))</f>
        <v>0</v>
      </c>
      <c r="Z399">
        <f>AND(IF(metadata!G399="",FALSE,TRUE),exact(metadata!G399,"urine"))</f>
        <v>0</v>
      </c>
      <c r="AA399">
        <f>AND(IF(metadata!H399="",FALSE,TRUE),exact(metadata!H399,"urine"))</f>
        <v>0</v>
      </c>
      <c r="AB399">
        <f>AND(IF(metadata!I399="",FALSE,TRUE),exact(metadata!I399,"urine metagenome"))</f>
        <v>0</v>
      </c>
      <c r="AC399">
        <f>AND(IF(metadata!J399="",FALSE,TRUE),exact(metadata!J399,"1346744"))</f>
        <v>0</v>
      </c>
    </row>
    <row r="400" spans="1:29">
      <c r="A400" s="4">
        <f>IF(B400=" "," ",HYPERLINK(CONCATENATE("#metadata!",ADDRESS(INDEX($P$2:$P$1001,MATCH(ROWS($N$2:N400),$N$2:$N$1001,0),0),1)),INDEX($S$2:$S$1001,MATCH(ROWS($N$2:N400),$N$2:$N$1001,0),0)))</f>
        <v>0</v>
      </c>
      <c r="B400" s="3">
        <f>IF(OR(INDEX($O$2:$O$1001,MATCH(ROWS($N$2:N400),$N$2:$N$1001,0),1)&gt;=100000,INDEX($U$1005:$AC$1005,1,MATCH(COLUMNS($U$1006:U1006),$U$1006:$AC$1006,0))&gt;=100000), " ",IF(INDEX($U$2:$AC$1001,MATCH(ROWS($N$2:N400),$N$2:$N$1001,0),MATCH(COLUMNS($U$1006:U1006),$U$1006:$AC$1006,0)), HYPERLINK("#",""), HYPERLINK(CONCATENATE("#metadata!", ADDRESS(INDEX($P$2:$P$1001,MATCH(ROWS($N$2:N400),$N$2:$N$1001,0),0), INDEX($U$1004:$AC$1004,1,MATCH(COLUMNS($U$1006:U1006),$U$1006:$AC$1006,0)))),"Fix")))</f>
        <v>0</v>
      </c>
      <c r="C400" s="3">
        <f>IF(OR(INDEX($O$2:$O$1001,MATCH(ROWS($N$2:N400),$N$2:$N$1001,0),1)&gt;=100000,INDEX($U$1005:$AC$1005,1,MATCH(COLUMNS($U$1006:V1006),$U$1006:$AC$1006,0))&gt;=100000), " ",IF(INDEX($U$2:$AC$1001,MATCH(ROWS($N$2:N400),$N$2:$N$1001,0),MATCH(COLUMNS($U$1006:V1006),$U$1006:$AC$1006,0)), HYPERLINK("#",""), HYPERLINK(CONCATENATE("#metadata!", ADDRESS(INDEX($P$2:$P$1001,MATCH(ROWS($N$2:N400),$N$2:$N$1001,0),0), INDEX($U$1004:$AC$1004,1,MATCH(COLUMNS($U$1006:V1006),$U$1006:$AC$1006,0)))),"Fix")))</f>
        <v>0</v>
      </c>
      <c r="D400" s="3">
        <f>IF(OR(INDEX($O$2:$O$1001,MATCH(ROWS($N$2:N400),$N$2:$N$1001,0),1)&gt;=100000,INDEX($U$1005:$AC$1005,1,MATCH(COLUMNS($U$1006:W1006),$U$1006:$AC$1006,0))&gt;=100000), " ",IF(INDEX($U$2:$AC$1001,MATCH(ROWS($N$2:N400),$N$2:$N$1001,0),MATCH(COLUMNS($U$1006:W1006),$U$1006:$AC$1006,0)), HYPERLINK("#",""), HYPERLINK(CONCATENATE("#metadata!", ADDRESS(INDEX($P$2:$P$1001,MATCH(ROWS($N$2:N400),$N$2:$N$1001,0),0), INDEX($U$1004:$AC$1004,1,MATCH(COLUMNS($U$1006:W1006),$U$1006:$AC$1006,0)))),"Fix")))</f>
        <v>0</v>
      </c>
      <c r="E400" s="3">
        <f>IF(OR(INDEX($O$2:$O$1001,MATCH(ROWS($N$2:N400),$N$2:$N$1001,0),1)&gt;=100000,INDEX($U$1005:$AC$1005,1,MATCH(COLUMNS($U$1006:X1006),$U$1006:$AC$1006,0))&gt;=100000), " ",IF(INDEX($U$2:$AC$1001,MATCH(ROWS($N$2:N400),$N$2:$N$1001,0),MATCH(COLUMNS($U$1006:X1006),$U$1006:$AC$1006,0)), HYPERLINK("#",""), HYPERLINK(CONCATENATE("#metadata!", ADDRESS(INDEX($P$2:$P$1001,MATCH(ROWS($N$2:N400),$N$2:$N$1001,0),0), INDEX($U$1004:$AC$1004,1,MATCH(COLUMNS($U$1006:X1006),$U$1006:$AC$1006,0)))),"Fix")))</f>
        <v>0</v>
      </c>
      <c r="F400" s="3">
        <f>IF(OR(INDEX($O$2:$O$1001,MATCH(ROWS($N$2:N400),$N$2:$N$1001,0),1)&gt;=100000,INDEX($U$1005:$AC$1005,1,MATCH(COLUMNS($U$1006:Y1006),$U$1006:$AC$1006,0))&gt;=100000), " ",IF(INDEX($U$2:$AC$1001,MATCH(ROWS($N$2:N400),$N$2:$N$1001,0),MATCH(COLUMNS($U$1006:Y1006),$U$1006:$AC$1006,0)), HYPERLINK("#",""), HYPERLINK(CONCATENATE("#metadata!", ADDRESS(INDEX($P$2:$P$1001,MATCH(ROWS($N$2:N400),$N$2:$N$1001,0),0), INDEX($U$1004:$AC$1004,1,MATCH(COLUMNS($U$1006:Y1006),$U$1006:$AC$1006,0)))),"Fix")))</f>
        <v>0</v>
      </c>
      <c r="G400" s="3">
        <f>IF(OR(INDEX($O$2:$O$1001,MATCH(ROWS($N$2:N400),$N$2:$N$1001,0),1)&gt;=100000,INDEX($U$1005:$AC$1005,1,MATCH(COLUMNS($U$1006:Z1006),$U$1006:$AC$1006,0))&gt;=100000), " ",IF(INDEX($U$2:$AC$1001,MATCH(ROWS($N$2:N400),$N$2:$N$1001,0),MATCH(COLUMNS($U$1006:Z1006),$U$1006:$AC$1006,0)), HYPERLINK("#",""), HYPERLINK(CONCATENATE("#metadata!", ADDRESS(INDEX($P$2:$P$1001,MATCH(ROWS($N$2:N400),$N$2:$N$1001,0),0), INDEX($U$1004:$AC$1004,1,MATCH(COLUMNS($U$1006:Z1006),$U$1006:$AC$1006,0)))),"Fix")))</f>
        <v>0</v>
      </c>
      <c r="H400" s="3">
        <f>IF(OR(INDEX($O$2:$O$1001,MATCH(ROWS($N$2:N400),$N$2:$N$1001,0),1)&gt;=100000,INDEX($U$1005:$AC$1005,1,MATCH(COLUMNS($U$1006:AA1006),$U$1006:$AC$1006,0))&gt;=100000), " ",IF(INDEX($U$2:$AC$1001,MATCH(ROWS($N$2:N400),$N$2:$N$1001,0),MATCH(COLUMNS($U$1006:AA1006),$U$1006:$AC$1006,0)), HYPERLINK("#",""), HYPERLINK(CONCATENATE("#metadata!", ADDRESS(INDEX($P$2:$P$1001,MATCH(ROWS($N$2:N400),$N$2:$N$1001,0),0), INDEX($U$1004:$AC$1004,1,MATCH(COLUMNS($U$1006:AA1006),$U$1006:$AC$1006,0)))),"Fix")))</f>
        <v>0</v>
      </c>
      <c r="I400" s="3">
        <f>IF(OR(INDEX($O$2:$O$1001,MATCH(ROWS($N$2:N400),$N$2:$N$1001,0),1)&gt;=100000,INDEX($U$1005:$AC$1005,1,MATCH(COLUMNS($U$1006:AB1006),$U$1006:$AC$1006,0))&gt;=100000), " ",IF(INDEX($U$2:$AC$1001,MATCH(ROWS($N$2:N400),$N$2:$N$1001,0),MATCH(COLUMNS($U$1006:AB1006),$U$1006:$AC$1006,0)), HYPERLINK("#",""), HYPERLINK(CONCATENATE("#metadata!", ADDRESS(INDEX($P$2:$P$1001,MATCH(ROWS($N$2:N400),$N$2:$N$1001,0),0), INDEX($U$1004:$AC$1004,1,MATCH(COLUMNS($U$1006:AB1006),$U$1006:$AC$1006,0)))),"Fix")))</f>
        <v>0</v>
      </c>
      <c r="J400" s="3">
        <f>IF(OR(INDEX($O$2:$O$1001,MATCH(ROWS($N$2:N400),$N$2:$N$1001,0),1)&gt;=100000,INDEX($U$1005:$AC$1005,1,MATCH(COLUMNS($U$1006:AC1006),$U$1006:$AC$1006,0))&gt;=100000), " ",IF(INDEX($U$2:$AC$1001,MATCH(ROWS($N$2:N400),$N$2:$N$1001,0),MATCH(COLUMNS($U$1006:AC1006),$U$1006:$AC$1006,0)), HYPERLINK("#",""), HYPERLINK(CONCATENATE("#metadata!", ADDRESS(INDEX($P$2:$P$1001,MATCH(ROWS($N$2:N400),$N$2:$N$1001,0),0), INDEX($U$1004:$AC$1004,1,MATCH(COLUMNS($U$1006:AC1006),$U$1006:$AC$1006,0)))),"Fix")))</f>
        <v>0</v>
      </c>
      <c r="N400">
        <v>0</v>
      </c>
      <c r="O400">
        <v>0</v>
      </c>
      <c r="P400">
        <v>0</v>
      </c>
      <c r="Q400">
        <f>IF(R400,TRUE,AND(U400:AC400))</f>
        <v>0</v>
      </c>
      <c r="R400">
        <f>COUNTBLANK(metadata!B400:J400)=COLUMNS(metadata!B400:J400)</f>
        <v>0</v>
      </c>
      <c r="S400">
        <v>0</v>
      </c>
      <c r="U400">
        <f>AND(IF(metadata!B400="",FALSE,TRUE),COUNTIF(metadata!B:B, metadata!B400) = 1,NOT(ISERROR(SUMPRODUCT(SEARCH(MID(metadata!B400,ROW(INDIRECT("1:"&amp;LEN(metadata!B400))), 1),"0123456789abcdefghijklmnopqrstuvwxyzABCDEFGHIJKLMNOPQRSTUVWXYZ.")))))</f>
        <v>0</v>
      </c>
      <c r="V400">
        <f>AND(IF(metadata!C400="",FALSE,TRUE),exact(metadata!C400,"UBERON:genitourinary"))</f>
        <v>0</v>
      </c>
      <c r="W400">
        <f>AND(IF(metadata!D400="",FALSE,TRUE),exact(metadata!D400,"UBERON:urine"))</f>
        <v>0</v>
      </c>
      <c r="X400">
        <f>AND(IF(metadata!E400="",FALSE,TRUE),exact(metadata!E400,"UBERON:kidney"))</f>
        <v>0</v>
      </c>
      <c r="Y400">
        <f>AND(IF(metadata!F400="",FALSE,TRUE),exact(metadata!F400,"animal corpus"))</f>
        <v>0</v>
      </c>
      <c r="Z400">
        <f>AND(IF(metadata!G400="",FALSE,TRUE),exact(metadata!G400,"urine"))</f>
        <v>0</v>
      </c>
      <c r="AA400">
        <f>AND(IF(metadata!H400="",FALSE,TRUE),exact(metadata!H400,"urine"))</f>
        <v>0</v>
      </c>
      <c r="AB400">
        <f>AND(IF(metadata!I400="",FALSE,TRUE),exact(metadata!I400,"urine metagenome"))</f>
        <v>0</v>
      </c>
      <c r="AC400">
        <f>AND(IF(metadata!J400="",FALSE,TRUE),exact(metadata!J400,"1346744"))</f>
        <v>0</v>
      </c>
    </row>
    <row r="401" spans="1:29">
      <c r="A401" s="4">
        <f>IF(B401=" "," ",HYPERLINK(CONCATENATE("#metadata!",ADDRESS(INDEX($P$2:$P$1001,MATCH(ROWS($N$2:N401),$N$2:$N$1001,0),0),1)),INDEX($S$2:$S$1001,MATCH(ROWS($N$2:N401),$N$2:$N$1001,0),0)))</f>
        <v>0</v>
      </c>
      <c r="B401" s="3">
        <f>IF(OR(INDEX($O$2:$O$1001,MATCH(ROWS($N$2:N401),$N$2:$N$1001,0),1)&gt;=100000,INDEX($U$1005:$AC$1005,1,MATCH(COLUMNS($U$1006:U1006),$U$1006:$AC$1006,0))&gt;=100000), " ",IF(INDEX($U$2:$AC$1001,MATCH(ROWS($N$2:N401),$N$2:$N$1001,0),MATCH(COLUMNS($U$1006:U1006),$U$1006:$AC$1006,0)), HYPERLINK("#",""), HYPERLINK(CONCATENATE("#metadata!", ADDRESS(INDEX($P$2:$P$1001,MATCH(ROWS($N$2:N401),$N$2:$N$1001,0),0), INDEX($U$1004:$AC$1004,1,MATCH(COLUMNS($U$1006:U1006),$U$1006:$AC$1006,0)))),"Fix")))</f>
        <v>0</v>
      </c>
      <c r="C401" s="3">
        <f>IF(OR(INDEX($O$2:$O$1001,MATCH(ROWS($N$2:N401),$N$2:$N$1001,0),1)&gt;=100000,INDEX($U$1005:$AC$1005,1,MATCH(COLUMNS($U$1006:V1006),$U$1006:$AC$1006,0))&gt;=100000), " ",IF(INDEX($U$2:$AC$1001,MATCH(ROWS($N$2:N401),$N$2:$N$1001,0),MATCH(COLUMNS($U$1006:V1006),$U$1006:$AC$1006,0)), HYPERLINK("#",""), HYPERLINK(CONCATENATE("#metadata!", ADDRESS(INDEX($P$2:$P$1001,MATCH(ROWS($N$2:N401),$N$2:$N$1001,0),0), INDEX($U$1004:$AC$1004,1,MATCH(COLUMNS($U$1006:V1006),$U$1006:$AC$1006,0)))),"Fix")))</f>
        <v>0</v>
      </c>
      <c r="D401" s="3">
        <f>IF(OR(INDEX($O$2:$O$1001,MATCH(ROWS($N$2:N401),$N$2:$N$1001,0),1)&gt;=100000,INDEX($U$1005:$AC$1005,1,MATCH(COLUMNS($U$1006:W1006),$U$1006:$AC$1006,0))&gt;=100000), " ",IF(INDEX($U$2:$AC$1001,MATCH(ROWS($N$2:N401),$N$2:$N$1001,0),MATCH(COLUMNS($U$1006:W1006),$U$1006:$AC$1006,0)), HYPERLINK("#",""), HYPERLINK(CONCATENATE("#metadata!", ADDRESS(INDEX($P$2:$P$1001,MATCH(ROWS($N$2:N401),$N$2:$N$1001,0),0), INDEX($U$1004:$AC$1004,1,MATCH(COLUMNS($U$1006:W1006),$U$1006:$AC$1006,0)))),"Fix")))</f>
        <v>0</v>
      </c>
      <c r="E401" s="3">
        <f>IF(OR(INDEX($O$2:$O$1001,MATCH(ROWS($N$2:N401),$N$2:$N$1001,0),1)&gt;=100000,INDEX($U$1005:$AC$1005,1,MATCH(COLUMNS($U$1006:X1006),$U$1006:$AC$1006,0))&gt;=100000), " ",IF(INDEX($U$2:$AC$1001,MATCH(ROWS($N$2:N401),$N$2:$N$1001,0),MATCH(COLUMNS($U$1006:X1006),$U$1006:$AC$1006,0)), HYPERLINK("#",""), HYPERLINK(CONCATENATE("#metadata!", ADDRESS(INDEX($P$2:$P$1001,MATCH(ROWS($N$2:N401),$N$2:$N$1001,0),0), INDEX($U$1004:$AC$1004,1,MATCH(COLUMNS($U$1006:X1006),$U$1006:$AC$1006,0)))),"Fix")))</f>
        <v>0</v>
      </c>
      <c r="F401" s="3">
        <f>IF(OR(INDEX($O$2:$O$1001,MATCH(ROWS($N$2:N401),$N$2:$N$1001,0),1)&gt;=100000,INDEX($U$1005:$AC$1005,1,MATCH(COLUMNS($U$1006:Y1006),$U$1006:$AC$1006,0))&gt;=100000), " ",IF(INDEX($U$2:$AC$1001,MATCH(ROWS($N$2:N401),$N$2:$N$1001,0),MATCH(COLUMNS($U$1006:Y1006),$U$1006:$AC$1006,0)), HYPERLINK("#",""), HYPERLINK(CONCATENATE("#metadata!", ADDRESS(INDEX($P$2:$P$1001,MATCH(ROWS($N$2:N401),$N$2:$N$1001,0),0), INDEX($U$1004:$AC$1004,1,MATCH(COLUMNS($U$1006:Y1006),$U$1006:$AC$1006,0)))),"Fix")))</f>
        <v>0</v>
      </c>
      <c r="G401" s="3">
        <f>IF(OR(INDEX($O$2:$O$1001,MATCH(ROWS($N$2:N401),$N$2:$N$1001,0),1)&gt;=100000,INDEX($U$1005:$AC$1005,1,MATCH(COLUMNS($U$1006:Z1006),$U$1006:$AC$1006,0))&gt;=100000), " ",IF(INDEX($U$2:$AC$1001,MATCH(ROWS($N$2:N401),$N$2:$N$1001,0),MATCH(COLUMNS($U$1006:Z1006),$U$1006:$AC$1006,0)), HYPERLINK("#",""), HYPERLINK(CONCATENATE("#metadata!", ADDRESS(INDEX($P$2:$P$1001,MATCH(ROWS($N$2:N401),$N$2:$N$1001,0),0), INDEX($U$1004:$AC$1004,1,MATCH(COLUMNS($U$1006:Z1006),$U$1006:$AC$1006,0)))),"Fix")))</f>
        <v>0</v>
      </c>
      <c r="H401" s="3">
        <f>IF(OR(INDEX($O$2:$O$1001,MATCH(ROWS($N$2:N401),$N$2:$N$1001,0),1)&gt;=100000,INDEX($U$1005:$AC$1005,1,MATCH(COLUMNS($U$1006:AA1006),$U$1006:$AC$1006,0))&gt;=100000), " ",IF(INDEX($U$2:$AC$1001,MATCH(ROWS($N$2:N401),$N$2:$N$1001,0),MATCH(COLUMNS($U$1006:AA1006),$U$1006:$AC$1006,0)), HYPERLINK("#",""), HYPERLINK(CONCATENATE("#metadata!", ADDRESS(INDEX($P$2:$P$1001,MATCH(ROWS($N$2:N401),$N$2:$N$1001,0),0), INDEX($U$1004:$AC$1004,1,MATCH(COLUMNS($U$1006:AA1006),$U$1006:$AC$1006,0)))),"Fix")))</f>
        <v>0</v>
      </c>
      <c r="I401" s="3">
        <f>IF(OR(INDEX($O$2:$O$1001,MATCH(ROWS($N$2:N401),$N$2:$N$1001,0),1)&gt;=100000,INDEX($U$1005:$AC$1005,1,MATCH(COLUMNS($U$1006:AB1006),$U$1006:$AC$1006,0))&gt;=100000), " ",IF(INDEX($U$2:$AC$1001,MATCH(ROWS($N$2:N401),$N$2:$N$1001,0),MATCH(COLUMNS($U$1006:AB1006),$U$1006:$AC$1006,0)), HYPERLINK("#",""), HYPERLINK(CONCATENATE("#metadata!", ADDRESS(INDEX($P$2:$P$1001,MATCH(ROWS($N$2:N401),$N$2:$N$1001,0),0), INDEX($U$1004:$AC$1004,1,MATCH(COLUMNS($U$1006:AB1006),$U$1006:$AC$1006,0)))),"Fix")))</f>
        <v>0</v>
      </c>
      <c r="J401" s="3">
        <f>IF(OR(INDEX($O$2:$O$1001,MATCH(ROWS($N$2:N401),$N$2:$N$1001,0),1)&gt;=100000,INDEX($U$1005:$AC$1005,1,MATCH(COLUMNS($U$1006:AC1006),$U$1006:$AC$1006,0))&gt;=100000), " ",IF(INDEX($U$2:$AC$1001,MATCH(ROWS($N$2:N401),$N$2:$N$1001,0),MATCH(COLUMNS($U$1006:AC1006),$U$1006:$AC$1006,0)), HYPERLINK("#",""), HYPERLINK(CONCATENATE("#metadata!", ADDRESS(INDEX($P$2:$P$1001,MATCH(ROWS($N$2:N401),$N$2:$N$1001,0),0), INDEX($U$1004:$AC$1004,1,MATCH(COLUMNS($U$1006:AC1006),$U$1006:$AC$1006,0)))),"Fix")))</f>
        <v>0</v>
      </c>
      <c r="N401">
        <v>0</v>
      </c>
      <c r="O401">
        <v>0</v>
      </c>
      <c r="P401">
        <v>0</v>
      </c>
      <c r="Q401">
        <f>IF(R401,TRUE,AND(U401:AC401))</f>
        <v>0</v>
      </c>
      <c r="R401">
        <f>COUNTBLANK(metadata!B401:J401)=COLUMNS(metadata!B401:J401)</f>
        <v>0</v>
      </c>
      <c r="S401">
        <v>0</v>
      </c>
      <c r="U401">
        <f>AND(IF(metadata!B401="",FALSE,TRUE),COUNTIF(metadata!B:B, metadata!B401) = 1,NOT(ISERROR(SUMPRODUCT(SEARCH(MID(metadata!B401,ROW(INDIRECT("1:"&amp;LEN(metadata!B401))), 1),"0123456789abcdefghijklmnopqrstuvwxyzABCDEFGHIJKLMNOPQRSTUVWXYZ.")))))</f>
        <v>0</v>
      </c>
      <c r="V401">
        <f>AND(IF(metadata!C401="",FALSE,TRUE),exact(metadata!C401,"UBERON:genitourinary"))</f>
        <v>0</v>
      </c>
      <c r="W401">
        <f>AND(IF(metadata!D401="",FALSE,TRUE),exact(metadata!D401,"UBERON:urine"))</f>
        <v>0</v>
      </c>
      <c r="X401">
        <f>AND(IF(metadata!E401="",FALSE,TRUE),exact(metadata!E401,"UBERON:kidney"))</f>
        <v>0</v>
      </c>
      <c r="Y401">
        <f>AND(IF(metadata!F401="",FALSE,TRUE),exact(metadata!F401,"animal corpus"))</f>
        <v>0</v>
      </c>
      <c r="Z401">
        <f>AND(IF(metadata!G401="",FALSE,TRUE),exact(metadata!G401,"urine"))</f>
        <v>0</v>
      </c>
      <c r="AA401">
        <f>AND(IF(metadata!H401="",FALSE,TRUE),exact(metadata!H401,"urine"))</f>
        <v>0</v>
      </c>
      <c r="AB401">
        <f>AND(IF(metadata!I401="",FALSE,TRUE),exact(metadata!I401,"urine metagenome"))</f>
        <v>0</v>
      </c>
      <c r="AC401">
        <f>AND(IF(metadata!J401="",FALSE,TRUE),exact(metadata!J401,"1346744"))</f>
        <v>0</v>
      </c>
    </row>
    <row r="402" spans="1:29">
      <c r="A402" s="4">
        <f>IF(B402=" "," ",HYPERLINK(CONCATENATE("#metadata!",ADDRESS(INDEX($P$2:$P$1001,MATCH(ROWS($N$2:N402),$N$2:$N$1001,0),0),1)),INDEX($S$2:$S$1001,MATCH(ROWS($N$2:N402),$N$2:$N$1001,0),0)))</f>
        <v>0</v>
      </c>
      <c r="B402" s="3">
        <f>IF(OR(INDEX($O$2:$O$1001,MATCH(ROWS($N$2:N402),$N$2:$N$1001,0),1)&gt;=100000,INDEX($U$1005:$AC$1005,1,MATCH(COLUMNS($U$1006:U1006),$U$1006:$AC$1006,0))&gt;=100000), " ",IF(INDEX($U$2:$AC$1001,MATCH(ROWS($N$2:N402),$N$2:$N$1001,0),MATCH(COLUMNS($U$1006:U1006),$U$1006:$AC$1006,0)), HYPERLINK("#",""), HYPERLINK(CONCATENATE("#metadata!", ADDRESS(INDEX($P$2:$P$1001,MATCH(ROWS($N$2:N402),$N$2:$N$1001,0),0), INDEX($U$1004:$AC$1004,1,MATCH(COLUMNS($U$1006:U1006),$U$1006:$AC$1006,0)))),"Fix")))</f>
        <v>0</v>
      </c>
      <c r="C402" s="3">
        <f>IF(OR(INDEX($O$2:$O$1001,MATCH(ROWS($N$2:N402),$N$2:$N$1001,0),1)&gt;=100000,INDEX($U$1005:$AC$1005,1,MATCH(COLUMNS($U$1006:V1006),$U$1006:$AC$1006,0))&gt;=100000), " ",IF(INDEX($U$2:$AC$1001,MATCH(ROWS($N$2:N402),$N$2:$N$1001,0),MATCH(COLUMNS($U$1006:V1006),$U$1006:$AC$1006,0)), HYPERLINK("#",""), HYPERLINK(CONCATENATE("#metadata!", ADDRESS(INDEX($P$2:$P$1001,MATCH(ROWS($N$2:N402),$N$2:$N$1001,0),0), INDEX($U$1004:$AC$1004,1,MATCH(COLUMNS($U$1006:V1006),$U$1006:$AC$1006,0)))),"Fix")))</f>
        <v>0</v>
      </c>
      <c r="D402" s="3">
        <f>IF(OR(INDEX($O$2:$O$1001,MATCH(ROWS($N$2:N402),$N$2:$N$1001,0),1)&gt;=100000,INDEX($U$1005:$AC$1005,1,MATCH(COLUMNS($U$1006:W1006),$U$1006:$AC$1006,0))&gt;=100000), " ",IF(INDEX($U$2:$AC$1001,MATCH(ROWS($N$2:N402),$N$2:$N$1001,0),MATCH(COLUMNS($U$1006:W1006),$U$1006:$AC$1006,0)), HYPERLINK("#",""), HYPERLINK(CONCATENATE("#metadata!", ADDRESS(INDEX($P$2:$P$1001,MATCH(ROWS($N$2:N402),$N$2:$N$1001,0),0), INDEX($U$1004:$AC$1004,1,MATCH(COLUMNS($U$1006:W1006),$U$1006:$AC$1006,0)))),"Fix")))</f>
        <v>0</v>
      </c>
      <c r="E402" s="3">
        <f>IF(OR(INDEX($O$2:$O$1001,MATCH(ROWS($N$2:N402),$N$2:$N$1001,0),1)&gt;=100000,INDEX($U$1005:$AC$1005,1,MATCH(COLUMNS($U$1006:X1006),$U$1006:$AC$1006,0))&gt;=100000), " ",IF(INDEX($U$2:$AC$1001,MATCH(ROWS($N$2:N402),$N$2:$N$1001,0),MATCH(COLUMNS($U$1006:X1006),$U$1006:$AC$1006,0)), HYPERLINK("#",""), HYPERLINK(CONCATENATE("#metadata!", ADDRESS(INDEX($P$2:$P$1001,MATCH(ROWS($N$2:N402),$N$2:$N$1001,0),0), INDEX($U$1004:$AC$1004,1,MATCH(COLUMNS($U$1006:X1006),$U$1006:$AC$1006,0)))),"Fix")))</f>
        <v>0</v>
      </c>
      <c r="F402" s="3">
        <f>IF(OR(INDEX($O$2:$O$1001,MATCH(ROWS($N$2:N402),$N$2:$N$1001,0),1)&gt;=100000,INDEX($U$1005:$AC$1005,1,MATCH(COLUMNS($U$1006:Y1006),$U$1006:$AC$1006,0))&gt;=100000), " ",IF(INDEX($U$2:$AC$1001,MATCH(ROWS($N$2:N402),$N$2:$N$1001,0),MATCH(COLUMNS($U$1006:Y1006),$U$1006:$AC$1006,0)), HYPERLINK("#",""), HYPERLINK(CONCATENATE("#metadata!", ADDRESS(INDEX($P$2:$P$1001,MATCH(ROWS($N$2:N402),$N$2:$N$1001,0),0), INDEX($U$1004:$AC$1004,1,MATCH(COLUMNS($U$1006:Y1006),$U$1006:$AC$1006,0)))),"Fix")))</f>
        <v>0</v>
      </c>
      <c r="G402" s="3">
        <f>IF(OR(INDEX($O$2:$O$1001,MATCH(ROWS($N$2:N402),$N$2:$N$1001,0),1)&gt;=100000,INDEX($U$1005:$AC$1005,1,MATCH(COLUMNS($U$1006:Z1006),$U$1006:$AC$1006,0))&gt;=100000), " ",IF(INDEX($U$2:$AC$1001,MATCH(ROWS($N$2:N402),$N$2:$N$1001,0),MATCH(COLUMNS($U$1006:Z1006),$U$1006:$AC$1006,0)), HYPERLINK("#",""), HYPERLINK(CONCATENATE("#metadata!", ADDRESS(INDEX($P$2:$P$1001,MATCH(ROWS($N$2:N402),$N$2:$N$1001,0),0), INDEX($U$1004:$AC$1004,1,MATCH(COLUMNS($U$1006:Z1006),$U$1006:$AC$1006,0)))),"Fix")))</f>
        <v>0</v>
      </c>
      <c r="H402" s="3">
        <f>IF(OR(INDEX($O$2:$O$1001,MATCH(ROWS($N$2:N402),$N$2:$N$1001,0),1)&gt;=100000,INDEX($U$1005:$AC$1005,1,MATCH(COLUMNS($U$1006:AA1006),$U$1006:$AC$1006,0))&gt;=100000), " ",IF(INDEX($U$2:$AC$1001,MATCH(ROWS($N$2:N402),$N$2:$N$1001,0),MATCH(COLUMNS($U$1006:AA1006),$U$1006:$AC$1006,0)), HYPERLINK("#",""), HYPERLINK(CONCATENATE("#metadata!", ADDRESS(INDEX($P$2:$P$1001,MATCH(ROWS($N$2:N402),$N$2:$N$1001,0),0), INDEX($U$1004:$AC$1004,1,MATCH(COLUMNS($U$1006:AA1006),$U$1006:$AC$1006,0)))),"Fix")))</f>
        <v>0</v>
      </c>
      <c r="I402" s="3">
        <f>IF(OR(INDEX($O$2:$O$1001,MATCH(ROWS($N$2:N402),$N$2:$N$1001,0),1)&gt;=100000,INDEX($U$1005:$AC$1005,1,MATCH(COLUMNS($U$1006:AB1006),$U$1006:$AC$1006,0))&gt;=100000), " ",IF(INDEX($U$2:$AC$1001,MATCH(ROWS($N$2:N402),$N$2:$N$1001,0),MATCH(COLUMNS($U$1006:AB1006),$U$1006:$AC$1006,0)), HYPERLINK("#",""), HYPERLINK(CONCATENATE("#metadata!", ADDRESS(INDEX($P$2:$P$1001,MATCH(ROWS($N$2:N402),$N$2:$N$1001,0),0), INDEX($U$1004:$AC$1004,1,MATCH(COLUMNS($U$1006:AB1006),$U$1006:$AC$1006,0)))),"Fix")))</f>
        <v>0</v>
      </c>
      <c r="J402" s="3">
        <f>IF(OR(INDEX($O$2:$O$1001,MATCH(ROWS($N$2:N402),$N$2:$N$1001,0),1)&gt;=100000,INDEX($U$1005:$AC$1005,1,MATCH(COLUMNS($U$1006:AC1006),$U$1006:$AC$1006,0))&gt;=100000), " ",IF(INDEX($U$2:$AC$1001,MATCH(ROWS($N$2:N402),$N$2:$N$1001,0),MATCH(COLUMNS($U$1006:AC1006),$U$1006:$AC$1006,0)), HYPERLINK("#",""), HYPERLINK(CONCATENATE("#metadata!", ADDRESS(INDEX($P$2:$P$1001,MATCH(ROWS($N$2:N402),$N$2:$N$1001,0),0), INDEX($U$1004:$AC$1004,1,MATCH(COLUMNS($U$1006:AC1006),$U$1006:$AC$1006,0)))),"Fix")))</f>
        <v>0</v>
      </c>
      <c r="N402">
        <v>0</v>
      </c>
      <c r="O402">
        <v>0</v>
      </c>
      <c r="P402">
        <v>0</v>
      </c>
      <c r="Q402">
        <f>IF(R402,TRUE,AND(U402:AC402))</f>
        <v>0</v>
      </c>
      <c r="R402">
        <f>COUNTBLANK(metadata!B402:J402)=COLUMNS(metadata!B402:J402)</f>
        <v>0</v>
      </c>
      <c r="S402">
        <v>0</v>
      </c>
      <c r="U402">
        <f>AND(IF(metadata!B402="",FALSE,TRUE),COUNTIF(metadata!B:B, metadata!B402) = 1,NOT(ISERROR(SUMPRODUCT(SEARCH(MID(metadata!B402,ROW(INDIRECT("1:"&amp;LEN(metadata!B402))), 1),"0123456789abcdefghijklmnopqrstuvwxyzABCDEFGHIJKLMNOPQRSTUVWXYZ.")))))</f>
        <v>0</v>
      </c>
      <c r="V402">
        <f>AND(IF(metadata!C402="",FALSE,TRUE),exact(metadata!C402,"UBERON:genitourinary"))</f>
        <v>0</v>
      </c>
      <c r="W402">
        <f>AND(IF(metadata!D402="",FALSE,TRUE),exact(metadata!D402,"UBERON:urine"))</f>
        <v>0</v>
      </c>
      <c r="X402">
        <f>AND(IF(metadata!E402="",FALSE,TRUE),exact(metadata!E402,"UBERON:kidney"))</f>
        <v>0</v>
      </c>
      <c r="Y402">
        <f>AND(IF(metadata!F402="",FALSE,TRUE),exact(metadata!F402,"animal corpus"))</f>
        <v>0</v>
      </c>
      <c r="Z402">
        <f>AND(IF(metadata!G402="",FALSE,TRUE),exact(metadata!G402,"urine"))</f>
        <v>0</v>
      </c>
      <c r="AA402">
        <f>AND(IF(metadata!H402="",FALSE,TRUE),exact(metadata!H402,"urine"))</f>
        <v>0</v>
      </c>
      <c r="AB402">
        <f>AND(IF(metadata!I402="",FALSE,TRUE),exact(metadata!I402,"urine metagenome"))</f>
        <v>0</v>
      </c>
      <c r="AC402">
        <f>AND(IF(metadata!J402="",FALSE,TRUE),exact(metadata!J402,"1346744"))</f>
        <v>0</v>
      </c>
    </row>
    <row r="403" spans="1:29">
      <c r="A403" s="4">
        <f>IF(B403=" "," ",HYPERLINK(CONCATENATE("#metadata!",ADDRESS(INDEX($P$2:$P$1001,MATCH(ROWS($N$2:N403),$N$2:$N$1001,0),0),1)),INDEX($S$2:$S$1001,MATCH(ROWS($N$2:N403),$N$2:$N$1001,0),0)))</f>
        <v>0</v>
      </c>
      <c r="B403" s="3">
        <f>IF(OR(INDEX($O$2:$O$1001,MATCH(ROWS($N$2:N403),$N$2:$N$1001,0),1)&gt;=100000,INDEX($U$1005:$AC$1005,1,MATCH(COLUMNS($U$1006:U1006),$U$1006:$AC$1006,0))&gt;=100000), " ",IF(INDEX($U$2:$AC$1001,MATCH(ROWS($N$2:N403),$N$2:$N$1001,0),MATCH(COLUMNS($U$1006:U1006),$U$1006:$AC$1006,0)), HYPERLINK("#",""), HYPERLINK(CONCATENATE("#metadata!", ADDRESS(INDEX($P$2:$P$1001,MATCH(ROWS($N$2:N403),$N$2:$N$1001,0),0), INDEX($U$1004:$AC$1004,1,MATCH(COLUMNS($U$1006:U1006),$U$1006:$AC$1006,0)))),"Fix")))</f>
        <v>0</v>
      </c>
      <c r="C403" s="3">
        <f>IF(OR(INDEX($O$2:$O$1001,MATCH(ROWS($N$2:N403),$N$2:$N$1001,0),1)&gt;=100000,INDEX($U$1005:$AC$1005,1,MATCH(COLUMNS($U$1006:V1006),$U$1006:$AC$1006,0))&gt;=100000), " ",IF(INDEX($U$2:$AC$1001,MATCH(ROWS($N$2:N403),$N$2:$N$1001,0),MATCH(COLUMNS($U$1006:V1006),$U$1006:$AC$1006,0)), HYPERLINK("#",""), HYPERLINK(CONCATENATE("#metadata!", ADDRESS(INDEX($P$2:$P$1001,MATCH(ROWS($N$2:N403),$N$2:$N$1001,0),0), INDEX($U$1004:$AC$1004,1,MATCH(COLUMNS($U$1006:V1006),$U$1006:$AC$1006,0)))),"Fix")))</f>
        <v>0</v>
      </c>
      <c r="D403" s="3">
        <f>IF(OR(INDEX($O$2:$O$1001,MATCH(ROWS($N$2:N403),$N$2:$N$1001,0),1)&gt;=100000,INDEX($U$1005:$AC$1005,1,MATCH(COLUMNS($U$1006:W1006),$U$1006:$AC$1006,0))&gt;=100000), " ",IF(INDEX($U$2:$AC$1001,MATCH(ROWS($N$2:N403),$N$2:$N$1001,0),MATCH(COLUMNS($U$1006:W1006),$U$1006:$AC$1006,0)), HYPERLINK("#",""), HYPERLINK(CONCATENATE("#metadata!", ADDRESS(INDEX($P$2:$P$1001,MATCH(ROWS($N$2:N403),$N$2:$N$1001,0),0), INDEX($U$1004:$AC$1004,1,MATCH(COLUMNS($U$1006:W1006),$U$1006:$AC$1006,0)))),"Fix")))</f>
        <v>0</v>
      </c>
      <c r="E403" s="3">
        <f>IF(OR(INDEX($O$2:$O$1001,MATCH(ROWS($N$2:N403),$N$2:$N$1001,0),1)&gt;=100000,INDEX($U$1005:$AC$1005,1,MATCH(COLUMNS($U$1006:X1006),$U$1006:$AC$1006,0))&gt;=100000), " ",IF(INDEX($U$2:$AC$1001,MATCH(ROWS($N$2:N403),$N$2:$N$1001,0),MATCH(COLUMNS($U$1006:X1006),$U$1006:$AC$1006,0)), HYPERLINK("#",""), HYPERLINK(CONCATENATE("#metadata!", ADDRESS(INDEX($P$2:$P$1001,MATCH(ROWS($N$2:N403),$N$2:$N$1001,0),0), INDEX($U$1004:$AC$1004,1,MATCH(COLUMNS($U$1006:X1006),$U$1006:$AC$1006,0)))),"Fix")))</f>
        <v>0</v>
      </c>
      <c r="F403" s="3">
        <f>IF(OR(INDEX($O$2:$O$1001,MATCH(ROWS($N$2:N403),$N$2:$N$1001,0),1)&gt;=100000,INDEX($U$1005:$AC$1005,1,MATCH(COLUMNS($U$1006:Y1006),$U$1006:$AC$1006,0))&gt;=100000), " ",IF(INDEX($U$2:$AC$1001,MATCH(ROWS($N$2:N403),$N$2:$N$1001,0),MATCH(COLUMNS($U$1006:Y1006),$U$1006:$AC$1006,0)), HYPERLINK("#",""), HYPERLINK(CONCATENATE("#metadata!", ADDRESS(INDEX($P$2:$P$1001,MATCH(ROWS($N$2:N403),$N$2:$N$1001,0),0), INDEX($U$1004:$AC$1004,1,MATCH(COLUMNS($U$1006:Y1006),$U$1006:$AC$1006,0)))),"Fix")))</f>
        <v>0</v>
      </c>
      <c r="G403" s="3">
        <f>IF(OR(INDEX($O$2:$O$1001,MATCH(ROWS($N$2:N403),$N$2:$N$1001,0),1)&gt;=100000,INDEX($U$1005:$AC$1005,1,MATCH(COLUMNS($U$1006:Z1006),$U$1006:$AC$1006,0))&gt;=100000), " ",IF(INDEX($U$2:$AC$1001,MATCH(ROWS($N$2:N403),$N$2:$N$1001,0),MATCH(COLUMNS($U$1006:Z1006),$U$1006:$AC$1006,0)), HYPERLINK("#",""), HYPERLINK(CONCATENATE("#metadata!", ADDRESS(INDEX($P$2:$P$1001,MATCH(ROWS($N$2:N403),$N$2:$N$1001,0),0), INDEX($U$1004:$AC$1004,1,MATCH(COLUMNS($U$1006:Z1006),$U$1006:$AC$1006,0)))),"Fix")))</f>
        <v>0</v>
      </c>
      <c r="H403" s="3">
        <f>IF(OR(INDEX($O$2:$O$1001,MATCH(ROWS($N$2:N403),$N$2:$N$1001,0),1)&gt;=100000,INDEX($U$1005:$AC$1005,1,MATCH(COLUMNS($U$1006:AA1006),$U$1006:$AC$1006,0))&gt;=100000), " ",IF(INDEX($U$2:$AC$1001,MATCH(ROWS($N$2:N403),$N$2:$N$1001,0),MATCH(COLUMNS($U$1006:AA1006),$U$1006:$AC$1006,0)), HYPERLINK("#",""), HYPERLINK(CONCATENATE("#metadata!", ADDRESS(INDEX($P$2:$P$1001,MATCH(ROWS($N$2:N403),$N$2:$N$1001,0),0), INDEX($U$1004:$AC$1004,1,MATCH(COLUMNS($U$1006:AA1006),$U$1006:$AC$1006,0)))),"Fix")))</f>
        <v>0</v>
      </c>
      <c r="I403" s="3">
        <f>IF(OR(INDEX($O$2:$O$1001,MATCH(ROWS($N$2:N403),$N$2:$N$1001,0),1)&gt;=100000,INDEX($U$1005:$AC$1005,1,MATCH(COLUMNS($U$1006:AB1006),$U$1006:$AC$1006,0))&gt;=100000), " ",IF(INDEX($U$2:$AC$1001,MATCH(ROWS($N$2:N403),$N$2:$N$1001,0),MATCH(COLUMNS($U$1006:AB1006),$U$1006:$AC$1006,0)), HYPERLINK("#",""), HYPERLINK(CONCATENATE("#metadata!", ADDRESS(INDEX($P$2:$P$1001,MATCH(ROWS($N$2:N403),$N$2:$N$1001,0),0), INDEX($U$1004:$AC$1004,1,MATCH(COLUMNS($U$1006:AB1006),$U$1006:$AC$1006,0)))),"Fix")))</f>
        <v>0</v>
      </c>
      <c r="J403" s="3">
        <f>IF(OR(INDEX($O$2:$O$1001,MATCH(ROWS($N$2:N403),$N$2:$N$1001,0),1)&gt;=100000,INDEX($U$1005:$AC$1005,1,MATCH(COLUMNS($U$1006:AC1006),$U$1006:$AC$1006,0))&gt;=100000), " ",IF(INDEX($U$2:$AC$1001,MATCH(ROWS($N$2:N403),$N$2:$N$1001,0),MATCH(COLUMNS($U$1006:AC1006),$U$1006:$AC$1006,0)), HYPERLINK("#",""), HYPERLINK(CONCATENATE("#metadata!", ADDRESS(INDEX($P$2:$P$1001,MATCH(ROWS($N$2:N403),$N$2:$N$1001,0),0), INDEX($U$1004:$AC$1004,1,MATCH(COLUMNS($U$1006:AC1006),$U$1006:$AC$1006,0)))),"Fix")))</f>
        <v>0</v>
      </c>
      <c r="N403">
        <v>0</v>
      </c>
      <c r="O403">
        <v>0</v>
      </c>
      <c r="P403">
        <v>0</v>
      </c>
      <c r="Q403">
        <f>IF(R403,TRUE,AND(U403:AC403))</f>
        <v>0</v>
      </c>
      <c r="R403">
        <f>COUNTBLANK(metadata!B403:J403)=COLUMNS(metadata!B403:J403)</f>
        <v>0</v>
      </c>
      <c r="S403">
        <v>0</v>
      </c>
      <c r="U403">
        <f>AND(IF(metadata!B403="",FALSE,TRUE),COUNTIF(metadata!B:B, metadata!B403) = 1,NOT(ISERROR(SUMPRODUCT(SEARCH(MID(metadata!B403,ROW(INDIRECT("1:"&amp;LEN(metadata!B403))), 1),"0123456789abcdefghijklmnopqrstuvwxyzABCDEFGHIJKLMNOPQRSTUVWXYZ.")))))</f>
        <v>0</v>
      </c>
      <c r="V403">
        <f>AND(IF(metadata!C403="",FALSE,TRUE),exact(metadata!C403,"UBERON:genitourinary"))</f>
        <v>0</v>
      </c>
      <c r="W403">
        <f>AND(IF(metadata!D403="",FALSE,TRUE),exact(metadata!D403,"UBERON:urine"))</f>
        <v>0</v>
      </c>
      <c r="X403">
        <f>AND(IF(metadata!E403="",FALSE,TRUE),exact(metadata!E403,"UBERON:kidney"))</f>
        <v>0</v>
      </c>
      <c r="Y403">
        <f>AND(IF(metadata!F403="",FALSE,TRUE),exact(metadata!F403,"animal corpus"))</f>
        <v>0</v>
      </c>
      <c r="Z403">
        <f>AND(IF(metadata!G403="",FALSE,TRUE),exact(metadata!G403,"urine"))</f>
        <v>0</v>
      </c>
      <c r="AA403">
        <f>AND(IF(metadata!H403="",FALSE,TRUE),exact(metadata!H403,"urine"))</f>
        <v>0</v>
      </c>
      <c r="AB403">
        <f>AND(IF(metadata!I403="",FALSE,TRUE),exact(metadata!I403,"urine metagenome"))</f>
        <v>0</v>
      </c>
      <c r="AC403">
        <f>AND(IF(metadata!J403="",FALSE,TRUE),exact(metadata!J403,"1346744"))</f>
        <v>0</v>
      </c>
    </row>
    <row r="404" spans="1:29">
      <c r="A404" s="4">
        <f>IF(B404=" "," ",HYPERLINK(CONCATENATE("#metadata!",ADDRESS(INDEX($P$2:$P$1001,MATCH(ROWS($N$2:N404),$N$2:$N$1001,0),0),1)),INDEX($S$2:$S$1001,MATCH(ROWS($N$2:N404),$N$2:$N$1001,0),0)))</f>
        <v>0</v>
      </c>
      <c r="B404" s="3">
        <f>IF(OR(INDEX($O$2:$O$1001,MATCH(ROWS($N$2:N404),$N$2:$N$1001,0),1)&gt;=100000,INDEX($U$1005:$AC$1005,1,MATCH(COLUMNS($U$1006:U1006),$U$1006:$AC$1006,0))&gt;=100000), " ",IF(INDEX($U$2:$AC$1001,MATCH(ROWS($N$2:N404),$N$2:$N$1001,0),MATCH(COLUMNS($U$1006:U1006),$U$1006:$AC$1006,0)), HYPERLINK("#",""), HYPERLINK(CONCATENATE("#metadata!", ADDRESS(INDEX($P$2:$P$1001,MATCH(ROWS($N$2:N404),$N$2:$N$1001,0),0), INDEX($U$1004:$AC$1004,1,MATCH(COLUMNS($U$1006:U1006),$U$1006:$AC$1006,0)))),"Fix")))</f>
        <v>0</v>
      </c>
      <c r="C404" s="3">
        <f>IF(OR(INDEX($O$2:$O$1001,MATCH(ROWS($N$2:N404),$N$2:$N$1001,0),1)&gt;=100000,INDEX($U$1005:$AC$1005,1,MATCH(COLUMNS($U$1006:V1006),$U$1006:$AC$1006,0))&gt;=100000), " ",IF(INDEX($U$2:$AC$1001,MATCH(ROWS($N$2:N404),$N$2:$N$1001,0),MATCH(COLUMNS($U$1006:V1006),$U$1006:$AC$1006,0)), HYPERLINK("#",""), HYPERLINK(CONCATENATE("#metadata!", ADDRESS(INDEX($P$2:$P$1001,MATCH(ROWS($N$2:N404),$N$2:$N$1001,0),0), INDEX($U$1004:$AC$1004,1,MATCH(COLUMNS($U$1006:V1006),$U$1006:$AC$1006,0)))),"Fix")))</f>
        <v>0</v>
      </c>
      <c r="D404" s="3">
        <f>IF(OR(INDEX($O$2:$O$1001,MATCH(ROWS($N$2:N404),$N$2:$N$1001,0),1)&gt;=100000,INDEX($U$1005:$AC$1005,1,MATCH(COLUMNS($U$1006:W1006),$U$1006:$AC$1006,0))&gt;=100000), " ",IF(INDEX($U$2:$AC$1001,MATCH(ROWS($N$2:N404),$N$2:$N$1001,0),MATCH(COLUMNS($U$1006:W1006),$U$1006:$AC$1006,0)), HYPERLINK("#",""), HYPERLINK(CONCATENATE("#metadata!", ADDRESS(INDEX($P$2:$P$1001,MATCH(ROWS($N$2:N404),$N$2:$N$1001,0),0), INDEX($U$1004:$AC$1004,1,MATCH(COLUMNS($U$1006:W1006),$U$1006:$AC$1006,0)))),"Fix")))</f>
        <v>0</v>
      </c>
      <c r="E404" s="3">
        <f>IF(OR(INDEX($O$2:$O$1001,MATCH(ROWS($N$2:N404),$N$2:$N$1001,0),1)&gt;=100000,INDEX($U$1005:$AC$1005,1,MATCH(COLUMNS($U$1006:X1006),$U$1006:$AC$1006,0))&gt;=100000), " ",IF(INDEX($U$2:$AC$1001,MATCH(ROWS($N$2:N404),$N$2:$N$1001,0),MATCH(COLUMNS($U$1006:X1006),$U$1006:$AC$1006,0)), HYPERLINK("#",""), HYPERLINK(CONCATENATE("#metadata!", ADDRESS(INDEX($P$2:$P$1001,MATCH(ROWS($N$2:N404),$N$2:$N$1001,0),0), INDEX($U$1004:$AC$1004,1,MATCH(COLUMNS($U$1006:X1006),$U$1006:$AC$1006,0)))),"Fix")))</f>
        <v>0</v>
      </c>
      <c r="F404" s="3">
        <f>IF(OR(INDEX($O$2:$O$1001,MATCH(ROWS($N$2:N404),$N$2:$N$1001,0),1)&gt;=100000,INDEX($U$1005:$AC$1005,1,MATCH(COLUMNS($U$1006:Y1006),$U$1006:$AC$1006,0))&gt;=100000), " ",IF(INDEX($U$2:$AC$1001,MATCH(ROWS($N$2:N404),$N$2:$N$1001,0),MATCH(COLUMNS($U$1006:Y1006),$U$1006:$AC$1006,0)), HYPERLINK("#",""), HYPERLINK(CONCATENATE("#metadata!", ADDRESS(INDEX($P$2:$P$1001,MATCH(ROWS($N$2:N404),$N$2:$N$1001,0),0), INDEX($U$1004:$AC$1004,1,MATCH(COLUMNS($U$1006:Y1006),$U$1006:$AC$1006,0)))),"Fix")))</f>
        <v>0</v>
      </c>
      <c r="G404" s="3">
        <f>IF(OR(INDEX($O$2:$O$1001,MATCH(ROWS($N$2:N404),$N$2:$N$1001,0),1)&gt;=100000,INDEX($U$1005:$AC$1005,1,MATCH(COLUMNS($U$1006:Z1006),$U$1006:$AC$1006,0))&gt;=100000), " ",IF(INDEX($U$2:$AC$1001,MATCH(ROWS($N$2:N404),$N$2:$N$1001,0),MATCH(COLUMNS($U$1006:Z1006),$U$1006:$AC$1006,0)), HYPERLINK("#",""), HYPERLINK(CONCATENATE("#metadata!", ADDRESS(INDEX($P$2:$P$1001,MATCH(ROWS($N$2:N404),$N$2:$N$1001,0),0), INDEX($U$1004:$AC$1004,1,MATCH(COLUMNS($U$1006:Z1006),$U$1006:$AC$1006,0)))),"Fix")))</f>
        <v>0</v>
      </c>
      <c r="H404" s="3">
        <f>IF(OR(INDEX($O$2:$O$1001,MATCH(ROWS($N$2:N404),$N$2:$N$1001,0),1)&gt;=100000,INDEX($U$1005:$AC$1005,1,MATCH(COLUMNS($U$1006:AA1006),$U$1006:$AC$1006,0))&gt;=100000), " ",IF(INDEX($U$2:$AC$1001,MATCH(ROWS($N$2:N404),$N$2:$N$1001,0),MATCH(COLUMNS($U$1006:AA1006),$U$1006:$AC$1006,0)), HYPERLINK("#",""), HYPERLINK(CONCATENATE("#metadata!", ADDRESS(INDEX($P$2:$P$1001,MATCH(ROWS($N$2:N404),$N$2:$N$1001,0),0), INDEX($U$1004:$AC$1004,1,MATCH(COLUMNS($U$1006:AA1006),$U$1006:$AC$1006,0)))),"Fix")))</f>
        <v>0</v>
      </c>
      <c r="I404" s="3">
        <f>IF(OR(INDEX($O$2:$O$1001,MATCH(ROWS($N$2:N404),$N$2:$N$1001,0),1)&gt;=100000,INDEX($U$1005:$AC$1005,1,MATCH(COLUMNS($U$1006:AB1006),$U$1006:$AC$1006,0))&gt;=100000), " ",IF(INDEX($U$2:$AC$1001,MATCH(ROWS($N$2:N404),$N$2:$N$1001,0),MATCH(COLUMNS($U$1006:AB1006),$U$1006:$AC$1006,0)), HYPERLINK("#",""), HYPERLINK(CONCATENATE("#metadata!", ADDRESS(INDEX($P$2:$P$1001,MATCH(ROWS($N$2:N404),$N$2:$N$1001,0),0), INDEX($U$1004:$AC$1004,1,MATCH(COLUMNS($U$1006:AB1006),$U$1006:$AC$1006,0)))),"Fix")))</f>
        <v>0</v>
      </c>
      <c r="J404" s="3">
        <f>IF(OR(INDEX($O$2:$O$1001,MATCH(ROWS($N$2:N404),$N$2:$N$1001,0),1)&gt;=100000,INDEX($U$1005:$AC$1005,1,MATCH(COLUMNS($U$1006:AC1006),$U$1006:$AC$1006,0))&gt;=100000), " ",IF(INDEX($U$2:$AC$1001,MATCH(ROWS($N$2:N404),$N$2:$N$1001,0),MATCH(COLUMNS($U$1006:AC1006),$U$1006:$AC$1006,0)), HYPERLINK("#",""), HYPERLINK(CONCATENATE("#metadata!", ADDRESS(INDEX($P$2:$P$1001,MATCH(ROWS($N$2:N404),$N$2:$N$1001,0),0), INDEX($U$1004:$AC$1004,1,MATCH(COLUMNS($U$1006:AC1006),$U$1006:$AC$1006,0)))),"Fix")))</f>
        <v>0</v>
      </c>
      <c r="N404">
        <v>0</v>
      </c>
      <c r="O404">
        <v>0</v>
      </c>
      <c r="P404">
        <v>0</v>
      </c>
      <c r="Q404">
        <f>IF(R404,TRUE,AND(U404:AC404))</f>
        <v>0</v>
      </c>
      <c r="R404">
        <f>COUNTBLANK(metadata!B404:J404)=COLUMNS(metadata!B404:J404)</f>
        <v>0</v>
      </c>
      <c r="S404">
        <v>0</v>
      </c>
      <c r="U404">
        <f>AND(IF(metadata!B404="",FALSE,TRUE),COUNTIF(metadata!B:B, metadata!B404) = 1,NOT(ISERROR(SUMPRODUCT(SEARCH(MID(metadata!B404,ROW(INDIRECT("1:"&amp;LEN(metadata!B404))), 1),"0123456789abcdefghijklmnopqrstuvwxyzABCDEFGHIJKLMNOPQRSTUVWXYZ.")))))</f>
        <v>0</v>
      </c>
      <c r="V404">
        <f>AND(IF(metadata!C404="",FALSE,TRUE),exact(metadata!C404,"UBERON:genitourinary"))</f>
        <v>0</v>
      </c>
      <c r="W404">
        <f>AND(IF(metadata!D404="",FALSE,TRUE),exact(metadata!D404,"UBERON:urine"))</f>
        <v>0</v>
      </c>
      <c r="X404">
        <f>AND(IF(metadata!E404="",FALSE,TRUE),exact(metadata!E404,"UBERON:kidney"))</f>
        <v>0</v>
      </c>
      <c r="Y404">
        <f>AND(IF(metadata!F404="",FALSE,TRUE),exact(metadata!F404,"animal corpus"))</f>
        <v>0</v>
      </c>
      <c r="Z404">
        <f>AND(IF(metadata!G404="",FALSE,TRUE),exact(metadata!G404,"urine"))</f>
        <v>0</v>
      </c>
      <c r="AA404">
        <f>AND(IF(metadata!H404="",FALSE,TRUE),exact(metadata!H404,"urine"))</f>
        <v>0</v>
      </c>
      <c r="AB404">
        <f>AND(IF(metadata!I404="",FALSE,TRUE),exact(metadata!I404,"urine metagenome"))</f>
        <v>0</v>
      </c>
      <c r="AC404">
        <f>AND(IF(metadata!J404="",FALSE,TRUE),exact(metadata!J404,"1346744"))</f>
        <v>0</v>
      </c>
    </row>
    <row r="405" spans="1:29">
      <c r="A405" s="4">
        <f>IF(B405=" "," ",HYPERLINK(CONCATENATE("#metadata!",ADDRESS(INDEX($P$2:$P$1001,MATCH(ROWS($N$2:N405),$N$2:$N$1001,0),0),1)),INDEX($S$2:$S$1001,MATCH(ROWS($N$2:N405),$N$2:$N$1001,0),0)))</f>
        <v>0</v>
      </c>
      <c r="B405" s="3">
        <f>IF(OR(INDEX($O$2:$O$1001,MATCH(ROWS($N$2:N405),$N$2:$N$1001,0),1)&gt;=100000,INDEX($U$1005:$AC$1005,1,MATCH(COLUMNS($U$1006:U1006),$U$1006:$AC$1006,0))&gt;=100000), " ",IF(INDEX($U$2:$AC$1001,MATCH(ROWS($N$2:N405),$N$2:$N$1001,0),MATCH(COLUMNS($U$1006:U1006),$U$1006:$AC$1006,0)), HYPERLINK("#",""), HYPERLINK(CONCATENATE("#metadata!", ADDRESS(INDEX($P$2:$P$1001,MATCH(ROWS($N$2:N405),$N$2:$N$1001,0),0), INDEX($U$1004:$AC$1004,1,MATCH(COLUMNS($U$1006:U1006),$U$1006:$AC$1006,0)))),"Fix")))</f>
        <v>0</v>
      </c>
      <c r="C405" s="3">
        <f>IF(OR(INDEX($O$2:$O$1001,MATCH(ROWS($N$2:N405),$N$2:$N$1001,0),1)&gt;=100000,INDEX($U$1005:$AC$1005,1,MATCH(COLUMNS($U$1006:V1006),$U$1006:$AC$1006,0))&gt;=100000), " ",IF(INDEX($U$2:$AC$1001,MATCH(ROWS($N$2:N405),$N$2:$N$1001,0),MATCH(COLUMNS($U$1006:V1006),$U$1006:$AC$1006,0)), HYPERLINK("#",""), HYPERLINK(CONCATENATE("#metadata!", ADDRESS(INDEX($P$2:$P$1001,MATCH(ROWS($N$2:N405),$N$2:$N$1001,0),0), INDEX($U$1004:$AC$1004,1,MATCH(COLUMNS($U$1006:V1006),$U$1006:$AC$1006,0)))),"Fix")))</f>
        <v>0</v>
      </c>
      <c r="D405" s="3">
        <f>IF(OR(INDEX($O$2:$O$1001,MATCH(ROWS($N$2:N405),$N$2:$N$1001,0),1)&gt;=100000,INDEX($U$1005:$AC$1005,1,MATCH(COLUMNS($U$1006:W1006),$U$1006:$AC$1006,0))&gt;=100000), " ",IF(INDEX($U$2:$AC$1001,MATCH(ROWS($N$2:N405),$N$2:$N$1001,0),MATCH(COLUMNS($U$1006:W1006),$U$1006:$AC$1006,0)), HYPERLINK("#",""), HYPERLINK(CONCATENATE("#metadata!", ADDRESS(INDEX($P$2:$P$1001,MATCH(ROWS($N$2:N405),$N$2:$N$1001,0),0), INDEX($U$1004:$AC$1004,1,MATCH(COLUMNS($U$1006:W1006),$U$1006:$AC$1006,0)))),"Fix")))</f>
        <v>0</v>
      </c>
      <c r="E405" s="3">
        <f>IF(OR(INDEX($O$2:$O$1001,MATCH(ROWS($N$2:N405),$N$2:$N$1001,0),1)&gt;=100000,INDEX($U$1005:$AC$1005,1,MATCH(COLUMNS($U$1006:X1006),$U$1006:$AC$1006,0))&gt;=100000), " ",IF(INDEX($U$2:$AC$1001,MATCH(ROWS($N$2:N405),$N$2:$N$1001,0),MATCH(COLUMNS($U$1006:X1006),$U$1006:$AC$1006,0)), HYPERLINK("#",""), HYPERLINK(CONCATENATE("#metadata!", ADDRESS(INDEX($P$2:$P$1001,MATCH(ROWS($N$2:N405),$N$2:$N$1001,0),0), INDEX($U$1004:$AC$1004,1,MATCH(COLUMNS($U$1006:X1006),$U$1006:$AC$1006,0)))),"Fix")))</f>
        <v>0</v>
      </c>
      <c r="F405" s="3">
        <f>IF(OR(INDEX($O$2:$O$1001,MATCH(ROWS($N$2:N405),$N$2:$N$1001,0),1)&gt;=100000,INDEX($U$1005:$AC$1005,1,MATCH(COLUMNS($U$1006:Y1006),$U$1006:$AC$1006,0))&gt;=100000), " ",IF(INDEX($U$2:$AC$1001,MATCH(ROWS($N$2:N405),$N$2:$N$1001,0),MATCH(COLUMNS($U$1006:Y1006),$U$1006:$AC$1006,0)), HYPERLINK("#",""), HYPERLINK(CONCATENATE("#metadata!", ADDRESS(INDEX($P$2:$P$1001,MATCH(ROWS($N$2:N405),$N$2:$N$1001,0),0), INDEX($U$1004:$AC$1004,1,MATCH(COLUMNS($U$1006:Y1006),$U$1006:$AC$1006,0)))),"Fix")))</f>
        <v>0</v>
      </c>
      <c r="G405" s="3">
        <f>IF(OR(INDEX($O$2:$O$1001,MATCH(ROWS($N$2:N405),$N$2:$N$1001,0),1)&gt;=100000,INDEX($U$1005:$AC$1005,1,MATCH(COLUMNS($U$1006:Z1006),$U$1006:$AC$1006,0))&gt;=100000), " ",IF(INDEX($U$2:$AC$1001,MATCH(ROWS($N$2:N405),$N$2:$N$1001,0),MATCH(COLUMNS($U$1006:Z1006),$U$1006:$AC$1006,0)), HYPERLINK("#",""), HYPERLINK(CONCATENATE("#metadata!", ADDRESS(INDEX($P$2:$P$1001,MATCH(ROWS($N$2:N405),$N$2:$N$1001,0),0), INDEX($U$1004:$AC$1004,1,MATCH(COLUMNS($U$1006:Z1006),$U$1006:$AC$1006,0)))),"Fix")))</f>
        <v>0</v>
      </c>
      <c r="H405" s="3">
        <f>IF(OR(INDEX($O$2:$O$1001,MATCH(ROWS($N$2:N405),$N$2:$N$1001,0),1)&gt;=100000,INDEX($U$1005:$AC$1005,1,MATCH(COLUMNS($U$1006:AA1006),$U$1006:$AC$1006,0))&gt;=100000), " ",IF(INDEX($U$2:$AC$1001,MATCH(ROWS($N$2:N405),$N$2:$N$1001,0),MATCH(COLUMNS($U$1006:AA1006),$U$1006:$AC$1006,0)), HYPERLINK("#",""), HYPERLINK(CONCATENATE("#metadata!", ADDRESS(INDEX($P$2:$P$1001,MATCH(ROWS($N$2:N405),$N$2:$N$1001,0),0), INDEX($U$1004:$AC$1004,1,MATCH(COLUMNS($U$1006:AA1006),$U$1006:$AC$1006,0)))),"Fix")))</f>
        <v>0</v>
      </c>
      <c r="I405" s="3">
        <f>IF(OR(INDEX($O$2:$O$1001,MATCH(ROWS($N$2:N405),$N$2:$N$1001,0),1)&gt;=100000,INDEX($U$1005:$AC$1005,1,MATCH(COLUMNS($U$1006:AB1006),$U$1006:$AC$1006,0))&gt;=100000), " ",IF(INDEX($U$2:$AC$1001,MATCH(ROWS($N$2:N405),$N$2:$N$1001,0),MATCH(COLUMNS($U$1006:AB1006),$U$1006:$AC$1006,0)), HYPERLINK("#",""), HYPERLINK(CONCATENATE("#metadata!", ADDRESS(INDEX($P$2:$P$1001,MATCH(ROWS($N$2:N405),$N$2:$N$1001,0),0), INDEX($U$1004:$AC$1004,1,MATCH(COLUMNS($U$1006:AB1006),$U$1006:$AC$1006,0)))),"Fix")))</f>
        <v>0</v>
      </c>
      <c r="J405" s="3">
        <f>IF(OR(INDEX($O$2:$O$1001,MATCH(ROWS($N$2:N405),$N$2:$N$1001,0),1)&gt;=100000,INDEX($U$1005:$AC$1005,1,MATCH(COLUMNS($U$1006:AC1006),$U$1006:$AC$1006,0))&gt;=100000), " ",IF(INDEX($U$2:$AC$1001,MATCH(ROWS($N$2:N405),$N$2:$N$1001,0),MATCH(COLUMNS($U$1006:AC1006),$U$1006:$AC$1006,0)), HYPERLINK("#",""), HYPERLINK(CONCATENATE("#metadata!", ADDRESS(INDEX($P$2:$P$1001,MATCH(ROWS($N$2:N405),$N$2:$N$1001,0),0), INDEX($U$1004:$AC$1004,1,MATCH(COLUMNS($U$1006:AC1006),$U$1006:$AC$1006,0)))),"Fix")))</f>
        <v>0</v>
      </c>
      <c r="N405">
        <v>0</v>
      </c>
      <c r="O405">
        <v>0</v>
      </c>
      <c r="P405">
        <v>0</v>
      </c>
      <c r="Q405">
        <f>IF(R405,TRUE,AND(U405:AC405))</f>
        <v>0</v>
      </c>
      <c r="R405">
        <f>COUNTBLANK(metadata!B405:J405)=COLUMNS(metadata!B405:J405)</f>
        <v>0</v>
      </c>
      <c r="S405">
        <v>0</v>
      </c>
      <c r="U405">
        <f>AND(IF(metadata!B405="",FALSE,TRUE),COUNTIF(metadata!B:B, metadata!B405) = 1,NOT(ISERROR(SUMPRODUCT(SEARCH(MID(metadata!B405,ROW(INDIRECT("1:"&amp;LEN(metadata!B405))), 1),"0123456789abcdefghijklmnopqrstuvwxyzABCDEFGHIJKLMNOPQRSTUVWXYZ.")))))</f>
        <v>0</v>
      </c>
      <c r="V405">
        <f>AND(IF(metadata!C405="",FALSE,TRUE),exact(metadata!C405,"UBERON:genitourinary"))</f>
        <v>0</v>
      </c>
      <c r="W405">
        <f>AND(IF(metadata!D405="",FALSE,TRUE),exact(metadata!D405,"UBERON:urine"))</f>
        <v>0</v>
      </c>
      <c r="X405">
        <f>AND(IF(metadata!E405="",FALSE,TRUE),exact(metadata!E405,"UBERON:kidney"))</f>
        <v>0</v>
      </c>
      <c r="Y405">
        <f>AND(IF(metadata!F405="",FALSE,TRUE),exact(metadata!F405,"animal corpus"))</f>
        <v>0</v>
      </c>
      <c r="Z405">
        <f>AND(IF(metadata!G405="",FALSE,TRUE),exact(metadata!G405,"urine"))</f>
        <v>0</v>
      </c>
      <c r="AA405">
        <f>AND(IF(metadata!H405="",FALSE,TRUE),exact(metadata!H405,"urine"))</f>
        <v>0</v>
      </c>
      <c r="AB405">
        <f>AND(IF(metadata!I405="",FALSE,TRUE),exact(metadata!I405,"urine metagenome"))</f>
        <v>0</v>
      </c>
      <c r="AC405">
        <f>AND(IF(metadata!J405="",FALSE,TRUE),exact(metadata!J405,"1346744"))</f>
        <v>0</v>
      </c>
    </row>
    <row r="406" spans="1:29">
      <c r="A406" s="4">
        <f>IF(B406=" "," ",HYPERLINK(CONCATENATE("#metadata!",ADDRESS(INDEX($P$2:$P$1001,MATCH(ROWS($N$2:N406),$N$2:$N$1001,0),0),1)),INDEX($S$2:$S$1001,MATCH(ROWS($N$2:N406),$N$2:$N$1001,0),0)))</f>
        <v>0</v>
      </c>
      <c r="B406" s="3">
        <f>IF(OR(INDEX($O$2:$O$1001,MATCH(ROWS($N$2:N406),$N$2:$N$1001,0),1)&gt;=100000,INDEX($U$1005:$AC$1005,1,MATCH(COLUMNS($U$1006:U1006),$U$1006:$AC$1006,0))&gt;=100000), " ",IF(INDEX($U$2:$AC$1001,MATCH(ROWS($N$2:N406),$N$2:$N$1001,0),MATCH(COLUMNS($U$1006:U1006),$U$1006:$AC$1006,0)), HYPERLINK("#",""), HYPERLINK(CONCATENATE("#metadata!", ADDRESS(INDEX($P$2:$P$1001,MATCH(ROWS($N$2:N406),$N$2:$N$1001,0),0), INDEX($U$1004:$AC$1004,1,MATCH(COLUMNS($U$1006:U1006),$U$1006:$AC$1006,0)))),"Fix")))</f>
        <v>0</v>
      </c>
      <c r="C406" s="3">
        <f>IF(OR(INDEX($O$2:$O$1001,MATCH(ROWS($N$2:N406),$N$2:$N$1001,0),1)&gt;=100000,INDEX($U$1005:$AC$1005,1,MATCH(COLUMNS($U$1006:V1006),$U$1006:$AC$1006,0))&gt;=100000), " ",IF(INDEX($U$2:$AC$1001,MATCH(ROWS($N$2:N406),$N$2:$N$1001,0),MATCH(COLUMNS($U$1006:V1006),$U$1006:$AC$1006,0)), HYPERLINK("#",""), HYPERLINK(CONCATENATE("#metadata!", ADDRESS(INDEX($P$2:$P$1001,MATCH(ROWS($N$2:N406),$N$2:$N$1001,0),0), INDEX($U$1004:$AC$1004,1,MATCH(COLUMNS($U$1006:V1006),$U$1006:$AC$1006,0)))),"Fix")))</f>
        <v>0</v>
      </c>
      <c r="D406" s="3">
        <f>IF(OR(INDEX($O$2:$O$1001,MATCH(ROWS($N$2:N406),$N$2:$N$1001,0),1)&gt;=100000,INDEX($U$1005:$AC$1005,1,MATCH(COLUMNS($U$1006:W1006),$U$1006:$AC$1006,0))&gt;=100000), " ",IF(INDEX($U$2:$AC$1001,MATCH(ROWS($N$2:N406),$N$2:$N$1001,0),MATCH(COLUMNS($U$1006:W1006),$U$1006:$AC$1006,0)), HYPERLINK("#",""), HYPERLINK(CONCATENATE("#metadata!", ADDRESS(INDEX($P$2:$P$1001,MATCH(ROWS($N$2:N406),$N$2:$N$1001,0),0), INDEX($U$1004:$AC$1004,1,MATCH(COLUMNS($U$1006:W1006),$U$1006:$AC$1006,0)))),"Fix")))</f>
        <v>0</v>
      </c>
      <c r="E406" s="3">
        <f>IF(OR(INDEX($O$2:$O$1001,MATCH(ROWS($N$2:N406),$N$2:$N$1001,0),1)&gt;=100000,INDEX($U$1005:$AC$1005,1,MATCH(COLUMNS($U$1006:X1006),$U$1006:$AC$1006,0))&gt;=100000), " ",IF(INDEX($U$2:$AC$1001,MATCH(ROWS($N$2:N406),$N$2:$N$1001,0),MATCH(COLUMNS($U$1006:X1006),$U$1006:$AC$1006,0)), HYPERLINK("#",""), HYPERLINK(CONCATENATE("#metadata!", ADDRESS(INDEX($P$2:$P$1001,MATCH(ROWS($N$2:N406),$N$2:$N$1001,0),0), INDEX($U$1004:$AC$1004,1,MATCH(COLUMNS($U$1006:X1006),$U$1006:$AC$1006,0)))),"Fix")))</f>
        <v>0</v>
      </c>
      <c r="F406" s="3">
        <f>IF(OR(INDEX($O$2:$O$1001,MATCH(ROWS($N$2:N406),$N$2:$N$1001,0),1)&gt;=100000,INDEX($U$1005:$AC$1005,1,MATCH(COLUMNS($U$1006:Y1006),$U$1006:$AC$1006,0))&gt;=100000), " ",IF(INDEX($U$2:$AC$1001,MATCH(ROWS($N$2:N406),$N$2:$N$1001,0),MATCH(COLUMNS($U$1006:Y1006),$U$1006:$AC$1006,0)), HYPERLINK("#",""), HYPERLINK(CONCATENATE("#metadata!", ADDRESS(INDEX($P$2:$P$1001,MATCH(ROWS($N$2:N406),$N$2:$N$1001,0),0), INDEX($U$1004:$AC$1004,1,MATCH(COLUMNS($U$1006:Y1006),$U$1006:$AC$1006,0)))),"Fix")))</f>
        <v>0</v>
      </c>
      <c r="G406" s="3">
        <f>IF(OR(INDEX($O$2:$O$1001,MATCH(ROWS($N$2:N406),$N$2:$N$1001,0),1)&gt;=100000,INDEX($U$1005:$AC$1005,1,MATCH(COLUMNS($U$1006:Z1006),$U$1006:$AC$1006,0))&gt;=100000), " ",IF(INDEX($U$2:$AC$1001,MATCH(ROWS($N$2:N406),$N$2:$N$1001,0),MATCH(COLUMNS($U$1006:Z1006),$U$1006:$AC$1006,0)), HYPERLINK("#",""), HYPERLINK(CONCATENATE("#metadata!", ADDRESS(INDEX($P$2:$P$1001,MATCH(ROWS($N$2:N406),$N$2:$N$1001,0),0), INDEX($U$1004:$AC$1004,1,MATCH(COLUMNS($U$1006:Z1006),$U$1006:$AC$1006,0)))),"Fix")))</f>
        <v>0</v>
      </c>
      <c r="H406" s="3">
        <f>IF(OR(INDEX($O$2:$O$1001,MATCH(ROWS($N$2:N406),$N$2:$N$1001,0),1)&gt;=100000,INDEX($U$1005:$AC$1005,1,MATCH(COLUMNS($U$1006:AA1006),$U$1006:$AC$1006,0))&gt;=100000), " ",IF(INDEX($U$2:$AC$1001,MATCH(ROWS($N$2:N406),$N$2:$N$1001,0),MATCH(COLUMNS($U$1006:AA1006),$U$1006:$AC$1006,0)), HYPERLINK("#",""), HYPERLINK(CONCATENATE("#metadata!", ADDRESS(INDEX($P$2:$P$1001,MATCH(ROWS($N$2:N406),$N$2:$N$1001,0),0), INDEX($U$1004:$AC$1004,1,MATCH(COLUMNS($U$1006:AA1006),$U$1006:$AC$1006,0)))),"Fix")))</f>
        <v>0</v>
      </c>
      <c r="I406" s="3">
        <f>IF(OR(INDEX($O$2:$O$1001,MATCH(ROWS($N$2:N406),$N$2:$N$1001,0),1)&gt;=100000,INDEX($U$1005:$AC$1005,1,MATCH(COLUMNS($U$1006:AB1006),$U$1006:$AC$1006,0))&gt;=100000), " ",IF(INDEX($U$2:$AC$1001,MATCH(ROWS($N$2:N406),$N$2:$N$1001,0),MATCH(COLUMNS($U$1006:AB1006),$U$1006:$AC$1006,0)), HYPERLINK("#",""), HYPERLINK(CONCATENATE("#metadata!", ADDRESS(INDEX($P$2:$P$1001,MATCH(ROWS($N$2:N406),$N$2:$N$1001,0),0), INDEX($U$1004:$AC$1004,1,MATCH(COLUMNS($U$1006:AB1006),$U$1006:$AC$1006,0)))),"Fix")))</f>
        <v>0</v>
      </c>
      <c r="J406" s="3">
        <f>IF(OR(INDEX($O$2:$O$1001,MATCH(ROWS($N$2:N406),$N$2:$N$1001,0),1)&gt;=100000,INDEX($U$1005:$AC$1005,1,MATCH(COLUMNS($U$1006:AC1006),$U$1006:$AC$1006,0))&gt;=100000), " ",IF(INDEX($U$2:$AC$1001,MATCH(ROWS($N$2:N406),$N$2:$N$1001,0),MATCH(COLUMNS($U$1006:AC1006),$U$1006:$AC$1006,0)), HYPERLINK("#",""), HYPERLINK(CONCATENATE("#metadata!", ADDRESS(INDEX($P$2:$P$1001,MATCH(ROWS($N$2:N406),$N$2:$N$1001,0),0), INDEX($U$1004:$AC$1004,1,MATCH(COLUMNS($U$1006:AC1006),$U$1006:$AC$1006,0)))),"Fix")))</f>
        <v>0</v>
      </c>
      <c r="N406">
        <v>0</v>
      </c>
      <c r="O406">
        <v>0</v>
      </c>
      <c r="P406">
        <v>0</v>
      </c>
      <c r="Q406">
        <f>IF(R406,TRUE,AND(U406:AC406))</f>
        <v>0</v>
      </c>
      <c r="R406">
        <f>COUNTBLANK(metadata!B406:J406)=COLUMNS(metadata!B406:J406)</f>
        <v>0</v>
      </c>
      <c r="S406">
        <v>0</v>
      </c>
      <c r="U406">
        <f>AND(IF(metadata!B406="",FALSE,TRUE),COUNTIF(metadata!B:B, metadata!B406) = 1,NOT(ISERROR(SUMPRODUCT(SEARCH(MID(metadata!B406,ROW(INDIRECT("1:"&amp;LEN(metadata!B406))), 1),"0123456789abcdefghijklmnopqrstuvwxyzABCDEFGHIJKLMNOPQRSTUVWXYZ.")))))</f>
        <v>0</v>
      </c>
      <c r="V406">
        <f>AND(IF(metadata!C406="",FALSE,TRUE),exact(metadata!C406,"UBERON:genitourinary"))</f>
        <v>0</v>
      </c>
      <c r="W406">
        <f>AND(IF(metadata!D406="",FALSE,TRUE),exact(metadata!D406,"UBERON:urine"))</f>
        <v>0</v>
      </c>
      <c r="X406">
        <f>AND(IF(metadata!E406="",FALSE,TRUE),exact(metadata!E406,"UBERON:kidney"))</f>
        <v>0</v>
      </c>
      <c r="Y406">
        <f>AND(IF(metadata!F406="",FALSE,TRUE),exact(metadata!F406,"animal corpus"))</f>
        <v>0</v>
      </c>
      <c r="Z406">
        <f>AND(IF(metadata!G406="",FALSE,TRUE),exact(metadata!G406,"urine"))</f>
        <v>0</v>
      </c>
      <c r="AA406">
        <f>AND(IF(metadata!H406="",FALSE,TRUE),exact(metadata!H406,"urine"))</f>
        <v>0</v>
      </c>
      <c r="AB406">
        <f>AND(IF(metadata!I406="",FALSE,TRUE),exact(metadata!I406,"urine metagenome"))</f>
        <v>0</v>
      </c>
      <c r="AC406">
        <f>AND(IF(metadata!J406="",FALSE,TRUE),exact(metadata!J406,"1346744"))</f>
        <v>0</v>
      </c>
    </row>
    <row r="407" spans="1:29">
      <c r="A407" s="4">
        <f>IF(B407=" "," ",HYPERLINK(CONCATENATE("#metadata!",ADDRESS(INDEX($P$2:$P$1001,MATCH(ROWS($N$2:N407),$N$2:$N$1001,0),0),1)),INDEX($S$2:$S$1001,MATCH(ROWS($N$2:N407),$N$2:$N$1001,0),0)))</f>
        <v>0</v>
      </c>
      <c r="B407" s="3">
        <f>IF(OR(INDEX($O$2:$O$1001,MATCH(ROWS($N$2:N407),$N$2:$N$1001,0),1)&gt;=100000,INDEX($U$1005:$AC$1005,1,MATCH(COLUMNS($U$1006:U1006),$U$1006:$AC$1006,0))&gt;=100000), " ",IF(INDEX($U$2:$AC$1001,MATCH(ROWS($N$2:N407),$N$2:$N$1001,0),MATCH(COLUMNS($U$1006:U1006),$U$1006:$AC$1006,0)), HYPERLINK("#",""), HYPERLINK(CONCATENATE("#metadata!", ADDRESS(INDEX($P$2:$P$1001,MATCH(ROWS($N$2:N407),$N$2:$N$1001,0),0), INDEX($U$1004:$AC$1004,1,MATCH(COLUMNS($U$1006:U1006),$U$1006:$AC$1006,0)))),"Fix")))</f>
        <v>0</v>
      </c>
      <c r="C407" s="3">
        <f>IF(OR(INDEX($O$2:$O$1001,MATCH(ROWS($N$2:N407),$N$2:$N$1001,0),1)&gt;=100000,INDEX($U$1005:$AC$1005,1,MATCH(COLUMNS($U$1006:V1006),$U$1006:$AC$1006,0))&gt;=100000), " ",IF(INDEX($U$2:$AC$1001,MATCH(ROWS($N$2:N407),$N$2:$N$1001,0),MATCH(COLUMNS($U$1006:V1006),$U$1006:$AC$1006,0)), HYPERLINK("#",""), HYPERLINK(CONCATENATE("#metadata!", ADDRESS(INDEX($P$2:$P$1001,MATCH(ROWS($N$2:N407),$N$2:$N$1001,0),0), INDEX($U$1004:$AC$1004,1,MATCH(COLUMNS($U$1006:V1006),$U$1006:$AC$1006,0)))),"Fix")))</f>
        <v>0</v>
      </c>
      <c r="D407" s="3">
        <f>IF(OR(INDEX($O$2:$O$1001,MATCH(ROWS($N$2:N407),$N$2:$N$1001,0),1)&gt;=100000,INDEX($U$1005:$AC$1005,1,MATCH(COLUMNS($U$1006:W1006),$U$1006:$AC$1006,0))&gt;=100000), " ",IF(INDEX($U$2:$AC$1001,MATCH(ROWS($N$2:N407),$N$2:$N$1001,0),MATCH(COLUMNS($U$1006:W1006),$U$1006:$AC$1006,0)), HYPERLINK("#",""), HYPERLINK(CONCATENATE("#metadata!", ADDRESS(INDEX($P$2:$P$1001,MATCH(ROWS($N$2:N407),$N$2:$N$1001,0),0), INDEX($U$1004:$AC$1004,1,MATCH(COLUMNS($U$1006:W1006),$U$1006:$AC$1006,0)))),"Fix")))</f>
        <v>0</v>
      </c>
      <c r="E407" s="3">
        <f>IF(OR(INDEX($O$2:$O$1001,MATCH(ROWS($N$2:N407),$N$2:$N$1001,0),1)&gt;=100000,INDEX($U$1005:$AC$1005,1,MATCH(COLUMNS($U$1006:X1006),$U$1006:$AC$1006,0))&gt;=100000), " ",IF(INDEX($U$2:$AC$1001,MATCH(ROWS($N$2:N407),$N$2:$N$1001,0),MATCH(COLUMNS($U$1006:X1006),$U$1006:$AC$1006,0)), HYPERLINK("#",""), HYPERLINK(CONCATENATE("#metadata!", ADDRESS(INDEX($P$2:$P$1001,MATCH(ROWS($N$2:N407),$N$2:$N$1001,0),0), INDEX($U$1004:$AC$1004,1,MATCH(COLUMNS($U$1006:X1006),$U$1006:$AC$1006,0)))),"Fix")))</f>
        <v>0</v>
      </c>
      <c r="F407" s="3">
        <f>IF(OR(INDEX($O$2:$O$1001,MATCH(ROWS($N$2:N407),$N$2:$N$1001,0),1)&gt;=100000,INDEX($U$1005:$AC$1005,1,MATCH(COLUMNS($U$1006:Y1006),$U$1006:$AC$1006,0))&gt;=100000), " ",IF(INDEX($U$2:$AC$1001,MATCH(ROWS($N$2:N407),$N$2:$N$1001,0),MATCH(COLUMNS($U$1006:Y1006),$U$1006:$AC$1006,0)), HYPERLINK("#",""), HYPERLINK(CONCATENATE("#metadata!", ADDRESS(INDEX($P$2:$P$1001,MATCH(ROWS($N$2:N407),$N$2:$N$1001,0),0), INDEX($U$1004:$AC$1004,1,MATCH(COLUMNS($U$1006:Y1006),$U$1006:$AC$1006,0)))),"Fix")))</f>
        <v>0</v>
      </c>
      <c r="G407" s="3">
        <f>IF(OR(INDEX($O$2:$O$1001,MATCH(ROWS($N$2:N407),$N$2:$N$1001,0),1)&gt;=100000,INDEX($U$1005:$AC$1005,1,MATCH(COLUMNS($U$1006:Z1006),$U$1006:$AC$1006,0))&gt;=100000), " ",IF(INDEX($U$2:$AC$1001,MATCH(ROWS($N$2:N407),$N$2:$N$1001,0),MATCH(COLUMNS($U$1006:Z1006),$U$1006:$AC$1006,0)), HYPERLINK("#",""), HYPERLINK(CONCATENATE("#metadata!", ADDRESS(INDEX($P$2:$P$1001,MATCH(ROWS($N$2:N407),$N$2:$N$1001,0),0), INDEX($U$1004:$AC$1004,1,MATCH(COLUMNS($U$1006:Z1006),$U$1006:$AC$1006,0)))),"Fix")))</f>
        <v>0</v>
      </c>
      <c r="H407" s="3">
        <f>IF(OR(INDEX($O$2:$O$1001,MATCH(ROWS($N$2:N407),$N$2:$N$1001,0),1)&gt;=100000,INDEX($U$1005:$AC$1005,1,MATCH(COLUMNS($U$1006:AA1006),$U$1006:$AC$1006,0))&gt;=100000), " ",IF(INDEX($U$2:$AC$1001,MATCH(ROWS($N$2:N407),$N$2:$N$1001,0),MATCH(COLUMNS($U$1006:AA1006),$U$1006:$AC$1006,0)), HYPERLINK("#",""), HYPERLINK(CONCATENATE("#metadata!", ADDRESS(INDEX($P$2:$P$1001,MATCH(ROWS($N$2:N407),$N$2:$N$1001,0),0), INDEX($U$1004:$AC$1004,1,MATCH(COLUMNS($U$1006:AA1006),$U$1006:$AC$1006,0)))),"Fix")))</f>
        <v>0</v>
      </c>
      <c r="I407" s="3">
        <f>IF(OR(INDEX($O$2:$O$1001,MATCH(ROWS($N$2:N407),$N$2:$N$1001,0),1)&gt;=100000,INDEX($U$1005:$AC$1005,1,MATCH(COLUMNS($U$1006:AB1006),$U$1006:$AC$1006,0))&gt;=100000), " ",IF(INDEX($U$2:$AC$1001,MATCH(ROWS($N$2:N407),$N$2:$N$1001,0),MATCH(COLUMNS($U$1006:AB1006),$U$1006:$AC$1006,0)), HYPERLINK("#",""), HYPERLINK(CONCATENATE("#metadata!", ADDRESS(INDEX($P$2:$P$1001,MATCH(ROWS($N$2:N407),$N$2:$N$1001,0),0), INDEX($U$1004:$AC$1004,1,MATCH(COLUMNS($U$1006:AB1006),$U$1006:$AC$1006,0)))),"Fix")))</f>
        <v>0</v>
      </c>
      <c r="J407" s="3">
        <f>IF(OR(INDEX($O$2:$O$1001,MATCH(ROWS($N$2:N407),$N$2:$N$1001,0),1)&gt;=100000,INDEX($U$1005:$AC$1005,1,MATCH(COLUMNS($U$1006:AC1006),$U$1006:$AC$1006,0))&gt;=100000), " ",IF(INDEX($U$2:$AC$1001,MATCH(ROWS($N$2:N407),$N$2:$N$1001,0),MATCH(COLUMNS($U$1006:AC1006),$U$1006:$AC$1006,0)), HYPERLINK("#",""), HYPERLINK(CONCATENATE("#metadata!", ADDRESS(INDEX($P$2:$P$1001,MATCH(ROWS($N$2:N407),$N$2:$N$1001,0),0), INDEX($U$1004:$AC$1004,1,MATCH(COLUMNS($U$1006:AC1006),$U$1006:$AC$1006,0)))),"Fix")))</f>
        <v>0</v>
      </c>
      <c r="N407">
        <v>0</v>
      </c>
      <c r="O407">
        <v>0</v>
      </c>
      <c r="P407">
        <v>0</v>
      </c>
      <c r="Q407">
        <f>IF(R407,TRUE,AND(U407:AC407))</f>
        <v>0</v>
      </c>
      <c r="R407">
        <f>COUNTBLANK(metadata!B407:J407)=COLUMNS(metadata!B407:J407)</f>
        <v>0</v>
      </c>
      <c r="S407">
        <v>0</v>
      </c>
      <c r="U407">
        <f>AND(IF(metadata!B407="",FALSE,TRUE),COUNTIF(metadata!B:B, metadata!B407) = 1,NOT(ISERROR(SUMPRODUCT(SEARCH(MID(metadata!B407,ROW(INDIRECT("1:"&amp;LEN(metadata!B407))), 1),"0123456789abcdefghijklmnopqrstuvwxyzABCDEFGHIJKLMNOPQRSTUVWXYZ.")))))</f>
        <v>0</v>
      </c>
      <c r="V407">
        <f>AND(IF(metadata!C407="",FALSE,TRUE),exact(metadata!C407,"UBERON:genitourinary"))</f>
        <v>0</v>
      </c>
      <c r="W407">
        <f>AND(IF(metadata!D407="",FALSE,TRUE),exact(metadata!D407,"UBERON:urine"))</f>
        <v>0</v>
      </c>
      <c r="X407">
        <f>AND(IF(metadata!E407="",FALSE,TRUE),exact(metadata!E407,"UBERON:kidney"))</f>
        <v>0</v>
      </c>
      <c r="Y407">
        <f>AND(IF(metadata!F407="",FALSE,TRUE),exact(metadata!F407,"animal corpus"))</f>
        <v>0</v>
      </c>
      <c r="Z407">
        <f>AND(IF(metadata!G407="",FALSE,TRUE),exact(metadata!G407,"urine"))</f>
        <v>0</v>
      </c>
      <c r="AA407">
        <f>AND(IF(metadata!H407="",FALSE,TRUE),exact(metadata!H407,"urine"))</f>
        <v>0</v>
      </c>
      <c r="AB407">
        <f>AND(IF(metadata!I407="",FALSE,TRUE),exact(metadata!I407,"urine metagenome"))</f>
        <v>0</v>
      </c>
      <c r="AC407">
        <f>AND(IF(metadata!J407="",FALSE,TRUE),exact(metadata!J407,"1346744"))</f>
        <v>0</v>
      </c>
    </row>
    <row r="408" spans="1:29">
      <c r="A408" s="4">
        <f>IF(B408=" "," ",HYPERLINK(CONCATENATE("#metadata!",ADDRESS(INDEX($P$2:$P$1001,MATCH(ROWS($N$2:N408),$N$2:$N$1001,0),0),1)),INDEX($S$2:$S$1001,MATCH(ROWS($N$2:N408),$N$2:$N$1001,0),0)))</f>
        <v>0</v>
      </c>
      <c r="B408" s="3">
        <f>IF(OR(INDEX($O$2:$O$1001,MATCH(ROWS($N$2:N408),$N$2:$N$1001,0),1)&gt;=100000,INDEX($U$1005:$AC$1005,1,MATCH(COLUMNS($U$1006:U1006),$U$1006:$AC$1006,0))&gt;=100000), " ",IF(INDEX($U$2:$AC$1001,MATCH(ROWS($N$2:N408),$N$2:$N$1001,0),MATCH(COLUMNS($U$1006:U1006),$U$1006:$AC$1006,0)), HYPERLINK("#",""), HYPERLINK(CONCATENATE("#metadata!", ADDRESS(INDEX($P$2:$P$1001,MATCH(ROWS($N$2:N408),$N$2:$N$1001,0),0), INDEX($U$1004:$AC$1004,1,MATCH(COLUMNS($U$1006:U1006),$U$1006:$AC$1006,0)))),"Fix")))</f>
        <v>0</v>
      </c>
      <c r="C408" s="3">
        <f>IF(OR(INDEX($O$2:$O$1001,MATCH(ROWS($N$2:N408),$N$2:$N$1001,0),1)&gt;=100000,INDEX($U$1005:$AC$1005,1,MATCH(COLUMNS($U$1006:V1006),$U$1006:$AC$1006,0))&gt;=100000), " ",IF(INDEX($U$2:$AC$1001,MATCH(ROWS($N$2:N408),$N$2:$N$1001,0),MATCH(COLUMNS($U$1006:V1006),$U$1006:$AC$1006,0)), HYPERLINK("#",""), HYPERLINK(CONCATENATE("#metadata!", ADDRESS(INDEX($P$2:$P$1001,MATCH(ROWS($N$2:N408),$N$2:$N$1001,0),0), INDEX($U$1004:$AC$1004,1,MATCH(COLUMNS($U$1006:V1006),$U$1006:$AC$1006,0)))),"Fix")))</f>
        <v>0</v>
      </c>
      <c r="D408" s="3">
        <f>IF(OR(INDEX($O$2:$O$1001,MATCH(ROWS($N$2:N408),$N$2:$N$1001,0),1)&gt;=100000,INDEX($U$1005:$AC$1005,1,MATCH(COLUMNS($U$1006:W1006),$U$1006:$AC$1006,0))&gt;=100000), " ",IF(INDEX($U$2:$AC$1001,MATCH(ROWS($N$2:N408),$N$2:$N$1001,0),MATCH(COLUMNS($U$1006:W1006),$U$1006:$AC$1006,0)), HYPERLINK("#",""), HYPERLINK(CONCATENATE("#metadata!", ADDRESS(INDEX($P$2:$P$1001,MATCH(ROWS($N$2:N408),$N$2:$N$1001,0),0), INDEX($U$1004:$AC$1004,1,MATCH(COLUMNS($U$1006:W1006),$U$1006:$AC$1006,0)))),"Fix")))</f>
        <v>0</v>
      </c>
      <c r="E408" s="3">
        <f>IF(OR(INDEX($O$2:$O$1001,MATCH(ROWS($N$2:N408),$N$2:$N$1001,0),1)&gt;=100000,INDEX($U$1005:$AC$1005,1,MATCH(COLUMNS($U$1006:X1006),$U$1006:$AC$1006,0))&gt;=100000), " ",IF(INDEX($U$2:$AC$1001,MATCH(ROWS($N$2:N408),$N$2:$N$1001,0),MATCH(COLUMNS($U$1006:X1006),$U$1006:$AC$1006,0)), HYPERLINK("#",""), HYPERLINK(CONCATENATE("#metadata!", ADDRESS(INDEX($P$2:$P$1001,MATCH(ROWS($N$2:N408),$N$2:$N$1001,0),0), INDEX($U$1004:$AC$1004,1,MATCH(COLUMNS($U$1006:X1006),$U$1006:$AC$1006,0)))),"Fix")))</f>
        <v>0</v>
      </c>
      <c r="F408" s="3">
        <f>IF(OR(INDEX($O$2:$O$1001,MATCH(ROWS($N$2:N408),$N$2:$N$1001,0),1)&gt;=100000,INDEX($U$1005:$AC$1005,1,MATCH(COLUMNS($U$1006:Y1006),$U$1006:$AC$1006,0))&gt;=100000), " ",IF(INDEX($U$2:$AC$1001,MATCH(ROWS($N$2:N408),$N$2:$N$1001,0),MATCH(COLUMNS($U$1006:Y1006),$U$1006:$AC$1006,0)), HYPERLINK("#",""), HYPERLINK(CONCATENATE("#metadata!", ADDRESS(INDEX($P$2:$P$1001,MATCH(ROWS($N$2:N408),$N$2:$N$1001,0),0), INDEX($U$1004:$AC$1004,1,MATCH(COLUMNS($U$1006:Y1006),$U$1006:$AC$1006,0)))),"Fix")))</f>
        <v>0</v>
      </c>
      <c r="G408" s="3">
        <f>IF(OR(INDEX($O$2:$O$1001,MATCH(ROWS($N$2:N408),$N$2:$N$1001,0),1)&gt;=100000,INDEX($U$1005:$AC$1005,1,MATCH(COLUMNS($U$1006:Z1006),$U$1006:$AC$1006,0))&gt;=100000), " ",IF(INDEX($U$2:$AC$1001,MATCH(ROWS($N$2:N408),$N$2:$N$1001,0),MATCH(COLUMNS($U$1006:Z1006),$U$1006:$AC$1006,0)), HYPERLINK("#",""), HYPERLINK(CONCATENATE("#metadata!", ADDRESS(INDEX($P$2:$P$1001,MATCH(ROWS($N$2:N408),$N$2:$N$1001,0),0), INDEX($U$1004:$AC$1004,1,MATCH(COLUMNS($U$1006:Z1006),$U$1006:$AC$1006,0)))),"Fix")))</f>
        <v>0</v>
      </c>
      <c r="H408" s="3">
        <f>IF(OR(INDEX($O$2:$O$1001,MATCH(ROWS($N$2:N408),$N$2:$N$1001,0),1)&gt;=100000,INDEX($U$1005:$AC$1005,1,MATCH(COLUMNS($U$1006:AA1006),$U$1006:$AC$1006,0))&gt;=100000), " ",IF(INDEX($U$2:$AC$1001,MATCH(ROWS($N$2:N408),$N$2:$N$1001,0),MATCH(COLUMNS($U$1006:AA1006),$U$1006:$AC$1006,0)), HYPERLINK("#",""), HYPERLINK(CONCATENATE("#metadata!", ADDRESS(INDEX($P$2:$P$1001,MATCH(ROWS($N$2:N408),$N$2:$N$1001,0),0), INDEX($U$1004:$AC$1004,1,MATCH(COLUMNS($U$1006:AA1006),$U$1006:$AC$1006,0)))),"Fix")))</f>
        <v>0</v>
      </c>
      <c r="I408" s="3">
        <f>IF(OR(INDEX($O$2:$O$1001,MATCH(ROWS($N$2:N408),$N$2:$N$1001,0),1)&gt;=100000,INDEX($U$1005:$AC$1005,1,MATCH(COLUMNS($U$1006:AB1006),$U$1006:$AC$1006,0))&gt;=100000), " ",IF(INDEX($U$2:$AC$1001,MATCH(ROWS($N$2:N408),$N$2:$N$1001,0),MATCH(COLUMNS($U$1006:AB1006),$U$1006:$AC$1006,0)), HYPERLINK("#",""), HYPERLINK(CONCATENATE("#metadata!", ADDRESS(INDEX($P$2:$P$1001,MATCH(ROWS($N$2:N408),$N$2:$N$1001,0),0), INDEX($U$1004:$AC$1004,1,MATCH(COLUMNS($U$1006:AB1006),$U$1006:$AC$1006,0)))),"Fix")))</f>
        <v>0</v>
      </c>
      <c r="J408" s="3">
        <f>IF(OR(INDEX($O$2:$O$1001,MATCH(ROWS($N$2:N408),$N$2:$N$1001,0),1)&gt;=100000,INDEX($U$1005:$AC$1005,1,MATCH(COLUMNS($U$1006:AC1006),$U$1006:$AC$1006,0))&gt;=100000), " ",IF(INDEX($U$2:$AC$1001,MATCH(ROWS($N$2:N408),$N$2:$N$1001,0),MATCH(COLUMNS($U$1006:AC1006),$U$1006:$AC$1006,0)), HYPERLINK("#",""), HYPERLINK(CONCATENATE("#metadata!", ADDRESS(INDEX($P$2:$P$1001,MATCH(ROWS($N$2:N408),$N$2:$N$1001,0),0), INDEX($U$1004:$AC$1004,1,MATCH(COLUMNS($U$1006:AC1006),$U$1006:$AC$1006,0)))),"Fix")))</f>
        <v>0</v>
      </c>
      <c r="N408">
        <v>0</v>
      </c>
      <c r="O408">
        <v>0</v>
      </c>
      <c r="P408">
        <v>0</v>
      </c>
      <c r="Q408">
        <f>IF(R408,TRUE,AND(U408:AC408))</f>
        <v>0</v>
      </c>
      <c r="R408">
        <f>COUNTBLANK(metadata!B408:J408)=COLUMNS(metadata!B408:J408)</f>
        <v>0</v>
      </c>
      <c r="S408">
        <v>0</v>
      </c>
      <c r="U408">
        <f>AND(IF(metadata!B408="",FALSE,TRUE),COUNTIF(metadata!B:B, metadata!B408) = 1,NOT(ISERROR(SUMPRODUCT(SEARCH(MID(metadata!B408,ROW(INDIRECT("1:"&amp;LEN(metadata!B408))), 1),"0123456789abcdefghijklmnopqrstuvwxyzABCDEFGHIJKLMNOPQRSTUVWXYZ.")))))</f>
        <v>0</v>
      </c>
      <c r="V408">
        <f>AND(IF(metadata!C408="",FALSE,TRUE),exact(metadata!C408,"UBERON:genitourinary"))</f>
        <v>0</v>
      </c>
      <c r="W408">
        <f>AND(IF(metadata!D408="",FALSE,TRUE),exact(metadata!D408,"UBERON:urine"))</f>
        <v>0</v>
      </c>
      <c r="X408">
        <f>AND(IF(metadata!E408="",FALSE,TRUE),exact(metadata!E408,"UBERON:kidney"))</f>
        <v>0</v>
      </c>
      <c r="Y408">
        <f>AND(IF(metadata!F408="",FALSE,TRUE),exact(metadata!F408,"animal corpus"))</f>
        <v>0</v>
      </c>
      <c r="Z408">
        <f>AND(IF(metadata!G408="",FALSE,TRUE),exact(metadata!G408,"urine"))</f>
        <v>0</v>
      </c>
      <c r="AA408">
        <f>AND(IF(metadata!H408="",FALSE,TRUE),exact(metadata!H408,"urine"))</f>
        <v>0</v>
      </c>
      <c r="AB408">
        <f>AND(IF(metadata!I408="",FALSE,TRUE),exact(metadata!I408,"urine metagenome"))</f>
        <v>0</v>
      </c>
      <c r="AC408">
        <f>AND(IF(metadata!J408="",FALSE,TRUE),exact(metadata!J408,"1346744"))</f>
        <v>0</v>
      </c>
    </row>
    <row r="409" spans="1:29">
      <c r="A409" s="4">
        <f>IF(B409=" "," ",HYPERLINK(CONCATENATE("#metadata!",ADDRESS(INDEX($P$2:$P$1001,MATCH(ROWS($N$2:N409),$N$2:$N$1001,0),0),1)),INDEX($S$2:$S$1001,MATCH(ROWS($N$2:N409),$N$2:$N$1001,0),0)))</f>
        <v>0</v>
      </c>
      <c r="B409" s="3">
        <f>IF(OR(INDEX($O$2:$O$1001,MATCH(ROWS($N$2:N409),$N$2:$N$1001,0),1)&gt;=100000,INDEX($U$1005:$AC$1005,1,MATCH(COLUMNS($U$1006:U1006),$U$1006:$AC$1006,0))&gt;=100000), " ",IF(INDEX($U$2:$AC$1001,MATCH(ROWS($N$2:N409),$N$2:$N$1001,0),MATCH(COLUMNS($U$1006:U1006),$U$1006:$AC$1006,0)), HYPERLINK("#",""), HYPERLINK(CONCATENATE("#metadata!", ADDRESS(INDEX($P$2:$P$1001,MATCH(ROWS($N$2:N409),$N$2:$N$1001,0),0), INDEX($U$1004:$AC$1004,1,MATCH(COLUMNS($U$1006:U1006),$U$1006:$AC$1006,0)))),"Fix")))</f>
        <v>0</v>
      </c>
      <c r="C409" s="3">
        <f>IF(OR(INDEX($O$2:$O$1001,MATCH(ROWS($N$2:N409),$N$2:$N$1001,0),1)&gt;=100000,INDEX($U$1005:$AC$1005,1,MATCH(COLUMNS($U$1006:V1006),$U$1006:$AC$1006,0))&gt;=100000), " ",IF(INDEX($U$2:$AC$1001,MATCH(ROWS($N$2:N409),$N$2:$N$1001,0),MATCH(COLUMNS($U$1006:V1006),$U$1006:$AC$1006,0)), HYPERLINK("#",""), HYPERLINK(CONCATENATE("#metadata!", ADDRESS(INDEX($P$2:$P$1001,MATCH(ROWS($N$2:N409),$N$2:$N$1001,0),0), INDEX($U$1004:$AC$1004,1,MATCH(COLUMNS($U$1006:V1006),$U$1006:$AC$1006,0)))),"Fix")))</f>
        <v>0</v>
      </c>
      <c r="D409" s="3">
        <f>IF(OR(INDEX($O$2:$O$1001,MATCH(ROWS($N$2:N409),$N$2:$N$1001,0),1)&gt;=100000,INDEX($U$1005:$AC$1005,1,MATCH(COLUMNS($U$1006:W1006),$U$1006:$AC$1006,0))&gt;=100000), " ",IF(INDEX($U$2:$AC$1001,MATCH(ROWS($N$2:N409),$N$2:$N$1001,0),MATCH(COLUMNS($U$1006:W1006),$U$1006:$AC$1006,0)), HYPERLINK("#",""), HYPERLINK(CONCATENATE("#metadata!", ADDRESS(INDEX($P$2:$P$1001,MATCH(ROWS($N$2:N409),$N$2:$N$1001,0),0), INDEX($U$1004:$AC$1004,1,MATCH(COLUMNS($U$1006:W1006),$U$1006:$AC$1006,0)))),"Fix")))</f>
        <v>0</v>
      </c>
      <c r="E409" s="3">
        <f>IF(OR(INDEX($O$2:$O$1001,MATCH(ROWS($N$2:N409),$N$2:$N$1001,0),1)&gt;=100000,INDEX($U$1005:$AC$1005,1,MATCH(COLUMNS($U$1006:X1006),$U$1006:$AC$1006,0))&gt;=100000), " ",IF(INDEX($U$2:$AC$1001,MATCH(ROWS($N$2:N409),$N$2:$N$1001,0),MATCH(COLUMNS($U$1006:X1006),$U$1006:$AC$1006,0)), HYPERLINK("#",""), HYPERLINK(CONCATENATE("#metadata!", ADDRESS(INDEX($P$2:$P$1001,MATCH(ROWS($N$2:N409),$N$2:$N$1001,0),0), INDEX($U$1004:$AC$1004,1,MATCH(COLUMNS($U$1006:X1006),$U$1006:$AC$1006,0)))),"Fix")))</f>
        <v>0</v>
      </c>
      <c r="F409" s="3">
        <f>IF(OR(INDEX($O$2:$O$1001,MATCH(ROWS($N$2:N409),$N$2:$N$1001,0),1)&gt;=100000,INDEX($U$1005:$AC$1005,1,MATCH(COLUMNS($U$1006:Y1006),$U$1006:$AC$1006,0))&gt;=100000), " ",IF(INDEX($U$2:$AC$1001,MATCH(ROWS($N$2:N409),$N$2:$N$1001,0),MATCH(COLUMNS($U$1006:Y1006),$U$1006:$AC$1006,0)), HYPERLINK("#",""), HYPERLINK(CONCATENATE("#metadata!", ADDRESS(INDEX($P$2:$P$1001,MATCH(ROWS($N$2:N409),$N$2:$N$1001,0),0), INDEX($U$1004:$AC$1004,1,MATCH(COLUMNS($U$1006:Y1006),$U$1006:$AC$1006,0)))),"Fix")))</f>
        <v>0</v>
      </c>
      <c r="G409" s="3">
        <f>IF(OR(INDEX($O$2:$O$1001,MATCH(ROWS($N$2:N409),$N$2:$N$1001,0),1)&gt;=100000,INDEX($U$1005:$AC$1005,1,MATCH(COLUMNS($U$1006:Z1006),$U$1006:$AC$1006,0))&gt;=100000), " ",IF(INDEX($U$2:$AC$1001,MATCH(ROWS($N$2:N409),$N$2:$N$1001,0),MATCH(COLUMNS($U$1006:Z1006),$U$1006:$AC$1006,0)), HYPERLINK("#",""), HYPERLINK(CONCATENATE("#metadata!", ADDRESS(INDEX($P$2:$P$1001,MATCH(ROWS($N$2:N409),$N$2:$N$1001,0),0), INDEX($U$1004:$AC$1004,1,MATCH(COLUMNS($U$1006:Z1006),$U$1006:$AC$1006,0)))),"Fix")))</f>
        <v>0</v>
      </c>
      <c r="H409" s="3">
        <f>IF(OR(INDEX($O$2:$O$1001,MATCH(ROWS($N$2:N409),$N$2:$N$1001,0),1)&gt;=100000,INDEX($U$1005:$AC$1005,1,MATCH(COLUMNS($U$1006:AA1006),$U$1006:$AC$1006,0))&gt;=100000), " ",IF(INDEX($U$2:$AC$1001,MATCH(ROWS($N$2:N409),$N$2:$N$1001,0),MATCH(COLUMNS($U$1006:AA1006),$U$1006:$AC$1006,0)), HYPERLINK("#",""), HYPERLINK(CONCATENATE("#metadata!", ADDRESS(INDEX($P$2:$P$1001,MATCH(ROWS($N$2:N409),$N$2:$N$1001,0),0), INDEX($U$1004:$AC$1004,1,MATCH(COLUMNS($U$1006:AA1006),$U$1006:$AC$1006,0)))),"Fix")))</f>
        <v>0</v>
      </c>
      <c r="I409" s="3">
        <f>IF(OR(INDEX($O$2:$O$1001,MATCH(ROWS($N$2:N409),$N$2:$N$1001,0),1)&gt;=100000,INDEX($U$1005:$AC$1005,1,MATCH(COLUMNS($U$1006:AB1006),$U$1006:$AC$1006,0))&gt;=100000), " ",IF(INDEX($U$2:$AC$1001,MATCH(ROWS($N$2:N409),$N$2:$N$1001,0),MATCH(COLUMNS($U$1006:AB1006),$U$1006:$AC$1006,0)), HYPERLINK("#",""), HYPERLINK(CONCATENATE("#metadata!", ADDRESS(INDEX($P$2:$P$1001,MATCH(ROWS($N$2:N409),$N$2:$N$1001,0),0), INDEX($U$1004:$AC$1004,1,MATCH(COLUMNS($U$1006:AB1006),$U$1006:$AC$1006,0)))),"Fix")))</f>
        <v>0</v>
      </c>
      <c r="J409" s="3">
        <f>IF(OR(INDEX($O$2:$O$1001,MATCH(ROWS($N$2:N409),$N$2:$N$1001,0),1)&gt;=100000,INDEX($U$1005:$AC$1005,1,MATCH(COLUMNS($U$1006:AC1006),$U$1006:$AC$1006,0))&gt;=100000), " ",IF(INDEX($U$2:$AC$1001,MATCH(ROWS($N$2:N409),$N$2:$N$1001,0),MATCH(COLUMNS($U$1006:AC1006),$U$1006:$AC$1006,0)), HYPERLINK("#",""), HYPERLINK(CONCATENATE("#metadata!", ADDRESS(INDEX($P$2:$P$1001,MATCH(ROWS($N$2:N409),$N$2:$N$1001,0),0), INDEX($U$1004:$AC$1004,1,MATCH(COLUMNS($U$1006:AC1006),$U$1006:$AC$1006,0)))),"Fix")))</f>
        <v>0</v>
      </c>
      <c r="N409">
        <v>0</v>
      </c>
      <c r="O409">
        <v>0</v>
      </c>
      <c r="P409">
        <v>0</v>
      </c>
      <c r="Q409">
        <f>IF(R409,TRUE,AND(U409:AC409))</f>
        <v>0</v>
      </c>
      <c r="R409">
        <f>COUNTBLANK(metadata!B409:J409)=COLUMNS(metadata!B409:J409)</f>
        <v>0</v>
      </c>
      <c r="S409">
        <v>0</v>
      </c>
      <c r="U409">
        <f>AND(IF(metadata!B409="",FALSE,TRUE),COUNTIF(metadata!B:B, metadata!B409) = 1,NOT(ISERROR(SUMPRODUCT(SEARCH(MID(metadata!B409,ROW(INDIRECT("1:"&amp;LEN(metadata!B409))), 1),"0123456789abcdefghijklmnopqrstuvwxyzABCDEFGHIJKLMNOPQRSTUVWXYZ.")))))</f>
        <v>0</v>
      </c>
      <c r="V409">
        <f>AND(IF(metadata!C409="",FALSE,TRUE),exact(metadata!C409,"UBERON:genitourinary"))</f>
        <v>0</v>
      </c>
      <c r="W409">
        <f>AND(IF(metadata!D409="",FALSE,TRUE),exact(metadata!D409,"UBERON:urine"))</f>
        <v>0</v>
      </c>
      <c r="X409">
        <f>AND(IF(metadata!E409="",FALSE,TRUE),exact(metadata!E409,"UBERON:kidney"))</f>
        <v>0</v>
      </c>
      <c r="Y409">
        <f>AND(IF(metadata!F409="",FALSE,TRUE),exact(metadata!F409,"animal corpus"))</f>
        <v>0</v>
      </c>
      <c r="Z409">
        <f>AND(IF(metadata!G409="",FALSE,TRUE),exact(metadata!G409,"urine"))</f>
        <v>0</v>
      </c>
      <c r="AA409">
        <f>AND(IF(metadata!H409="",FALSE,TRUE),exact(metadata!H409,"urine"))</f>
        <v>0</v>
      </c>
      <c r="AB409">
        <f>AND(IF(metadata!I409="",FALSE,TRUE),exact(metadata!I409,"urine metagenome"))</f>
        <v>0</v>
      </c>
      <c r="AC409">
        <f>AND(IF(metadata!J409="",FALSE,TRUE),exact(metadata!J409,"1346744"))</f>
        <v>0</v>
      </c>
    </row>
    <row r="410" spans="1:29">
      <c r="A410" s="4">
        <f>IF(B410=" "," ",HYPERLINK(CONCATENATE("#metadata!",ADDRESS(INDEX($P$2:$P$1001,MATCH(ROWS($N$2:N410),$N$2:$N$1001,0),0),1)),INDEX($S$2:$S$1001,MATCH(ROWS($N$2:N410),$N$2:$N$1001,0),0)))</f>
        <v>0</v>
      </c>
      <c r="B410" s="3">
        <f>IF(OR(INDEX($O$2:$O$1001,MATCH(ROWS($N$2:N410),$N$2:$N$1001,0),1)&gt;=100000,INDEX($U$1005:$AC$1005,1,MATCH(COLUMNS($U$1006:U1006),$U$1006:$AC$1006,0))&gt;=100000), " ",IF(INDEX($U$2:$AC$1001,MATCH(ROWS($N$2:N410),$N$2:$N$1001,0),MATCH(COLUMNS($U$1006:U1006),$U$1006:$AC$1006,0)), HYPERLINK("#",""), HYPERLINK(CONCATENATE("#metadata!", ADDRESS(INDEX($P$2:$P$1001,MATCH(ROWS($N$2:N410),$N$2:$N$1001,0),0), INDEX($U$1004:$AC$1004,1,MATCH(COLUMNS($U$1006:U1006),$U$1006:$AC$1006,0)))),"Fix")))</f>
        <v>0</v>
      </c>
      <c r="C410" s="3">
        <f>IF(OR(INDEX($O$2:$O$1001,MATCH(ROWS($N$2:N410),$N$2:$N$1001,0),1)&gt;=100000,INDEX($U$1005:$AC$1005,1,MATCH(COLUMNS($U$1006:V1006),$U$1006:$AC$1006,0))&gt;=100000), " ",IF(INDEX($U$2:$AC$1001,MATCH(ROWS($N$2:N410),$N$2:$N$1001,0),MATCH(COLUMNS($U$1006:V1006),$U$1006:$AC$1006,0)), HYPERLINK("#",""), HYPERLINK(CONCATENATE("#metadata!", ADDRESS(INDEX($P$2:$P$1001,MATCH(ROWS($N$2:N410),$N$2:$N$1001,0),0), INDEX($U$1004:$AC$1004,1,MATCH(COLUMNS($U$1006:V1006),$U$1006:$AC$1006,0)))),"Fix")))</f>
        <v>0</v>
      </c>
      <c r="D410" s="3">
        <f>IF(OR(INDEX($O$2:$O$1001,MATCH(ROWS($N$2:N410),$N$2:$N$1001,0),1)&gt;=100000,INDEX($U$1005:$AC$1005,1,MATCH(COLUMNS($U$1006:W1006),$U$1006:$AC$1006,0))&gt;=100000), " ",IF(INDEX($U$2:$AC$1001,MATCH(ROWS($N$2:N410),$N$2:$N$1001,0),MATCH(COLUMNS($U$1006:W1006),$U$1006:$AC$1006,0)), HYPERLINK("#",""), HYPERLINK(CONCATENATE("#metadata!", ADDRESS(INDEX($P$2:$P$1001,MATCH(ROWS($N$2:N410),$N$2:$N$1001,0),0), INDEX($U$1004:$AC$1004,1,MATCH(COLUMNS($U$1006:W1006),$U$1006:$AC$1006,0)))),"Fix")))</f>
        <v>0</v>
      </c>
      <c r="E410" s="3">
        <f>IF(OR(INDEX($O$2:$O$1001,MATCH(ROWS($N$2:N410),$N$2:$N$1001,0),1)&gt;=100000,INDEX($U$1005:$AC$1005,1,MATCH(COLUMNS($U$1006:X1006),$U$1006:$AC$1006,0))&gt;=100000), " ",IF(INDEX($U$2:$AC$1001,MATCH(ROWS($N$2:N410),$N$2:$N$1001,0),MATCH(COLUMNS($U$1006:X1006),$U$1006:$AC$1006,0)), HYPERLINK("#",""), HYPERLINK(CONCATENATE("#metadata!", ADDRESS(INDEX($P$2:$P$1001,MATCH(ROWS($N$2:N410),$N$2:$N$1001,0),0), INDEX($U$1004:$AC$1004,1,MATCH(COLUMNS($U$1006:X1006),$U$1006:$AC$1006,0)))),"Fix")))</f>
        <v>0</v>
      </c>
      <c r="F410" s="3">
        <f>IF(OR(INDEX($O$2:$O$1001,MATCH(ROWS($N$2:N410),$N$2:$N$1001,0),1)&gt;=100000,INDEX($U$1005:$AC$1005,1,MATCH(COLUMNS($U$1006:Y1006),$U$1006:$AC$1006,0))&gt;=100000), " ",IF(INDEX($U$2:$AC$1001,MATCH(ROWS($N$2:N410),$N$2:$N$1001,0),MATCH(COLUMNS($U$1006:Y1006),$U$1006:$AC$1006,0)), HYPERLINK("#",""), HYPERLINK(CONCATENATE("#metadata!", ADDRESS(INDEX($P$2:$P$1001,MATCH(ROWS($N$2:N410),$N$2:$N$1001,0),0), INDEX($U$1004:$AC$1004,1,MATCH(COLUMNS($U$1006:Y1006),$U$1006:$AC$1006,0)))),"Fix")))</f>
        <v>0</v>
      </c>
      <c r="G410" s="3">
        <f>IF(OR(INDEX($O$2:$O$1001,MATCH(ROWS($N$2:N410),$N$2:$N$1001,0),1)&gt;=100000,INDEX($U$1005:$AC$1005,1,MATCH(COLUMNS($U$1006:Z1006),$U$1006:$AC$1006,0))&gt;=100000), " ",IF(INDEX($U$2:$AC$1001,MATCH(ROWS($N$2:N410),$N$2:$N$1001,0),MATCH(COLUMNS($U$1006:Z1006),$U$1006:$AC$1006,0)), HYPERLINK("#",""), HYPERLINK(CONCATENATE("#metadata!", ADDRESS(INDEX($P$2:$P$1001,MATCH(ROWS($N$2:N410),$N$2:$N$1001,0),0), INDEX($U$1004:$AC$1004,1,MATCH(COLUMNS($U$1006:Z1006),$U$1006:$AC$1006,0)))),"Fix")))</f>
        <v>0</v>
      </c>
      <c r="H410" s="3">
        <f>IF(OR(INDEX($O$2:$O$1001,MATCH(ROWS($N$2:N410),$N$2:$N$1001,0),1)&gt;=100000,INDEX($U$1005:$AC$1005,1,MATCH(COLUMNS($U$1006:AA1006),$U$1006:$AC$1006,0))&gt;=100000), " ",IF(INDEX($U$2:$AC$1001,MATCH(ROWS($N$2:N410),$N$2:$N$1001,0),MATCH(COLUMNS($U$1006:AA1006),$U$1006:$AC$1006,0)), HYPERLINK("#",""), HYPERLINK(CONCATENATE("#metadata!", ADDRESS(INDEX($P$2:$P$1001,MATCH(ROWS($N$2:N410),$N$2:$N$1001,0),0), INDEX($U$1004:$AC$1004,1,MATCH(COLUMNS($U$1006:AA1006),$U$1006:$AC$1006,0)))),"Fix")))</f>
        <v>0</v>
      </c>
      <c r="I410" s="3">
        <f>IF(OR(INDEX($O$2:$O$1001,MATCH(ROWS($N$2:N410),$N$2:$N$1001,0),1)&gt;=100000,INDEX($U$1005:$AC$1005,1,MATCH(COLUMNS($U$1006:AB1006),$U$1006:$AC$1006,0))&gt;=100000), " ",IF(INDEX($U$2:$AC$1001,MATCH(ROWS($N$2:N410),$N$2:$N$1001,0),MATCH(COLUMNS($U$1006:AB1006),$U$1006:$AC$1006,0)), HYPERLINK("#",""), HYPERLINK(CONCATENATE("#metadata!", ADDRESS(INDEX($P$2:$P$1001,MATCH(ROWS($N$2:N410),$N$2:$N$1001,0),0), INDEX($U$1004:$AC$1004,1,MATCH(COLUMNS($U$1006:AB1006),$U$1006:$AC$1006,0)))),"Fix")))</f>
        <v>0</v>
      </c>
      <c r="J410" s="3">
        <f>IF(OR(INDEX($O$2:$O$1001,MATCH(ROWS($N$2:N410),$N$2:$N$1001,0),1)&gt;=100000,INDEX($U$1005:$AC$1005,1,MATCH(COLUMNS($U$1006:AC1006),$U$1006:$AC$1006,0))&gt;=100000), " ",IF(INDEX($U$2:$AC$1001,MATCH(ROWS($N$2:N410),$N$2:$N$1001,0),MATCH(COLUMNS($U$1006:AC1006),$U$1006:$AC$1006,0)), HYPERLINK("#",""), HYPERLINK(CONCATENATE("#metadata!", ADDRESS(INDEX($P$2:$P$1001,MATCH(ROWS($N$2:N410),$N$2:$N$1001,0),0), INDEX($U$1004:$AC$1004,1,MATCH(COLUMNS($U$1006:AC1006),$U$1006:$AC$1006,0)))),"Fix")))</f>
        <v>0</v>
      </c>
      <c r="N410">
        <v>0</v>
      </c>
      <c r="O410">
        <v>0</v>
      </c>
      <c r="P410">
        <v>0</v>
      </c>
      <c r="Q410">
        <f>IF(R410,TRUE,AND(U410:AC410))</f>
        <v>0</v>
      </c>
      <c r="R410">
        <f>COUNTBLANK(metadata!B410:J410)=COLUMNS(metadata!B410:J410)</f>
        <v>0</v>
      </c>
      <c r="S410">
        <v>0</v>
      </c>
      <c r="U410">
        <f>AND(IF(metadata!B410="",FALSE,TRUE),COUNTIF(metadata!B:B, metadata!B410) = 1,NOT(ISERROR(SUMPRODUCT(SEARCH(MID(metadata!B410,ROW(INDIRECT("1:"&amp;LEN(metadata!B410))), 1),"0123456789abcdefghijklmnopqrstuvwxyzABCDEFGHIJKLMNOPQRSTUVWXYZ.")))))</f>
        <v>0</v>
      </c>
      <c r="V410">
        <f>AND(IF(metadata!C410="",FALSE,TRUE),exact(metadata!C410,"UBERON:genitourinary"))</f>
        <v>0</v>
      </c>
      <c r="W410">
        <f>AND(IF(metadata!D410="",FALSE,TRUE),exact(metadata!D410,"UBERON:urine"))</f>
        <v>0</v>
      </c>
      <c r="X410">
        <f>AND(IF(metadata!E410="",FALSE,TRUE),exact(metadata!E410,"UBERON:kidney"))</f>
        <v>0</v>
      </c>
      <c r="Y410">
        <f>AND(IF(metadata!F410="",FALSE,TRUE),exact(metadata!F410,"animal corpus"))</f>
        <v>0</v>
      </c>
      <c r="Z410">
        <f>AND(IF(metadata!G410="",FALSE,TRUE),exact(metadata!G410,"urine"))</f>
        <v>0</v>
      </c>
      <c r="AA410">
        <f>AND(IF(metadata!H410="",FALSE,TRUE),exact(metadata!H410,"urine"))</f>
        <v>0</v>
      </c>
      <c r="AB410">
        <f>AND(IF(metadata!I410="",FALSE,TRUE),exact(metadata!I410,"urine metagenome"))</f>
        <v>0</v>
      </c>
      <c r="AC410">
        <f>AND(IF(metadata!J410="",FALSE,TRUE),exact(metadata!J410,"1346744"))</f>
        <v>0</v>
      </c>
    </row>
    <row r="411" spans="1:29">
      <c r="A411" s="4">
        <f>IF(B411=" "," ",HYPERLINK(CONCATENATE("#metadata!",ADDRESS(INDEX($P$2:$P$1001,MATCH(ROWS($N$2:N411),$N$2:$N$1001,0),0),1)),INDEX($S$2:$S$1001,MATCH(ROWS($N$2:N411),$N$2:$N$1001,0),0)))</f>
        <v>0</v>
      </c>
      <c r="B411" s="3">
        <f>IF(OR(INDEX($O$2:$O$1001,MATCH(ROWS($N$2:N411),$N$2:$N$1001,0),1)&gt;=100000,INDEX($U$1005:$AC$1005,1,MATCH(COLUMNS($U$1006:U1006),$U$1006:$AC$1006,0))&gt;=100000), " ",IF(INDEX($U$2:$AC$1001,MATCH(ROWS($N$2:N411),$N$2:$N$1001,0),MATCH(COLUMNS($U$1006:U1006),$U$1006:$AC$1006,0)), HYPERLINK("#",""), HYPERLINK(CONCATENATE("#metadata!", ADDRESS(INDEX($P$2:$P$1001,MATCH(ROWS($N$2:N411),$N$2:$N$1001,0),0), INDEX($U$1004:$AC$1004,1,MATCH(COLUMNS($U$1006:U1006),$U$1006:$AC$1006,0)))),"Fix")))</f>
        <v>0</v>
      </c>
      <c r="C411" s="3">
        <f>IF(OR(INDEX($O$2:$O$1001,MATCH(ROWS($N$2:N411),$N$2:$N$1001,0),1)&gt;=100000,INDEX($U$1005:$AC$1005,1,MATCH(COLUMNS($U$1006:V1006),$U$1006:$AC$1006,0))&gt;=100000), " ",IF(INDEX($U$2:$AC$1001,MATCH(ROWS($N$2:N411),$N$2:$N$1001,0),MATCH(COLUMNS($U$1006:V1006),$U$1006:$AC$1006,0)), HYPERLINK("#",""), HYPERLINK(CONCATENATE("#metadata!", ADDRESS(INDEX($P$2:$P$1001,MATCH(ROWS($N$2:N411),$N$2:$N$1001,0),0), INDEX($U$1004:$AC$1004,1,MATCH(COLUMNS($U$1006:V1006),$U$1006:$AC$1006,0)))),"Fix")))</f>
        <v>0</v>
      </c>
      <c r="D411" s="3">
        <f>IF(OR(INDEX($O$2:$O$1001,MATCH(ROWS($N$2:N411),$N$2:$N$1001,0),1)&gt;=100000,INDEX($U$1005:$AC$1005,1,MATCH(COLUMNS($U$1006:W1006),$U$1006:$AC$1006,0))&gt;=100000), " ",IF(INDEX($U$2:$AC$1001,MATCH(ROWS($N$2:N411),$N$2:$N$1001,0),MATCH(COLUMNS($U$1006:W1006),$U$1006:$AC$1006,0)), HYPERLINK("#",""), HYPERLINK(CONCATENATE("#metadata!", ADDRESS(INDEX($P$2:$P$1001,MATCH(ROWS($N$2:N411),$N$2:$N$1001,0),0), INDEX($U$1004:$AC$1004,1,MATCH(COLUMNS($U$1006:W1006),$U$1006:$AC$1006,0)))),"Fix")))</f>
        <v>0</v>
      </c>
      <c r="E411" s="3">
        <f>IF(OR(INDEX($O$2:$O$1001,MATCH(ROWS($N$2:N411),$N$2:$N$1001,0),1)&gt;=100000,INDEX($U$1005:$AC$1005,1,MATCH(COLUMNS($U$1006:X1006),$U$1006:$AC$1006,0))&gt;=100000), " ",IF(INDEX($U$2:$AC$1001,MATCH(ROWS($N$2:N411),$N$2:$N$1001,0),MATCH(COLUMNS($U$1006:X1006),$U$1006:$AC$1006,0)), HYPERLINK("#",""), HYPERLINK(CONCATENATE("#metadata!", ADDRESS(INDEX($P$2:$P$1001,MATCH(ROWS($N$2:N411),$N$2:$N$1001,0),0), INDEX($U$1004:$AC$1004,1,MATCH(COLUMNS($U$1006:X1006),$U$1006:$AC$1006,0)))),"Fix")))</f>
        <v>0</v>
      </c>
      <c r="F411" s="3">
        <f>IF(OR(INDEX($O$2:$O$1001,MATCH(ROWS($N$2:N411),$N$2:$N$1001,0),1)&gt;=100000,INDEX($U$1005:$AC$1005,1,MATCH(COLUMNS($U$1006:Y1006),$U$1006:$AC$1006,0))&gt;=100000), " ",IF(INDEX($U$2:$AC$1001,MATCH(ROWS($N$2:N411),$N$2:$N$1001,0),MATCH(COLUMNS($U$1006:Y1006),$U$1006:$AC$1006,0)), HYPERLINK("#",""), HYPERLINK(CONCATENATE("#metadata!", ADDRESS(INDEX($P$2:$P$1001,MATCH(ROWS($N$2:N411),$N$2:$N$1001,0),0), INDEX($U$1004:$AC$1004,1,MATCH(COLUMNS($U$1006:Y1006),$U$1006:$AC$1006,0)))),"Fix")))</f>
        <v>0</v>
      </c>
      <c r="G411" s="3">
        <f>IF(OR(INDEX($O$2:$O$1001,MATCH(ROWS($N$2:N411),$N$2:$N$1001,0),1)&gt;=100000,INDEX($U$1005:$AC$1005,1,MATCH(COLUMNS($U$1006:Z1006),$U$1006:$AC$1006,0))&gt;=100000), " ",IF(INDEX($U$2:$AC$1001,MATCH(ROWS($N$2:N411),$N$2:$N$1001,0),MATCH(COLUMNS($U$1006:Z1006),$U$1006:$AC$1006,0)), HYPERLINK("#",""), HYPERLINK(CONCATENATE("#metadata!", ADDRESS(INDEX($P$2:$P$1001,MATCH(ROWS($N$2:N411),$N$2:$N$1001,0),0), INDEX($U$1004:$AC$1004,1,MATCH(COLUMNS($U$1006:Z1006),$U$1006:$AC$1006,0)))),"Fix")))</f>
        <v>0</v>
      </c>
      <c r="H411" s="3">
        <f>IF(OR(INDEX($O$2:$O$1001,MATCH(ROWS($N$2:N411),$N$2:$N$1001,0),1)&gt;=100000,INDEX($U$1005:$AC$1005,1,MATCH(COLUMNS($U$1006:AA1006),$U$1006:$AC$1006,0))&gt;=100000), " ",IF(INDEX($U$2:$AC$1001,MATCH(ROWS($N$2:N411),$N$2:$N$1001,0),MATCH(COLUMNS($U$1006:AA1006),$U$1006:$AC$1006,0)), HYPERLINK("#",""), HYPERLINK(CONCATENATE("#metadata!", ADDRESS(INDEX($P$2:$P$1001,MATCH(ROWS($N$2:N411),$N$2:$N$1001,0),0), INDEX($U$1004:$AC$1004,1,MATCH(COLUMNS($U$1006:AA1006),$U$1006:$AC$1006,0)))),"Fix")))</f>
        <v>0</v>
      </c>
      <c r="I411" s="3">
        <f>IF(OR(INDEX($O$2:$O$1001,MATCH(ROWS($N$2:N411),$N$2:$N$1001,0),1)&gt;=100000,INDEX($U$1005:$AC$1005,1,MATCH(COLUMNS($U$1006:AB1006),$U$1006:$AC$1006,0))&gt;=100000), " ",IF(INDEX($U$2:$AC$1001,MATCH(ROWS($N$2:N411),$N$2:$N$1001,0),MATCH(COLUMNS($U$1006:AB1006),$U$1006:$AC$1006,0)), HYPERLINK("#",""), HYPERLINK(CONCATENATE("#metadata!", ADDRESS(INDEX($P$2:$P$1001,MATCH(ROWS($N$2:N411),$N$2:$N$1001,0),0), INDEX($U$1004:$AC$1004,1,MATCH(COLUMNS($U$1006:AB1006),$U$1006:$AC$1006,0)))),"Fix")))</f>
        <v>0</v>
      </c>
      <c r="J411" s="3">
        <f>IF(OR(INDEX($O$2:$O$1001,MATCH(ROWS($N$2:N411),$N$2:$N$1001,0),1)&gt;=100000,INDEX($U$1005:$AC$1005,1,MATCH(COLUMNS($U$1006:AC1006),$U$1006:$AC$1006,0))&gt;=100000), " ",IF(INDEX($U$2:$AC$1001,MATCH(ROWS($N$2:N411),$N$2:$N$1001,0),MATCH(COLUMNS($U$1006:AC1006),$U$1006:$AC$1006,0)), HYPERLINK("#",""), HYPERLINK(CONCATENATE("#metadata!", ADDRESS(INDEX($P$2:$P$1001,MATCH(ROWS($N$2:N411),$N$2:$N$1001,0),0), INDEX($U$1004:$AC$1004,1,MATCH(COLUMNS($U$1006:AC1006),$U$1006:$AC$1006,0)))),"Fix")))</f>
        <v>0</v>
      </c>
      <c r="N411">
        <v>0</v>
      </c>
      <c r="O411">
        <v>0</v>
      </c>
      <c r="P411">
        <v>0</v>
      </c>
      <c r="Q411">
        <f>IF(R411,TRUE,AND(U411:AC411))</f>
        <v>0</v>
      </c>
      <c r="R411">
        <f>COUNTBLANK(metadata!B411:J411)=COLUMNS(metadata!B411:J411)</f>
        <v>0</v>
      </c>
      <c r="S411">
        <v>0</v>
      </c>
      <c r="U411">
        <f>AND(IF(metadata!B411="",FALSE,TRUE),COUNTIF(metadata!B:B, metadata!B411) = 1,NOT(ISERROR(SUMPRODUCT(SEARCH(MID(metadata!B411,ROW(INDIRECT("1:"&amp;LEN(metadata!B411))), 1),"0123456789abcdefghijklmnopqrstuvwxyzABCDEFGHIJKLMNOPQRSTUVWXYZ.")))))</f>
        <v>0</v>
      </c>
      <c r="V411">
        <f>AND(IF(metadata!C411="",FALSE,TRUE),exact(metadata!C411,"UBERON:genitourinary"))</f>
        <v>0</v>
      </c>
      <c r="W411">
        <f>AND(IF(metadata!D411="",FALSE,TRUE),exact(metadata!D411,"UBERON:urine"))</f>
        <v>0</v>
      </c>
      <c r="X411">
        <f>AND(IF(metadata!E411="",FALSE,TRUE),exact(metadata!E411,"UBERON:kidney"))</f>
        <v>0</v>
      </c>
      <c r="Y411">
        <f>AND(IF(metadata!F411="",FALSE,TRUE),exact(metadata!F411,"animal corpus"))</f>
        <v>0</v>
      </c>
      <c r="Z411">
        <f>AND(IF(metadata!G411="",FALSE,TRUE),exact(metadata!G411,"urine"))</f>
        <v>0</v>
      </c>
      <c r="AA411">
        <f>AND(IF(metadata!H411="",FALSE,TRUE),exact(metadata!H411,"urine"))</f>
        <v>0</v>
      </c>
      <c r="AB411">
        <f>AND(IF(metadata!I411="",FALSE,TRUE),exact(metadata!I411,"urine metagenome"))</f>
        <v>0</v>
      </c>
      <c r="AC411">
        <f>AND(IF(metadata!J411="",FALSE,TRUE),exact(metadata!J411,"1346744"))</f>
        <v>0</v>
      </c>
    </row>
    <row r="412" spans="1:29">
      <c r="A412" s="4">
        <f>IF(B412=" "," ",HYPERLINK(CONCATENATE("#metadata!",ADDRESS(INDEX($P$2:$P$1001,MATCH(ROWS($N$2:N412),$N$2:$N$1001,0),0),1)),INDEX($S$2:$S$1001,MATCH(ROWS($N$2:N412),$N$2:$N$1001,0),0)))</f>
        <v>0</v>
      </c>
      <c r="B412" s="3">
        <f>IF(OR(INDEX($O$2:$O$1001,MATCH(ROWS($N$2:N412),$N$2:$N$1001,0),1)&gt;=100000,INDEX($U$1005:$AC$1005,1,MATCH(COLUMNS($U$1006:U1006),$U$1006:$AC$1006,0))&gt;=100000), " ",IF(INDEX($U$2:$AC$1001,MATCH(ROWS($N$2:N412),$N$2:$N$1001,0),MATCH(COLUMNS($U$1006:U1006),$U$1006:$AC$1006,0)), HYPERLINK("#",""), HYPERLINK(CONCATENATE("#metadata!", ADDRESS(INDEX($P$2:$P$1001,MATCH(ROWS($N$2:N412),$N$2:$N$1001,0),0), INDEX($U$1004:$AC$1004,1,MATCH(COLUMNS($U$1006:U1006),$U$1006:$AC$1006,0)))),"Fix")))</f>
        <v>0</v>
      </c>
      <c r="C412" s="3">
        <f>IF(OR(INDEX($O$2:$O$1001,MATCH(ROWS($N$2:N412),$N$2:$N$1001,0),1)&gt;=100000,INDEX($U$1005:$AC$1005,1,MATCH(COLUMNS($U$1006:V1006),$U$1006:$AC$1006,0))&gt;=100000), " ",IF(INDEX($U$2:$AC$1001,MATCH(ROWS($N$2:N412),$N$2:$N$1001,0),MATCH(COLUMNS($U$1006:V1006),$U$1006:$AC$1006,0)), HYPERLINK("#",""), HYPERLINK(CONCATENATE("#metadata!", ADDRESS(INDEX($P$2:$P$1001,MATCH(ROWS($N$2:N412),$N$2:$N$1001,0),0), INDEX($U$1004:$AC$1004,1,MATCH(COLUMNS($U$1006:V1006),$U$1006:$AC$1006,0)))),"Fix")))</f>
        <v>0</v>
      </c>
      <c r="D412" s="3">
        <f>IF(OR(INDEX($O$2:$O$1001,MATCH(ROWS($N$2:N412),$N$2:$N$1001,0),1)&gt;=100000,INDEX($U$1005:$AC$1005,1,MATCH(COLUMNS($U$1006:W1006),$U$1006:$AC$1006,0))&gt;=100000), " ",IF(INDEX($U$2:$AC$1001,MATCH(ROWS($N$2:N412),$N$2:$N$1001,0),MATCH(COLUMNS($U$1006:W1006),$U$1006:$AC$1006,0)), HYPERLINK("#",""), HYPERLINK(CONCATENATE("#metadata!", ADDRESS(INDEX($P$2:$P$1001,MATCH(ROWS($N$2:N412),$N$2:$N$1001,0),0), INDEX($U$1004:$AC$1004,1,MATCH(COLUMNS($U$1006:W1006),$U$1006:$AC$1006,0)))),"Fix")))</f>
        <v>0</v>
      </c>
      <c r="E412" s="3">
        <f>IF(OR(INDEX($O$2:$O$1001,MATCH(ROWS($N$2:N412),$N$2:$N$1001,0),1)&gt;=100000,INDEX($U$1005:$AC$1005,1,MATCH(COLUMNS($U$1006:X1006),$U$1006:$AC$1006,0))&gt;=100000), " ",IF(INDEX($U$2:$AC$1001,MATCH(ROWS($N$2:N412),$N$2:$N$1001,0),MATCH(COLUMNS($U$1006:X1006),$U$1006:$AC$1006,0)), HYPERLINK("#",""), HYPERLINK(CONCATENATE("#metadata!", ADDRESS(INDEX($P$2:$P$1001,MATCH(ROWS($N$2:N412),$N$2:$N$1001,0),0), INDEX($U$1004:$AC$1004,1,MATCH(COLUMNS($U$1006:X1006),$U$1006:$AC$1006,0)))),"Fix")))</f>
        <v>0</v>
      </c>
      <c r="F412" s="3">
        <f>IF(OR(INDEX($O$2:$O$1001,MATCH(ROWS($N$2:N412),$N$2:$N$1001,0),1)&gt;=100000,INDEX($U$1005:$AC$1005,1,MATCH(COLUMNS($U$1006:Y1006),$U$1006:$AC$1006,0))&gt;=100000), " ",IF(INDEX($U$2:$AC$1001,MATCH(ROWS($N$2:N412),$N$2:$N$1001,0),MATCH(COLUMNS($U$1006:Y1006),$U$1006:$AC$1006,0)), HYPERLINK("#",""), HYPERLINK(CONCATENATE("#metadata!", ADDRESS(INDEX($P$2:$P$1001,MATCH(ROWS($N$2:N412),$N$2:$N$1001,0),0), INDEX($U$1004:$AC$1004,1,MATCH(COLUMNS($U$1006:Y1006),$U$1006:$AC$1006,0)))),"Fix")))</f>
        <v>0</v>
      </c>
      <c r="G412" s="3">
        <f>IF(OR(INDEX($O$2:$O$1001,MATCH(ROWS($N$2:N412),$N$2:$N$1001,0),1)&gt;=100000,INDEX($U$1005:$AC$1005,1,MATCH(COLUMNS($U$1006:Z1006),$U$1006:$AC$1006,0))&gt;=100000), " ",IF(INDEX($U$2:$AC$1001,MATCH(ROWS($N$2:N412),$N$2:$N$1001,0),MATCH(COLUMNS($U$1006:Z1006),$U$1006:$AC$1006,0)), HYPERLINK("#",""), HYPERLINK(CONCATENATE("#metadata!", ADDRESS(INDEX($P$2:$P$1001,MATCH(ROWS($N$2:N412),$N$2:$N$1001,0),0), INDEX($U$1004:$AC$1004,1,MATCH(COLUMNS($U$1006:Z1006),$U$1006:$AC$1006,0)))),"Fix")))</f>
        <v>0</v>
      </c>
      <c r="H412" s="3">
        <f>IF(OR(INDEX($O$2:$O$1001,MATCH(ROWS($N$2:N412),$N$2:$N$1001,0),1)&gt;=100000,INDEX($U$1005:$AC$1005,1,MATCH(COLUMNS($U$1006:AA1006),$U$1006:$AC$1006,0))&gt;=100000), " ",IF(INDEX($U$2:$AC$1001,MATCH(ROWS($N$2:N412),$N$2:$N$1001,0),MATCH(COLUMNS($U$1006:AA1006),$U$1006:$AC$1006,0)), HYPERLINK("#",""), HYPERLINK(CONCATENATE("#metadata!", ADDRESS(INDEX($P$2:$P$1001,MATCH(ROWS($N$2:N412),$N$2:$N$1001,0),0), INDEX($U$1004:$AC$1004,1,MATCH(COLUMNS($U$1006:AA1006),$U$1006:$AC$1006,0)))),"Fix")))</f>
        <v>0</v>
      </c>
      <c r="I412" s="3">
        <f>IF(OR(INDEX($O$2:$O$1001,MATCH(ROWS($N$2:N412),$N$2:$N$1001,0),1)&gt;=100000,INDEX($U$1005:$AC$1005,1,MATCH(COLUMNS($U$1006:AB1006),$U$1006:$AC$1006,0))&gt;=100000), " ",IF(INDEX($U$2:$AC$1001,MATCH(ROWS($N$2:N412),$N$2:$N$1001,0),MATCH(COLUMNS($U$1006:AB1006),$U$1006:$AC$1006,0)), HYPERLINK("#",""), HYPERLINK(CONCATENATE("#metadata!", ADDRESS(INDEX($P$2:$P$1001,MATCH(ROWS($N$2:N412),$N$2:$N$1001,0),0), INDEX($U$1004:$AC$1004,1,MATCH(COLUMNS($U$1006:AB1006),$U$1006:$AC$1006,0)))),"Fix")))</f>
        <v>0</v>
      </c>
      <c r="J412" s="3">
        <f>IF(OR(INDEX($O$2:$O$1001,MATCH(ROWS($N$2:N412),$N$2:$N$1001,0),1)&gt;=100000,INDEX($U$1005:$AC$1005,1,MATCH(COLUMNS($U$1006:AC1006),$U$1006:$AC$1006,0))&gt;=100000), " ",IF(INDEX($U$2:$AC$1001,MATCH(ROWS($N$2:N412),$N$2:$N$1001,0),MATCH(COLUMNS($U$1006:AC1006),$U$1006:$AC$1006,0)), HYPERLINK("#",""), HYPERLINK(CONCATENATE("#metadata!", ADDRESS(INDEX($P$2:$P$1001,MATCH(ROWS($N$2:N412),$N$2:$N$1001,0),0), INDEX($U$1004:$AC$1004,1,MATCH(COLUMNS($U$1006:AC1006),$U$1006:$AC$1006,0)))),"Fix")))</f>
        <v>0</v>
      </c>
      <c r="N412">
        <v>0</v>
      </c>
      <c r="O412">
        <v>0</v>
      </c>
      <c r="P412">
        <v>0</v>
      </c>
      <c r="Q412">
        <f>IF(R412,TRUE,AND(U412:AC412))</f>
        <v>0</v>
      </c>
      <c r="R412">
        <f>COUNTBLANK(metadata!B412:J412)=COLUMNS(metadata!B412:J412)</f>
        <v>0</v>
      </c>
      <c r="S412">
        <v>0</v>
      </c>
      <c r="U412">
        <f>AND(IF(metadata!B412="",FALSE,TRUE),COUNTIF(metadata!B:B, metadata!B412) = 1,NOT(ISERROR(SUMPRODUCT(SEARCH(MID(metadata!B412,ROW(INDIRECT("1:"&amp;LEN(metadata!B412))), 1),"0123456789abcdefghijklmnopqrstuvwxyzABCDEFGHIJKLMNOPQRSTUVWXYZ.")))))</f>
        <v>0</v>
      </c>
      <c r="V412">
        <f>AND(IF(metadata!C412="",FALSE,TRUE),exact(metadata!C412,"UBERON:genitourinary"))</f>
        <v>0</v>
      </c>
      <c r="W412">
        <f>AND(IF(metadata!D412="",FALSE,TRUE),exact(metadata!D412,"UBERON:urine"))</f>
        <v>0</v>
      </c>
      <c r="X412">
        <f>AND(IF(metadata!E412="",FALSE,TRUE),exact(metadata!E412,"UBERON:kidney"))</f>
        <v>0</v>
      </c>
      <c r="Y412">
        <f>AND(IF(metadata!F412="",FALSE,TRUE),exact(metadata!F412,"animal corpus"))</f>
        <v>0</v>
      </c>
      <c r="Z412">
        <f>AND(IF(metadata!G412="",FALSE,TRUE),exact(metadata!G412,"urine"))</f>
        <v>0</v>
      </c>
      <c r="AA412">
        <f>AND(IF(metadata!H412="",FALSE,TRUE),exact(metadata!H412,"urine"))</f>
        <v>0</v>
      </c>
      <c r="AB412">
        <f>AND(IF(metadata!I412="",FALSE,TRUE),exact(metadata!I412,"urine metagenome"))</f>
        <v>0</v>
      </c>
      <c r="AC412">
        <f>AND(IF(metadata!J412="",FALSE,TRUE),exact(metadata!J412,"1346744"))</f>
        <v>0</v>
      </c>
    </row>
    <row r="413" spans="1:29">
      <c r="A413" s="4">
        <f>IF(B413=" "," ",HYPERLINK(CONCATENATE("#metadata!",ADDRESS(INDEX($P$2:$P$1001,MATCH(ROWS($N$2:N413),$N$2:$N$1001,0),0),1)),INDEX($S$2:$S$1001,MATCH(ROWS($N$2:N413),$N$2:$N$1001,0),0)))</f>
        <v>0</v>
      </c>
      <c r="B413" s="3">
        <f>IF(OR(INDEX($O$2:$O$1001,MATCH(ROWS($N$2:N413),$N$2:$N$1001,0),1)&gt;=100000,INDEX($U$1005:$AC$1005,1,MATCH(COLUMNS($U$1006:U1006),$U$1006:$AC$1006,0))&gt;=100000), " ",IF(INDEX($U$2:$AC$1001,MATCH(ROWS($N$2:N413),$N$2:$N$1001,0),MATCH(COLUMNS($U$1006:U1006),$U$1006:$AC$1006,0)), HYPERLINK("#",""), HYPERLINK(CONCATENATE("#metadata!", ADDRESS(INDEX($P$2:$P$1001,MATCH(ROWS($N$2:N413),$N$2:$N$1001,0),0), INDEX($U$1004:$AC$1004,1,MATCH(COLUMNS($U$1006:U1006),$U$1006:$AC$1006,0)))),"Fix")))</f>
        <v>0</v>
      </c>
      <c r="C413" s="3">
        <f>IF(OR(INDEX($O$2:$O$1001,MATCH(ROWS($N$2:N413),$N$2:$N$1001,0),1)&gt;=100000,INDEX($U$1005:$AC$1005,1,MATCH(COLUMNS($U$1006:V1006),$U$1006:$AC$1006,0))&gt;=100000), " ",IF(INDEX($U$2:$AC$1001,MATCH(ROWS($N$2:N413),$N$2:$N$1001,0),MATCH(COLUMNS($U$1006:V1006),$U$1006:$AC$1006,0)), HYPERLINK("#",""), HYPERLINK(CONCATENATE("#metadata!", ADDRESS(INDEX($P$2:$P$1001,MATCH(ROWS($N$2:N413),$N$2:$N$1001,0),0), INDEX($U$1004:$AC$1004,1,MATCH(COLUMNS($U$1006:V1006),$U$1006:$AC$1006,0)))),"Fix")))</f>
        <v>0</v>
      </c>
      <c r="D413" s="3">
        <f>IF(OR(INDEX($O$2:$O$1001,MATCH(ROWS($N$2:N413),$N$2:$N$1001,0),1)&gt;=100000,INDEX($U$1005:$AC$1005,1,MATCH(COLUMNS($U$1006:W1006),$U$1006:$AC$1006,0))&gt;=100000), " ",IF(INDEX($U$2:$AC$1001,MATCH(ROWS($N$2:N413),$N$2:$N$1001,0),MATCH(COLUMNS($U$1006:W1006),$U$1006:$AC$1006,0)), HYPERLINK("#",""), HYPERLINK(CONCATENATE("#metadata!", ADDRESS(INDEX($P$2:$P$1001,MATCH(ROWS($N$2:N413),$N$2:$N$1001,0),0), INDEX($U$1004:$AC$1004,1,MATCH(COLUMNS($U$1006:W1006),$U$1006:$AC$1006,0)))),"Fix")))</f>
        <v>0</v>
      </c>
      <c r="E413" s="3">
        <f>IF(OR(INDEX($O$2:$O$1001,MATCH(ROWS($N$2:N413),$N$2:$N$1001,0),1)&gt;=100000,INDEX($U$1005:$AC$1005,1,MATCH(COLUMNS($U$1006:X1006),$U$1006:$AC$1006,0))&gt;=100000), " ",IF(INDEX($U$2:$AC$1001,MATCH(ROWS($N$2:N413),$N$2:$N$1001,0),MATCH(COLUMNS($U$1006:X1006),$U$1006:$AC$1006,0)), HYPERLINK("#",""), HYPERLINK(CONCATENATE("#metadata!", ADDRESS(INDEX($P$2:$P$1001,MATCH(ROWS($N$2:N413),$N$2:$N$1001,0),0), INDEX($U$1004:$AC$1004,1,MATCH(COLUMNS($U$1006:X1006),$U$1006:$AC$1006,0)))),"Fix")))</f>
        <v>0</v>
      </c>
      <c r="F413" s="3">
        <f>IF(OR(INDEX($O$2:$O$1001,MATCH(ROWS($N$2:N413),$N$2:$N$1001,0),1)&gt;=100000,INDEX($U$1005:$AC$1005,1,MATCH(COLUMNS($U$1006:Y1006),$U$1006:$AC$1006,0))&gt;=100000), " ",IF(INDEX($U$2:$AC$1001,MATCH(ROWS($N$2:N413),$N$2:$N$1001,0),MATCH(COLUMNS($U$1006:Y1006),$U$1006:$AC$1006,0)), HYPERLINK("#",""), HYPERLINK(CONCATENATE("#metadata!", ADDRESS(INDEX($P$2:$P$1001,MATCH(ROWS($N$2:N413),$N$2:$N$1001,0),0), INDEX($U$1004:$AC$1004,1,MATCH(COLUMNS($U$1006:Y1006),$U$1006:$AC$1006,0)))),"Fix")))</f>
        <v>0</v>
      </c>
      <c r="G413" s="3">
        <f>IF(OR(INDEX($O$2:$O$1001,MATCH(ROWS($N$2:N413),$N$2:$N$1001,0),1)&gt;=100000,INDEX($U$1005:$AC$1005,1,MATCH(COLUMNS($U$1006:Z1006),$U$1006:$AC$1006,0))&gt;=100000), " ",IF(INDEX($U$2:$AC$1001,MATCH(ROWS($N$2:N413),$N$2:$N$1001,0),MATCH(COLUMNS($U$1006:Z1006),$U$1006:$AC$1006,0)), HYPERLINK("#",""), HYPERLINK(CONCATENATE("#metadata!", ADDRESS(INDEX($P$2:$P$1001,MATCH(ROWS($N$2:N413),$N$2:$N$1001,0),0), INDEX($U$1004:$AC$1004,1,MATCH(COLUMNS($U$1006:Z1006),$U$1006:$AC$1006,0)))),"Fix")))</f>
        <v>0</v>
      </c>
      <c r="H413" s="3">
        <f>IF(OR(INDEX($O$2:$O$1001,MATCH(ROWS($N$2:N413),$N$2:$N$1001,0),1)&gt;=100000,INDEX($U$1005:$AC$1005,1,MATCH(COLUMNS($U$1006:AA1006),$U$1006:$AC$1006,0))&gt;=100000), " ",IF(INDEX($U$2:$AC$1001,MATCH(ROWS($N$2:N413),$N$2:$N$1001,0),MATCH(COLUMNS($U$1006:AA1006),$U$1006:$AC$1006,0)), HYPERLINK("#",""), HYPERLINK(CONCATENATE("#metadata!", ADDRESS(INDEX($P$2:$P$1001,MATCH(ROWS($N$2:N413),$N$2:$N$1001,0),0), INDEX($U$1004:$AC$1004,1,MATCH(COLUMNS($U$1006:AA1006),$U$1006:$AC$1006,0)))),"Fix")))</f>
        <v>0</v>
      </c>
      <c r="I413" s="3">
        <f>IF(OR(INDEX($O$2:$O$1001,MATCH(ROWS($N$2:N413),$N$2:$N$1001,0),1)&gt;=100000,INDEX($U$1005:$AC$1005,1,MATCH(COLUMNS($U$1006:AB1006),$U$1006:$AC$1006,0))&gt;=100000), " ",IF(INDEX($U$2:$AC$1001,MATCH(ROWS($N$2:N413),$N$2:$N$1001,0),MATCH(COLUMNS($U$1006:AB1006),$U$1006:$AC$1006,0)), HYPERLINK("#",""), HYPERLINK(CONCATENATE("#metadata!", ADDRESS(INDEX($P$2:$P$1001,MATCH(ROWS($N$2:N413),$N$2:$N$1001,0),0), INDEX($U$1004:$AC$1004,1,MATCH(COLUMNS($U$1006:AB1006),$U$1006:$AC$1006,0)))),"Fix")))</f>
        <v>0</v>
      </c>
      <c r="J413" s="3">
        <f>IF(OR(INDEX($O$2:$O$1001,MATCH(ROWS($N$2:N413),$N$2:$N$1001,0),1)&gt;=100000,INDEX($U$1005:$AC$1005,1,MATCH(COLUMNS($U$1006:AC1006),$U$1006:$AC$1006,0))&gt;=100000), " ",IF(INDEX($U$2:$AC$1001,MATCH(ROWS($N$2:N413),$N$2:$N$1001,0),MATCH(COLUMNS($U$1006:AC1006),$U$1006:$AC$1006,0)), HYPERLINK("#",""), HYPERLINK(CONCATENATE("#metadata!", ADDRESS(INDEX($P$2:$P$1001,MATCH(ROWS($N$2:N413),$N$2:$N$1001,0),0), INDEX($U$1004:$AC$1004,1,MATCH(COLUMNS($U$1006:AC1006),$U$1006:$AC$1006,0)))),"Fix")))</f>
        <v>0</v>
      </c>
      <c r="N413">
        <v>0</v>
      </c>
      <c r="O413">
        <v>0</v>
      </c>
      <c r="P413">
        <v>0</v>
      </c>
      <c r="Q413">
        <f>IF(R413,TRUE,AND(U413:AC413))</f>
        <v>0</v>
      </c>
      <c r="R413">
        <f>COUNTBLANK(metadata!B413:J413)=COLUMNS(metadata!B413:J413)</f>
        <v>0</v>
      </c>
      <c r="S413">
        <v>0</v>
      </c>
      <c r="U413">
        <f>AND(IF(metadata!B413="",FALSE,TRUE),COUNTIF(metadata!B:B, metadata!B413) = 1,NOT(ISERROR(SUMPRODUCT(SEARCH(MID(metadata!B413,ROW(INDIRECT("1:"&amp;LEN(metadata!B413))), 1),"0123456789abcdefghijklmnopqrstuvwxyzABCDEFGHIJKLMNOPQRSTUVWXYZ.")))))</f>
        <v>0</v>
      </c>
      <c r="V413">
        <f>AND(IF(metadata!C413="",FALSE,TRUE),exact(metadata!C413,"UBERON:genitourinary"))</f>
        <v>0</v>
      </c>
      <c r="W413">
        <f>AND(IF(metadata!D413="",FALSE,TRUE),exact(metadata!D413,"UBERON:urine"))</f>
        <v>0</v>
      </c>
      <c r="X413">
        <f>AND(IF(metadata!E413="",FALSE,TRUE),exact(metadata!E413,"UBERON:kidney"))</f>
        <v>0</v>
      </c>
      <c r="Y413">
        <f>AND(IF(metadata!F413="",FALSE,TRUE),exact(metadata!F413,"animal corpus"))</f>
        <v>0</v>
      </c>
      <c r="Z413">
        <f>AND(IF(metadata!G413="",FALSE,TRUE),exact(metadata!G413,"urine"))</f>
        <v>0</v>
      </c>
      <c r="AA413">
        <f>AND(IF(metadata!H413="",FALSE,TRUE),exact(metadata!H413,"urine"))</f>
        <v>0</v>
      </c>
      <c r="AB413">
        <f>AND(IF(metadata!I413="",FALSE,TRUE),exact(metadata!I413,"urine metagenome"))</f>
        <v>0</v>
      </c>
      <c r="AC413">
        <f>AND(IF(metadata!J413="",FALSE,TRUE),exact(metadata!J413,"1346744"))</f>
        <v>0</v>
      </c>
    </row>
    <row r="414" spans="1:29">
      <c r="A414" s="4">
        <f>IF(B414=" "," ",HYPERLINK(CONCATENATE("#metadata!",ADDRESS(INDEX($P$2:$P$1001,MATCH(ROWS($N$2:N414),$N$2:$N$1001,0),0),1)),INDEX($S$2:$S$1001,MATCH(ROWS($N$2:N414),$N$2:$N$1001,0),0)))</f>
        <v>0</v>
      </c>
      <c r="B414" s="3">
        <f>IF(OR(INDEX($O$2:$O$1001,MATCH(ROWS($N$2:N414),$N$2:$N$1001,0),1)&gt;=100000,INDEX($U$1005:$AC$1005,1,MATCH(COLUMNS($U$1006:U1006),$U$1006:$AC$1006,0))&gt;=100000), " ",IF(INDEX($U$2:$AC$1001,MATCH(ROWS($N$2:N414),$N$2:$N$1001,0),MATCH(COLUMNS($U$1006:U1006),$U$1006:$AC$1006,0)), HYPERLINK("#",""), HYPERLINK(CONCATENATE("#metadata!", ADDRESS(INDEX($P$2:$P$1001,MATCH(ROWS($N$2:N414),$N$2:$N$1001,0),0), INDEX($U$1004:$AC$1004,1,MATCH(COLUMNS($U$1006:U1006),$U$1006:$AC$1006,0)))),"Fix")))</f>
        <v>0</v>
      </c>
      <c r="C414" s="3">
        <f>IF(OR(INDEX($O$2:$O$1001,MATCH(ROWS($N$2:N414),$N$2:$N$1001,0),1)&gt;=100000,INDEX($U$1005:$AC$1005,1,MATCH(COLUMNS($U$1006:V1006),$U$1006:$AC$1006,0))&gt;=100000), " ",IF(INDEX($U$2:$AC$1001,MATCH(ROWS($N$2:N414),$N$2:$N$1001,0),MATCH(COLUMNS($U$1006:V1006),$U$1006:$AC$1006,0)), HYPERLINK("#",""), HYPERLINK(CONCATENATE("#metadata!", ADDRESS(INDEX($P$2:$P$1001,MATCH(ROWS($N$2:N414),$N$2:$N$1001,0),0), INDEX($U$1004:$AC$1004,1,MATCH(COLUMNS($U$1006:V1006),$U$1006:$AC$1006,0)))),"Fix")))</f>
        <v>0</v>
      </c>
      <c r="D414" s="3">
        <f>IF(OR(INDEX($O$2:$O$1001,MATCH(ROWS($N$2:N414),$N$2:$N$1001,0),1)&gt;=100000,INDEX($U$1005:$AC$1005,1,MATCH(COLUMNS($U$1006:W1006),$U$1006:$AC$1006,0))&gt;=100000), " ",IF(INDEX($U$2:$AC$1001,MATCH(ROWS($N$2:N414),$N$2:$N$1001,0),MATCH(COLUMNS($U$1006:W1006),$U$1006:$AC$1006,0)), HYPERLINK("#",""), HYPERLINK(CONCATENATE("#metadata!", ADDRESS(INDEX($P$2:$P$1001,MATCH(ROWS($N$2:N414),$N$2:$N$1001,0),0), INDEX($U$1004:$AC$1004,1,MATCH(COLUMNS($U$1006:W1006),$U$1006:$AC$1006,0)))),"Fix")))</f>
        <v>0</v>
      </c>
      <c r="E414" s="3">
        <f>IF(OR(INDEX($O$2:$O$1001,MATCH(ROWS($N$2:N414),$N$2:$N$1001,0),1)&gt;=100000,INDEX($U$1005:$AC$1005,1,MATCH(COLUMNS($U$1006:X1006),$U$1006:$AC$1006,0))&gt;=100000), " ",IF(INDEX($U$2:$AC$1001,MATCH(ROWS($N$2:N414),$N$2:$N$1001,0),MATCH(COLUMNS($U$1006:X1006),$U$1006:$AC$1006,0)), HYPERLINK("#",""), HYPERLINK(CONCATENATE("#metadata!", ADDRESS(INDEX($P$2:$P$1001,MATCH(ROWS($N$2:N414),$N$2:$N$1001,0),0), INDEX($U$1004:$AC$1004,1,MATCH(COLUMNS($U$1006:X1006),$U$1006:$AC$1006,0)))),"Fix")))</f>
        <v>0</v>
      </c>
      <c r="F414" s="3">
        <f>IF(OR(INDEX($O$2:$O$1001,MATCH(ROWS($N$2:N414),$N$2:$N$1001,0),1)&gt;=100000,INDEX($U$1005:$AC$1005,1,MATCH(COLUMNS($U$1006:Y1006),$U$1006:$AC$1006,0))&gt;=100000), " ",IF(INDEX($U$2:$AC$1001,MATCH(ROWS($N$2:N414),$N$2:$N$1001,0),MATCH(COLUMNS($U$1006:Y1006),$U$1006:$AC$1006,0)), HYPERLINK("#",""), HYPERLINK(CONCATENATE("#metadata!", ADDRESS(INDEX($P$2:$P$1001,MATCH(ROWS($N$2:N414),$N$2:$N$1001,0),0), INDEX($U$1004:$AC$1004,1,MATCH(COLUMNS($U$1006:Y1006),$U$1006:$AC$1006,0)))),"Fix")))</f>
        <v>0</v>
      </c>
      <c r="G414" s="3">
        <f>IF(OR(INDEX($O$2:$O$1001,MATCH(ROWS($N$2:N414),$N$2:$N$1001,0),1)&gt;=100000,INDEX($U$1005:$AC$1005,1,MATCH(COLUMNS($U$1006:Z1006),$U$1006:$AC$1006,0))&gt;=100000), " ",IF(INDEX($U$2:$AC$1001,MATCH(ROWS($N$2:N414),$N$2:$N$1001,0),MATCH(COLUMNS($U$1006:Z1006),$U$1006:$AC$1006,0)), HYPERLINK("#",""), HYPERLINK(CONCATENATE("#metadata!", ADDRESS(INDEX($P$2:$P$1001,MATCH(ROWS($N$2:N414),$N$2:$N$1001,0),0), INDEX($U$1004:$AC$1004,1,MATCH(COLUMNS($U$1006:Z1006),$U$1006:$AC$1006,0)))),"Fix")))</f>
        <v>0</v>
      </c>
      <c r="H414" s="3">
        <f>IF(OR(INDEX($O$2:$O$1001,MATCH(ROWS($N$2:N414),$N$2:$N$1001,0),1)&gt;=100000,INDEX($U$1005:$AC$1005,1,MATCH(COLUMNS($U$1006:AA1006),$U$1006:$AC$1006,0))&gt;=100000), " ",IF(INDEX($U$2:$AC$1001,MATCH(ROWS($N$2:N414),$N$2:$N$1001,0),MATCH(COLUMNS($U$1006:AA1006),$U$1006:$AC$1006,0)), HYPERLINK("#",""), HYPERLINK(CONCATENATE("#metadata!", ADDRESS(INDEX($P$2:$P$1001,MATCH(ROWS($N$2:N414),$N$2:$N$1001,0),0), INDEX($U$1004:$AC$1004,1,MATCH(COLUMNS($U$1006:AA1006),$U$1006:$AC$1006,0)))),"Fix")))</f>
        <v>0</v>
      </c>
      <c r="I414" s="3">
        <f>IF(OR(INDEX($O$2:$O$1001,MATCH(ROWS($N$2:N414),$N$2:$N$1001,0),1)&gt;=100000,INDEX($U$1005:$AC$1005,1,MATCH(COLUMNS($U$1006:AB1006),$U$1006:$AC$1006,0))&gt;=100000), " ",IF(INDEX($U$2:$AC$1001,MATCH(ROWS($N$2:N414),$N$2:$N$1001,0),MATCH(COLUMNS($U$1006:AB1006),$U$1006:$AC$1006,0)), HYPERLINK("#",""), HYPERLINK(CONCATENATE("#metadata!", ADDRESS(INDEX($P$2:$P$1001,MATCH(ROWS($N$2:N414),$N$2:$N$1001,0),0), INDEX($U$1004:$AC$1004,1,MATCH(COLUMNS($U$1006:AB1006),$U$1006:$AC$1006,0)))),"Fix")))</f>
        <v>0</v>
      </c>
      <c r="J414" s="3">
        <f>IF(OR(INDEX($O$2:$O$1001,MATCH(ROWS($N$2:N414),$N$2:$N$1001,0),1)&gt;=100000,INDEX($U$1005:$AC$1005,1,MATCH(COLUMNS($U$1006:AC1006),$U$1006:$AC$1006,0))&gt;=100000), " ",IF(INDEX($U$2:$AC$1001,MATCH(ROWS($N$2:N414),$N$2:$N$1001,0),MATCH(COLUMNS($U$1006:AC1006),$U$1006:$AC$1006,0)), HYPERLINK("#",""), HYPERLINK(CONCATENATE("#metadata!", ADDRESS(INDEX($P$2:$P$1001,MATCH(ROWS($N$2:N414),$N$2:$N$1001,0),0), INDEX($U$1004:$AC$1004,1,MATCH(COLUMNS($U$1006:AC1006),$U$1006:$AC$1006,0)))),"Fix")))</f>
        <v>0</v>
      </c>
      <c r="N414">
        <v>0</v>
      </c>
      <c r="O414">
        <v>0</v>
      </c>
      <c r="P414">
        <v>0</v>
      </c>
      <c r="Q414">
        <f>IF(R414,TRUE,AND(U414:AC414))</f>
        <v>0</v>
      </c>
      <c r="R414">
        <f>COUNTBLANK(metadata!B414:J414)=COLUMNS(metadata!B414:J414)</f>
        <v>0</v>
      </c>
      <c r="S414">
        <v>0</v>
      </c>
      <c r="U414">
        <f>AND(IF(metadata!B414="",FALSE,TRUE),COUNTIF(metadata!B:B, metadata!B414) = 1,NOT(ISERROR(SUMPRODUCT(SEARCH(MID(metadata!B414,ROW(INDIRECT("1:"&amp;LEN(metadata!B414))), 1),"0123456789abcdefghijklmnopqrstuvwxyzABCDEFGHIJKLMNOPQRSTUVWXYZ.")))))</f>
        <v>0</v>
      </c>
      <c r="V414">
        <f>AND(IF(metadata!C414="",FALSE,TRUE),exact(metadata!C414,"UBERON:genitourinary"))</f>
        <v>0</v>
      </c>
      <c r="W414">
        <f>AND(IF(metadata!D414="",FALSE,TRUE),exact(metadata!D414,"UBERON:urine"))</f>
        <v>0</v>
      </c>
      <c r="X414">
        <f>AND(IF(metadata!E414="",FALSE,TRUE),exact(metadata!E414,"UBERON:kidney"))</f>
        <v>0</v>
      </c>
      <c r="Y414">
        <f>AND(IF(metadata!F414="",FALSE,TRUE),exact(metadata!F414,"animal corpus"))</f>
        <v>0</v>
      </c>
      <c r="Z414">
        <f>AND(IF(metadata!G414="",FALSE,TRUE),exact(metadata!G414,"urine"))</f>
        <v>0</v>
      </c>
      <c r="AA414">
        <f>AND(IF(metadata!H414="",FALSE,TRUE),exact(metadata!H414,"urine"))</f>
        <v>0</v>
      </c>
      <c r="AB414">
        <f>AND(IF(metadata!I414="",FALSE,TRUE),exact(metadata!I414,"urine metagenome"))</f>
        <v>0</v>
      </c>
      <c r="AC414">
        <f>AND(IF(metadata!J414="",FALSE,TRUE),exact(metadata!J414,"1346744"))</f>
        <v>0</v>
      </c>
    </row>
    <row r="415" spans="1:29">
      <c r="A415" s="4">
        <f>IF(B415=" "," ",HYPERLINK(CONCATENATE("#metadata!",ADDRESS(INDEX($P$2:$P$1001,MATCH(ROWS($N$2:N415),$N$2:$N$1001,0),0),1)),INDEX($S$2:$S$1001,MATCH(ROWS($N$2:N415),$N$2:$N$1001,0),0)))</f>
        <v>0</v>
      </c>
      <c r="B415" s="3">
        <f>IF(OR(INDEX($O$2:$O$1001,MATCH(ROWS($N$2:N415),$N$2:$N$1001,0),1)&gt;=100000,INDEX($U$1005:$AC$1005,1,MATCH(COLUMNS($U$1006:U1006),$U$1006:$AC$1006,0))&gt;=100000), " ",IF(INDEX($U$2:$AC$1001,MATCH(ROWS($N$2:N415),$N$2:$N$1001,0),MATCH(COLUMNS($U$1006:U1006),$U$1006:$AC$1006,0)), HYPERLINK("#",""), HYPERLINK(CONCATENATE("#metadata!", ADDRESS(INDEX($P$2:$P$1001,MATCH(ROWS($N$2:N415),$N$2:$N$1001,0),0), INDEX($U$1004:$AC$1004,1,MATCH(COLUMNS($U$1006:U1006),$U$1006:$AC$1006,0)))),"Fix")))</f>
        <v>0</v>
      </c>
      <c r="C415" s="3">
        <f>IF(OR(INDEX($O$2:$O$1001,MATCH(ROWS($N$2:N415),$N$2:$N$1001,0),1)&gt;=100000,INDEX($U$1005:$AC$1005,1,MATCH(COLUMNS($U$1006:V1006),$U$1006:$AC$1006,0))&gt;=100000), " ",IF(INDEX($U$2:$AC$1001,MATCH(ROWS($N$2:N415),$N$2:$N$1001,0),MATCH(COLUMNS($U$1006:V1006),$U$1006:$AC$1006,0)), HYPERLINK("#",""), HYPERLINK(CONCATENATE("#metadata!", ADDRESS(INDEX($P$2:$P$1001,MATCH(ROWS($N$2:N415),$N$2:$N$1001,0),0), INDEX($U$1004:$AC$1004,1,MATCH(COLUMNS($U$1006:V1006),$U$1006:$AC$1006,0)))),"Fix")))</f>
        <v>0</v>
      </c>
      <c r="D415" s="3">
        <f>IF(OR(INDEX($O$2:$O$1001,MATCH(ROWS($N$2:N415),$N$2:$N$1001,0),1)&gt;=100000,INDEX($U$1005:$AC$1005,1,MATCH(COLUMNS($U$1006:W1006),$U$1006:$AC$1006,0))&gt;=100000), " ",IF(INDEX($U$2:$AC$1001,MATCH(ROWS($N$2:N415),$N$2:$N$1001,0),MATCH(COLUMNS($U$1006:W1006),$U$1006:$AC$1006,0)), HYPERLINK("#",""), HYPERLINK(CONCATENATE("#metadata!", ADDRESS(INDEX($P$2:$P$1001,MATCH(ROWS($N$2:N415),$N$2:$N$1001,0),0), INDEX($U$1004:$AC$1004,1,MATCH(COLUMNS($U$1006:W1006),$U$1006:$AC$1006,0)))),"Fix")))</f>
        <v>0</v>
      </c>
      <c r="E415" s="3">
        <f>IF(OR(INDEX($O$2:$O$1001,MATCH(ROWS($N$2:N415),$N$2:$N$1001,0),1)&gt;=100000,INDEX($U$1005:$AC$1005,1,MATCH(COLUMNS($U$1006:X1006),$U$1006:$AC$1006,0))&gt;=100000), " ",IF(INDEX($U$2:$AC$1001,MATCH(ROWS($N$2:N415),$N$2:$N$1001,0),MATCH(COLUMNS($U$1006:X1006),$U$1006:$AC$1006,0)), HYPERLINK("#",""), HYPERLINK(CONCATENATE("#metadata!", ADDRESS(INDEX($P$2:$P$1001,MATCH(ROWS($N$2:N415),$N$2:$N$1001,0),0), INDEX($U$1004:$AC$1004,1,MATCH(COLUMNS($U$1006:X1006),$U$1006:$AC$1006,0)))),"Fix")))</f>
        <v>0</v>
      </c>
      <c r="F415" s="3">
        <f>IF(OR(INDEX($O$2:$O$1001,MATCH(ROWS($N$2:N415),$N$2:$N$1001,0),1)&gt;=100000,INDEX($U$1005:$AC$1005,1,MATCH(COLUMNS($U$1006:Y1006),$U$1006:$AC$1006,0))&gt;=100000), " ",IF(INDEX($U$2:$AC$1001,MATCH(ROWS($N$2:N415),$N$2:$N$1001,0),MATCH(COLUMNS($U$1006:Y1006),$U$1006:$AC$1006,0)), HYPERLINK("#",""), HYPERLINK(CONCATENATE("#metadata!", ADDRESS(INDEX($P$2:$P$1001,MATCH(ROWS($N$2:N415),$N$2:$N$1001,0),0), INDEX($U$1004:$AC$1004,1,MATCH(COLUMNS($U$1006:Y1006),$U$1006:$AC$1006,0)))),"Fix")))</f>
        <v>0</v>
      </c>
      <c r="G415" s="3">
        <f>IF(OR(INDEX($O$2:$O$1001,MATCH(ROWS($N$2:N415),$N$2:$N$1001,0),1)&gt;=100000,INDEX($U$1005:$AC$1005,1,MATCH(COLUMNS($U$1006:Z1006),$U$1006:$AC$1006,0))&gt;=100000), " ",IF(INDEX($U$2:$AC$1001,MATCH(ROWS($N$2:N415),$N$2:$N$1001,0),MATCH(COLUMNS($U$1006:Z1006),$U$1006:$AC$1006,0)), HYPERLINK("#",""), HYPERLINK(CONCATENATE("#metadata!", ADDRESS(INDEX($P$2:$P$1001,MATCH(ROWS($N$2:N415),$N$2:$N$1001,0),0), INDEX($U$1004:$AC$1004,1,MATCH(COLUMNS($U$1006:Z1006),$U$1006:$AC$1006,0)))),"Fix")))</f>
        <v>0</v>
      </c>
      <c r="H415" s="3">
        <f>IF(OR(INDEX($O$2:$O$1001,MATCH(ROWS($N$2:N415),$N$2:$N$1001,0),1)&gt;=100000,INDEX($U$1005:$AC$1005,1,MATCH(COLUMNS($U$1006:AA1006),$U$1006:$AC$1006,0))&gt;=100000), " ",IF(INDEX($U$2:$AC$1001,MATCH(ROWS($N$2:N415),$N$2:$N$1001,0),MATCH(COLUMNS($U$1006:AA1006),$U$1006:$AC$1006,0)), HYPERLINK("#",""), HYPERLINK(CONCATENATE("#metadata!", ADDRESS(INDEX($P$2:$P$1001,MATCH(ROWS($N$2:N415),$N$2:$N$1001,0),0), INDEX($U$1004:$AC$1004,1,MATCH(COLUMNS($U$1006:AA1006),$U$1006:$AC$1006,0)))),"Fix")))</f>
        <v>0</v>
      </c>
      <c r="I415" s="3">
        <f>IF(OR(INDEX($O$2:$O$1001,MATCH(ROWS($N$2:N415),$N$2:$N$1001,0),1)&gt;=100000,INDEX($U$1005:$AC$1005,1,MATCH(COLUMNS($U$1006:AB1006),$U$1006:$AC$1006,0))&gt;=100000), " ",IF(INDEX($U$2:$AC$1001,MATCH(ROWS($N$2:N415),$N$2:$N$1001,0),MATCH(COLUMNS($U$1006:AB1006),$U$1006:$AC$1006,0)), HYPERLINK("#",""), HYPERLINK(CONCATENATE("#metadata!", ADDRESS(INDEX($P$2:$P$1001,MATCH(ROWS($N$2:N415),$N$2:$N$1001,0),0), INDEX($U$1004:$AC$1004,1,MATCH(COLUMNS($U$1006:AB1006),$U$1006:$AC$1006,0)))),"Fix")))</f>
        <v>0</v>
      </c>
      <c r="J415" s="3">
        <f>IF(OR(INDEX($O$2:$O$1001,MATCH(ROWS($N$2:N415),$N$2:$N$1001,0),1)&gt;=100000,INDEX($U$1005:$AC$1005,1,MATCH(COLUMNS($U$1006:AC1006),$U$1006:$AC$1006,0))&gt;=100000), " ",IF(INDEX($U$2:$AC$1001,MATCH(ROWS($N$2:N415),$N$2:$N$1001,0),MATCH(COLUMNS($U$1006:AC1006),$U$1006:$AC$1006,0)), HYPERLINK("#",""), HYPERLINK(CONCATENATE("#metadata!", ADDRESS(INDEX($P$2:$P$1001,MATCH(ROWS($N$2:N415),$N$2:$N$1001,0),0), INDEX($U$1004:$AC$1004,1,MATCH(COLUMNS($U$1006:AC1006),$U$1006:$AC$1006,0)))),"Fix")))</f>
        <v>0</v>
      </c>
      <c r="N415">
        <v>0</v>
      </c>
      <c r="O415">
        <v>0</v>
      </c>
      <c r="P415">
        <v>0</v>
      </c>
      <c r="Q415">
        <f>IF(R415,TRUE,AND(U415:AC415))</f>
        <v>0</v>
      </c>
      <c r="R415">
        <f>COUNTBLANK(metadata!B415:J415)=COLUMNS(metadata!B415:J415)</f>
        <v>0</v>
      </c>
      <c r="S415">
        <v>0</v>
      </c>
      <c r="U415">
        <f>AND(IF(metadata!B415="",FALSE,TRUE),COUNTIF(metadata!B:B, metadata!B415) = 1,NOT(ISERROR(SUMPRODUCT(SEARCH(MID(metadata!B415,ROW(INDIRECT("1:"&amp;LEN(metadata!B415))), 1),"0123456789abcdefghijklmnopqrstuvwxyzABCDEFGHIJKLMNOPQRSTUVWXYZ.")))))</f>
        <v>0</v>
      </c>
      <c r="V415">
        <f>AND(IF(metadata!C415="",FALSE,TRUE),exact(metadata!C415,"UBERON:genitourinary"))</f>
        <v>0</v>
      </c>
      <c r="W415">
        <f>AND(IF(metadata!D415="",FALSE,TRUE),exact(metadata!D415,"UBERON:urine"))</f>
        <v>0</v>
      </c>
      <c r="X415">
        <f>AND(IF(metadata!E415="",FALSE,TRUE),exact(metadata!E415,"UBERON:kidney"))</f>
        <v>0</v>
      </c>
      <c r="Y415">
        <f>AND(IF(metadata!F415="",FALSE,TRUE),exact(metadata!F415,"animal corpus"))</f>
        <v>0</v>
      </c>
      <c r="Z415">
        <f>AND(IF(metadata!G415="",FALSE,TRUE),exact(metadata!G415,"urine"))</f>
        <v>0</v>
      </c>
      <c r="AA415">
        <f>AND(IF(metadata!H415="",FALSE,TRUE),exact(metadata!H415,"urine"))</f>
        <v>0</v>
      </c>
      <c r="AB415">
        <f>AND(IF(metadata!I415="",FALSE,TRUE),exact(metadata!I415,"urine metagenome"))</f>
        <v>0</v>
      </c>
      <c r="AC415">
        <f>AND(IF(metadata!J415="",FALSE,TRUE),exact(metadata!J415,"1346744"))</f>
        <v>0</v>
      </c>
    </row>
    <row r="416" spans="1:29">
      <c r="A416" s="4">
        <f>IF(B416=" "," ",HYPERLINK(CONCATENATE("#metadata!",ADDRESS(INDEX($P$2:$P$1001,MATCH(ROWS($N$2:N416),$N$2:$N$1001,0),0),1)),INDEX($S$2:$S$1001,MATCH(ROWS($N$2:N416),$N$2:$N$1001,0),0)))</f>
        <v>0</v>
      </c>
      <c r="B416" s="3">
        <f>IF(OR(INDEX($O$2:$O$1001,MATCH(ROWS($N$2:N416),$N$2:$N$1001,0),1)&gt;=100000,INDEX($U$1005:$AC$1005,1,MATCH(COLUMNS($U$1006:U1006),$U$1006:$AC$1006,0))&gt;=100000), " ",IF(INDEX($U$2:$AC$1001,MATCH(ROWS($N$2:N416),$N$2:$N$1001,0),MATCH(COLUMNS($U$1006:U1006),$U$1006:$AC$1006,0)), HYPERLINK("#",""), HYPERLINK(CONCATENATE("#metadata!", ADDRESS(INDEX($P$2:$P$1001,MATCH(ROWS($N$2:N416),$N$2:$N$1001,0),0), INDEX($U$1004:$AC$1004,1,MATCH(COLUMNS($U$1006:U1006),$U$1006:$AC$1006,0)))),"Fix")))</f>
        <v>0</v>
      </c>
      <c r="C416" s="3">
        <f>IF(OR(INDEX($O$2:$O$1001,MATCH(ROWS($N$2:N416),$N$2:$N$1001,0),1)&gt;=100000,INDEX($U$1005:$AC$1005,1,MATCH(COLUMNS($U$1006:V1006),$U$1006:$AC$1006,0))&gt;=100000), " ",IF(INDEX($U$2:$AC$1001,MATCH(ROWS($N$2:N416),$N$2:$N$1001,0),MATCH(COLUMNS($U$1006:V1006),$U$1006:$AC$1006,0)), HYPERLINK("#",""), HYPERLINK(CONCATENATE("#metadata!", ADDRESS(INDEX($P$2:$P$1001,MATCH(ROWS($N$2:N416),$N$2:$N$1001,0),0), INDEX($U$1004:$AC$1004,1,MATCH(COLUMNS($U$1006:V1006),$U$1006:$AC$1006,0)))),"Fix")))</f>
        <v>0</v>
      </c>
      <c r="D416" s="3">
        <f>IF(OR(INDEX($O$2:$O$1001,MATCH(ROWS($N$2:N416),$N$2:$N$1001,0),1)&gt;=100000,INDEX($U$1005:$AC$1005,1,MATCH(COLUMNS($U$1006:W1006),$U$1006:$AC$1006,0))&gt;=100000), " ",IF(INDEX($U$2:$AC$1001,MATCH(ROWS($N$2:N416),$N$2:$N$1001,0),MATCH(COLUMNS($U$1006:W1006),$U$1006:$AC$1006,0)), HYPERLINK("#",""), HYPERLINK(CONCATENATE("#metadata!", ADDRESS(INDEX($P$2:$P$1001,MATCH(ROWS($N$2:N416),$N$2:$N$1001,0),0), INDEX($U$1004:$AC$1004,1,MATCH(COLUMNS($U$1006:W1006),$U$1006:$AC$1006,0)))),"Fix")))</f>
        <v>0</v>
      </c>
      <c r="E416" s="3">
        <f>IF(OR(INDEX($O$2:$O$1001,MATCH(ROWS($N$2:N416),$N$2:$N$1001,0),1)&gt;=100000,INDEX($U$1005:$AC$1005,1,MATCH(COLUMNS($U$1006:X1006),$U$1006:$AC$1006,0))&gt;=100000), " ",IF(INDEX($U$2:$AC$1001,MATCH(ROWS($N$2:N416),$N$2:$N$1001,0),MATCH(COLUMNS($U$1006:X1006),$U$1006:$AC$1006,0)), HYPERLINK("#",""), HYPERLINK(CONCATENATE("#metadata!", ADDRESS(INDEX($P$2:$P$1001,MATCH(ROWS($N$2:N416),$N$2:$N$1001,0),0), INDEX($U$1004:$AC$1004,1,MATCH(COLUMNS($U$1006:X1006),$U$1006:$AC$1006,0)))),"Fix")))</f>
        <v>0</v>
      </c>
      <c r="F416" s="3">
        <f>IF(OR(INDEX($O$2:$O$1001,MATCH(ROWS($N$2:N416),$N$2:$N$1001,0),1)&gt;=100000,INDEX($U$1005:$AC$1005,1,MATCH(COLUMNS($U$1006:Y1006),$U$1006:$AC$1006,0))&gt;=100000), " ",IF(INDEX($U$2:$AC$1001,MATCH(ROWS($N$2:N416),$N$2:$N$1001,0),MATCH(COLUMNS($U$1006:Y1006),$U$1006:$AC$1006,0)), HYPERLINK("#",""), HYPERLINK(CONCATENATE("#metadata!", ADDRESS(INDEX($P$2:$P$1001,MATCH(ROWS($N$2:N416),$N$2:$N$1001,0),0), INDEX($U$1004:$AC$1004,1,MATCH(COLUMNS($U$1006:Y1006),$U$1006:$AC$1006,0)))),"Fix")))</f>
        <v>0</v>
      </c>
      <c r="G416" s="3">
        <f>IF(OR(INDEX($O$2:$O$1001,MATCH(ROWS($N$2:N416),$N$2:$N$1001,0),1)&gt;=100000,INDEX($U$1005:$AC$1005,1,MATCH(COLUMNS($U$1006:Z1006),$U$1006:$AC$1006,0))&gt;=100000), " ",IF(INDEX($U$2:$AC$1001,MATCH(ROWS($N$2:N416),$N$2:$N$1001,0),MATCH(COLUMNS($U$1006:Z1006),$U$1006:$AC$1006,0)), HYPERLINK("#",""), HYPERLINK(CONCATENATE("#metadata!", ADDRESS(INDEX($P$2:$P$1001,MATCH(ROWS($N$2:N416),$N$2:$N$1001,0),0), INDEX($U$1004:$AC$1004,1,MATCH(COLUMNS($U$1006:Z1006),$U$1006:$AC$1006,0)))),"Fix")))</f>
        <v>0</v>
      </c>
      <c r="H416" s="3">
        <f>IF(OR(INDEX($O$2:$O$1001,MATCH(ROWS($N$2:N416),$N$2:$N$1001,0),1)&gt;=100000,INDEX($U$1005:$AC$1005,1,MATCH(COLUMNS($U$1006:AA1006),$U$1006:$AC$1006,0))&gt;=100000), " ",IF(INDEX($U$2:$AC$1001,MATCH(ROWS($N$2:N416),$N$2:$N$1001,0),MATCH(COLUMNS($U$1006:AA1006),$U$1006:$AC$1006,0)), HYPERLINK("#",""), HYPERLINK(CONCATENATE("#metadata!", ADDRESS(INDEX($P$2:$P$1001,MATCH(ROWS($N$2:N416),$N$2:$N$1001,0),0), INDEX($U$1004:$AC$1004,1,MATCH(COLUMNS($U$1006:AA1006),$U$1006:$AC$1006,0)))),"Fix")))</f>
        <v>0</v>
      </c>
      <c r="I416" s="3">
        <f>IF(OR(INDEX($O$2:$O$1001,MATCH(ROWS($N$2:N416),$N$2:$N$1001,0),1)&gt;=100000,INDEX($U$1005:$AC$1005,1,MATCH(COLUMNS($U$1006:AB1006),$U$1006:$AC$1006,0))&gt;=100000), " ",IF(INDEX($U$2:$AC$1001,MATCH(ROWS($N$2:N416),$N$2:$N$1001,0),MATCH(COLUMNS($U$1006:AB1006),$U$1006:$AC$1006,0)), HYPERLINK("#",""), HYPERLINK(CONCATENATE("#metadata!", ADDRESS(INDEX($P$2:$P$1001,MATCH(ROWS($N$2:N416),$N$2:$N$1001,0),0), INDEX($U$1004:$AC$1004,1,MATCH(COLUMNS($U$1006:AB1006),$U$1006:$AC$1006,0)))),"Fix")))</f>
        <v>0</v>
      </c>
      <c r="J416" s="3">
        <f>IF(OR(INDEX($O$2:$O$1001,MATCH(ROWS($N$2:N416),$N$2:$N$1001,0),1)&gt;=100000,INDEX($U$1005:$AC$1005,1,MATCH(COLUMNS($U$1006:AC1006),$U$1006:$AC$1006,0))&gt;=100000), " ",IF(INDEX($U$2:$AC$1001,MATCH(ROWS($N$2:N416),$N$2:$N$1001,0),MATCH(COLUMNS($U$1006:AC1006),$U$1006:$AC$1006,0)), HYPERLINK("#",""), HYPERLINK(CONCATENATE("#metadata!", ADDRESS(INDEX($P$2:$P$1001,MATCH(ROWS($N$2:N416),$N$2:$N$1001,0),0), INDEX($U$1004:$AC$1004,1,MATCH(COLUMNS($U$1006:AC1006),$U$1006:$AC$1006,0)))),"Fix")))</f>
        <v>0</v>
      </c>
      <c r="N416">
        <v>0</v>
      </c>
      <c r="O416">
        <v>0</v>
      </c>
      <c r="P416">
        <v>0</v>
      </c>
      <c r="Q416">
        <f>IF(R416,TRUE,AND(U416:AC416))</f>
        <v>0</v>
      </c>
      <c r="R416">
        <f>COUNTBLANK(metadata!B416:J416)=COLUMNS(metadata!B416:J416)</f>
        <v>0</v>
      </c>
      <c r="S416">
        <v>0</v>
      </c>
      <c r="U416">
        <f>AND(IF(metadata!B416="",FALSE,TRUE),COUNTIF(metadata!B:B, metadata!B416) = 1,NOT(ISERROR(SUMPRODUCT(SEARCH(MID(metadata!B416,ROW(INDIRECT("1:"&amp;LEN(metadata!B416))), 1),"0123456789abcdefghijklmnopqrstuvwxyzABCDEFGHIJKLMNOPQRSTUVWXYZ.")))))</f>
        <v>0</v>
      </c>
      <c r="V416">
        <f>AND(IF(metadata!C416="",FALSE,TRUE),exact(metadata!C416,"UBERON:genitourinary"))</f>
        <v>0</v>
      </c>
      <c r="W416">
        <f>AND(IF(metadata!D416="",FALSE,TRUE),exact(metadata!D416,"UBERON:urine"))</f>
        <v>0</v>
      </c>
      <c r="X416">
        <f>AND(IF(metadata!E416="",FALSE,TRUE),exact(metadata!E416,"UBERON:kidney"))</f>
        <v>0</v>
      </c>
      <c r="Y416">
        <f>AND(IF(metadata!F416="",FALSE,TRUE),exact(metadata!F416,"animal corpus"))</f>
        <v>0</v>
      </c>
      <c r="Z416">
        <f>AND(IF(metadata!G416="",FALSE,TRUE),exact(metadata!G416,"urine"))</f>
        <v>0</v>
      </c>
      <c r="AA416">
        <f>AND(IF(metadata!H416="",FALSE,TRUE),exact(metadata!H416,"urine"))</f>
        <v>0</v>
      </c>
      <c r="AB416">
        <f>AND(IF(metadata!I416="",FALSE,TRUE),exact(metadata!I416,"urine metagenome"))</f>
        <v>0</v>
      </c>
      <c r="AC416">
        <f>AND(IF(metadata!J416="",FALSE,TRUE),exact(metadata!J416,"1346744"))</f>
        <v>0</v>
      </c>
    </row>
    <row r="417" spans="1:29">
      <c r="A417" s="4">
        <f>IF(B417=" "," ",HYPERLINK(CONCATENATE("#metadata!",ADDRESS(INDEX($P$2:$P$1001,MATCH(ROWS($N$2:N417),$N$2:$N$1001,0),0),1)),INDEX($S$2:$S$1001,MATCH(ROWS($N$2:N417),$N$2:$N$1001,0),0)))</f>
        <v>0</v>
      </c>
      <c r="B417" s="3">
        <f>IF(OR(INDEX($O$2:$O$1001,MATCH(ROWS($N$2:N417),$N$2:$N$1001,0),1)&gt;=100000,INDEX($U$1005:$AC$1005,1,MATCH(COLUMNS($U$1006:U1006),$U$1006:$AC$1006,0))&gt;=100000), " ",IF(INDEX($U$2:$AC$1001,MATCH(ROWS($N$2:N417),$N$2:$N$1001,0),MATCH(COLUMNS($U$1006:U1006),$U$1006:$AC$1006,0)), HYPERLINK("#",""), HYPERLINK(CONCATENATE("#metadata!", ADDRESS(INDEX($P$2:$P$1001,MATCH(ROWS($N$2:N417),$N$2:$N$1001,0),0), INDEX($U$1004:$AC$1004,1,MATCH(COLUMNS($U$1006:U1006),$U$1006:$AC$1006,0)))),"Fix")))</f>
        <v>0</v>
      </c>
      <c r="C417" s="3">
        <f>IF(OR(INDEX($O$2:$O$1001,MATCH(ROWS($N$2:N417),$N$2:$N$1001,0),1)&gt;=100000,INDEX($U$1005:$AC$1005,1,MATCH(COLUMNS($U$1006:V1006),$U$1006:$AC$1006,0))&gt;=100000), " ",IF(INDEX($U$2:$AC$1001,MATCH(ROWS($N$2:N417),$N$2:$N$1001,0),MATCH(COLUMNS($U$1006:V1006),$U$1006:$AC$1006,0)), HYPERLINK("#",""), HYPERLINK(CONCATENATE("#metadata!", ADDRESS(INDEX($P$2:$P$1001,MATCH(ROWS($N$2:N417),$N$2:$N$1001,0),0), INDEX($U$1004:$AC$1004,1,MATCH(COLUMNS($U$1006:V1006),$U$1006:$AC$1006,0)))),"Fix")))</f>
        <v>0</v>
      </c>
      <c r="D417" s="3">
        <f>IF(OR(INDEX($O$2:$O$1001,MATCH(ROWS($N$2:N417),$N$2:$N$1001,0),1)&gt;=100000,INDEX($U$1005:$AC$1005,1,MATCH(COLUMNS($U$1006:W1006),$U$1006:$AC$1006,0))&gt;=100000), " ",IF(INDEX($U$2:$AC$1001,MATCH(ROWS($N$2:N417),$N$2:$N$1001,0),MATCH(COLUMNS($U$1006:W1006),$U$1006:$AC$1006,0)), HYPERLINK("#",""), HYPERLINK(CONCATENATE("#metadata!", ADDRESS(INDEX($P$2:$P$1001,MATCH(ROWS($N$2:N417),$N$2:$N$1001,0),0), INDEX($U$1004:$AC$1004,1,MATCH(COLUMNS($U$1006:W1006),$U$1006:$AC$1006,0)))),"Fix")))</f>
        <v>0</v>
      </c>
      <c r="E417" s="3">
        <f>IF(OR(INDEX($O$2:$O$1001,MATCH(ROWS($N$2:N417),$N$2:$N$1001,0),1)&gt;=100000,INDEX($U$1005:$AC$1005,1,MATCH(COLUMNS($U$1006:X1006),$U$1006:$AC$1006,0))&gt;=100000), " ",IF(INDEX($U$2:$AC$1001,MATCH(ROWS($N$2:N417),$N$2:$N$1001,0),MATCH(COLUMNS($U$1006:X1006),$U$1006:$AC$1006,0)), HYPERLINK("#",""), HYPERLINK(CONCATENATE("#metadata!", ADDRESS(INDEX($P$2:$P$1001,MATCH(ROWS($N$2:N417),$N$2:$N$1001,0),0), INDEX($U$1004:$AC$1004,1,MATCH(COLUMNS($U$1006:X1006),$U$1006:$AC$1006,0)))),"Fix")))</f>
        <v>0</v>
      </c>
      <c r="F417" s="3">
        <f>IF(OR(INDEX($O$2:$O$1001,MATCH(ROWS($N$2:N417),$N$2:$N$1001,0),1)&gt;=100000,INDEX($U$1005:$AC$1005,1,MATCH(COLUMNS($U$1006:Y1006),$U$1006:$AC$1006,0))&gt;=100000), " ",IF(INDEX($U$2:$AC$1001,MATCH(ROWS($N$2:N417),$N$2:$N$1001,0),MATCH(COLUMNS($U$1006:Y1006),$U$1006:$AC$1006,0)), HYPERLINK("#",""), HYPERLINK(CONCATENATE("#metadata!", ADDRESS(INDEX($P$2:$P$1001,MATCH(ROWS($N$2:N417),$N$2:$N$1001,0),0), INDEX($U$1004:$AC$1004,1,MATCH(COLUMNS($U$1006:Y1006),$U$1006:$AC$1006,0)))),"Fix")))</f>
        <v>0</v>
      </c>
      <c r="G417" s="3">
        <f>IF(OR(INDEX($O$2:$O$1001,MATCH(ROWS($N$2:N417),$N$2:$N$1001,0),1)&gt;=100000,INDEX($U$1005:$AC$1005,1,MATCH(COLUMNS($U$1006:Z1006),$U$1006:$AC$1006,0))&gt;=100000), " ",IF(INDEX($U$2:$AC$1001,MATCH(ROWS($N$2:N417),$N$2:$N$1001,0),MATCH(COLUMNS($U$1006:Z1006),$U$1006:$AC$1006,0)), HYPERLINK("#",""), HYPERLINK(CONCATENATE("#metadata!", ADDRESS(INDEX($P$2:$P$1001,MATCH(ROWS($N$2:N417),$N$2:$N$1001,0),0), INDEX($U$1004:$AC$1004,1,MATCH(COLUMNS($U$1006:Z1006),$U$1006:$AC$1006,0)))),"Fix")))</f>
        <v>0</v>
      </c>
      <c r="H417" s="3">
        <f>IF(OR(INDEX($O$2:$O$1001,MATCH(ROWS($N$2:N417),$N$2:$N$1001,0),1)&gt;=100000,INDEX($U$1005:$AC$1005,1,MATCH(COLUMNS($U$1006:AA1006),$U$1006:$AC$1006,0))&gt;=100000), " ",IF(INDEX($U$2:$AC$1001,MATCH(ROWS($N$2:N417),$N$2:$N$1001,0),MATCH(COLUMNS($U$1006:AA1006),$U$1006:$AC$1006,0)), HYPERLINK("#",""), HYPERLINK(CONCATENATE("#metadata!", ADDRESS(INDEX($P$2:$P$1001,MATCH(ROWS($N$2:N417),$N$2:$N$1001,0),0), INDEX($U$1004:$AC$1004,1,MATCH(COLUMNS($U$1006:AA1006),$U$1006:$AC$1006,0)))),"Fix")))</f>
        <v>0</v>
      </c>
      <c r="I417" s="3">
        <f>IF(OR(INDEX($O$2:$O$1001,MATCH(ROWS($N$2:N417),$N$2:$N$1001,0),1)&gt;=100000,INDEX($U$1005:$AC$1005,1,MATCH(COLUMNS($U$1006:AB1006),$U$1006:$AC$1006,0))&gt;=100000), " ",IF(INDEX($U$2:$AC$1001,MATCH(ROWS($N$2:N417),$N$2:$N$1001,0),MATCH(COLUMNS($U$1006:AB1006),$U$1006:$AC$1006,0)), HYPERLINK("#",""), HYPERLINK(CONCATENATE("#metadata!", ADDRESS(INDEX($P$2:$P$1001,MATCH(ROWS($N$2:N417),$N$2:$N$1001,0),0), INDEX($U$1004:$AC$1004,1,MATCH(COLUMNS($U$1006:AB1006),$U$1006:$AC$1006,0)))),"Fix")))</f>
        <v>0</v>
      </c>
      <c r="J417" s="3">
        <f>IF(OR(INDEX($O$2:$O$1001,MATCH(ROWS($N$2:N417),$N$2:$N$1001,0),1)&gt;=100000,INDEX($U$1005:$AC$1005,1,MATCH(COLUMNS($U$1006:AC1006),$U$1006:$AC$1006,0))&gt;=100000), " ",IF(INDEX($U$2:$AC$1001,MATCH(ROWS($N$2:N417),$N$2:$N$1001,0),MATCH(COLUMNS($U$1006:AC1006),$U$1006:$AC$1006,0)), HYPERLINK("#",""), HYPERLINK(CONCATENATE("#metadata!", ADDRESS(INDEX($P$2:$P$1001,MATCH(ROWS($N$2:N417),$N$2:$N$1001,0),0), INDEX($U$1004:$AC$1004,1,MATCH(COLUMNS($U$1006:AC1006),$U$1006:$AC$1006,0)))),"Fix")))</f>
        <v>0</v>
      </c>
      <c r="N417">
        <v>0</v>
      </c>
      <c r="O417">
        <v>0</v>
      </c>
      <c r="P417">
        <v>0</v>
      </c>
      <c r="Q417">
        <f>IF(R417,TRUE,AND(U417:AC417))</f>
        <v>0</v>
      </c>
      <c r="R417">
        <f>COUNTBLANK(metadata!B417:J417)=COLUMNS(metadata!B417:J417)</f>
        <v>0</v>
      </c>
      <c r="S417">
        <v>0</v>
      </c>
      <c r="U417">
        <f>AND(IF(metadata!B417="",FALSE,TRUE),COUNTIF(metadata!B:B, metadata!B417) = 1,NOT(ISERROR(SUMPRODUCT(SEARCH(MID(metadata!B417,ROW(INDIRECT("1:"&amp;LEN(metadata!B417))), 1),"0123456789abcdefghijklmnopqrstuvwxyzABCDEFGHIJKLMNOPQRSTUVWXYZ.")))))</f>
        <v>0</v>
      </c>
      <c r="V417">
        <f>AND(IF(metadata!C417="",FALSE,TRUE),exact(metadata!C417,"UBERON:genitourinary"))</f>
        <v>0</v>
      </c>
      <c r="W417">
        <f>AND(IF(metadata!D417="",FALSE,TRUE),exact(metadata!D417,"UBERON:urine"))</f>
        <v>0</v>
      </c>
      <c r="X417">
        <f>AND(IF(metadata!E417="",FALSE,TRUE),exact(metadata!E417,"UBERON:kidney"))</f>
        <v>0</v>
      </c>
      <c r="Y417">
        <f>AND(IF(metadata!F417="",FALSE,TRUE),exact(metadata!F417,"animal corpus"))</f>
        <v>0</v>
      </c>
      <c r="Z417">
        <f>AND(IF(metadata!G417="",FALSE,TRUE),exact(metadata!G417,"urine"))</f>
        <v>0</v>
      </c>
      <c r="AA417">
        <f>AND(IF(metadata!H417="",FALSE,TRUE),exact(metadata!H417,"urine"))</f>
        <v>0</v>
      </c>
      <c r="AB417">
        <f>AND(IF(metadata!I417="",FALSE,TRUE),exact(metadata!I417,"urine metagenome"))</f>
        <v>0</v>
      </c>
      <c r="AC417">
        <f>AND(IF(metadata!J417="",FALSE,TRUE),exact(metadata!J417,"1346744"))</f>
        <v>0</v>
      </c>
    </row>
    <row r="418" spans="1:29">
      <c r="A418" s="4">
        <f>IF(B418=" "," ",HYPERLINK(CONCATENATE("#metadata!",ADDRESS(INDEX($P$2:$P$1001,MATCH(ROWS($N$2:N418),$N$2:$N$1001,0),0),1)),INDEX($S$2:$S$1001,MATCH(ROWS($N$2:N418),$N$2:$N$1001,0),0)))</f>
        <v>0</v>
      </c>
      <c r="B418" s="3">
        <f>IF(OR(INDEX($O$2:$O$1001,MATCH(ROWS($N$2:N418),$N$2:$N$1001,0),1)&gt;=100000,INDEX($U$1005:$AC$1005,1,MATCH(COLUMNS($U$1006:U1006),$U$1006:$AC$1006,0))&gt;=100000), " ",IF(INDEX($U$2:$AC$1001,MATCH(ROWS($N$2:N418),$N$2:$N$1001,0),MATCH(COLUMNS($U$1006:U1006),$U$1006:$AC$1006,0)), HYPERLINK("#",""), HYPERLINK(CONCATENATE("#metadata!", ADDRESS(INDEX($P$2:$P$1001,MATCH(ROWS($N$2:N418),$N$2:$N$1001,0),0), INDEX($U$1004:$AC$1004,1,MATCH(COLUMNS($U$1006:U1006),$U$1006:$AC$1006,0)))),"Fix")))</f>
        <v>0</v>
      </c>
      <c r="C418" s="3">
        <f>IF(OR(INDEX($O$2:$O$1001,MATCH(ROWS($N$2:N418),$N$2:$N$1001,0),1)&gt;=100000,INDEX($U$1005:$AC$1005,1,MATCH(COLUMNS($U$1006:V1006),$U$1006:$AC$1006,0))&gt;=100000), " ",IF(INDEX($U$2:$AC$1001,MATCH(ROWS($N$2:N418),$N$2:$N$1001,0),MATCH(COLUMNS($U$1006:V1006),$U$1006:$AC$1006,0)), HYPERLINK("#",""), HYPERLINK(CONCATENATE("#metadata!", ADDRESS(INDEX($P$2:$P$1001,MATCH(ROWS($N$2:N418),$N$2:$N$1001,0),0), INDEX($U$1004:$AC$1004,1,MATCH(COLUMNS($U$1006:V1006),$U$1006:$AC$1006,0)))),"Fix")))</f>
        <v>0</v>
      </c>
      <c r="D418" s="3">
        <f>IF(OR(INDEX($O$2:$O$1001,MATCH(ROWS($N$2:N418),$N$2:$N$1001,0),1)&gt;=100000,INDEX($U$1005:$AC$1005,1,MATCH(COLUMNS($U$1006:W1006),$U$1006:$AC$1006,0))&gt;=100000), " ",IF(INDEX($U$2:$AC$1001,MATCH(ROWS($N$2:N418),$N$2:$N$1001,0),MATCH(COLUMNS($U$1006:W1006),$U$1006:$AC$1006,0)), HYPERLINK("#",""), HYPERLINK(CONCATENATE("#metadata!", ADDRESS(INDEX($P$2:$P$1001,MATCH(ROWS($N$2:N418),$N$2:$N$1001,0),0), INDEX($U$1004:$AC$1004,1,MATCH(COLUMNS($U$1006:W1006),$U$1006:$AC$1006,0)))),"Fix")))</f>
        <v>0</v>
      </c>
      <c r="E418" s="3">
        <f>IF(OR(INDEX($O$2:$O$1001,MATCH(ROWS($N$2:N418),$N$2:$N$1001,0),1)&gt;=100000,INDEX($U$1005:$AC$1005,1,MATCH(COLUMNS($U$1006:X1006),$U$1006:$AC$1006,0))&gt;=100000), " ",IF(INDEX($U$2:$AC$1001,MATCH(ROWS($N$2:N418),$N$2:$N$1001,0),MATCH(COLUMNS($U$1006:X1006),$U$1006:$AC$1006,0)), HYPERLINK("#",""), HYPERLINK(CONCATENATE("#metadata!", ADDRESS(INDEX($P$2:$P$1001,MATCH(ROWS($N$2:N418),$N$2:$N$1001,0),0), INDEX($U$1004:$AC$1004,1,MATCH(COLUMNS($U$1006:X1006),$U$1006:$AC$1006,0)))),"Fix")))</f>
        <v>0</v>
      </c>
      <c r="F418" s="3">
        <f>IF(OR(INDEX($O$2:$O$1001,MATCH(ROWS($N$2:N418),$N$2:$N$1001,0),1)&gt;=100000,INDEX($U$1005:$AC$1005,1,MATCH(COLUMNS($U$1006:Y1006),$U$1006:$AC$1006,0))&gt;=100000), " ",IF(INDEX($U$2:$AC$1001,MATCH(ROWS($N$2:N418),$N$2:$N$1001,0),MATCH(COLUMNS($U$1006:Y1006),$U$1006:$AC$1006,0)), HYPERLINK("#",""), HYPERLINK(CONCATENATE("#metadata!", ADDRESS(INDEX($P$2:$P$1001,MATCH(ROWS($N$2:N418),$N$2:$N$1001,0),0), INDEX($U$1004:$AC$1004,1,MATCH(COLUMNS($U$1006:Y1006),$U$1006:$AC$1006,0)))),"Fix")))</f>
        <v>0</v>
      </c>
      <c r="G418" s="3">
        <f>IF(OR(INDEX($O$2:$O$1001,MATCH(ROWS($N$2:N418),$N$2:$N$1001,0),1)&gt;=100000,INDEX($U$1005:$AC$1005,1,MATCH(COLUMNS($U$1006:Z1006),$U$1006:$AC$1006,0))&gt;=100000), " ",IF(INDEX($U$2:$AC$1001,MATCH(ROWS($N$2:N418),$N$2:$N$1001,0),MATCH(COLUMNS($U$1006:Z1006),$U$1006:$AC$1006,0)), HYPERLINK("#",""), HYPERLINK(CONCATENATE("#metadata!", ADDRESS(INDEX($P$2:$P$1001,MATCH(ROWS($N$2:N418),$N$2:$N$1001,0),0), INDEX($U$1004:$AC$1004,1,MATCH(COLUMNS($U$1006:Z1006),$U$1006:$AC$1006,0)))),"Fix")))</f>
        <v>0</v>
      </c>
      <c r="H418" s="3">
        <f>IF(OR(INDEX($O$2:$O$1001,MATCH(ROWS($N$2:N418),$N$2:$N$1001,0),1)&gt;=100000,INDEX($U$1005:$AC$1005,1,MATCH(COLUMNS($U$1006:AA1006),$U$1006:$AC$1006,0))&gt;=100000), " ",IF(INDEX($U$2:$AC$1001,MATCH(ROWS($N$2:N418),$N$2:$N$1001,0),MATCH(COLUMNS($U$1006:AA1006),$U$1006:$AC$1006,0)), HYPERLINK("#",""), HYPERLINK(CONCATENATE("#metadata!", ADDRESS(INDEX($P$2:$P$1001,MATCH(ROWS($N$2:N418),$N$2:$N$1001,0),0), INDEX($U$1004:$AC$1004,1,MATCH(COLUMNS($U$1006:AA1006),$U$1006:$AC$1006,0)))),"Fix")))</f>
        <v>0</v>
      </c>
      <c r="I418" s="3">
        <f>IF(OR(INDEX($O$2:$O$1001,MATCH(ROWS($N$2:N418),$N$2:$N$1001,0),1)&gt;=100000,INDEX($U$1005:$AC$1005,1,MATCH(COLUMNS($U$1006:AB1006),$U$1006:$AC$1006,0))&gt;=100000), " ",IF(INDEX($U$2:$AC$1001,MATCH(ROWS($N$2:N418),$N$2:$N$1001,0),MATCH(COLUMNS($U$1006:AB1006),$U$1006:$AC$1006,0)), HYPERLINK("#",""), HYPERLINK(CONCATENATE("#metadata!", ADDRESS(INDEX($P$2:$P$1001,MATCH(ROWS($N$2:N418),$N$2:$N$1001,0),0), INDEX($U$1004:$AC$1004,1,MATCH(COLUMNS($U$1006:AB1006),$U$1006:$AC$1006,0)))),"Fix")))</f>
        <v>0</v>
      </c>
      <c r="J418" s="3">
        <f>IF(OR(INDEX($O$2:$O$1001,MATCH(ROWS($N$2:N418),$N$2:$N$1001,0),1)&gt;=100000,INDEX($U$1005:$AC$1005,1,MATCH(COLUMNS($U$1006:AC1006),$U$1006:$AC$1006,0))&gt;=100000), " ",IF(INDEX($U$2:$AC$1001,MATCH(ROWS($N$2:N418),$N$2:$N$1001,0),MATCH(COLUMNS($U$1006:AC1006),$U$1006:$AC$1006,0)), HYPERLINK("#",""), HYPERLINK(CONCATENATE("#metadata!", ADDRESS(INDEX($P$2:$P$1001,MATCH(ROWS($N$2:N418),$N$2:$N$1001,0),0), INDEX($U$1004:$AC$1004,1,MATCH(COLUMNS($U$1006:AC1006),$U$1006:$AC$1006,0)))),"Fix")))</f>
        <v>0</v>
      </c>
      <c r="N418">
        <v>0</v>
      </c>
      <c r="O418">
        <v>0</v>
      </c>
      <c r="P418">
        <v>0</v>
      </c>
      <c r="Q418">
        <f>IF(R418,TRUE,AND(U418:AC418))</f>
        <v>0</v>
      </c>
      <c r="R418">
        <f>COUNTBLANK(metadata!B418:J418)=COLUMNS(metadata!B418:J418)</f>
        <v>0</v>
      </c>
      <c r="S418">
        <v>0</v>
      </c>
      <c r="U418">
        <f>AND(IF(metadata!B418="",FALSE,TRUE),COUNTIF(metadata!B:B, metadata!B418) = 1,NOT(ISERROR(SUMPRODUCT(SEARCH(MID(metadata!B418,ROW(INDIRECT("1:"&amp;LEN(metadata!B418))), 1),"0123456789abcdefghijklmnopqrstuvwxyzABCDEFGHIJKLMNOPQRSTUVWXYZ.")))))</f>
        <v>0</v>
      </c>
      <c r="V418">
        <f>AND(IF(metadata!C418="",FALSE,TRUE),exact(metadata!C418,"UBERON:genitourinary"))</f>
        <v>0</v>
      </c>
      <c r="W418">
        <f>AND(IF(metadata!D418="",FALSE,TRUE),exact(metadata!D418,"UBERON:urine"))</f>
        <v>0</v>
      </c>
      <c r="X418">
        <f>AND(IF(metadata!E418="",FALSE,TRUE),exact(metadata!E418,"UBERON:kidney"))</f>
        <v>0</v>
      </c>
      <c r="Y418">
        <f>AND(IF(metadata!F418="",FALSE,TRUE),exact(metadata!F418,"animal corpus"))</f>
        <v>0</v>
      </c>
      <c r="Z418">
        <f>AND(IF(metadata!G418="",FALSE,TRUE),exact(metadata!G418,"urine"))</f>
        <v>0</v>
      </c>
      <c r="AA418">
        <f>AND(IF(metadata!H418="",FALSE,TRUE),exact(metadata!H418,"urine"))</f>
        <v>0</v>
      </c>
      <c r="AB418">
        <f>AND(IF(metadata!I418="",FALSE,TRUE),exact(metadata!I418,"urine metagenome"))</f>
        <v>0</v>
      </c>
      <c r="AC418">
        <f>AND(IF(metadata!J418="",FALSE,TRUE),exact(metadata!J418,"1346744"))</f>
        <v>0</v>
      </c>
    </row>
    <row r="419" spans="1:29">
      <c r="A419" s="4">
        <f>IF(B419=" "," ",HYPERLINK(CONCATENATE("#metadata!",ADDRESS(INDEX($P$2:$P$1001,MATCH(ROWS($N$2:N419),$N$2:$N$1001,0),0),1)),INDEX($S$2:$S$1001,MATCH(ROWS($N$2:N419),$N$2:$N$1001,0),0)))</f>
        <v>0</v>
      </c>
      <c r="B419" s="3">
        <f>IF(OR(INDEX($O$2:$O$1001,MATCH(ROWS($N$2:N419),$N$2:$N$1001,0),1)&gt;=100000,INDEX($U$1005:$AC$1005,1,MATCH(COLUMNS($U$1006:U1006),$U$1006:$AC$1006,0))&gt;=100000), " ",IF(INDEX($U$2:$AC$1001,MATCH(ROWS($N$2:N419),$N$2:$N$1001,0),MATCH(COLUMNS($U$1006:U1006),$U$1006:$AC$1006,0)), HYPERLINK("#",""), HYPERLINK(CONCATENATE("#metadata!", ADDRESS(INDEX($P$2:$P$1001,MATCH(ROWS($N$2:N419),$N$2:$N$1001,0),0), INDEX($U$1004:$AC$1004,1,MATCH(COLUMNS($U$1006:U1006),$U$1006:$AC$1006,0)))),"Fix")))</f>
        <v>0</v>
      </c>
      <c r="C419" s="3">
        <f>IF(OR(INDEX($O$2:$O$1001,MATCH(ROWS($N$2:N419),$N$2:$N$1001,0),1)&gt;=100000,INDEX($U$1005:$AC$1005,1,MATCH(COLUMNS($U$1006:V1006),$U$1006:$AC$1006,0))&gt;=100000), " ",IF(INDEX($U$2:$AC$1001,MATCH(ROWS($N$2:N419),$N$2:$N$1001,0),MATCH(COLUMNS($U$1006:V1006),$U$1006:$AC$1006,0)), HYPERLINK("#",""), HYPERLINK(CONCATENATE("#metadata!", ADDRESS(INDEX($P$2:$P$1001,MATCH(ROWS($N$2:N419),$N$2:$N$1001,0),0), INDEX($U$1004:$AC$1004,1,MATCH(COLUMNS($U$1006:V1006),$U$1006:$AC$1006,0)))),"Fix")))</f>
        <v>0</v>
      </c>
      <c r="D419" s="3">
        <f>IF(OR(INDEX($O$2:$O$1001,MATCH(ROWS($N$2:N419),$N$2:$N$1001,0),1)&gt;=100000,INDEX($U$1005:$AC$1005,1,MATCH(COLUMNS($U$1006:W1006),$U$1006:$AC$1006,0))&gt;=100000), " ",IF(INDEX($U$2:$AC$1001,MATCH(ROWS($N$2:N419),$N$2:$N$1001,0),MATCH(COLUMNS($U$1006:W1006),$U$1006:$AC$1006,0)), HYPERLINK("#",""), HYPERLINK(CONCATENATE("#metadata!", ADDRESS(INDEX($P$2:$P$1001,MATCH(ROWS($N$2:N419),$N$2:$N$1001,0),0), INDEX($U$1004:$AC$1004,1,MATCH(COLUMNS($U$1006:W1006),$U$1006:$AC$1006,0)))),"Fix")))</f>
        <v>0</v>
      </c>
      <c r="E419" s="3">
        <f>IF(OR(INDEX($O$2:$O$1001,MATCH(ROWS($N$2:N419),$N$2:$N$1001,0),1)&gt;=100000,INDEX($U$1005:$AC$1005,1,MATCH(COLUMNS($U$1006:X1006),$U$1006:$AC$1006,0))&gt;=100000), " ",IF(INDEX($U$2:$AC$1001,MATCH(ROWS($N$2:N419),$N$2:$N$1001,0),MATCH(COLUMNS($U$1006:X1006),$U$1006:$AC$1006,0)), HYPERLINK("#",""), HYPERLINK(CONCATENATE("#metadata!", ADDRESS(INDEX($P$2:$P$1001,MATCH(ROWS($N$2:N419),$N$2:$N$1001,0),0), INDEX($U$1004:$AC$1004,1,MATCH(COLUMNS($U$1006:X1006),$U$1006:$AC$1006,0)))),"Fix")))</f>
        <v>0</v>
      </c>
      <c r="F419" s="3">
        <f>IF(OR(INDEX($O$2:$O$1001,MATCH(ROWS($N$2:N419),$N$2:$N$1001,0),1)&gt;=100000,INDEX($U$1005:$AC$1005,1,MATCH(COLUMNS($U$1006:Y1006),$U$1006:$AC$1006,0))&gt;=100000), " ",IF(INDEX($U$2:$AC$1001,MATCH(ROWS($N$2:N419),$N$2:$N$1001,0),MATCH(COLUMNS($U$1006:Y1006),$U$1006:$AC$1006,0)), HYPERLINK("#",""), HYPERLINK(CONCATENATE("#metadata!", ADDRESS(INDEX($P$2:$P$1001,MATCH(ROWS($N$2:N419),$N$2:$N$1001,0),0), INDEX($U$1004:$AC$1004,1,MATCH(COLUMNS($U$1006:Y1006),$U$1006:$AC$1006,0)))),"Fix")))</f>
        <v>0</v>
      </c>
      <c r="G419" s="3">
        <f>IF(OR(INDEX($O$2:$O$1001,MATCH(ROWS($N$2:N419),$N$2:$N$1001,0),1)&gt;=100000,INDEX($U$1005:$AC$1005,1,MATCH(COLUMNS($U$1006:Z1006),$U$1006:$AC$1006,0))&gt;=100000), " ",IF(INDEX($U$2:$AC$1001,MATCH(ROWS($N$2:N419),$N$2:$N$1001,0),MATCH(COLUMNS($U$1006:Z1006),$U$1006:$AC$1006,0)), HYPERLINK("#",""), HYPERLINK(CONCATENATE("#metadata!", ADDRESS(INDEX($P$2:$P$1001,MATCH(ROWS($N$2:N419),$N$2:$N$1001,0),0), INDEX($U$1004:$AC$1004,1,MATCH(COLUMNS($U$1006:Z1006),$U$1006:$AC$1006,0)))),"Fix")))</f>
        <v>0</v>
      </c>
      <c r="H419" s="3">
        <f>IF(OR(INDEX($O$2:$O$1001,MATCH(ROWS($N$2:N419),$N$2:$N$1001,0),1)&gt;=100000,INDEX($U$1005:$AC$1005,1,MATCH(COLUMNS($U$1006:AA1006),$U$1006:$AC$1006,0))&gt;=100000), " ",IF(INDEX($U$2:$AC$1001,MATCH(ROWS($N$2:N419),$N$2:$N$1001,0),MATCH(COLUMNS($U$1006:AA1006),$U$1006:$AC$1006,0)), HYPERLINK("#",""), HYPERLINK(CONCATENATE("#metadata!", ADDRESS(INDEX($P$2:$P$1001,MATCH(ROWS($N$2:N419),$N$2:$N$1001,0),0), INDEX($U$1004:$AC$1004,1,MATCH(COLUMNS($U$1006:AA1006),$U$1006:$AC$1006,0)))),"Fix")))</f>
        <v>0</v>
      </c>
      <c r="I419" s="3">
        <f>IF(OR(INDEX($O$2:$O$1001,MATCH(ROWS($N$2:N419),$N$2:$N$1001,0),1)&gt;=100000,INDEX($U$1005:$AC$1005,1,MATCH(COLUMNS($U$1006:AB1006),$U$1006:$AC$1006,0))&gt;=100000), " ",IF(INDEX($U$2:$AC$1001,MATCH(ROWS($N$2:N419),$N$2:$N$1001,0),MATCH(COLUMNS($U$1006:AB1006),$U$1006:$AC$1006,0)), HYPERLINK("#",""), HYPERLINK(CONCATENATE("#metadata!", ADDRESS(INDEX($P$2:$P$1001,MATCH(ROWS($N$2:N419),$N$2:$N$1001,0),0), INDEX($U$1004:$AC$1004,1,MATCH(COLUMNS($U$1006:AB1006),$U$1006:$AC$1006,0)))),"Fix")))</f>
        <v>0</v>
      </c>
      <c r="J419" s="3">
        <f>IF(OR(INDEX($O$2:$O$1001,MATCH(ROWS($N$2:N419),$N$2:$N$1001,0),1)&gt;=100000,INDEX($U$1005:$AC$1005,1,MATCH(COLUMNS($U$1006:AC1006),$U$1006:$AC$1006,0))&gt;=100000), " ",IF(INDEX($U$2:$AC$1001,MATCH(ROWS($N$2:N419),$N$2:$N$1001,0),MATCH(COLUMNS($U$1006:AC1006),$U$1006:$AC$1006,0)), HYPERLINK("#",""), HYPERLINK(CONCATENATE("#metadata!", ADDRESS(INDEX($P$2:$P$1001,MATCH(ROWS($N$2:N419),$N$2:$N$1001,0),0), INDEX($U$1004:$AC$1004,1,MATCH(COLUMNS($U$1006:AC1006),$U$1006:$AC$1006,0)))),"Fix")))</f>
        <v>0</v>
      </c>
      <c r="N419">
        <v>0</v>
      </c>
      <c r="O419">
        <v>0</v>
      </c>
      <c r="P419">
        <v>0</v>
      </c>
      <c r="Q419">
        <f>IF(R419,TRUE,AND(U419:AC419))</f>
        <v>0</v>
      </c>
      <c r="R419">
        <f>COUNTBLANK(metadata!B419:J419)=COLUMNS(metadata!B419:J419)</f>
        <v>0</v>
      </c>
      <c r="S419">
        <v>0</v>
      </c>
      <c r="U419">
        <f>AND(IF(metadata!B419="",FALSE,TRUE),COUNTIF(metadata!B:B, metadata!B419) = 1,NOT(ISERROR(SUMPRODUCT(SEARCH(MID(metadata!B419,ROW(INDIRECT("1:"&amp;LEN(metadata!B419))), 1),"0123456789abcdefghijklmnopqrstuvwxyzABCDEFGHIJKLMNOPQRSTUVWXYZ.")))))</f>
        <v>0</v>
      </c>
      <c r="V419">
        <f>AND(IF(metadata!C419="",FALSE,TRUE),exact(metadata!C419,"UBERON:genitourinary"))</f>
        <v>0</v>
      </c>
      <c r="W419">
        <f>AND(IF(metadata!D419="",FALSE,TRUE),exact(metadata!D419,"UBERON:urine"))</f>
        <v>0</v>
      </c>
      <c r="X419">
        <f>AND(IF(metadata!E419="",FALSE,TRUE),exact(metadata!E419,"UBERON:kidney"))</f>
        <v>0</v>
      </c>
      <c r="Y419">
        <f>AND(IF(metadata!F419="",FALSE,TRUE),exact(metadata!F419,"animal corpus"))</f>
        <v>0</v>
      </c>
      <c r="Z419">
        <f>AND(IF(metadata!G419="",FALSE,TRUE),exact(metadata!G419,"urine"))</f>
        <v>0</v>
      </c>
      <c r="AA419">
        <f>AND(IF(metadata!H419="",FALSE,TRUE),exact(metadata!H419,"urine"))</f>
        <v>0</v>
      </c>
      <c r="AB419">
        <f>AND(IF(metadata!I419="",FALSE,TRUE),exact(metadata!I419,"urine metagenome"))</f>
        <v>0</v>
      </c>
      <c r="AC419">
        <f>AND(IF(metadata!J419="",FALSE,TRUE),exact(metadata!J419,"1346744"))</f>
        <v>0</v>
      </c>
    </row>
    <row r="420" spans="1:29">
      <c r="A420" s="4">
        <f>IF(B420=" "," ",HYPERLINK(CONCATENATE("#metadata!",ADDRESS(INDEX($P$2:$P$1001,MATCH(ROWS($N$2:N420),$N$2:$N$1001,0),0),1)),INDEX($S$2:$S$1001,MATCH(ROWS($N$2:N420),$N$2:$N$1001,0),0)))</f>
        <v>0</v>
      </c>
      <c r="B420" s="3">
        <f>IF(OR(INDEX($O$2:$O$1001,MATCH(ROWS($N$2:N420),$N$2:$N$1001,0),1)&gt;=100000,INDEX($U$1005:$AC$1005,1,MATCH(COLUMNS($U$1006:U1006),$U$1006:$AC$1006,0))&gt;=100000), " ",IF(INDEX($U$2:$AC$1001,MATCH(ROWS($N$2:N420),$N$2:$N$1001,0),MATCH(COLUMNS($U$1006:U1006),$U$1006:$AC$1006,0)), HYPERLINK("#",""), HYPERLINK(CONCATENATE("#metadata!", ADDRESS(INDEX($P$2:$P$1001,MATCH(ROWS($N$2:N420),$N$2:$N$1001,0),0), INDEX($U$1004:$AC$1004,1,MATCH(COLUMNS($U$1006:U1006),$U$1006:$AC$1006,0)))),"Fix")))</f>
        <v>0</v>
      </c>
      <c r="C420" s="3">
        <f>IF(OR(INDEX($O$2:$O$1001,MATCH(ROWS($N$2:N420),$N$2:$N$1001,0),1)&gt;=100000,INDEX($U$1005:$AC$1005,1,MATCH(COLUMNS($U$1006:V1006),$U$1006:$AC$1006,0))&gt;=100000), " ",IF(INDEX($U$2:$AC$1001,MATCH(ROWS($N$2:N420),$N$2:$N$1001,0),MATCH(COLUMNS($U$1006:V1006),$U$1006:$AC$1006,0)), HYPERLINK("#",""), HYPERLINK(CONCATENATE("#metadata!", ADDRESS(INDEX($P$2:$P$1001,MATCH(ROWS($N$2:N420),$N$2:$N$1001,0),0), INDEX($U$1004:$AC$1004,1,MATCH(COLUMNS($U$1006:V1006),$U$1006:$AC$1006,0)))),"Fix")))</f>
        <v>0</v>
      </c>
      <c r="D420" s="3">
        <f>IF(OR(INDEX($O$2:$O$1001,MATCH(ROWS($N$2:N420),$N$2:$N$1001,0),1)&gt;=100000,INDEX($U$1005:$AC$1005,1,MATCH(COLUMNS($U$1006:W1006),$U$1006:$AC$1006,0))&gt;=100000), " ",IF(INDEX($U$2:$AC$1001,MATCH(ROWS($N$2:N420),$N$2:$N$1001,0),MATCH(COLUMNS($U$1006:W1006),$U$1006:$AC$1006,0)), HYPERLINK("#",""), HYPERLINK(CONCATENATE("#metadata!", ADDRESS(INDEX($P$2:$P$1001,MATCH(ROWS($N$2:N420),$N$2:$N$1001,0),0), INDEX($U$1004:$AC$1004,1,MATCH(COLUMNS($U$1006:W1006),$U$1006:$AC$1006,0)))),"Fix")))</f>
        <v>0</v>
      </c>
      <c r="E420" s="3">
        <f>IF(OR(INDEX($O$2:$O$1001,MATCH(ROWS($N$2:N420),$N$2:$N$1001,0),1)&gt;=100000,INDEX($U$1005:$AC$1005,1,MATCH(COLUMNS($U$1006:X1006),$U$1006:$AC$1006,0))&gt;=100000), " ",IF(INDEX($U$2:$AC$1001,MATCH(ROWS($N$2:N420),$N$2:$N$1001,0),MATCH(COLUMNS($U$1006:X1006),$U$1006:$AC$1006,0)), HYPERLINK("#",""), HYPERLINK(CONCATENATE("#metadata!", ADDRESS(INDEX($P$2:$P$1001,MATCH(ROWS($N$2:N420),$N$2:$N$1001,0),0), INDEX($U$1004:$AC$1004,1,MATCH(COLUMNS($U$1006:X1006),$U$1006:$AC$1006,0)))),"Fix")))</f>
        <v>0</v>
      </c>
      <c r="F420" s="3">
        <f>IF(OR(INDEX($O$2:$O$1001,MATCH(ROWS($N$2:N420),$N$2:$N$1001,0),1)&gt;=100000,INDEX($U$1005:$AC$1005,1,MATCH(COLUMNS($U$1006:Y1006),$U$1006:$AC$1006,0))&gt;=100000), " ",IF(INDEX($U$2:$AC$1001,MATCH(ROWS($N$2:N420),$N$2:$N$1001,0),MATCH(COLUMNS($U$1006:Y1006),$U$1006:$AC$1006,0)), HYPERLINK("#",""), HYPERLINK(CONCATENATE("#metadata!", ADDRESS(INDEX($P$2:$P$1001,MATCH(ROWS($N$2:N420),$N$2:$N$1001,0),0), INDEX($U$1004:$AC$1004,1,MATCH(COLUMNS($U$1006:Y1006),$U$1006:$AC$1006,0)))),"Fix")))</f>
        <v>0</v>
      </c>
      <c r="G420" s="3">
        <f>IF(OR(INDEX($O$2:$O$1001,MATCH(ROWS($N$2:N420),$N$2:$N$1001,0),1)&gt;=100000,INDEX($U$1005:$AC$1005,1,MATCH(COLUMNS($U$1006:Z1006),$U$1006:$AC$1006,0))&gt;=100000), " ",IF(INDEX($U$2:$AC$1001,MATCH(ROWS($N$2:N420),$N$2:$N$1001,0),MATCH(COLUMNS($U$1006:Z1006),$U$1006:$AC$1006,0)), HYPERLINK("#",""), HYPERLINK(CONCATENATE("#metadata!", ADDRESS(INDEX($P$2:$P$1001,MATCH(ROWS($N$2:N420),$N$2:$N$1001,0),0), INDEX($U$1004:$AC$1004,1,MATCH(COLUMNS($U$1006:Z1006),$U$1006:$AC$1006,0)))),"Fix")))</f>
        <v>0</v>
      </c>
      <c r="H420" s="3">
        <f>IF(OR(INDEX($O$2:$O$1001,MATCH(ROWS($N$2:N420),$N$2:$N$1001,0),1)&gt;=100000,INDEX($U$1005:$AC$1005,1,MATCH(COLUMNS($U$1006:AA1006),$U$1006:$AC$1006,0))&gt;=100000), " ",IF(INDEX($U$2:$AC$1001,MATCH(ROWS($N$2:N420),$N$2:$N$1001,0),MATCH(COLUMNS($U$1006:AA1006),$U$1006:$AC$1006,0)), HYPERLINK("#",""), HYPERLINK(CONCATENATE("#metadata!", ADDRESS(INDEX($P$2:$P$1001,MATCH(ROWS($N$2:N420),$N$2:$N$1001,0),0), INDEX($U$1004:$AC$1004,1,MATCH(COLUMNS($U$1006:AA1006),$U$1006:$AC$1006,0)))),"Fix")))</f>
        <v>0</v>
      </c>
      <c r="I420" s="3">
        <f>IF(OR(INDEX($O$2:$O$1001,MATCH(ROWS($N$2:N420),$N$2:$N$1001,0),1)&gt;=100000,INDEX($U$1005:$AC$1005,1,MATCH(COLUMNS($U$1006:AB1006),$U$1006:$AC$1006,0))&gt;=100000), " ",IF(INDEX($U$2:$AC$1001,MATCH(ROWS($N$2:N420),$N$2:$N$1001,0),MATCH(COLUMNS($U$1006:AB1006),$U$1006:$AC$1006,0)), HYPERLINK("#",""), HYPERLINK(CONCATENATE("#metadata!", ADDRESS(INDEX($P$2:$P$1001,MATCH(ROWS($N$2:N420),$N$2:$N$1001,0),0), INDEX($U$1004:$AC$1004,1,MATCH(COLUMNS($U$1006:AB1006),$U$1006:$AC$1006,0)))),"Fix")))</f>
        <v>0</v>
      </c>
      <c r="J420" s="3">
        <f>IF(OR(INDEX($O$2:$O$1001,MATCH(ROWS($N$2:N420),$N$2:$N$1001,0),1)&gt;=100000,INDEX($U$1005:$AC$1005,1,MATCH(COLUMNS($U$1006:AC1006),$U$1006:$AC$1006,0))&gt;=100000), " ",IF(INDEX($U$2:$AC$1001,MATCH(ROWS($N$2:N420),$N$2:$N$1001,0),MATCH(COLUMNS($U$1006:AC1006),$U$1006:$AC$1006,0)), HYPERLINK("#",""), HYPERLINK(CONCATENATE("#metadata!", ADDRESS(INDEX($P$2:$P$1001,MATCH(ROWS($N$2:N420),$N$2:$N$1001,0),0), INDEX($U$1004:$AC$1004,1,MATCH(COLUMNS($U$1006:AC1006),$U$1006:$AC$1006,0)))),"Fix")))</f>
        <v>0</v>
      </c>
      <c r="N420">
        <v>0</v>
      </c>
      <c r="O420">
        <v>0</v>
      </c>
      <c r="P420">
        <v>0</v>
      </c>
      <c r="Q420">
        <f>IF(R420,TRUE,AND(U420:AC420))</f>
        <v>0</v>
      </c>
      <c r="R420">
        <f>COUNTBLANK(metadata!B420:J420)=COLUMNS(metadata!B420:J420)</f>
        <v>0</v>
      </c>
      <c r="S420">
        <v>0</v>
      </c>
      <c r="U420">
        <f>AND(IF(metadata!B420="",FALSE,TRUE),COUNTIF(metadata!B:B, metadata!B420) = 1,NOT(ISERROR(SUMPRODUCT(SEARCH(MID(metadata!B420,ROW(INDIRECT("1:"&amp;LEN(metadata!B420))), 1),"0123456789abcdefghijklmnopqrstuvwxyzABCDEFGHIJKLMNOPQRSTUVWXYZ.")))))</f>
        <v>0</v>
      </c>
      <c r="V420">
        <f>AND(IF(metadata!C420="",FALSE,TRUE),exact(metadata!C420,"UBERON:genitourinary"))</f>
        <v>0</v>
      </c>
      <c r="W420">
        <f>AND(IF(metadata!D420="",FALSE,TRUE),exact(metadata!D420,"UBERON:urine"))</f>
        <v>0</v>
      </c>
      <c r="X420">
        <f>AND(IF(metadata!E420="",FALSE,TRUE),exact(metadata!E420,"UBERON:kidney"))</f>
        <v>0</v>
      </c>
      <c r="Y420">
        <f>AND(IF(metadata!F420="",FALSE,TRUE),exact(metadata!F420,"animal corpus"))</f>
        <v>0</v>
      </c>
      <c r="Z420">
        <f>AND(IF(metadata!G420="",FALSE,TRUE),exact(metadata!G420,"urine"))</f>
        <v>0</v>
      </c>
      <c r="AA420">
        <f>AND(IF(metadata!H420="",FALSE,TRUE),exact(metadata!H420,"urine"))</f>
        <v>0</v>
      </c>
      <c r="AB420">
        <f>AND(IF(metadata!I420="",FALSE,TRUE),exact(metadata!I420,"urine metagenome"))</f>
        <v>0</v>
      </c>
      <c r="AC420">
        <f>AND(IF(metadata!J420="",FALSE,TRUE),exact(metadata!J420,"1346744"))</f>
        <v>0</v>
      </c>
    </row>
    <row r="421" spans="1:29">
      <c r="A421" s="4">
        <f>IF(B421=" "," ",HYPERLINK(CONCATENATE("#metadata!",ADDRESS(INDEX($P$2:$P$1001,MATCH(ROWS($N$2:N421),$N$2:$N$1001,0),0),1)),INDEX($S$2:$S$1001,MATCH(ROWS($N$2:N421),$N$2:$N$1001,0),0)))</f>
        <v>0</v>
      </c>
      <c r="B421" s="3">
        <f>IF(OR(INDEX($O$2:$O$1001,MATCH(ROWS($N$2:N421),$N$2:$N$1001,0),1)&gt;=100000,INDEX($U$1005:$AC$1005,1,MATCH(COLUMNS($U$1006:U1006),$U$1006:$AC$1006,0))&gt;=100000), " ",IF(INDEX($U$2:$AC$1001,MATCH(ROWS($N$2:N421),$N$2:$N$1001,0),MATCH(COLUMNS($U$1006:U1006),$U$1006:$AC$1006,0)), HYPERLINK("#",""), HYPERLINK(CONCATENATE("#metadata!", ADDRESS(INDEX($P$2:$P$1001,MATCH(ROWS($N$2:N421),$N$2:$N$1001,0),0), INDEX($U$1004:$AC$1004,1,MATCH(COLUMNS($U$1006:U1006),$U$1006:$AC$1006,0)))),"Fix")))</f>
        <v>0</v>
      </c>
      <c r="C421" s="3">
        <f>IF(OR(INDEX($O$2:$O$1001,MATCH(ROWS($N$2:N421),$N$2:$N$1001,0),1)&gt;=100000,INDEX($U$1005:$AC$1005,1,MATCH(COLUMNS($U$1006:V1006),$U$1006:$AC$1006,0))&gt;=100000), " ",IF(INDEX($U$2:$AC$1001,MATCH(ROWS($N$2:N421),$N$2:$N$1001,0),MATCH(COLUMNS($U$1006:V1006),$U$1006:$AC$1006,0)), HYPERLINK("#",""), HYPERLINK(CONCATENATE("#metadata!", ADDRESS(INDEX($P$2:$P$1001,MATCH(ROWS($N$2:N421),$N$2:$N$1001,0),0), INDEX($U$1004:$AC$1004,1,MATCH(COLUMNS($U$1006:V1006),$U$1006:$AC$1006,0)))),"Fix")))</f>
        <v>0</v>
      </c>
      <c r="D421" s="3">
        <f>IF(OR(INDEX($O$2:$O$1001,MATCH(ROWS($N$2:N421),$N$2:$N$1001,0),1)&gt;=100000,INDEX($U$1005:$AC$1005,1,MATCH(COLUMNS($U$1006:W1006),$U$1006:$AC$1006,0))&gt;=100000), " ",IF(INDEX($U$2:$AC$1001,MATCH(ROWS($N$2:N421),$N$2:$N$1001,0),MATCH(COLUMNS($U$1006:W1006),$U$1006:$AC$1006,0)), HYPERLINK("#",""), HYPERLINK(CONCATENATE("#metadata!", ADDRESS(INDEX($P$2:$P$1001,MATCH(ROWS($N$2:N421),$N$2:$N$1001,0),0), INDEX($U$1004:$AC$1004,1,MATCH(COLUMNS($U$1006:W1006),$U$1006:$AC$1006,0)))),"Fix")))</f>
        <v>0</v>
      </c>
      <c r="E421" s="3">
        <f>IF(OR(INDEX($O$2:$O$1001,MATCH(ROWS($N$2:N421),$N$2:$N$1001,0),1)&gt;=100000,INDEX($U$1005:$AC$1005,1,MATCH(COLUMNS($U$1006:X1006),$U$1006:$AC$1006,0))&gt;=100000), " ",IF(INDEX($U$2:$AC$1001,MATCH(ROWS($N$2:N421),$N$2:$N$1001,0),MATCH(COLUMNS($U$1006:X1006),$U$1006:$AC$1006,0)), HYPERLINK("#",""), HYPERLINK(CONCATENATE("#metadata!", ADDRESS(INDEX($P$2:$P$1001,MATCH(ROWS($N$2:N421),$N$2:$N$1001,0),0), INDEX($U$1004:$AC$1004,1,MATCH(COLUMNS($U$1006:X1006),$U$1006:$AC$1006,0)))),"Fix")))</f>
        <v>0</v>
      </c>
      <c r="F421" s="3">
        <f>IF(OR(INDEX($O$2:$O$1001,MATCH(ROWS($N$2:N421),$N$2:$N$1001,0),1)&gt;=100000,INDEX($U$1005:$AC$1005,1,MATCH(COLUMNS($U$1006:Y1006),$U$1006:$AC$1006,0))&gt;=100000), " ",IF(INDEX($U$2:$AC$1001,MATCH(ROWS($N$2:N421),$N$2:$N$1001,0),MATCH(COLUMNS($U$1006:Y1006),$U$1006:$AC$1006,0)), HYPERLINK("#",""), HYPERLINK(CONCATENATE("#metadata!", ADDRESS(INDEX($P$2:$P$1001,MATCH(ROWS($N$2:N421),$N$2:$N$1001,0),0), INDEX($U$1004:$AC$1004,1,MATCH(COLUMNS($U$1006:Y1006),$U$1006:$AC$1006,0)))),"Fix")))</f>
        <v>0</v>
      </c>
      <c r="G421" s="3">
        <f>IF(OR(INDEX($O$2:$O$1001,MATCH(ROWS($N$2:N421),$N$2:$N$1001,0),1)&gt;=100000,INDEX($U$1005:$AC$1005,1,MATCH(COLUMNS($U$1006:Z1006),$U$1006:$AC$1006,0))&gt;=100000), " ",IF(INDEX($U$2:$AC$1001,MATCH(ROWS($N$2:N421),$N$2:$N$1001,0),MATCH(COLUMNS($U$1006:Z1006),$U$1006:$AC$1006,0)), HYPERLINK("#",""), HYPERLINK(CONCATENATE("#metadata!", ADDRESS(INDEX($P$2:$P$1001,MATCH(ROWS($N$2:N421),$N$2:$N$1001,0),0), INDEX($U$1004:$AC$1004,1,MATCH(COLUMNS($U$1006:Z1006),$U$1006:$AC$1006,0)))),"Fix")))</f>
        <v>0</v>
      </c>
      <c r="H421" s="3">
        <f>IF(OR(INDEX($O$2:$O$1001,MATCH(ROWS($N$2:N421),$N$2:$N$1001,0),1)&gt;=100000,INDEX($U$1005:$AC$1005,1,MATCH(COLUMNS($U$1006:AA1006),$U$1006:$AC$1006,0))&gt;=100000), " ",IF(INDEX($U$2:$AC$1001,MATCH(ROWS($N$2:N421),$N$2:$N$1001,0),MATCH(COLUMNS($U$1006:AA1006),$U$1006:$AC$1006,0)), HYPERLINK("#",""), HYPERLINK(CONCATENATE("#metadata!", ADDRESS(INDEX($P$2:$P$1001,MATCH(ROWS($N$2:N421),$N$2:$N$1001,0),0), INDEX($U$1004:$AC$1004,1,MATCH(COLUMNS($U$1006:AA1006),$U$1006:$AC$1006,0)))),"Fix")))</f>
        <v>0</v>
      </c>
      <c r="I421" s="3">
        <f>IF(OR(INDEX($O$2:$O$1001,MATCH(ROWS($N$2:N421),$N$2:$N$1001,0),1)&gt;=100000,INDEX($U$1005:$AC$1005,1,MATCH(COLUMNS($U$1006:AB1006),$U$1006:$AC$1006,0))&gt;=100000), " ",IF(INDEX($U$2:$AC$1001,MATCH(ROWS($N$2:N421),$N$2:$N$1001,0),MATCH(COLUMNS($U$1006:AB1006),$U$1006:$AC$1006,0)), HYPERLINK("#",""), HYPERLINK(CONCATENATE("#metadata!", ADDRESS(INDEX($P$2:$P$1001,MATCH(ROWS($N$2:N421),$N$2:$N$1001,0),0), INDEX($U$1004:$AC$1004,1,MATCH(COLUMNS($U$1006:AB1006),$U$1006:$AC$1006,0)))),"Fix")))</f>
        <v>0</v>
      </c>
      <c r="J421" s="3">
        <f>IF(OR(INDEX($O$2:$O$1001,MATCH(ROWS($N$2:N421),$N$2:$N$1001,0),1)&gt;=100000,INDEX($U$1005:$AC$1005,1,MATCH(COLUMNS($U$1006:AC1006),$U$1006:$AC$1006,0))&gt;=100000), " ",IF(INDEX($U$2:$AC$1001,MATCH(ROWS($N$2:N421),$N$2:$N$1001,0),MATCH(COLUMNS($U$1006:AC1006),$U$1006:$AC$1006,0)), HYPERLINK("#",""), HYPERLINK(CONCATENATE("#metadata!", ADDRESS(INDEX($P$2:$P$1001,MATCH(ROWS($N$2:N421),$N$2:$N$1001,0),0), INDEX($U$1004:$AC$1004,1,MATCH(COLUMNS($U$1006:AC1006),$U$1006:$AC$1006,0)))),"Fix")))</f>
        <v>0</v>
      </c>
      <c r="N421">
        <v>0</v>
      </c>
      <c r="O421">
        <v>0</v>
      </c>
      <c r="P421">
        <v>0</v>
      </c>
      <c r="Q421">
        <f>IF(R421,TRUE,AND(U421:AC421))</f>
        <v>0</v>
      </c>
      <c r="R421">
        <f>COUNTBLANK(metadata!B421:J421)=COLUMNS(metadata!B421:J421)</f>
        <v>0</v>
      </c>
      <c r="S421">
        <v>0</v>
      </c>
      <c r="U421">
        <f>AND(IF(metadata!B421="",FALSE,TRUE),COUNTIF(metadata!B:B, metadata!B421) = 1,NOT(ISERROR(SUMPRODUCT(SEARCH(MID(metadata!B421,ROW(INDIRECT("1:"&amp;LEN(metadata!B421))), 1),"0123456789abcdefghijklmnopqrstuvwxyzABCDEFGHIJKLMNOPQRSTUVWXYZ.")))))</f>
        <v>0</v>
      </c>
      <c r="V421">
        <f>AND(IF(metadata!C421="",FALSE,TRUE),exact(metadata!C421,"UBERON:genitourinary"))</f>
        <v>0</v>
      </c>
      <c r="W421">
        <f>AND(IF(metadata!D421="",FALSE,TRUE),exact(metadata!D421,"UBERON:urine"))</f>
        <v>0</v>
      </c>
      <c r="X421">
        <f>AND(IF(metadata!E421="",FALSE,TRUE),exact(metadata!E421,"UBERON:kidney"))</f>
        <v>0</v>
      </c>
      <c r="Y421">
        <f>AND(IF(metadata!F421="",FALSE,TRUE),exact(metadata!F421,"animal corpus"))</f>
        <v>0</v>
      </c>
      <c r="Z421">
        <f>AND(IF(metadata!G421="",FALSE,TRUE),exact(metadata!G421,"urine"))</f>
        <v>0</v>
      </c>
      <c r="AA421">
        <f>AND(IF(metadata!H421="",FALSE,TRUE),exact(metadata!H421,"urine"))</f>
        <v>0</v>
      </c>
      <c r="AB421">
        <f>AND(IF(metadata!I421="",FALSE,TRUE),exact(metadata!I421,"urine metagenome"))</f>
        <v>0</v>
      </c>
      <c r="AC421">
        <f>AND(IF(metadata!J421="",FALSE,TRUE),exact(metadata!J421,"1346744"))</f>
        <v>0</v>
      </c>
    </row>
    <row r="422" spans="1:29">
      <c r="A422" s="4">
        <f>IF(B422=" "," ",HYPERLINK(CONCATENATE("#metadata!",ADDRESS(INDEX($P$2:$P$1001,MATCH(ROWS($N$2:N422),$N$2:$N$1001,0),0),1)),INDEX($S$2:$S$1001,MATCH(ROWS($N$2:N422),$N$2:$N$1001,0),0)))</f>
        <v>0</v>
      </c>
      <c r="B422" s="3">
        <f>IF(OR(INDEX($O$2:$O$1001,MATCH(ROWS($N$2:N422),$N$2:$N$1001,0),1)&gt;=100000,INDEX($U$1005:$AC$1005,1,MATCH(COLUMNS($U$1006:U1006),$U$1006:$AC$1006,0))&gt;=100000), " ",IF(INDEX($U$2:$AC$1001,MATCH(ROWS($N$2:N422),$N$2:$N$1001,0),MATCH(COLUMNS($U$1006:U1006),$U$1006:$AC$1006,0)), HYPERLINK("#",""), HYPERLINK(CONCATENATE("#metadata!", ADDRESS(INDEX($P$2:$P$1001,MATCH(ROWS($N$2:N422),$N$2:$N$1001,0),0), INDEX($U$1004:$AC$1004,1,MATCH(COLUMNS($U$1006:U1006),$U$1006:$AC$1006,0)))),"Fix")))</f>
        <v>0</v>
      </c>
      <c r="C422" s="3">
        <f>IF(OR(INDEX($O$2:$O$1001,MATCH(ROWS($N$2:N422),$N$2:$N$1001,0),1)&gt;=100000,INDEX($U$1005:$AC$1005,1,MATCH(COLUMNS($U$1006:V1006),$U$1006:$AC$1006,0))&gt;=100000), " ",IF(INDEX($U$2:$AC$1001,MATCH(ROWS($N$2:N422),$N$2:$N$1001,0),MATCH(COLUMNS($U$1006:V1006),$U$1006:$AC$1006,0)), HYPERLINK("#",""), HYPERLINK(CONCATENATE("#metadata!", ADDRESS(INDEX($P$2:$P$1001,MATCH(ROWS($N$2:N422),$N$2:$N$1001,0),0), INDEX($U$1004:$AC$1004,1,MATCH(COLUMNS($U$1006:V1006),$U$1006:$AC$1006,0)))),"Fix")))</f>
        <v>0</v>
      </c>
      <c r="D422" s="3">
        <f>IF(OR(INDEX($O$2:$O$1001,MATCH(ROWS($N$2:N422),$N$2:$N$1001,0),1)&gt;=100000,INDEX($U$1005:$AC$1005,1,MATCH(COLUMNS($U$1006:W1006),$U$1006:$AC$1006,0))&gt;=100000), " ",IF(INDEX($U$2:$AC$1001,MATCH(ROWS($N$2:N422),$N$2:$N$1001,0),MATCH(COLUMNS($U$1006:W1006),$U$1006:$AC$1006,0)), HYPERLINK("#",""), HYPERLINK(CONCATENATE("#metadata!", ADDRESS(INDEX($P$2:$P$1001,MATCH(ROWS($N$2:N422),$N$2:$N$1001,0),0), INDEX($U$1004:$AC$1004,1,MATCH(COLUMNS($U$1006:W1006),$U$1006:$AC$1006,0)))),"Fix")))</f>
        <v>0</v>
      </c>
      <c r="E422" s="3">
        <f>IF(OR(INDEX($O$2:$O$1001,MATCH(ROWS($N$2:N422),$N$2:$N$1001,0),1)&gt;=100000,INDEX($U$1005:$AC$1005,1,MATCH(COLUMNS($U$1006:X1006),$U$1006:$AC$1006,0))&gt;=100000), " ",IF(INDEX($U$2:$AC$1001,MATCH(ROWS($N$2:N422),$N$2:$N$1001,0),MATCH(COLUMNS($U$1006:X1006),$U$1006:$AC$1006,0)), HYPERLINK("#",""), HYPERLINK(CONCATENATE("#metadata!", ADDRESS(INDEX($P$2:$P$1001,MATCH(ROWS($N$2:N422),$N$2:$N$1001,0),0), INDEX($U$1004:$AC$1004,1,MATCH(COLUMNS($U$1006:X1006),$U$1006:$AC$1006,0)))),"Fix")))</f>
        <v>0</v>
      </c>
      <c r="F422" s="3">
        <f>IF(OR(INDEX($O$2:$O$1001,MATCH(ROWS($N$2:N422),$N$2:$N$1001,0),1)&gt;=100000,INDEX($U$1005:$AC$1005,1,MATCH(COLUMNS($U$1006:Y1006),$U$1006:$AC$1006,0))&gt;=100000), " ",IF(INDEX($U$2:$AC$1001,MATCH(ROWS($N$2:N422),$N$2:$N$1001,0),MATCH(COLUMNS($U$1006:Y1006),$U$1006:$AC$1006,0)), HYPERLINK("#",""), HYPERLINK(CONCATENATE("#metadata!", ADDRESS(INDEX($P$2:$P$1001,MATCH(ROWS($N$2:N422),$N$2:$N$1001,0),0), INDEX($U$1004:$AC$1004,1,MATCH(COLUMNS($U$1006:Y1006),$U$1006:$AC$1006,0)))),"Fix")))</f>
        <v>0</v>
      </c>
      <c r="G422" s="3">
        <f>IF(OR(INDEX($O$2:$O$1001,MATCH(ROWS($N$2:N422),$N$2:$N$1001,0),1)&gt;=100000,INDEX($U$1005:$AC$1005,1,MATCH(COLUMNS($U$1006:Z1006),$U$1006:$AC$1006,0))&gt;=100000), " ",IF(INDEX($U$2:$AC$1001,MATCH(ROWS($N$2:N422),$N$2:$N$1001,0),MATCH(COLUMNS($U$1006:Z1006),$U$1006:$AC$1006,0)), HYPERLINK("#",""), HYPERLINK(CONCATENATE("#metadata!", ADDRESS(INDEX($P$2:$P$1001,MATCH(ROWS($N$2:N422),$N$2:$N$1001,0),0), INDEX($U$1004:$AC$1004,1,MATCH(COLUMNS($U$1006:Z1006),$U$1006:$AC$1006,0)))),"Fix")))</f>
        <v>0</v>
      </c>
      <c r="H422" s="3">
        <f>IF(OR(INDEX($O$2:$O$1001,MATCH(ROWS($N$2:N422),$N$2:$N$1001,0),1)&gt;=100000,INDEX($U$1005:$AC$1005,1,MATCH(COLUMNS($U$1006:AA1006),$U$1006:$AC$1006,0))&gt;=100000), " ",IF(INDEX($U$2:$AC$1001,MATCH(ROWS($N$2:N422),$N$2:$N$1001,0),MATCH(COLUMNS($U$1006:AA1006),$U$1006:$AC$1006,0)), HYPERLINK("#",""), HYPERLINK(CONCATENATE("#metadata!", ADDRESS(INDEX($P$2:$P$1001,MATCH(ROWS($N$2:N422),$N$2:$N$1001,0),0), INDEX($U$1004:$AC$1004,1,MATCH(COLUMNS($U$1006:AA1006),$U$1006:$AC$1006,0)))),"Fix")))</f>
        <v>0</v>
      </c>
      <c r="I422" s="3">
        <f>IF(OR(INDEX($O$2:$O$1001,MATCH(ROWS($N$2:N422),$N$2:$N$1001,0),1)&gt;=100000,INDEX($U$1005:$AC$1005,1,MATCH(COLUMNS($U$1006:AB1006),$U$1006:$AC$1006,0))&gt;=100000), " ",IF(INDEX($U$2:$AC$1001,MATCH(ROWS($N$2:N422),$N$2:$N$1001,0),MATCH(COLUMNS($U$1006:AB1006),$U$1006:$AC$1006,0)), HYPERLINK("#",""), HYPERLINK(CONCATENATE("#metadata!", ADDRESS(INDEX($P$2:$P$1001,MATCH(ROWS($N$2:N422),$N$2:$N$1001,0),0), INDEX($U$1004:$AC$1004,1,MATCH(COLUMNS($U$1006:AB1006),$U$1006:$AC$1006,0)))),"Fix")))</f>
        <v>0</v>
      </c>
      <c r="J422" s="3">
        <f>IF(OR(INDEX($O$2:$O$1001,MATCH(ROWS($N$2:N422),$N$2:$N$1001,0),1)&gt;=100000,INDEX($U$1005:$AC$1005,1,MATCH(COLUMNS($U$1006:AC1006),$U$1006:$AC$1006,0))&gt;=100000), " ",IF(INDEX($U$2:$AC$1001,MATCH(ROWS($N$2:N422),$N$2:$N$1001,0),MATCH(COLUMNS($U$1006:AC1006),$U$1006:$AC$1006,0)), HYPERLINK("#",""), HYPERLINK(CONCATENATE("#metadata!", ADDRESS(INDEX($P$2:$P$1001,MATCH(ROWS($N$2:N422),$N$2:$N$1001,0),0), INDEX($U$1004:$AC$1004,1,MATCH(COLUMNS($U$1006:AC1006),$U$1006:$AC$1006,0)))),"Fix")))</f>
        <v>0</v>
      </c>
      <c r="N422">
        <v>0</v>
      </c>
      <c r="O422">
        <v>0</v>
      </c>
      <c r="P422">
        <v>0</v>
      </c>
      <c r="Q422">
        <f>IF(R422,TRUE,AND(U422:AC422))</f>
        <v>0</v>
      </c>
      <c r="R422">
        <f>COUNTBLANK(metadata!B422:J422)=COLUMNS(metadata!B422:J422)</f>
        <v>0</v>
      </c>
      <c r="S422">
        <v>0</v>
      </c>
      <c r="U422">
        <f>AND(IF(metadata!B422="",FALSE,TRUE),COUNTIF(metadata!B:B, metadata!B422) = 1,NOT(ISERROR(SUMPRODUCT(SEARCH(MID(metadata!B422,ROW(INDIRECT("1:"&amp;LEN(metadata!B422))), 1),"0123456789abcdefghijklmnopqrstuvwxyzABCDEFGHIJKLMNOPQRSTUVWXYZ.")))))</f>
        <v>0</v>
      </c>
      <c r="V422">
        <f>AND(IF(metadata!C422="",FALSE,TRUE),exact(metadata!C422,"UBERON:genitourinary"))</f>
        <v>0</v>
      </c>
      <c r="W422">
        <f>AND(IF(metadata!D422="",FALSE,TRUE),exact(metadata!D422,"UBERON:urine"))</f>
        <v>0</v>
      </c>
      <c r="X422">
        <f>AND(IF(metadata!E422="",FALSE,TRUE),exact(metadata!E422,"UBERON:kidney"))</f>
        <v>0</v>
      </c>
      <c r="Y422">
        <f>AND(IF(metadata!F422="",FALSE,TRUE),exact(metadata!F422,"animal corpus"))</f>
        <v>0</v>
      </c>
      <c r="Z422">
        <f>AND(IF(metadata!G422="",FALSE,TRUE),exact(metadata!G422,"urine"))</f>
        <v>0</v>
      </c>
      <c r="AA422">
        <f>AND(IF(metadata!H422="",FALSE,TRUE),exact(metadata!H422,"urine"))</f>
        <v>0</v>
      </c>
      <c r="AB422">
        <f>AND(IF(metadata!I422="",FALSE,TRUE),exact(metadata!I422,"urine metagenome"))</f>
        <v>0</v>
      </c>
      <c r="AC422">
        <f>AND(IF(metadata!J422="",FALSE,TRUE),exact(metadata!J422,"1346744"))</f>
        <v>0</v>
      </c>
    </row>
    <row r="423" spans="1:29">
      <c r="A423" s="4">
        <f>IF(B423=" "," ",HYPERLINK(CONCATENATE("#metadata!",ADDRESS(INDEX($P$2:$P$1001,MATCH(ROWS($N$2:N423),$N$2:$N$1001,0),0),1)),INDEX($S$2:$S$1001,MATCH(ROWS($N$2:N423),$N$2:$N$1001,0),0)))</f>
        <v>0</v>
      </c>
      <c r="B423" s="3">
        <f>IF(OR(INDEX($O$2:$O$1001,MATCH(ROWS($N$2:N423),$N$2:$N$1001,0),1)&gt;=100000,INDEX($U$1005:$AC$1005,1,MATCH(COLUMNS($U$1006:U1006),$U$1006:$AC$1006,0))&gt;=100000), " ",IF(INDEX($U$2:$AC$1001,MATCH(ROWS($N$2:N423),$N$2:$N$1001,0),MATCH(COLUMNS($U$1006:U1006),$U$1006:$AC$1006,0)), HYPERLINK("#",""), HYPERLINK(CONCATENATE("#metadata!", ADDRESS(INDEX($P$2:$P$1001,MATCH(ROWS($N$2:N423),$N$2:$N$1001,0),0), INDEX($U$1004:$AC$1004,1,MATCH(COLUMNS($U$1006:U1006),$U$1006:$AC$1006,0)))),"Fix")))</f>
        <v>0</v>
      </c>
      <c r="C423" s="3">
        <f>IF(OR(INDEX($O$2:$O$1001,MATCH(ROWS($N$2:N423),$N$2:$N$1001,0),1)&gt;=100000,INDEX($U$1005:$AC$1005,1,MATCH(COLUMNS($U$1006:V1006),$U$1006:$AC$1006,0))&gt;=100000), " ",IF(INDEX($U$2:$AC$1001,MATCH(ROWS($N$2:N423),$N$2:$N$1001,0),MATCH(COLUMNS($U$1006:V1006),$U$1006:$AC$1006,0)), HYPERLINK("#",""), HYPERLINK(CONCATENATE("#metadata!", ADDRESS(INDEX($P$2:$P$1001,MATCH(ROWS($N$2:N423),$N$2:$N$1001,0),0), INDEX($U$1004:$AC$1004,1,MATCH(COLUMNS($U$1006:V1006),$U$1006:$AC$1006,0)))),"Fix")))</f>
        <v>0</v>
      </c>
      <c r="D423" s="3">
        <f>IF(OR(INDEX($O$2:$O$1001,MATCH(ROWS($N$2:N423),$N$2:$N$1001,0),1)&gt;=100000,INDEX($U$1005:$AC$1005,1,MATCH(COLUMNS($U$1006:W1006),$U$1006:$AC$1006,0))&gt;=100000), " ",IF(INDEX($U$2:$AC$1001,MATCH(ROWS($N$2:N423),$N$2:$N$1001,0),MATCH(COLUMNS($U$1006:W1006),$U$1006:$AC$1006,0)), HYPERLINK("#",""), HYPERLINK(CONCATENATE("#metadata!", ADDRESS(INDEX($P$2:$P$1001,MATCH(ROWS($N$2:N423),$N$2:$N$1001,0),0), INDEX($U$1004:$AC$1004,1,MATCH(COLUMNS($U$1006:W1006),$U$1006:$AC$1006,0)))),"Fix")))</f>
        <v>0</v>
      </c>
      <c r="E423" s="3">
        <f>IF(OR(INDEX($O$2:$O$1001,MATCH(ROWS($N$2:N423),$N$2:$N$1001,0),1)&gt;=100000,INDEX($U$1005:$AC$1005,1,MATCH(COLUMNS($U$1006:X1006),$U$1006:$AC$1006,0))&gt;=100000), " ",IF(INDEX($U$2:$AC$1001,MATCH(ROWS($N$2:N423),$N$2:$N$1001,0),MATCH(COLUMNS($U$1006:X1006),$U$1006:$AC$1006,0)), HYPERLINK("#",""), HYPERLINK(CONCATENATE("#metadata!", ADDRESS(INDEX($P$2:$P$1001,MATCH(ROWS($N$2:N423),$N$2:$N$1001,0),0), INDEX($U$1004:$AC$1004,1,MATCH(COLUMNS($U$1006:X1006),$U$1006:$AC$1006,0)))),"Fix")))</f>
        <v>0</v>
      </c>
      <c r="F423" s="3">
        <f>IF(OR(INDEX($O$2:$O$1001,MATCH(ROWS($N$2:N423),$N$2:$N$1001,0),1)&gt;=100000,INDEX($U$1005:$AC$1005,1,MATCH(COLUMNS($U$1006:Y1006),$U$1006:$AC$1006,0))&gt;=100000), " ",IF(INDEX($U$2:$AC$1001,MATCH(ROWS($N$2:N423),$N$2:$N$1001,0),MATCH(COLUMNS($U$1006:Y1006),$U$1006:$AC$1006,0)), HYPERLINK("#",""), HYPERLINK(CONCATENATE("#metadata!", ADDRESS(INDEX($P$2:$P$1001,MATCH(ROWS($N$2:N423),$N$2:$N$1001,0),0), INDEX($U$1004:$AC$1004,1,MATCH(COLUMNS($U$1006:Y1006),$U$1006:$AC$1006,0)))),"Fix")))</f>
        <v>0</v>
      </c>
      <c r="G423" s="3">
        <f>IF(OR(INDEX($O$2:$O$1001,MATCH(ROWS($N$2:N423),$N$2:$N$1001,0),1)&gt;=100000,INDEX($U$1005:$AC$1005,1,MATCH(COLUMNS($U$1006:Z1006),$U$1006:$AC$1006,0))&gt;=100000), " ",IF(INDEX($U$2:$AC$1001,MATCH(ROWS($N$2:N423),$N$2:$N$1001,0),MATCH(COLUMNS($U$1006:Z1006),$U$1006:$AC$1006,0)), HYPERLINK("#",""), HYPERLINK(CONCATENATE("#metadata!", ADDRESS(INDEX($P$2:$P$1001,MATCH(ROWS($N$2:N423),$N$2:$N$1001,0),0), INDEX($U$1004:$AC$1004,1,MATCH(COLUMNS($U$1006:Z1006),$U$1006:$AC$1006,0)))),"Fix")))</f>
        <v>0</v>
      </c>
      <c r="H423" s="3">
        <f>IF(OR(INDEX($O$2:$O$1001,MATCH(ROWS($N$2:N423),$N$2:$N$1001,0),1)&gt;=100000,INDEX($U$1005:$AC$1005,1,MATCH(COLUMNS($U$1006:AA1006),$U$1006:$AC$1006,0))&gt;=100000), " ",IF(INDEX($U$2:$AC$1001,MATCH(ROWS($N$2:N423),$N$2:$N$1001,0),MATCH(COLUMNS($U$1006:AA1006),$U$1006:$AC$1006,0)), HYPERLINK("#",""), HYPERLINK(CONCATENATE("#metadata!", ADDRESS(INDEX($P$2:$P$1001,MATCH(ROWS($N$2:N423),$N$2:$N$1001,0),0), INDEX($U$1004:$AC$1004,1,MATCH(COLUMNS($U$1006:AA1006),$U$1006:$AC$1006,0)))),"Fix")))</f>
        <v>0</v>
      </c>
      <c r="I423" s="3">
        <f>IF(OR(INDEX($O$2:$O$1001,MATCH(ROWS($N$2:N423),$N$2:$N$1001,0),1)&gt;=100000,INDEX($U$1005:$AC$1005,1,MATCH(COLUMNS($U$1006:AB1006),$U$1006:$AC$1006,0))&gt;=100000), " ",IF(INDEX($U$2:$AC$1001,MATCH(ROWS($N$2:N423),$N$2:$N$1001,0),MATCH(COLUMNS($U$1006:AB1006),$U$1006:$AC$1006,0)), HYPERLINK("#",""), HYPERLINK(CONCATENATE("#metadata!", ADDRESS(INDEX($P$2:$P$1001,MATCH(ROWS($N$2:N423),$N$2:$N$1001,0),0), INDEX($U$1004:$AC$1004,1,MATCH(COLUMNS($U$1006:AB1006),$U$1006:$AC$1006,0)))),"Fix")))</f>
        <v>0</v>
      </c>
      <c r="J423" s="3">
        <f>IF(OR(INDEX($O$2:$O$1001,MATCH(ROWS($N$2:N423),$N$2:$N$1001,0),1)&gt;=100000,INDEX($U$1005:$AC$1005,1,MATCH(COLUMNS($U$1006:AC1006),$U$1006:$AC$1006,0))&gt;=100000), " ",IF(INDEX($U$2:$AC$1001,MATCH(ROWS($N$2:N423),$N$2:$N$1001,0),MATCH(COLUMNS($U$1006:AC1006),$U$1006:$AC$1006,0)), HYPERLINK("#",""), HYPERLINK(CONCATENATE("#metadata!", ADDRESS(INDEX($P$2:$P$1001,MATCH(ROWS($N$2:N423),$N$2:$N$1001,0),0), INDEX($U$1004:$AC$1004,1,MATCH(COLUMNS($U$1006:AC1006),$U$1006:$AC$1006,0)))),"Fix")))</f>
        <v>0</v>
      </c>
      <c r="N423">
        <v>0</v>
      </c>
      <c r="O423">
        <v>0</v>
      </c>
      <c r="P423">
        <v>0</v>
      </c>
      <c r="Q423">
        <f>IF(R423,TRUE,AND(U423:AC423))</f>
        <v>0</v>
      </c>
      <c r="R423">
        <f>COUNTBLANK(metadata!B423:J423)=COLUMNS(metadata!B423:J423)</f>
        <v>0</v>
      </c>
      <c r="S423">
        <v>0</v>
      </c>
      <c r="U423">
        <f>AND(IF(metadata!B423="",FALSE,TRUE),COUNTIF(metadata!B:B, metadata!B423) = 1,NOT(ISERROR(SUMPRODUCT(SEARCH(MID(metadata!B423,ROW(INDIRECT("1:"&amp;LEN(metadata!B423))), 1),"0123456789abcdefghijklmnopqrstuvwxyzABCDEFGHIJKLMNOPQRSTUVWXYZ.")))))</f>
        <v>0</v>
      </c>
      <c r="V423">
        <f>AND(IF(metadata!C423="",FALSE,TRUE),exact(metadata!C423,"UBERON:genitourinary"))</f>
        <v>0</v>
      </c>
      <c r="W423">
        <f>AND(IF(metadata!D423="",FALSE,TRUE),exact(metadata!D423,"UBERON:urine"))</f>
        <v>0</v>
      </c>
      <c r="X423">
        <f>AND(IF(metadata!E423="",FALSE,TRUE),exact(metadata!E423,"UBERON:kidney"))</f>
        <v>0</v>
      </c>
      <c r="Y423">
        <f>AND(IF(metadata!F423="",FALSE,TRUE),exact(metadata!F423,"animal corpus"))</f>
        <v>0</v>
      </c>
      <c r="Z423">
        <f>AND(IF(metadata!G423="",FALSE,TRUE),exact(metadata!G423,"urine"))</f>
        <v>0</v>
      </c>
      <c r="AA423">
        <f>AND(IF(metadata!H423="",FALSE,TRUE),exact(metadata!H423,"urine"))</f>
        <v>0</v>
      </c>
      <c r="AB423">
        <f>AND(IF(metadata!I423="",FALSE,TRUE),exact(metadata!I423,"urine metagenome"))</f>
        <v>0</v>
      </c>
      <c r="AC423">
        <f>AND(IF(metadata!J423="",FALSE,TRUE),exact(metadata!J423,"1346744"))</f>
        <v>0</v>
      </c>
    </row>
    <row r="424" spans="1:29">
      <c r="A424" s="4">
        <f>IF(B424=" "," ",HYPERLINK(CONCATENATE("#metadata!",ADDRESS(INDEX($P$2:$P$1001,MATCH(ROWS($N$2:N424),$N$2:$N$1001,0),0),1)),INDEX($S$2:$S$1001,MATCH(ROWS($N$2:N424),$N$2:$N$1001,0),0)))</f>
        <v>0</v>
      </c>
      <c r="B424" s="3">
        <f>IF(OR(INDEX($O$2:$O$1001,MATCH(ROWS($N$2:N424),$N$2:$N$1001,0),1)&gt;=100000,INDEX($U$1005:$AC$1005,1,MATCH(COLUMNS($U$1006:U1006),$U$1006:$AC$1006,0))&gt;=100000), " ",IF(INDEX($U$2:$AC$1001,MATCH(ROWS($N$2:N424),$N$2:$N$1001,0),MATCH(COLUMNS($U$1006:U1006),$U$1006:$AC$1006,0)), HYPERLINK("#",""), HYPERLINK(CONCATENATE("#metadata!", ADDRESS(INDEX($P$2:$P$1001,MATCH(ROWS($N$2:N424),$N$2:$N$1001,0),0), INDEX($U$1004:$AC$1004,1,MATCH(COLUMNS($U$1006:U1006),$U$1006:$AC$1006,0)))),"Fix")))</f>
        <v>0</v>
      </c>
      <c r="C424" s="3">
        <f>IF(OR(INDEX($O$2:$O$1001,MATCH(ROWS($N$2:N424),$N$2:$N$1001,0),1)&gt;=100000,INDEX($U$1005:$AC$1005,1,MATCH(COLUMNS($U$1006:V1006),$U$1006:$AC$1006,0))&gt;=100000), " ",IF(INDEX($U$2:$AC$1001,MATCH(ROWS($N$2:N424),$N$2:$N$1001,0),MATCH(COLUMNS($U$1006:V1006),$U$1006:$AC$1006,0)), HYPERLINK("#",""), HYPERLINK(CONCATENATE("#metadata!", ADDRESS(INDEX($P$2:$P$1001,MATCH(ROWS($N$2:N424),$N$2:$N$1001,0),0), INDEX($U$1004:$AC$1004,1,MATCH(COLUMNS($U$1006:V1006),$U$1006:$AC$1006,0)))),"Fix")))</f>
        <v>0</v>
      </c>
      <c r="D424" s="3">
        <f>IF(OR(INDEX($O$2:$O$1001,MATCH(ROWS($N$2:N424),$N$2:$N$1001,0),1)&gt;=100000,INDEX($U$1005:$AC$1005,1,MATCH(COLUMNS($U$1006:W1006),$U$1006:$AC$1006,0))&gt;=100000), " ",IF(INDEX($U$2:$AC$1001,MATCH(ROWS($N$2:N424),$N$2:$N$1001,0),MATCH(COLUMNS($U$1006:W1006),$U$1006:$AC$1006,0)), HYPERLINK("#",""), HYPERLINK(CONCATENATE("#metadata!", ADDRESS(INDEX($P$2:$P$1001,MATCH(ROWS($N$2:N424),$N$2:$N$1001,0),0), INDEX($U$1004:$AC$1004,1,MATCH(COLUMNS($U$1006:W1006),$U$1006:$AC$1006,0)))),"Fix")))</f>
        <v>0</v>
      </c>
      <c r="E424" s="3">
        <f>IF(OR(INDEX($O$2:$O$1001,MATCH(ROWS($N$2:N424),$N$2:$N$1001,0),1)&gt;=100000,INDEX($U$1005:$AC$1005,1,MATCH(COLUMNS($U$1006:X1006),$U$1006:$AC$1006,0))&gt;=100000), " ",IF(INDEX($U$2:$AC$1001,MATCH(ROWS($N$2:N424),$N$2:$N$1001,0),MATCH(COLUMNS($U$1006:X1006),$U$1006:$AC$1006,0)), HYPERLINK("#",""), HYPERLINK(CONCATENATE("#metadata!", ADDRESS(INDEX($P$2:$P$1001,MATCH(ROWS($N$2:N424),$N$2:$N$1001,0),0), INDEX($U$1004:$AC$1004,1,MATCH(COLUMNS($U$1006:X1006),$U$1006:$AC$1006,0)))),"Fix")))</f>
        <v>0</v>
      </c>
      <c r="F424" s="3">
        <f>IF(OR(INDEX($O$2:$O$1001,MATCH(ROWS($N$2:N424),$N$2:$N$1001,0),1)&gt;=100000,INDEX($U$1005:$AC$1005,1,MATCH(COLUMNS($U$1006:Y1006),$U$1006:$AC$1006,0))&gt;=100000), " ",IF(INDEX($U$2:$AC$1001,MATCH(ROWS($N$2:N424),$N$2:$N$1001,0),MATCH(COLUMNS($U$1006:Y1006),$U$1006:$AC$1006,0)), HYPERLINK("#",""), HYPERLINK(CONCATENATE("#metadata!", ADDRESS(INDEX($P$2:$P$1001,MATCH(ROWS($N$2:N424),$N$2:$N$1001,0),0), INDEX($U$1004:$AC$1004,1,MATCH(COLUMNS($U$1006:Y1006),$U$1006:$AC$1006,0)))),"Fix")))</f>
        <v>0</v>
      </c>
      <c r="G424" s="3">
        <f>IF(OR(INDEX($O$2:$O$1001,MATCH(ROWS($N$2:N424),$N$2:$N$1001,0),1)&gt;=100000,INDEX($U$1005:$AC$1005,1,MATCH(COLUMNS($U$1006:Z1006),$U$1006:$AC$1006,0))&gt;=100000), " ",IF(INDEX($U$2:$AC$1001,MATCH(ROWS($N$2:N424),$N$2:$N$1001,0),MATCH(COLUMNS($U$1006:Z1006),$U$1006:$AC$1006,0)), HYPERLINK("#",""), HYPERLINK(CONCATENATE("#metadata!", ADDRESS(INDEX($P$2:$P$1001,MATCH(ROWS($N$2:N424),$N$2:$N$1001,0),0), INDEX($U$1004:$AC$1004,1,MATCH(COLUMNS($U$1006:Z1006),$U$1006:$AC$1006,0)))),"Fix")))</f>
        <v>0</v>
      </c>
      <c r="H424" s="3">
        <f>IF(OR(INDEX($O$2:$O$1001,MATCH(ROWS($N$2:N424),$N$2:$N$1001,0),1)&gt;=100000,INDEX($U$1005:$AC$1005,1,MATCH(COLUMNS($U$1006:AA1006),$U$1006:$AC$1006,0))&gt;=100000), " ",IF(INDEX($U$2:$AC$1001,MATCH(ROWS($N$2:N424),$N$2:$N$1001,0),MATCH(COLUMNS($U$1006:AA1006),$U$1006:$AC$1006,0)), HYPERLINK("#",""), HYPERLINK(CONCATENATE("#metadata!", ADDRESS(INDEX($P$2:$P$1001,MATCH(ROWS($N$2:N424),$N$2:$N$1001,0),0), INDEX($U$1004:$AC$1004,1,MATCH(COLUMNS($U$1006:AA1006),$U$1006:$AC$1006,0)))),"Fix")))</f>
        <v>0</v>
      </c>
      <c r="I424" s="3">
        <f>IF(OR(INDEX($O$2:$O$1001,MATCH(ROWS($N$2:N424),$N$2:$N$1001,0),1)&gt;=100000,INDEX($U$1005:$AC$1005,1,MATCH(COLUMNS($U$1006:AB1006),$U$1006:$AC$1006,0))&gt;=100000), " ",IF(INDEX($U$2:$AC$1001,MATCH(ROWS($N$2:N424),$N$2:$N$1001,0),MATCH(COLUMNS($U$1006:AB1006),$U$1006:$AC$1006,0)), HYPERLINK("#",""), HYPERLINK(CONCATENATE("#metadata!", ADDRESS(INDEX($P$2:$P$1001,MATCH(ROWS($N$2:N424),$N$2:$N$1001,0),0), INDEX($U$1004:$AC$1004,1,MATCH(COLUMNS($U$1006:AB1006),$U$1006:$AC$1006,0)))),"Fix")))</f>
        <v>0</v>
      </c>
      <c r="J424" s="3">
        <f>IF(OR(INDEX($O$2:$O$1001,MATCH(ROWS($N$2:N424),$N$2:$N$1001,0),1)&gt;=100000,INDEX($U$1005:$AC$1005,1,MATCH(COLUMNS($U$1006:AC1006),$U$1006:$AC$1006,0))&gt;=100000), " ",IF(INDEX($U$2:$AC$1001,MATCH(ROWS($N$2:N424),$N$2:$N$1001,0),MATCH(COLUMNS($U$1006:AC1006),$U$1006:$AC$1006,0)), HYPERLINK("#",""), HYPERLINK(CONCATENATE("#metadata!", ADDRESS(INDEX($P$2:$P$1001,MATCH(ROWS($N$2:N424),$N$2:$N$1001,0),0), INDEX($U$1004:$AC$1004,1,MATCH(COLUMNS($U$1006:AC1006),$U$1006:$AC$1006,0)))),"Fix")))</f>
        <v>0</v>
      </c>
      <c r="N424">
        <v>0</v>
      </c>
      <c r="O424">
        <v>0</v>
      </c>
      <c r="P424">
        <v>0</v>
      </c>
      <c r="Q424">
        <f>IF(R424,TRUE,AND(U424:AC424))</f>
        <v>0</v>
      </c>
      <c r="R424">
        <f>COUNTBLANK(metadata!B424:J424)=COLUMNS(metadata!B424:J424)</f>
        <v>0</v>
      </c>
      <c r="S424">
        <v>0</v>
      </c>
      <c r="U424">
        <f>AND(IF(metadata!B424="",FALSE,TRUE),COUNTIF(metadata!B:B, metadata!B424) = 1,NOT(ISERROR(SUMPRODUCT(SEARCH(MID(metadata!B424,ROW(INDIRECT("1:"&amp;LEN(metadata!B424))), 1),"0123456789abcdefghijklmnopqrstuvwxyzABCDEFGHIJKLMNOPQRSTUVWXYZ.")))))</f>
        <v>0</v>
      </c>
      <c r="V424">
        <f>AND(IF(metadata!C424="",FALSE,TRUE),exact(metadata!C424,"UBERON:genitourinary"))</f>
        <v>0</v>
      </c>
      <c r="W424">
        <f>AND(IF(metadata!D424="",FALSE,TRUE),exact(metadata!D424,"UBERON:urine"))</f>
        <v>0</v>
      </c>
      <c r="X424">
        <f>AND(IF(metadata!E424="",FALSE,TRUE),exact(metadata!E424,"UBERON:kidney"))</f>
        <v>0</v>
      </c>
      <c r="Y424">
        <f>AND(IF(metadata!F424="",FALSE,TRUE),exact(metadata!F424,"animal corpus"))</f>
        <v>0</v>
      </c>
      <c r="Z424">
        <f>AND(IF(metadata!G424="",FALSE,TRUE),exact(metadata!G424,"urine"))</f>
        <v>0</v>
      </c>
      <c r="AA424">
        <f>AND(IF(metadata!H424="",FALSE,TRUE),exact(metadata!H424,"urine"))</f>
        <v>0</v>
      </c>
      <c r="AB424">
        <f>AND(IF(metadata!I424="",FALSE,TRUE),exact(metadata!I424,"urine metagenome"))</f>
        <v>0</v>
      </c>
      <c r="AC424">
        <f>AND(IF(metadata!J424="",FALSE,TRUE),exact(metadata!J424,"1346744"))</f>
        <v>0</v>
      </c>
    </row>
    <row r="425" spans="1:29">
      <c r="A425" s="4">
        <f>IF(B425=" "," ",HYPERLINK(CONCATENATE("#metadata!",ADDRESS(INDEX($P$2:$P$1001,MATCH(ROWS($N$2:N425),$N$2:$N$1001,0),0),1)),INDEX($S$2:$S$1001,MATCH(ROWS($N$2:N425),$N$2:$N$1001,0),0)))</f>
        <v>0</v>
      </c>
      <c r="B425" s="3">
        <f>IF(OR(INDEX($O$2:$O$1001,MATCH(ROWS($N$2:N425),$N$2:$N$1001,0),1)&gt;=100000,INDEX($U$1005:$AC$1005,1,MATCH(COLUMNS($U$1006:U1006),$U$1006:$AC$1006,0))&gt;=100000), " ",IF(INDEX($U$2:$AC$1001,MATCH(ROWS($N$2:N425),$N$2:$N$1001,0),MATCH(COLUMNS($U$1006:U1006),$U$1006:$AC$1006,0)), HYPERLINK("#",""), HYPERLINK(CONCATENATE("#metadata!", ADDRESS(INDEX($P$2:$P$1001,MATCH(ROWS($N$2:N425),$N$2:$N$1001,0),0), INDEX($U$1004:$AC$1004,1,MATCH(COLUMNS($U$1006:U1006),$U$1006:$AC$1006,0)))),"Fix")))</f>
        <v>0</v>
      </c>
      <c r="C425" s="3">
        <f>IF(OR(INDEX($O$2:$O$1001,MATCH(ROWS($N$2:N425),$N$2:$N$1001,0),1)&gt;=100000,INDEX($U$1005:$AC$1005,1,MATCH(COLUMNS($U$1006:V1006),$U$1006:$AC$1006,0))&gt;=100000), " ",IF(INDEX($U$2:$AC$1001,MATCH(ROWS($N$2:N425),$N$2:$N$1001,0),MATCH(COLUMNS($U$1006:V1006),$U$1006:$AC$1006,0)), HYPERLINK("#",""), HYPERLINK(CONCATENATE("#metadata!", ADDRESS(INDEX($P$2:$P$1001,MATCH(ROWS($N$2:N425),$N$2:$N$1001,0),0), INDEX($U$1004:$AC$1004,1,MATCH(COLUMNS($U$1006:V1006),$U$1006:$AC$1006,0)))),"Fix")))</f>
        <v>0</v>
      </c>
      <c r="D425" s="3">
        <f>IF(OR(INDEX($O$2:$O$1001,MATCH(ROWS($N$2:N425),$N$2:$N$1001,0),1)&gt;=100000,INDEX($U$1005:$AC$1005,1,MATCH(COLUMNS($U$1006:W1006),$U$1006:$AC$1006,0))&gt;=100000), " ",IF(INDEX($U$2:$AC$1001,MATCH(ROWS($N$2:N425),$N$2:$N$1001,0),MATCH(COLUMNS($U$1006:W1006),$U$1006:$AC$1006,0)), HYPERLINK("#",""), HYPERLINK(CONCATENATE("#metadata!", ADDRESS(INDEX($P$2:$P$1001,MATCH(ROWS($N$2:N425),$N$2:$N$1001,0),0), INDEX($U$1004:$AC$1004,1,MATCH(COLUMNS($U$1006:W1006),$U$1006:$AC$1006,0)))),"Fix")))</f>
        <v>0</v>
      </c>
      <c r="E425" s="3">
        <f>IF(OR(INDEX($O$2:$O$1001,MATCH(ROWS($N$2:N425),$N$2:$N$1001,0),1)&gt;=100000,INDEX($U$1005:$AC$1005,1,MATCH(COLUMNS($U$1006:X1006),$U$1006:$AC$1006,0))&gt;=100000), " ",IF(INDEX($U$2:$AC$1001,MATCH(ROWS($N$2:N425),$N$2:$N$1001,0),MATCH(COLUMNS($U$1006:X1006),$U$1006:$AC$1006,0)), HYPERLINK("#",""), HYPERLINK(CONCATENATE("#metadata!", ADDRESS(INDEX($P$2:$P$1001,MATCH(ROWS($N$2:N425),$N$2:$N$1001,0),0), INDEX($U$1004:$AC$1004,1,MATCH(COLUMNS($U$1006:X1006),$U$1006:$AC$1006,0)))),"Fix")))</f>
        <v>0</v>
      </c>
      <c r="F425" s="3">
        <f>IF(OR(INDEX($O$2:$O$1001,MATCH(ROWS($N$2:N425),$N$2:$N$1001,0),1)&gt;=100000,INDEX($U$1005:$AC$1005,1,MATCH(COLUMNS($U$1006:Y1006),$U$1006:$AC$1006,0))&gt;=100000), " ",IF(INDEX($U$2:$AC$1001,MATCH(ROWS($N$2:N425),$N$2:$N$1001,0),MATCH(COLUMNS($U$1006:Y1006),$U$1006:$AC$1006,0)), HYPERLINK("#",""), HYPERLINK(CONCATENATE("#metadata!", ADDRESS(INDEX($P$2:$P$1001,MATCH(ROWS($N$2:N425),$N$2:$N$1001,0),0), INDEX($U$1004:$AC$1004,1,MATCH(COLUMNS($U$1006:Y1006),$U$1006:$AC$1006,0)))),"Fix")))</f>
        <v>0</v>
      </c>
      <c r="G425" s="3">
        <f>IF(OR(INDEX($O$2:$O$1001,MATCH(ROWS($N$2:N425),$N$2:$N$1001,0),1)&gt;=100000,INDEX($U$1005:$AC$1005,1,MATCH(COLUMNS($U$1006:Z1006),$U$1006:$AC$1006,0))&gt;=100000), " ",IF(INDEX($U$2:$AC$1001,MATCH(ROWS($N$2:N425),$N$2:$N$1001,0),MATCH(COLUMNS($U$1006:Z1006),$U$1006:$AC$1006,0)), HYPERLINK("#",""), HYPERLINK(CONCATENATE("#metadata!", ADDRESS(INDEX($P$2:$P$1001,MATCH(ROWS($N$2:N425),$N$2:$N$1001,0),0), INDEX($U$1004:$AC$1004,1,MATCH(COLUMNS($U$1006:Z1006),$U$1006:$AC$1006,0)))),"Fix")))</f>
        <v>0</v>
      </c>
      <c r="H425" s="3">
        <f>IF(OR(INDEX($O$2:$O$1001,MATCH(ROWS($N$2:N425),$N$2:$N$1001,0),1)&gt;=100000,INDEX($U$1005:$AC$1005,1,MATCH(COLUMNS($U$1006:AA1006),$U$1006:$AC$1006,0))&gt;=100000), " ",IF(INDEX($U$2:$AC$1001,MATCH(ROWS($N$2:N425),$N$2:$N$1001,0),MATCH(COLUMNS($U$1006:AA1006),$U$1006:$AC$1006,0)), HYPERLINK("#",""), HYPERLINK(CONCATENATE("#metadata!", ADDRESS(INDEX($P$2:$P$1001,MATCH(ROWS($N$2:N425),$N$2:$N$1001,0),0), INDEX($U$1004:$AC$1004,1,MATCH(COLUMNS($U$1006:AA1006),$U$1006:$AC$1006,0)))),"Fix")))</f>
        <v>0</v>
      </c>
      <c r="I425" s="3">
        <f>IF(OR(INDEX($O$2:$O$1001,MATCH(ROWS($N$2:N425),$N$2:$N$1001,0),1)&gt;=100000,INDEX($U$1005:$AC$1005,1,MATCH(COLUMNS($U$1006:AB1006),$U$1006:$AC$1006,0))&gt;=100000), " ",IF(INDEX($U$2:$AC$1001,MATCH(ROWS($N$2:N425),$N$2:$N$1001,0),MATCH(COLUMNS($U$1006:AB1006),$U$1006:$AC$1006,0)), HYPERLINK("#",""), HYPERLINK(CONCATENATE("#metadata!", ADDRESS(INDEX($P$2:$P$1001,MATCH(ROWS($N$2:N425),$N$2:$N$1001,0),0), INDEX($U$1004:$AC$1004,1,MATCH(COLUMNS($U$1006:AB1006),$U$1006:$AC$1006,0)))),"Fix")))</f>
        <v>0</v>
      </c>
      <c r="J425" s="3">
        <f>IF(OR(INDEX($O$2:$O$1001,MATCH(ROWS($N$2:N425),$N$2:$N$1001,0),1)&gt;=100000,INDEX($U$1005:$AC$1005,1,MATCH(COLUMNS($U$1006:AC1006),$U$1006:$AC$1006,0))&gt;=100000), " ",IF(INDEX($U$2:$AC$1001,MATCH(ROWS($N$2:N425),$N$2:$N$1001,0),MATCH(COLUMNS($U$1006:AC1006),$U$1006:$AC$1006,0)), HYPERLINK("#",""), HYPERLINK(CONCATENATE("#metadata!", ADDRESS(INDEX($P$2:$P$1001,MATCH(ROWS($N$2:N425),$N$2:$N$1001,0),0), INDEX($U$1004:$AC$1004,1,MATCH(COLUMNS($U$1006:AC1006),$U$1006:$AC$1006,0)))),"Fix")))</f>
        <v>0</v>
      </c>
      <c r="N425">
        <v>0</v>
      </c>
      <c r="O425">
        <v>0</v>
      </c>
      <c r="P425">
        <v>0</v>
      </c>
      <c r="Q425">
        <f>IF(R425,TRUE,AND(U425:AC425))</f>
        <v>0</v>
      </c>
      <c r="R425">
        <f>COUNTBLANK(metadata!B425:J425)=COLUMNS(metadata!B425:J425)</f>
        <v>0</v>
      </c>
      <c r="S425">
        <v>0</v>
      </c>
      <c r="U425">
        <f>AND(IF(metadata!B425="",FALSE,TRUE),COUNTIF(metadata!B:B, metadata!B425) = 1,NOT(ISERROR(SUMPRODUCT(SEARCH(MID(metadata!B425,ROW(INDIRECT("1:"&amp;LEN(metadata!B425))), 1),"0123456789abcdefghijklmnopqrstuvwxyzABCDEFGHIJKLMNOPQRSTUVWXYZ.")))))</f>
        <v>0</v>
      </c>
      <c r="V425">
        <f>AND(IF(metadata!C425="",FALSE,TRUE),exact(metadata!C425,"UBERON:genitourinary"))</f>
        <v>0</v>
      </c>
      <c r="W425">
        <f>AND(IF(metadata!D425="",FALSE,TRUE),exact(metadata!D425,"UBERON:urine"))</f>
        <v>0</v>
      </c>
      <c r="X425">
        <f>AND(IF(metadata!E425="",FALSE,TRUE),exact(metadata!E425,"UBERON:kidney"))</f>
        <v>0</v>
      </c>
      <c r="Y425">
        <f>AND(IF(metadata!F425="",FALSE,TRUE),exact(metadata!F425,"animal corpus"))</f>
        <v>0</v>
      </c>
      <c r="Z425">
        <f>AND(IF(metadata!G425="",FALSE,TRUE),exact(metadata!G425,"urine"))</f>
        <v>0</v>
      </c>
      <c r="AA425">
        <f>AND(IF(metadata!H425="",FALSE,TRUE),exact(metadata!H425,"urine"))</f>
        <v>0</v>
      </c>
      <c r="AB425">
        <f>AND(IF(metadata!I425="",FALSE,TRUE),exact(metadata!I425,"urine metagenome"))</f>
        <v>0</v>
      </c>
      <c r="AC425">
        <f>AND(IF(metadata!J425="",FALSE,TRUE),exact(metadata!J425,"1346744"))</f>
        <v>0</v>
      </c>
    </row>
    <row r="426" spans="1:29">
      <c r="A426" s="4">
        <f>IF(B426=" "," ",HYPERLINK(CONCATENATE("#metadata!",ADDRESS(INDEX($P$2:$P$1001,MATCH(ROWS($N$2:N426),$N$2:$N$1001,0),0),1)),INDEX($S$2:$S$1001,MATCH(ROWS($N$2:N426),$N$2:$N$1001,0),0)))</f>
        <v>0</v>
      </c>
      <c r="B426" s="3">
        <f>IF(OR(INDEX($O$2:$O$1001,MATCH(ROWS($N$2:N426),$N$2:$N$1001,0),1)&gt;=100000,INDEX($U$1005:$AC$1005,1,MATCH(COLUMNS($U$1006:U1006),$U$1006:$AC$1006,0))&gt;=100000), " ",IF(INDEX($U$2:$AC$1001,MATCH(ROWS($N$2:N426),$N$2:$N$1001,0),MATCH(COLUMNS($U$1006:U1006),$U$1006:$AC$1006,0)), HYPERLINK("#",""), HYPERLINK(CONCATENATE("#metadata!", ADDRESS(INDEX($P$2:$P$1001,MATCH(ROWS($N$2:N426),$N$2:$N$1001,0),0), INDEX($U$1004:$AC$1004,1,MATCH(COLUMNS($U$1006:U1006),$U$1006:$AC$1006,0)))),"Fix")))</f>
        <v>0</v>
      </c>
      <c r="C426" s="3">
        <f>IF(OR(INDEX($O$2:$O$1001,MATCH(ROWS($N$2:N426),$N$2:$N$1001,0),1)&gt;=100000,INDEX($U$1005:$AC$1005,1,MATCH(COLUMNS($U$1006:V1006),$U$1006:$AC$1006,0))&gt;=100000), " ",IF(INDEX($U$2:$AC$1001,MATCH(ROWS($N$2:N426),$N$2:$N$1001,0),MATCH(COLUMNS($U$1006:V1006),$U$1006:$AC$1006,0)), HYPERLINK("#",""), HYPERLINK(CONCATENATE("#metadata!", ADDRESS(INDEX($P$2:$P$1001,MATCH(ROWS($N$2:N426),$N$2:$N$1001,0),0), INDEX($U$1004:$AC$1004,1,MATCH(COLUMNS($U$1006:V1006),$U$1006:$AC$1006,0)))),"Fix")))</f>
        <v>0</v>
      </c>
      <c r="D426" s="3">
        <f>IF(OR(INDEX($O$2:$O$1001,MATCH(ROWS($N$2:N426),$N$2:$N$1001,0),1)&gt;=100000,INDEX($U$1005:$AC$1005,1,MATCH(COLUMNS($U$1006:W1006),$U$1006:$AC$1006,0))&gt;=100000), " ",IF(INDEX($U$2:$AC$1001,MATCH(ROWS($N$2:N426),$N$2:$N$1001,0),MATCH(COLUMNS($U$1006:W1006),$U$1006:$AC$1006,0)), HYPERLINK("#",""), HYPERLINK(CONCATENATE("#metadata!", ADDRESS(INDEX($P$2:$P$1001,MATCH(ROWS($N$2:N426),$N$2:$N$1001,0),0), INDEX($U$1004:$AC$1004,1,MATCH(COLUMNS($U$1006:W1006),$U$1006:$AC$1006,0)))),"Fix")))</f>
        <v>0</v>
      </c>
      <c r="E426" s="3">
        <f>IF(OR(INDEX($O$2:$O$1001,MATCH(ROWS($N$2:N426),$N$2:$N$1001,0),1)&gt;=100000,INDEX($U$1005:$AC$1005,1,MATCH(COLUMNS($U$1006:X1006),$U$1006:$AC$1006,0))&gt;=100000), " ",IF(INDEX($U$2:$AC$1001,MATCH(ROWS($N$2:N426),$N$2:$N$1001,0),MATCH(COLUMNS($U$1006:X1006),$U$1006:$AC$1006,0)), HYPERLINK("#",""), HYPERLINK(CONCATENATE("#metadata!", ADDRESS(INDEX($P$2:$P$1001,MATCH(ROWS($N$2:N426),$N$2:$N$1001,0),0), INDEX($U$1004:$AC$1004,1,MATCH(COLUMNS($U$1006:X1006),$U$1006:$AC$1006,0)))),"Fix")))</f>
        <v>0</v>
      </c>
      <c r="F426" s="3">
        <f>IF(OR(INDEX($O$2:$O$1001,MATCH(ROWS($N$2:N426),$N$2:$N$1001,0),1)&gt;=100000,INDEX($U$1005:$AC$1005,1,MATCH(COLUMNS($U$1006:Y1006),$U$1006:$AC$1006,0))&gt;=100000), " ",IF(INDEX($U$2:$AC$1001,MATCH(ROWS($N$2:N426),$N$2:$N$1001,0),MATCH(COLUMNS($U$1006:Y1006),$U$1006:$AC$1006,0)), HYPERLINK("#",""), HYPERLINK(CONCATENATE("#metadata!", ADDRESS(INDEX($P$2:$P$1001,MATCH(ROWS($N$2:N426),$N$2:$N$1001,0),0), INDEX($U$1004:$AC$1004,1,MATCH(COLUMNS($U$1006:Y1006),$U$1006:$AC$1006,0)))),"Fix")))</f>
        <v>0</v>
      </c>
      <c r="G426" s="3">
        <f>IF(OR(INDEX($O$2:$O$1001,MATCH(ROWS($N$2:N426),$N$2:$N$1001,0),1)&gt;=100000,INDEX($U$1005:$AC$1005,1,MATCH(COLUMNS($U$1006:Z1006),$U$1006:$AC$1006,0))&gt;=100000), " ",IF(INDEX($U$2:$AC$1001,MATCH(ROWS($N$2:N426),$N$2:$N$1001,0),MATCH(COLUMNS($U$1006:Z1006),$U$1006:$AC$1006,0)), HYPERLINK("#",""), HYPERLINK(CONCATENATE("#metadata!", ADDRESS(INDEX($P$2:$P$1001,MATCH(ROWS($N$2:N426),$N$2:$N$1001,0),0), INDEX($U$1004:$AC$1004,1,MATCH(COLUMNS($U$1006:Z1006),$U$1006:$AC$1006,0)))),"Fix")))</f>
        <v>0</v>
      </c>
      <c r="H426" s="3">
        <f>IF(OR(INDEX($O$2:$O$1001,MATCH(ROWS($N$2:N426),$N$2:$N$1001,0),1)&gt;=100000,INDEX($U$1005:$AC$1005,1,MATCH(COLUMNS($U$1006:AA1006),$U$1006:$AC$1006,0))&gt;=100000), " ",IF(INDEX($U$2:$AC$1001,MATCH(ROWS($N$2:N426),$N$2:$N$1001,0),MATCH(COLUMNS($U$1006:AA1006),$U$1006:$AC$1006,0)), HYPERLINK("#",""), HYPERLINK(CONCATENATE("#metadata!", ADDRESS(INDEX($P$2:$P$1001,MATCH(ROWS($N$2:N426),$N$2:$N$1001,0),0), INDEX($U$1004:$AC$1004,1,MATCH(COLUMNS($U$1006:AA1006),$U$1006:$AC$1006,0)))),"Fix")))</f>
        <v>0</v>
      </c>
      <c r="I426" s="3">
        <f>IF(OR(INDEX($O$2:$O$1001,MATCH(ROWS($N$2:N426),$N$2:$N$1001,0),1)&gt;=100000,INDEX($U$1005:$AC$1005,1,MATCH(COLUMNS($U$1006:AB1006),$U$1006:$AC$1006,0))&gt;=100000), " ",IF(INDEX($U$2:$AC$1001,MATCH(ROWS($N$2:N426),$N$2:$N$1001,0),MATCH(COLUMNS($U$1006:AB1006),$U$1006:$AC$1006,0)), HYPERLINK("#",""), HYPERLINK(CONCATENATE("#metadata!", ADDRESS(INDEX($P$2:$P$1001,MATCH(ROWS($N$2:N426),$N$2:$N$1001,0),0), INDEX($U$1004:$AC$1004,1,MATCH(COLUMNS($U$1006:AB1006),$U$1006:$AC$1006,0)))),"Fix")))</f>
        <v>0</v>
      </c>
      <c r="J426" s="3">
        <f>IF(OR(INDEX($O$2:$O$1001,MATCH(ROWS($N$2:N426),$N$2:$N$1001,0),1)&gt;=100000,INDEX($U$1005:$AC$1005,1,MATCH(COLUMNS($U$1006:AC1006),$U$1006:$AC$1006,0))&gt;=100000), " ",IF(INDEX($U$2:$AC$1001,MATCH(ROWS($N$2:N426),$N$2:$N$1001,0),MATCH(COLUMNS($U$1006:AC1006),$U$1006:$AC$1006,0)), HYPERLINK("#",""), HYPERLINK(CONCATENATE("#metadata!", ADDRESS(INDEX($P$2:$P$1001,MATCH(ROWS($N$2:N426),$N$2:$N$1001,0),0), INDEX($U$1004:$AC$1004,1,MATCH(COLUMNS($U$1006:AC1006),$U$1006:$AC$1006,0)))),"Fix")))</f>
        <v>0</v>
      </c>
      <c r="N426">
        <v>0</v>
      </c>
      <c r="O426">
        <v>0</v>
      </c>
      <c r="P426">
        <v>0</v>
      </c>
      <c r="Q426">
        <f>IF(R426,TRUE,AND(U426:AC426))</f>
        <v>0</v>
      </c>
      <c r="R426">
        <f>COUNTBLANK(metadata!B426:J426)=COLUMNS(metadata!B426:J426)</f>
        <v>0</v>
      </c>
      <c r="S426">
        <v>0</v>
      </c>
      <c r="U426">
        <f>AND(IF(metadata!B426="",FALSE,TRUE),COUNTIF(metadata!B:B, metadata!B426) = 1,NOT(ISERROR(SUMPRODUCT(SEARCH(MID(metadata!B426,ROW(INDIRECT("1:"&amp;LEN(metadata!B426))), 1),"0123456789abcdefghijklmnopqrstuvwxyzABCDEFGHIJKLMNOPQRSTUVWXYZ.")))))</f>
        <v>0</v>
      </c>
      <c r="V426">
        <f>AND(IF(metadata!C426="",FALSE,TRUE),exact(metadata!C426,"UBERON:genitourinary"))</f>
        <v>0</v>
      </c>
      <c r="W426">
        <f>AND(IF(metadata!D426="",FALSE,TRUE),exact(metadata!D426,"UBERON:urine"))</f>
        <v>0</v>
      </c>
      <c r="X426">
        <f>AND(IF(metadata!E426="",FALSE,TRUE),exact(metadata!E426,"UBERON:kidney"))</f>
        <v>0</v>
      </c>
      <c r="Y426">
        <f>AND(IF(metadata!F426="",FALSE,TRUE),exact(metadata!F426,"animal corpus"))</f>
        <v>0</v>
      </c>
      <c r="Z426">
        <f>AND(IF(metadata!G426="",FALSE,TRUE),exact(metadata!G426,"urine"))</f>
        <v>0</v>
      </c>
      <c r="AA426">
        <f>AND(IF(metadata!H426="",FALSE,TRUE),exact(metadata!H426,"urine"))</f>
        <v>0</v>
      </c>
      <c r="AB426">
        <f>AND(IF(metadata!I426="",FALSE,TRUE),exact(metadata!I426,"urine metagenome"))</f>
        <v>0</v>
      </c>
      <c r="AC426">
        <f>AND(IF(metadata!J426="",FALSE,TRUE),exact(metadata!J426,"1346744"))</f>
        <v>0</v>
      </c>
    </row>
    <row r="427" spans="1:29">
      <c r="A427" s="4">
        <f>IF(B427=" "," ",HYPERLINK(CONCATENATE("#metadata!",ADDRESS(INDEX($P$2:$P$1001,MATCH(ROWS($N$2:N427),$N$2:$N$1001,0),0),1)),INDEX($S$2:$S$1001,MATCH(ROWS($N$2:N427),$N$2:$N$1001,0),0)))</f>
        <v>0</v>
      </c>
      <c r="B427" s="3">
        <f>IF(OR(INDEX($O$2:$O$1001,MATCH(ROWS($N$2:N427),$N$2:$N$1001,0),1)&gt;=100000,INDEX($U$1005:$AC$1005,1,MATCH(COLUMNS($U$1006:U1006),$U$1006:$AC$1006,0))&gt;=100000), " ",IF(INDEX($U$2:$AC$1001,MATCH(ROWS($N$2:N427),$N$2:$N$1001,0),MATCH(COLUMNS($U$1006:U1006),$U$1006:$AC$1006,0)), HYPERLINK("#",""), HYPERLINK(CONCATENATE("#metadata!", ADDRESS(INDEX($P$2:$P$1001,MATCH(ROWS($N$2:N427),$N$2:$N$1001,0),0), INDEX($U$1004:$AC$1004,1,MATCH(COLUMNS($U$1006:U1006),$U$1006:$AC$1006,0)))),"Fix")))</f>
        <v>0</v>
      </c>
      <c r="C427" s="3">
        <f>IF(OR(INDEX($O$2:$O$1001,MATCH(ROWS($N$2:N427),$N$2:$N$1001,0),1)&gt;=100000,INDEX($U$1005:$AC$1005,1,MATCH(COLUMNS($U$1006:V1006),$U$1006:$AC$1006,0))&gt;=100000), " ",IF(INDEX($U$2:$AC$1001,MATCH(ROWS($N$2:N427),$N$2:$N$1001,0),MATCH(COLUMNS($U$1006:V1006),$U$1006:$AC$1006,0)), HYPERLINK("#",""), HYPERLINK(CONCATENATE("#metadata!", ADDRESS(INDEX($P$2:$P$1001,MATCH(ROWS($N$2:N427),$N$2:$N$1001,0),0), INDEX($U$1004:$AC$1004,1,MATCH(COLUMNS($U$1006:V1006),$U$1006:$AC$1006,0)))),"Fix")))</f>
        <v>0</v>
      </c>
      <c r="D427" s="3">
        <f>IF(OR(INDEX($O$2:$O$1001,MATCH(ROWS($N$2:N427),$N$2:$N$1001,0),1)&gt;=100000,INDEX($U$1005:$AC$1005,1,MATCH(COLUMNS($U$1006:W1006),$U$1006:$AC$1006,0))&gt;=100000), " ",IF(INDEX($U$2:$AC$1001,MATCH(ROWS($N$2:N427),$N$2:$N$1001,0),MATCH(COLUMNS($U$1006:W1006),$U$1006:$AC$1006,0)), HYPERLINK("#",""), HYPERLINK(CONCATENATE("#metadata!", ADDRESS(INDEX($P$2:$P$1001,MATCH(ROWS($N$2:N427),$N$2:$N$1001,0),0), INDEX($U$1004:$AC$1004,1,MATCH(COLUMNS($U$1006:W1006),$U$1006:$AC$1006,0)))),"Fix")))</f>
        <v>0</v>
      </c>
      <c r="E427" s="3">
        <f>IF(OR(INDEX($O$2:$O$1001,MATCH(ROWS($N$2:N427),$N$2:$N$1001,0),1)&gt;=100000,INDEX($U$1005:$AC$1005,1,MATCH(COLUMNS($U$1006:X1006),$U$1006:$AC$1006,0))&gt;=100000), " ",IF(INDEX($U$2:$AC$1001,MATCH(ROWS($N$2:N427),$N$2:$N$1001,0),MATCH(COLUMNS($U$1006:X1006),$U$1006:$AC$1006,0)), HYPERLINK("#",""), HYPERLINK(CONCATENATE("#metadata!", ADDRESS(INDEX($P$2:$P$1001,MATCH(ROWS($N$2:N427),$N$2:$N$1001,0),0), INDEX($U$1004:$AC$1004,1,MATCH(COLUMNS($U$1006:X1006),$U$1006:$AC$1006,0)))),"Fix")))</f>
        <v>0</v>
      </c>
      <c r="F427" s="3">
        <f>IF(OR(INDEX($O$2:$O$1001,MATCH(ROWS($N$2:N427),$N$2:$N$1001,0),1)&gt;=100000,INDEX($U$1005:$AC$1005,1,MATCH(COLUMNS($U$1006:Y1006),$U$1006:$AC$1006,0))&gt;=100000), " ",IF(INDEX($U$2:$AC$1001,MATCH(ROWS($N$2:N427),$N$2:$N$1001,0),MATCH(COLUMNS($U$1006:Y1006),$U$1006:$AC$1006,0)), HYPERLINK("#",""), HYPERLINK(CONCATENATE("#metadata!", ADDRESS(INDEX($P$2:$P$1001,MATCH(ROWS($N$2:N427),$N$2:$N$1001,0),0), INDEX($U$1004:$AC$1004,1,MATCH(COLUMNS($U$1006:Y1006),$U$1006:$AC$1006,0)))),"Fix")))</f>
        <v>0</v>
      </c>
      <c r="G427" s="3">
        <f>IF(OR(INDEX($O$2:$O$1001,MATCH(ROWS($N$2:N427),$N$2:$N$1001,0),1)&gt;=100000,INDEX($U$1005:$AC$1005,1,MATCH(COLUMNS($U$1006:Z1006),$U$1006:$AC$1006,0))&gt;=100000), " ",IF(INDEX($U$2:$AC$1001,MATCH(ROWS($N$2:N427),$N$2:$N$1001,0),MATCH(COLUMNS($U$1006:Z1006),$U$1006:$AC$1006,0)), HYPERLINK("#",""), HYPERLINK(CONCATENATE("#metadata!", ADDRESS(INDEX($P$2:$P$1001,MATCH(ROWS($N$2:N427),$N$2:$N$1001,0),0), INDEX($U$1004:$AC$1004,1,MATCH(COLUMNS($U$1006:Z1006),$U$1006:$AC$1006,0)))),"Fix")))</f>
        <v>0</v>
      </c>
      <c r="H427" s="3">
        <f>IF(OR(INDEX($O$2:$O$1001,MATCH(ROWS($N$2:N427),$N$2:$N$1001,0),1)&gt;=100000,INDEX($U$1005:$AC$1005,1,MATCH(COLUMNS($U$1006:AA1006),$U$1006:$AC$1006,0))&gt;=100000), " ",IF(INDEX($U$2:$AC$1001,MATCH(ROWS($N$2:N427),$N$2:$N$1001,0),MATCH(COLUMNS($U$1006:AA1006),$U$1006:$AC$1006,0)), HYPERLINK("#",""), HYPERLINK(CONCATENATE("#metadata!", ADDRESS(INDEX($P$2:$P$1001,MATCH(ROWS($N$2:N427),$N$2:$N$1001,0),0), INDEX($U$1004:$AC$1004,1,MATCH(COLUMNS($U$1006:AA1006),$U$1006:$AC$1006,0)))),"Fix")))</f>
        <v>0</v>
      </c>
      <c r="I427" s="3">
        <f>IF(OR(INDEX($O$2:$O$1001,MATCH(ROWS($N$2:N427),$N$2:$N$1001,0),1)&gt;=100000,INDEX($U$1005:$AC$1005,1,MATCH(COLUMNS($U$1006:AB1006),$U$1006:$AC$1006,0))&gt;=100000), " ",IF(INDEX($U$2:$AC$1001,MATCH(ROWS($N$2:N427),$N$2:$N$1001,0),MATCH(COLUMNS($U$1006:AB1006),$U$1006:$AC$1006,0)), HYPERLINK("#",""), HYPERLINK(CONCATENATE("#metadata!", ADDRESS(INDEX($P$2:$P$1001,MATCH(ROWS($N$2:N427),$N$2:$N$1001,0),0), INDEX($U$1004:$AC$1004,1,MATCH(COLUMNS($U$1006:AB1006),$U$1006:$AC$1006,0)))),"Fix")))</f>
        <v>0</v>
      </c>
      <c r="J427" s="3">
        <f>IF(OR(INDEX($O$2:$O$1001,MATCH(ROWS($N$2:N427),$N$2:$N$1001,0),1)&gt;=100000,INDEX($U$1005:$AC$1005,1,MATCH(COLUMNS($U$1006:AC1006),$U$1006:$AC$1006,0))&gt;=100000), " ",IF(INDEX($U$2:$AC$1001,MATCH(ROWS($N$2:N427),$N$2:$N$1001,0),MATCH(COLUMNS($U$1006:AC1006),$U$1006:$AC$1006,0)), HYPERLINK("#",""), HYPERLINK(CONCATENATE("#metadata!", ADDRESS(INDEX($P$2:$P$1001,MATCH(ROWS($N$2:N427),$N$2:$N$1001,0),0), INDEX($U$1004:$AC$1004,1,MATCH(COLUMNS($U$1006:AC1006),$U$1006:$AC$1006,0)))),"Fix")))</f>
        <v>0</v>
      </c>
      <c r="N427">
        <v>0</v>
      </c>
      <c r="O427">
        <v>0</v>
      </c>
      <c r="P427">
        <v>0</v>
      </c>
      <c r="Q427">
        <f>IF(R427,TRUE,AND(U427:AC427))</f>
        <v>0</v>
      </c>
      <c r="R427">
        <f>COUNTBLANK(metadata!B427:J427)=COLUMNS(metadata!B427:J427)</f>
        <v>0</v>
      </c>
      <c r="S427">
        <v>0</v>
      </c>
      <c r="U427">
        <f>AND(IF(metadata!B427="",FALSE,TRUE),COUNTIF(metadata!B:B, metadata!B427) = 1,NOT(ISERROR(SUMPRODUCT(SEARCH(MID(metadata!B427,ROW(INDIRECT("1:"&amp;LEN(metadata!B427))), 1),"0123456789abcdefghijklmnopqrstuvwxyzABCDEFGHIJKLMNOPQRSTUVWXYZ.")))))</f>
        <v>0</v>
      </c>
      <c r="V427">
        <f>AND(IF(metadata!C427="",FALSE,TRUE),exact(metadata!C427,"UBERON:genitourinary"))</f>
        <v>0</v>
      </c>
      <c r="W427">
        <f>AND(IF(metadata!D427="",FALSE,TRUE),exact(metadata!D427,"UBERON:urine"))</f>
        <v>0</v>
      </c>
      <c r="X427">
        <f>AND(IF(metadata!E427="",FALSE,TRUE),exact(metadata!E427,"UBERON:kidney"))</f>
        <v>0</v>
      </c>
      <c r="Y427">
        <f>AND(IF(metadata!F427="",FALSE,TRUE),exact(metadata!F427,"animal corpus"))</f>
        <v>0</v>
      </c>
      <c r="Z427">
        <f>AND(IF(metadata!G427="",FALSE,TRUE),exact(metadata!G427,"urine"))</f>
        <v>0</v>
      </c>
      <c r="AA427">
        <f>AND(IF(metadata!H427="",FALSE,TRUE),exact(metadata!H427,"urine"))</f>
        <v>0</v>
      </c>
      <c r="AB427">
        <f>AND(IF(metadata!I427="",FALSE,TRUE),exact(metadata!I427,"urine metagenome"))</f>
        <v>0</v>
      </c>
      <c r="AC427">
        <f>AND(IF(metadata!J427="",FALSE,TRUE),exact(metadata!J427,"1346744"))</f>
        <v>0</v>
      </c>
    </row>
    <row r="428" spans="1:29">
      <c r="A428" s="4">
        <f>IF(B428=" "," ",HYPERLINK(CONCATENATE("#metadata!",ADDRESS(INDEX($P$2:$P$1001,MATCH(ROWS($N$2:N428),$N$2:$N$1001,0),0),1)),INDEX($S$2:$S$1001,MATCH(ROWS($N$2:N428),$N$2:$N$1001,0),0)))</f>
        <v>0</v>
      </c>
      <c r="B428" s="3">
        <f>IF(OR(INDEX($O$2:$O$1001,MATCH(ROWS($N$2:N428),$N$2:$N$1001,0),1)&gt;=100000,INDEX($U$1005:$AC$1005,1,MATCH(COLUMNS($U$1006:U1006),$U$1006:$AC$1006,0))&gt;=100000), " ",IF(INDEX($U$2:$AC$1001,MATCH(ROWS($N$2:N428),$N$2:$N$1001,0),MATCH(COLUMNS($U$1006:U1006),$U$1006:$AC$1006,0)), HYPERLINK("#",""), HYPERLINK(CONCATENATE("#metadata!", ADDRESS(INDEX($P$2:$P$1001,MATCH(ROWS($N$2:N428),$N$2:$N$1001,0),0), INDEX($U$1004:$AC$1004,1,MATCH(COLUMNS($U$1006:U1006),$U$1006:$AC$1006,0)))),"Fix")))</f>
        <v>0</v>
      </c>
      <c r="C428" s="3">
        <f>IF(OR(INDEX($O$2:$O$1001,MATCH(ROWS($N$2:N428),$N$2:$N$1001,0),1)&gt;=100000,INDEX($U$1005:$AC$1005,1,MATCH(COLUMNS($U$1006:V1006),$U$1006:$AC$1006,0))&gt;=100000), " ",IF(INDEX($U$2:$AC$1001,MATCH(ROWS($N$2:N428),$N$2:$N$1001,0),MATCH(COLUMNS($U$1006:V1006),$U$1006:$AC$1006,0)), HYPERLINK("#",""), HYPERLINK(CONCATENATE("#metadata!", ADDRESS(INDEX($P$2:$P$1001,MATCH(ROWS($N$2:N428),$N$2:$N$1001,0),0), INDEX($U$1004:$AC$1004,1,MATCH(COLUMNS($U$1006:V1006),$U$1006:$AC$1006,0)))),"Fix")))</f>
        <v>0</v>
      </c>
      <c r="D428" s="3">
        <f>IF(OR(INDEX($O$2:$O$1001,MATCH(ROWS($N$2:N428),$N$2:$N$1001,0),1)&gt;=100000,INDEX($U$1005:$AC$1005,1,MATCH(COLUMNS($U$1006:W1006),$U$1006:$AC$1006,0))&gt;=100000), " ",IF(INDEX($U$2:$AC$1001,MATCH(ROWS($N$2:N428),$N$2:$N$1001,0),MATCH(COLUMNS($U$1006:W1006),$U$1006:$AC$1006,0)), HYPERLINK("#",""), HYPERLINK(CONCATENATE("#metadata!", ADDRESS(INDEX($P$2:$P$1001,MATCH(ROWS($N$2:N428),$N$2:$N$1001,0),0), INDEX($U$1004:$AC$1004,1,MATCH(COLUMNS($U$1006:W1006),$U$1006:$AC$1006,0)))),"Fix")))</f>
        <v>0</v>
      </c>
      <c r="E428" s="3">
        <f>IF(OR(INDEX($O$2:$O$1001,MATCH(ROWS($N$2:N428),$N$2:$N$1001,0),1)&gt;=100000,INDEX($U$1005:$AC$1005,1,MATCH(COLUMNS($U$1006:X1006),$U$1006:$AC$1006,0))&gt;=100000), " ",IF(INDEX($U$2:$AC$1001,MATCH(ROWS($N$2:N428),$N$2:$N$1001,0),MATCH(COLUMNS($U$1006:X1006),$U$1006:$AC$1006,0)), HYPERLINK("#",""), HYPERLINK(CONCATENATE("#metadata!", ADDRESS(INDEX($P$2:$P$1001,MATCH(ROWS($N$2:N428),$N$2:$N$1001,0),0), INDEX($U$1004:$AC$1004,1,MATCH(COLUMNS($U$1006:X1006),$U$1006:$AC$1006,0)))),"Fix")))</f>
        <v>0</v>
      </c>
      <c r="F428" s="3">
        <f>IF(OR(INDEX($O$2:$O$1001,MATCH(ROWS($N$2:N428),$N$2:$N$1001,0),1)&gt;=100000,INDEX($U$1005:$AC$1005,1,MATCH(COLUMNS($U$1006:Y1006),$U$1006:$AC$1006,0))&gt;=100000), " ",IF(INDEX($U$2:$AC$1001,MATCH(ROWS($N$2:N428),$N$2:$N$1001,0),MATCH(COLUMNS($U$1006:Y1006),$U$1006:$AC$1006,0)), HYPERLINK("#",""), HYPERLINK(CONCATENATE("#metadata!", ADDRESS(INDEX($P$2:$P$1001,MATCH(ROWS($N$2:N428),$N$2:$N$1001,0),0), INDEX($U$1004:$AC$1004,1,MATCH(COLUMNS($U$1006:Y1006),$U$1006:$AC$1006,0)))),"Fix")))</f>
        <v>0</v>
      </c>
      <c r="G428" s="3">
        <f>IF(OR(INDEX($O$2:$O$1001,MATCH(ROWS($N$2:N428),$N$2:$N$1001,0),1)&gt;=100000,INDEX($U$1005:$AC$1005,1,MATCH(COLUMNS($U$1006:Z1006),$U$1006:$AC$1006,0))&gt;=100000), " ",IF(INDEX($U$2:$AC$1001,MATCH(ROWS($N$2:N428),$N$2:$N$1001,0),MATCH(COLUMNS($U$1006:Z1006),$U$1006:$AC$1006,0)), HYPERLINK("#",""), HYPERLINK(CONCATENATE("#metadata!", ADDRESS(INDEX($P$2:$P$1001,MATCH(ROWS($N$2:N428),$N$2:$N$1001,0),0), INDEX($U$1004:$AC$1004,1,MATCH(COLUMNS($U$1006:Z1006),$U$1006:$AC$1006,0)))),"Fix")))</f>
        <v>0</v>
      </c>
      <c r="H428" s="3">
        <f>IF(OR(INDEX($O$2:$O$1001,MATCH(ROWS($N$2:N428),$N$2:$N$1001,0),1)&gt;=100000,INDEX($U$1005:$AC$1005,1,MATCH(COLUMNS($U$1006:AA1006),$U$1006:$AC$1006,0))&gt;=100000), " ",IF(INDEX($U$2:$AC$1001,MATCH(ROWS($N$2:N428),$N$2:$N$1001,0),MATCH(COLUMNS($U$1006:AA1006),$U$1006:$AC$1006,0)), HYPERLINK("#",""), HYPERLINK(CONCATENATE("#metadata!", ADDRESS(INDEX($P$2:$P$1001,MATCH(ROWS($N$2:N428),$N$2:$N$1001,0),0), INDEX($U$1004:$AC$1004,1,MATCH(COLUMNS($U$1006:AA1006),$U$1006:$AC$1006,0)))),"Fix")))</f>
        <v>0</v>
      </c>
      <c r="I428" s="3">
        <f>IF(OR(INDEX($O$2:$O$1001,MATCH(ROWS($N$2:N428),$N$2:$N$1001,0),1)&gt;=100000,INDEX($U$1005:$AC$1005,1,MATCH(COLUMNS($U$1006:AB1006),$U$1006:$AC$1006,0))&gt;=100000), " ",IF(INDEX($U$2:$AC$1001,MATCH(ROWS($N$2:N428),$N$2:$N$1001,0),MATCH(COLUMNS($U$1006:AB1006),$U$1006:$AC$1006,0)), HYPERLINK("#",""), HYPERLINK(CONCATENATE("#metadata!", ADDRESS(INDEX($P$2:$P$1001,MATCH(ROWS($N$2:N428),$N$2:$N$1001,0),0), INDEX($U$1004:$AC$1004,1,MATCH(COLUMNS($U$1006:AB1006),$U$1006:$AC$1006,0)))),"Fix")))</f>
        <v>0</v>
      </c>
      <c r="J428" s="3">
        <f>IF(OR(INDEX($O$2:$O$1001,MATCH(ROWS($N$2:N428),$N$2:$N$1001,0),1)&gt;=100000,INDEX($U$1005:$AC$1005,1,MATCH(COLUMNS($U$1006:AC1006),$U$1006:$AC$1006,0))&gt;=100000), " ",IF(INDEX($U$2:$AC$1001,MATCH(ROWS($N$2:N428),$N$2:$N$1001,0),MATCH(COLUMNS($U$1006:AC1006),$U$1006:$AC$1006,0)), HYPERLINK("#",""), HYPERLINK(CONCATENATE("#metadata!", ADDRESS(INDEX($P$2:$P$1001,MATCH(ROWS($N$2:N428),$N$2:$N$1001,0),0), INDEX($U$1004:$AC$1004,1,MATCH(COLUMNS($U$1006:AC1006),$U$1006:$AC$1006,0)))),"Fix")))</f>
        <v>0</v>
      </c>
      <c r="N428">
        <v>0</v>
      </c>
      <c r="O428">
        <v>0</v>
      </c>
      <c r="P428">
        <v>0</v>
      </c>
      <c r="Q428">
        <f>IF(R428,TRUE,AND(U428:AC428))</f>
        <v>0</v>
      </c>
      <c r="R428">
        <f>COUNTBLANK(metadata!B428:J428)=COLUMNS(metadata!B428:J428)</f>
        <v>0</v>
      </c>
      <c r="S428">
        <v>0</v>
      </c>
      <c r="U428">
        <f>AND(IF(metadata!B428="",FALSE,TRUE),COUNTIF(metadata!B:B, metadata!B428) = 1,NOT(ISERROR(SUMPRODUCT(SEARCH(MID(metadata!B428,ROW(INDIRECT("1:"&amp;LEN(metadata!B428))), 1),"0123456789abcdefghijklmnopqrstuvwxyzABCDEFGHIJKLMNOPQRSTUVWXYZ.")))))</f>
        <v>0</v>
      </c>
      <c r="V428">
        <f>AND(IF(metadata!C428="",FALSE,TRUE),exact(metadata!C428,"UBERON:genitourinary"))</f>
        <v>0</v>
      </c>
      <c r="W428">
        <f>AND(IF(metadata!D428="",FALSE,TRUE),exact(metadata!D428,"UBERON:urine"))</f>
        <v>0</v>
      </c>
      <c r="X428">
        <f>AND(IF(metadata!E428="",FALSE,TRUE),exact(metadata!E428,"UBERON:kidney"))</f>
        <v>0</v>
      </c>
      <c r="Y428">
        <f>AND(IF(metadata!F428="",FALSE,TRUE),exact(metadata!F428,"animal corpus"))</f>
        <v>0</v>
      </c>
      <c r="Z428">
        <f>AND(IF(metadata!G428="",FALSE,TRUE),exact(metadata!G428,"urine"))</f>
        <v>0</v>
      </c>
      <c r="AA428">
        <f>AND(IF(metadata!H428="",FALSE,TRUE),exact(metadata!H428,"urine"))</f>
        <v>0</v>
      </c>
      <c r="AB428">
        <f>AND(IF(metadata!I428="",FALSE,TRUE),exact(metadata!I428,"urine metagenome"))</f>
        <v>0</v>
      </c>
      <c r="AC428">
        <f>AND(IF(metadata!J428="",FALSE,TRUE),exact(metadata!J428,"1346744"))</f>
        <v>0</v>
      </c>
    </row>
    <row r="429" spans="1:29">
      <c r="A429" s="4">
        <f>IF(B429=" "," ",HYPERLINK(CONCATENATE("#metadata!",ADDRESS(INDEX($P$2:$P$1001,MATCH(ROWS($N$2:N429),$N$2:$N$1001,0),0),1)),INDEX($S$2:$S$1001,MATCH(ROWS($N$2:N429),$N$2:$N$1001,0),0)))</f>
        <v>0</v>
      </c>
      <c r="B429" s="3">
        <f>IF(OR(INDEX($O$2:$O$1001,MATCH(ROWS($N$2:N429),$N$2:$N$1001,0),1)&gt;=100000,INDEX($U$1005:$AC$1005,1,MATCH(COLUMNS($U$1006:U1006),$U$1006:$AC$1006,0))&gt;=100000), " ",IF(INDEX($U$2:$AC$1001,MATCH(ROWS($N$2:N429),$N$2:$N$1001,0),MATCH(COLUMNS($U$1006:U1006),$U$1006:$AC$1006,0)), HYPERLINK("#",""), HYPERLINK(CONCATENATE("#metadata!", ADDRESS(INDEX($P$2:$P$1001,MATCH(ROWS($N$2:N429),$N$2:$N$1001,0),0), INDEX($U$1004:$AC$1004,1,MATCH(COLUMNS($U$1006:U1006),$U$1006:$AC$1006,0)))),"Fix")))</f>
        <v>0</v>
      </c>
      <c r="C429" s="3">
        <f>IF(OR(INDEX($O$2:$O$1001,MATCH(ROWS($N$2:N429),$N$2:$N$1001,0),1)&gt;=100000,INDEX($U$1005:$AC$1005,1,MATCH(COLUMNS($U$1006:V1006),$U$1006:$AC$1006,0))&gt;=100000), " ",IF(INDEX($U$2:$AC$1001,MATCH(ROWS($N$2:N429),$N$2:$N$1001,0),MATCH(COLUMNS($U$1006:V1006),$U$1006:$AC$1006,0)), HYPERLINK("#",""), HYPERLINK(CONCATENATE("#metadata!", ADDRESS(INDEX($P$2:$P$1001,MATCH(ROWS($N$2:N429),$N$2:$N$1001,0),0), INDEX($U$1004:$AC$1004,1,MATCH(COLUMNS($U$1006:V1006),$U$1006:$AC$1006,0)))),"Fix")))</f>
        <v>0</v>
      </c>
      <c r="D429" s="3">
        <f>IF(OR(INDEX($O$2:$O$1001,MATCH(ROWS($N$2:N429),$N$2:$N$1001,0),1)&gt;=100000,INDEX($U$1005:$AC$1005,1,MATCH(COLUMNS($U$1006:W1006),$U$1006:$AC$1006,0))&gt;=100000), " ",IF(INDEX($U$2:$AC$1001,MATCH(ROWS($N$2:N429),$N$2:$N$1001,0),MATCH(COLUMNS($U$1006:W1006),$U$1006:$AC$1006,0)), HYPERLINK("#",""), HYPERLINK(CONCATENATE("#metadata!", ADDRESS(INDEX($P$2:$P$1001,MATCH(ROWS($N$2:N429),$N$2:$N$1001,0),0), INDEX($U$1004:$AC$1004,1,MATCH(COLUMNS($U$1006:W1006),$U$1006:$AC$1006,0)))),"Fix")))</f>
        <v>0</v>
      </c>
      <c r="E429" s="3">
        <f>IF(OR(INDEX($O$2:$O$1001,MATCH(ROWS($N$2:N429),$N$2:$N$1001,0),1)&gt;=100000,INDEX($U$1005:$AC$1005,1,MATCH(COLUMNS($U$1006:X1006),$U$1006:$AC$1006,0))&gt;=100000), " ",IF(INDEX($U$2:$AC$1001,MATCH(ROWS($N$2:N429),$N$2:$N$1001,0),MATCH(COLUMNS($U$1006:X1006),$U$1006:$AC$1006,0)), HYPERLINK("#",""), HYPERLINK(CONCATENATE("#metadata!", ADDRESS(INDEX($P$2:$P$1001,MATCH(ROWS($N$2:N429),$N$2:$N$1001,0),0), INDEX($U$1004:$AC$1004,1,MATCH(COLUMNS($U$1006:X1006),$U$1006:$AC$1006,0)))),"Fix")))</f>
        <v>0</v>
      </c>
      <c r="F429" s="3">
        <f>IF(OR(INDEX($O$2:$O$1001,MATCH(ROWS($N$2:N429),$N$2:$N$1001,0),1)&gt;=100000,INDEX($U$1005:$AC$1005,1,MATCH(COLUMNS($U$1006:Y1006),$U$1006:$AC$1006,0))&gt;=100000), " ",IF(INDEX($U$2:$AC$1001,MATCH(ROWS($N$2:N429),$N$2:$N$1001,0),MATCH(COLUMNS($U$1006:Y1006),$U$1006:$AC$1006,0)), HYPERLINK("#",""), HYPERLINK(CONCATENATE("#metadata!", ADDRESS(INDEX($P$2:$P$1001,MATCH(ROWS($N$2:N429),$N$2:$N$1001,0),0), INDEX($U$1004:$AC$1004,1,MATCH(COLUMNS($U$1006:Y1006),$U$1006:$AC$1006,0)))),"Fix")))</f>
        <v>0</v>
      </c>
      <c r="G429" s="3">
        <f>IF(OR(INDEX($O$2:$O$1001,MATCH(ROWS($N$2:N429),$N$2:$N$1001,0),1)&gt;=100000,INDEX($U$1005:$AC$1005,1,MATCH(COLUMNS($U$1006:Z1006),$U$1006:$AC$1006,0))&gt;=100000), " ",IF(INDEX($U$2:$AC$1001,MATCH(ROWS($N$2:N429),$N$2:$N$1001,0),MATCH(COLUMNS($U$1006:Z1006),$U$1006:$AC$1006,0)), HYPERLINK("#",""), HYPERLINK(CONCATENATE("#metadata!", ADDRESS(INDEX($P$2:$P$1001,MATCH(ROWS($N$2:N429),$N$2:$N$1001,0),0), INDEX($U$1004:$AC$1004,1,MATCH(COLUMNS($U$1006:Z1006),$U$1006:$AC$1006,0)))),"Fix")))</f>
        <v>0</v>
      </c>
      <c r="H429" s="3">
        <f>IF(OR(INDEX($O$2:$O$1001,MATCH(ROWS($N$2:N429),$N$2:$N$1001,0),1)&gt;=100000,INDEX($U$1005:$AC$1005,1,MATCH(COLUMNS($U$1006:AA1006),$U$1006:$AC$1006,0))&gt;=100000), " ",IF(INDEX($U$2:$AC$1001,MATCH(ROWS($N$2:N429),$N$2:$N$1001,0),MATCH(COLUMNS($U$1006:AA1006),$U$1006:$AC$1006,0)), HYPERLINK("#",""), HYPERLINK(CONCATENATE("#metadata!", ADDRESS(INDEX($P$2:$P$1001,MATCH(ROWS($N$2:N429),$N$2:$N$1001,0),0), INDEX($U$1004:$AC$1004,1,MATCH(COLUMNS($U$1006:AA1006),$U$1006:$AC$1006,0)))),"Fix")))</f>
        <v>0</v>
      </c>
      <c r="I429" s="3">
        <f>IF(OR(INDEX($O$2:$O$1001,MATCH(ROWS($N$2:N429),$N$2:$N$1001,0),1)&gt;=100000,INDEX($U$1005:$AC$1005,1,MATCH(COLUMNS($U$1006:AB1006),$U$1006:$AC$1006,0))&gt;=100000), " ",IF(INDEX($U$2:$AC$1001,MATCH(ROWS($N$2:N429),$N$2:$N$1001,0),MATCH(COLUMNS($U$1006:AB1006),$U$1006:$AC$1006,0)), HYPERLINK("#",""), HYPERLINK(CONCATENATE("#metadata!", ADDRESS(INDEX($P$2:$P$1001,MATCH(ROWS($N$2:N429),$N$2:$N$1001,0),0), INDEX($U$1004:$AC$1004,1,MATCH(COLUMNS($U$1006:AB1006),$U$1006:$AC$1006,0)))),"Fix")))</f>
        <v>0</v>
      </c>
      <c r="J429" s="3">
        <f>IF(OR(INDEX($O$2:$O$1001,MATCH(ROWS($N$2:N429),$N$2:$N$1001,0),1)&gt;=100000,INDEX($U$1005:$AC$1005,1,MATCH(COLUMNS($U$1006:AC1006),$U$1006:$AC$1006,0))&gt;=100000), " ",IF(INDEX($U$2:$AC$1001,MATCH(ROWS($N$2:N429),$N$2:$N$1001,0),MATCH(COLUMNS($U$1006:AC1006),$U$1006:$AC$1006,0)), HYPERLINK("#",""), HYPERLINK(CONCATENATE("#metadata!", ADDRESS(INDEX($P$2:$P$1001,MATCH(ROWS($N$2:N429),$N$2:$N$1001,0),0), INDEX($U$1004:$AC$1004,1,MATCH(COLUMNS($U$1006:AC1006),$U$1006:$AC$1006,0)))),"Fix")))</f>
        <v>0</v>
      </c>
      <c r="N429">
        <v>0</v>
      </c>
      <c r="O429">
        <v>0</v>
      </c>
      <c r="P429">
        <v>0</v>
      </c>
      <c r="Q429">
        <f>IF(R429,TRUE,AND(U429:AC429))</f>
        <v>0</v>
      </c>
      <c r="R429">
        <f>COUNTBLANK(metadata!B429:J429)=COLUMNS(metadata!B429:J429)</f>
        <v>0</v>
      </c>
      <c r="S429">
        <v>0</v>
      </c>
      <c r="U429">
        <f>AND(IF(metadata!B429="",FALSE,TRUE),COUNTIF(metadata!B:B, metadata!B429) = 1,NOT(ISERROR(SUMPRODUCT(SEARCH(MID(metadata!B429,ROW(INDIRECT("1:"&amp;LEN(metadata!B429))), 1),"0123456789abcdefghijklmnopqrstuvwxyzABCDEFGHIJKLMNOPQRSTUVWXYZ.")))))</f>
        <v>0</v>
      </c>
      <c r="V429">
        <f>AND(IF(metadata!C429="",FALSE,TRUE),exact(metadata!C429,"UBERON:genitourinary"))</f>
        <v>0</v>
      </c>
      <c r="W429">
        <f>AND(IF(metadata!D429="",FALSE,TRUE),exact(metadata!D429,"UBERON:urine"))</f>
        <v>0</v>
      </c>
      <c r="X429">
        <f>AND(IF(metadata!E429="",FALSE,TRUE),exact(metadata!E429,"UBERON:kidney"))</f>
        <v>0</v>
      </c>
      <c r="Y429">
        <f>AND(IF(metadata!F429="",FALSE,TRUE),exact(metadata!F429,"animal corpus"))</f>
        <v>0</v>
      </c>
      <c r="Z429">
        <f>AND(IF(metadata!G429="",FALSE,TRUE),exact(metadata!G429,"urine"))</f>
        <v>0</v>
      </c>
      <c r="AA429">
        <f>AND(IF(metadata!H429="",FALSE,TRUE),exact(metadata!H429,"urine"))</f>
        <v>0</v>
      </c>
      <c r="AB429">
        <f>AND(IF(metadata!I429="",FALSE,TRUE),exact(metadata!I429,"urine metagenome"))</f>
        <v>0</v>
      </c>
      <c r="AC429">
        <f>AND(IF(metadata!J429="",FALSE,TRUE),exact(metadata!J429,"1346744"))</f>
        <v>0</v>
      </c>
    </row>
    <row r="430" spans="1:29">
      <c r="A430" s="4">
        <f>IF(B430=" "," ",HYPERLINK(CONCATENATE("#metadata!",ADDRESS(INDEX($P$2:$P$1001,MATCH(ROWS($N$2:N430),$N$2:$N$1001,0),0),1)),INDEX($S$2:$S$1001,MATCH(ROWS($N$2:N430),$N$2:$N$1001,0),0)))</f>
        <v>0</v>
      </c>
      <c r="B430" s="3">
        <f>IF(OR(INDEX($O$2:$O$1001,MATCH(ROWS($N$2:N430),$N$2:$N$1001,0),1)&gt;=100000,INDEX($U$1005:$AC$1005,1,MATCH(COLUMNS($U$1006:U1006),$U$1006:$AC$1006,0))&gt;=100000), " ",IF(INDEX($U$2:$AC$1001,MATCH(ROWS($N$2:N430),$N$2:$N$1001,0),MATCH(COLUMNS($U$1006:U1006),$U$1006:$AC$1006,0)), HYPERLINK("#",""), HYPERLINK(CONCATENATE("#metadata!", ADDRESS(INDEX($P$2:$P$1001,MATCH(ROWS($N$2:N430),$N$2:$N$1001,0),0), INDEX($U$1004:$AC$1004,1,MATCH(COLUMNS($U$1006:U1006),$U$1006:$AC$1006,0)))),"Fix")))</f>
        <v>0</v>
      </c>
      <c r="C430" s="3">
        <f>IF(OR(INDEX($O$2:$O$1001,MATCH(ROWS($N$2:N430),$N$2:$N$1001,0),1)&gt;=100000,INDEX($U$1005:$AC$1005,1,MATCH(COLUMNS($U$1006:V1006),$U$1006:$AC$1006,0))&gt;=100000), " ",IF(INDEX($U$2:$AC$1001,MATCH(ROWS($N$2:N430),$N$2:$N$1001,0),MATCH(COLUMNS($U$1006:V1006),$U$1006:$AC$1006,0)), HYPERLINK("#",""), HYPERLINK(CONCATENATE("#metadata!", ADDRESS(INDEX($P$2:$P$1001,MATCH(ROWS($N$2:N430),$N$2:$N$1001,0),0), INDEX($U$1004:$AC$1004,1,MATCH(COLUMNS($U$1006:V1006),$U$1006:$AC$1006,0)))),"Fix")))</f>
        <v>0</v>
      </c>
      <c r="D430" s="3">
        <f>IF(OR(INDEX($O$2:$O$1001,MATCH(ROWS($N$2:N430),$N$2:$N$1001,0),1)&gt;=100000,INDEX($U$1005:$AC$1005,1,MATCH(COLUMNS($U$1006:W1006),$U$1006:$AC$1006,0))&gt;=100000), " ",IF(INDEX($U$2:$AC$1001,MATCH(ROWS($N$2:N430),$N$2:$N$1001,0),MATCH(COLUMNS($U$1006:W1006),$U$1006:$AC$1006,0)), HYPERLINK("#",""), HYPERLINK(CONCATENATE("#metadata!", ADDRESS(INDEX($P$2:$P$1001,MATCH(ROWS($N$2:N430),$N$2:$N$1001,0),0), INDEX($U$1004:$AC$1004,1,MATCH(COLUMNS($U$1006:W1006),$U$1006:$AC$1006,0)))),"Fix")))</f>
        <v>0</v>
      </c>
      <c r="E430" s="3">
        <f>IF(OR(INDEX($O$2:$O$1001,MATCH(ROWS($N$2:N430),$N$2:$N$1001,0),1)&gt;=100000,INDEX($U$1005:$AC$1005,1,MATCH(COLUMNS($U$1006:X1006),$U$1006:$AC$1006,0))&gt;=100000), " ",IF(INDEX($U$2:$AC$1001,MATCH(ROWS($N$2:N430),$N$2:$N$1001,0),MATCH(COLUMNS($U$1006:X1006),$U$1006:$AC$1006,0)), HYPERLINK("#",""), HYPERLINK(CONCATENATE("#metadata!", ADDRESS(INDEX($P$2:$P$1001,MATCH(ROWS($N$2:N430),$N$2:$N$1001,0),0), INDEX($U$1004:$AC$1004,1,MATCH(COLUMNS($U$1006:X1006),$U$1006:$AC$1006,0)))),"Fix")))</f>
        <v>0</v>
      </c>
      <c r="F430" s="3">
        <f>IF(OR(INDEX($O$2:$O$1001,MATCH(ROWS($N$2:N430),$N$2:$N$1001,0),1)&gt;=100000,INDEX($U$1005:$AC$1005,1,MATCH(COLUMNS($U$1006:Y1006),$U$1006:$AC$1006,0))&gt;=100000), " ",IF(INDEX($U$2:$AC$1001,MATCH(ROWS($N$2:N430),$N$2:$N$1001,0),MATCH(COLUMNS($U$1006:Y1006),$U$1006:$AC$1006,0)), HYPERLINK("#",""), HYPERLINK(CONCATENATE("#metadata!", ADDRESS(INDEX($P$2:$P$1001,MATCH(ROWS($N$2:N430),$N$2:$N$1001,0),0), INDEX($U$1004:$AC$1004,1,MATCH(COLUMNS($U$1006:Y1006),$U$1006:$AC$1006,0)))),"Fix")))</f>
        <v>0</v>
      </c>
      <c r="G430" s="3">
        <f>IF(OR(INDEX($O$2:$O$1001,MATCH(ROWS($N$2:N430),$N$2:$N$1001,0),1)&gt;=100000,INDEX($U$1005:$AC$1005,1,MATCH(COLUMNS($U$1006:Z1006),$U$1006:$AC$1006,0))&gt;=100000), " ",IF(INDEX($U$2:$AC$1001,MATCH(ROWS($N$2:N430),$N$2:$N$1001,0),MATCH(COLUMNS($U$1006:Z1006),$U$1006:$AC$1006,0)), HYPERLINK("#",""), HYPERLINK(CONCATENATE("#metadata!", ADDRESS(INDEX($P$2:$P$1001,MATCH(ROWS($N$2:N430),$N$2:$N$1001,0),0), INDEX($U$1004:$AC$1004,1,MATCH(COLUMNS($U$1006:Z1006),$U$1006:$AC$1006,0)))),"Fix")))</f>
        <v>0</v>
      </c>
      <c r="H430" s="3">
        <f>IF(OR(INDEX($O$2:$O$1001,MATCH(ROWS($N$2:N430),$N$2:$N$1001,0),1)&gt;=100000,INDEX($U$1005:$AC$1005,1,MATCH(COLUMNS($U$1006:AA1006),$U$1006:$AC$1006,0))&gt;=100000), " ",IF(INDEX($U$2:$AC$1001,MATCH(ROWS($N$2:N430),$N$2:$N$1001,0),MATCH(COLUMNS($U$1006:AA1006),$U$1006:$AC$1006,0)), HYPERLINK("#",""), HYPERLINK(CONCATENATE("#metadata!", ADDRESS(INDEX($P$2:$P$1001,MATCH(ROWS($N$2:N430),$N$2:$N$1001,0),0), INDEX($U$1004:$AC$1004,1,MATCH(COLUMNS($U$1006:AA1006),$U$1006:$AC$1006,0)))),"Fix")))</f>
        <v>0</v>
      </c>
      <c r="I430" s="3">
        <f>IF(OR(INDEX($O$2:$O$1001,MATCH(ROWS($N$2:N430),$N$2:$N$1001,0),1)&gt;=100000,INDEX($U$1005:$AC$1005,1,MATCH(COLUMNS($U$1006:AB1006),$U$1006:$AC$1006,0))&gt;=100000), " ",IF(INDEX($U$2:$AC$1001,MATCH(ROWS($N$2:N430),$N$2:$N$1001,0),MATCH(COLUMNS($U$1006:AB1006),$U$1006:$AC$1006,0)), HYPERLINK("#",""), HYPERLINK(CONCATENATE("#metadata!", ADDRESS(INDEX($P$2:$P$1001,MATCH(ROWS($N$2:N430),$N$2:$N$1001,0),0), INDEX($U$1004:$AC$1004,1,MATCH(COLUMNS($U$1006:AB1006),$U$1006:$AC$1006,0)))),"Fix")))</f>
        <v>0</v>
      </c>
      <c r="J430" s="3">
        <f>IF(OR(INDEX($O$2:$O$1001,MATCH(ROWS($N$2:N430),$N$2:$N$1001,0),1)&gt;=100000,INDEX($U$1005:$AC$1005,1,MATCH(COLUMNS($U$1006:AC1006),$U$1006:$AC$1006,0))&gt;=100000), " ",IF(INDEX($U$2:$AC$1001,MATCH(ROWS($N$2:N430),$N$2:$N$1001,0),MATCH(COLUMNS($U$1006:AC1006),$U$1006:$AC$1006,0)), HYPERLINK("#",""), HYPERLINK(CONCATENATE("#metadata!", ADDRESS(INDEX($P$2:$P$1001,MATCH(ROWS($N$2:N430),$N$2:$N$1001,0),0), INDEX($U$1004:$AC$1004,1,MATCH(COLUMNS($U$1006:AC1006),$U$1006:$AC$1006,0)))),"Fix")))</f>
        <v>0</v>
      </c>
      <c r="N430">
        <v>0</v>
      </c>
      <c r="O430">
        <v>0</v>
      </c>
      <c r="P430">
        <v>0</v>
      </c>
      <c r="Q430">
        <f>IF(R430,TRUE,AND(U430:AC430))</f>
        <v>0</v>
      </c>
      <c r="R430">
        <f>COUNTBLANK(metadata!B430:J430)=COLUMNS(metadata!B430:J430)</f>
        <v>0</v>
      </c>
      <c r="S430">
        <v>0</v>
      </c>
      <c r="U430">
        <f>AND(IF(metadata!B430="",FALSE,TRUE),COUNTIF(metadata!B:B, metadata!B430) = 1,NOT(ISERROR(SUMPRODUCT(SEARCH(MID(metadata!B430,ROW(INDIRECT("1:"&amp;LEN(metadata!B430))), 1),"0123456789abcdefghijklmnopqrstuvwxyzABCDEFGHIJKLMNOPQRSTUVWXYZ.")))))</f>
        <v>0</v>
      </c>
      <c r="V430">
        <f>AND(IF(metadata!C430="",FALSE,TRUE),exact(metadata!C430,"UBERON:genitourinary"))</f>
        <v>0</v>
      </c>
      <c r="W430">
        <f>AND(IF(metadata!D430="",FALSE,TRUE),exact(metadata!D430,"UBERON:urine"))</f>
        <v>0</v>
      </c>
      <c r="X430">
        <f>AND(IF(metadata!E430="",FALSE,TRUE),exact(metadata!E430,"UBERON:kidney"))</f>
        <v>0</v>
      </c>
      <c r="Y430">
        <f>AND(IF(metadata!F430="",FALSE,TRUE),exact(metadata!F430,"animal corpus"))</f>
        <v>0</v>
      </c>
      <c r="Z430">
        <f>AND(IF(metadata!G430="",FALSE,TRUE),exact(metadata!G430,"urine"))</f>
        <v>0</v>
      </c>
      <c r="AA430">
        <f>AND(IF(metadata!H430="",FALSE,TRUE),exact(metadata!H430,"urine"))</f>
        <v>0</v>
      </c>
      <c r="AB430">
        <f>AND(IF(metadata!I430="",FALSE,TRUE),exact(metadata!I430,"urine metagenome"))</f>
        <v>0</v>
      </c>
      <c r="AC430">
        <f>AND(IF(metadata!J430="",FALSE,TRUE),exact(metadata!J430,"1346744"))</f>
        <v>0</v>
      </c>
    </row>
    <row r="431" spans="1:29">
      <c r="A431" s="4">
        <f>IF(B431=" "," ",HYPERLINK(CONCATENATE("#metadata!",ADDRESS(INDEX($P$2:$P$1001,MATCH(ROWS($N$2:N431),$N$2:$N$1001,0),0),1)),INDEX($S$2:$S$1001,MATCH(ROWS($N$2:N431),$N$2:$N$1001,0),0)))</f>
        <v>0</v>
      </c>
      <c r="B431" s="3">
        <f>IF(OR(INDEX($O$2:$O$1001,MATCH(ROWS($N$2:N431),$N$2:$N$1001,0),1)&gt;=100000,INDEX($U$1005:$AC$1005,1,MATCH(COLUMNS($U$1006:U1006),$U$1006:$AC$1006,0))&gt;=100000), " ",IF(INDEX($U$2:$AC$1001,MATCH(ROWS($N$2:N431),$N$2:$N$1001,0),MATCH(COLUMNS($U$1006:U1006),$U$1006:$AC$1006,0)), HYPERLINK("#",""), HYPERLINK(CONCATENATE("#metadata!", ADDRESS(INDEX($P$2:$P$1001,MATCH(ROWS($N$2:N431),$N$2:$N$1001,0),0), INDEX($U$1004:$AC$1004,1,MATCH(COLUMNS($U$1006:U1006),$U$1006:$AC$1006,0)))),"Fix")))</f>
        <v>0</v>
      </c>
      <c r="C431" s="3">
        <f>IF(OR(INDEX($O$2:$O$1001,MATCH(ROWS($N$2:N431),$N$2:$N$1001,0),1)&gt;=100000,INDEX($U$1005:$AC$1005,1,MATCH(COLUMNS($U$1006:V1006),$U$1006:$AC$1006,0))&gt;=100000), " ",IF(INDEX($U$2:$AC$1001,MATCH(ROWS($N$2:N431),$N$2:$N$1001,0),MATCH(COLUMNS($U$1006:V1006),$U$1006:$AC$1006,0)), HYPERLINK("#",""), HYPERLINK(CONCATENATE("#metadata!", ADDRESS(INDEX($P$2:$P$1001,MATCH(ROWS($N$2:N431),$N$2:$N$1001,0),0), INDEX($U$1004:$AC$1004,1,MATCH(COLUMNS($U$1006:V1006),$U$1006:$AC$1006,0)))),"Fix")))</f>
        <v>0</v>
      </c>
      <c r="D431" s="3">
        <f>IF(OR(INDEX($O$2:$O$1001,MATCH(ROWS($N$2:N431),$N$2:$N$1001,0),1)&gt;=100000,INDEX($U$1005:$AC$1005,1,MATCH(COLUMNS($U$1006:W1006),$U$1006:$AC$1006,0))&gt;=100000), " ",IF(INDEX($U$2:$AC$1001,MATCH(ROWS($N$2:N431),$N$2:$N$1001,0),MATCH(COLUMNS($U$1006:W1006),$U$1006:$AC$1006,0)), HYPERLINK("#",""), HYPERLINK(CONCATENATE("#metadata!", ADDRESS(INDEX($P$2:$P$1001,MATCH(ROWS($N$2:N431),$N$2:$N$1001,0),0), INDEX($U$1004:$AC$1004,1,MATCH(COLUMNS($U$1006:W1006),$U$1006:$AC$1006,0)))),"Fix")))</f>
        <v>0</v>
      </c>
      <c r="E431" s="3">
        <f>IF(OR(INDEX($O$2:$O$1001,MATCH(ROWS($N$2:N431),$N$2:$N$1001,0),1)&gt;=100000,INDEX($U$1005:$AC$1005,1,MATCH(COLUMNS($U$1006:X1006),$U$1006:$AC$1006,0))&gt;=100000), " ",IF(INDEX($U$2:$AC$1001,MATCH(ROWS($N$2:N431),$N$2:$N$1001,0),MATCH(COLUMNS($U$1006:X1006),$U$1006:$AC$1006,0)), HYPERLINK("#",""), HYPERLINK(CONCATENATE("#metadata!", ADDRESS(INDEX($P$2:$P$1001,MATCH(ROWS($N$2:N431),$N$2:$N$1001,0),0), INDEX($U$1004:$AC$1004,1,MATCH(COLUMNS($U$1006:X1006),$U$1006:$AC$1006,0)))),"Fix")))</f>
        <v>0</v>
      </c>
      <c r="F431" s="3">
        <f>IF(OR(INDEX($O$2:$O$1001,MATCH(ROWS($N$2:N431),$N$2:$N$1001,0),1)&gt;=100000,INDEX($U$1005:$AC$1005,1,MATCH(COLUMNS($U$1006:Y1006),$U$1006:$AC$1006,0))&gt;=100000), " ",IF(INDEX($U$2:$AC$1001,MATCH(ROWS($N$2:N431),$N$2:$N$1001,0),MATCH(COLUMNS($U$1006:Y1006),$U$1006:$AC$1006,0)), HYPERLINK("#",""), HYPERLINK(CONCATENATE("#metadata!", ADDRESS(INDEX($P$2:$P$1001,MATCH(ROWS($N$2:N431),$N$2:$N$1001,0),0), INDEX($U$1004:$AC$1004,1,MATCH(COLUMNS($U$1006:Y1006),$U$1006:$AC$1006,0)))),"Fix")))</f>
        <v>0</v>
      </c>
      <c r="G431" s="3">
        <f>IF(OR(INDEX($O$2:$O$1001,MATCH(ROWS($N$2:N431),$N$2:$N$1001,0),1)&gt;=100000,INDEX($U$1005:$AC$1005,1,MATCH(COLUMNS($U$1006:Z1006),$U$1006:$AC$1006,0))&gt;=100000), " ",IF(INDEX($U$2:$AC$1001,MATCH(ROWS($N$2:N431),$N$2:$N$1001,0),MATCH(COLUMNS($U$1006:Z1006),$U$1006:$AC$1006,0)), HYPERLINK("#",""), HYPERLINK(CONCATENATE("#metadata!", ADDRESS(INDEX($P$2:$P$1001,MATCH(ROWS($N$2:N431),$N$2:$N$1001,0),0), INDEX($U$1004:$AC$1004,1,MATCH(COLUMNS($U$1006:Z1006),$U$1006:$AC$1006,0)))),"Fix")))</f>
        <v>0</v>
      </c>
      <c r="H431" s="3">
        <f>IF(OR(INDEX($O$2:$O$1001,MATCH(ROWS($N$2:N431),$N$2:$N$1001,0),1)&gt;=100000,INDEX($U$1005:$AC$1005,1,MATCH(COLUMNS($U$1006:AA1006),$U$1006:$AC$1006,0))&gt;=100000), " ",IF(INDEX($U$2:$AC$1001,MATCH(ROWS($N$2:N431),$N$2:$N$1001,0),MATCH(COLUMNS($U$1006:AA1006),$U$1006:$AC$1006,0)), HYPERLINK("#",""), HYPERLINK(CONCATENATE("#metadata!", ADDRESS(INDEX($P$2:$P$1001,MATCH(ROWS($N$2:N431),$N$2:$N$1001,0),0), INDEX($U$1004:$AC$1004,1,MATCH(COLUMNS($U$1006:AA1006),$U$1006:$AC$1006,0)))),"Fix")))</f>
        <v>0</v>
      </c>
      <c r="I431" s="3">
        <f>IF(OR(INDEX($O$2:$O$1001,MATCH(ROWS($N$2:N431),$N$2:$N$1001,0),1)&gt;=100000,INDEX($U$1005:$AC$1005,1,MATCH(COLUMNS($U$1006:AB1006),$U$1006:$AC$1006,0))&gt;=100000), " ",IF(INDEX($U$2:$AC$1001,MATCH(ROWS($N$2:N431),$N$2:$N$1001,0),MATCH(COLUMNS($U$1006:AB1006),$U$1006:$AC$1006,0)), HYPERLINK("#",""), HYPERLINK(CONCATENATE("#metadata!", ADDRESS(INDEX($P$2:$P$1001,MATCH(ROWS($N$2:N431),$N$2:$N$1001,0),0), INDEX($U$1004:$AC$1004,1,MATCH(COLUMNS($U$1006:AB1006),$U$1006:$AC$1006,0)))),"Fix")))</f>
        <v>0</v>
      </c>
      <c r="J431" s="3">
        <f>IF(OR(INDEX($O$2:$O$1001,MATCH(ROWS($N$2:N431),$N$2:$N$1001,0),1)&gt;=100000,INDEX($U$1005:$AC$1005,1,MATCH(COLUMNS($U$1006:AC1006),$U$1006:$AC$1006,0))&gt;=100000), " ",IF(INDEX($U$2:$AC$1001,MATCH(ROWS($N$2:N431),$N$2:$N$1001,0),MATCH(COLUMNS($U$1006:AC1006),$U$1006:$AC$1006,0)), HYPERLINK("#",""), HYPERLINK(CONCATENATE("#metadata!", ADDRESS(INDEX($P$2:$P$1001,MATCH(ROWS($N$2:N431),$N$2:$N$1001,0),0), INDEX($U$1004:$AC$1004,1,MATCH(COLUMNS($U$1006:AC1006),$U$1006:$AC$1006,0)))),"Fix")))</f>
        <v>0</v>
      </c>
      <c r="N431">
        <v>0</v>
      </c>
      <c r="O431">
        <v>0</v>
      </c>
      <c r="P431">
        <v>0</v>
      </c>
      <c r="Q431">
        <f>IF(R431,TRUE,AND(U431:AC431))</f>
        <v>0</v>
      </c>
      <c r="R431">
        <f>COUNTBLANK(metadata!B431:J431)=COLUMNS(metadata!B431:J431)</f>
        <v>0</v>
      </c>
      <c r="S431">
        <v>0</v>
      </c>
      <c r="U431">
        <f>AND(IF(metadata!B431="",FALSE,TRUE),COUNTIF(metadata!B:B, metadata!B431) = 1,NOT(ISERROR(SUMPRODUCT(SEARCH(MID(metadata!B431,ROW(INDIRECT("1:"&amp;LEN(metadata!B431))), 1),"0123456789abcdefghijklmnopqrstuvwxyzABCDEFGHIJKLMNOPQRSTUVWXYZ.")))))</f>
        <v>0</v>
      </c>
      <c r="V431">
        <f>AND(IF(metadata!C431="",FALSE,TRUE),exact(metadata!C431,"UBERON:genitourinary"))</f>
        <v>0</v>
      </c>
      <c r="W431">
        <f>AND(IF(metadata!D431="",FALSE,TRUE),exact(metadata!D431,"UBERON:urine"))</f>
        <v>0</v>
      </c>
      <c r="X431">
        <f>AND(IF(metadata!E431="",FALSE,TRUE),exact(metadata!E431,"UBERON:kidney"))</f>
        <v>0</v>
      </c>
      <c r="Y431">
        <f>AND(IF(metadata!F431="",FALSE,TRUE),exact(metadata!F431,"animal corpus"))</f>
        <v>0</v>
      </c>
      <c r="Z431">
        <f>AND(IF(metadata!G431="",FALSE,TRUE),exact(metadata!G431,"urine"))</f>
        <v>0</v>
      </c>
      <c r="AA431">
        <f>AND(IF(metadata!H431="",FALSE,TRUE),exact(metadata!H431,"urine"))</f>
        <v>0</v>
      </c>
      <c r="AB431">
        <f>AND(IF(metadata!I431="",FALSE,TRUE),exact(metadata!I431,"urine metagenome"))</f>
        <v>0</v>
      </c>
      <c r="AC431">
        <f>AND(IF(metadata!J431="",FALSE,TRUE),exact(metadata!J431,"1346744"))</f>
        <v>0</v>
      </c>
    </row>
    <row r="432" spans="1:29">
      <c r="A432" s="4">
        <f>IF(B432=" "," ",HYPERLINK(CONCATENATE("#metadata!",ADDRESS(INDEX($P$2:$P$1001,MATCH(ROWS($N$2:N432),$N$2:$N$1001,0),0),1)),INDEX($S$2:$S$1001,MATCH(ROWS($N$2:N432),$N$2:$N$1001,0),0)))</f>
        <v>0</v>
      </c>
      <c r="B432" s="3">
        <f>IF(OR(INDEX($O$2:$O$1001,MATCH(ROWS($N$2:N432),$N$2:$N$1001,0),1)&gt;=100000,INDEX($U$1005:$AC$1005,1,MATCH(COLUMNS($U$1006:U1006),$U$1006:$AC$1006,0))&gt;=100000), " ",IF(INDEX($U$2:$AC$1001,MATCH(ROWS($N$2:N432),$N$2:$N$1001,0),MATCH(COLUMNS($U$1006:U1006),$U$1006:$AC$1006,0)), HYPERLINK("#",""), HYPERLINK(CONCATENATE("#metadata!", ADDRESS(INDEX($P$2:$P$1001,MATCH(ROWS($N$2:N432),$N$2:$N$1001,0),0), INDEX($U$1004:$AC$1004,1,MATCH(COLUMNS($U$1006:U1006),$U$1006:$AC$1006,0)))),"Fix")))</f>
        <v>0</v>
      </c>
      <c r="C432" s="3">
        <f>IF(OR(INDEX($O$2:$O$1001,MATCH(ROWS($N$2:N432),$N$2:$N$1001,0),1)&gt;=100000,INDEX($U$1005:$AC$1005,1,MATCH(COLUMNS($U$1006:V1006),$U$1006:$AC$1006,0))&gt;=100000), " ",IF(INDEX($U$2:$AC$1001,MATCH(ROWS($N$2:N432),$N$2:$N$1001,0),MATCH(COLUMNS($U$1006:V1006),$U$1006:$AC$1006,0)), HYPERLINK("#",""), HYPERLINK(CONCATENATE("#metadata!", ADDRESS(INDEX($P$2:$P$1001,MATCH(ROWS($N$2:N432),$N$2:$N$1001,0),0), INDEX($U$1004:$AC$1004,1,MATCH(COLUMNS($U$1006:V1006),$U$1006:$AC$1006,0)))),"Fix")))</f>
        <v>0</v>
      </c>
      <c r="D432" s="3">
        <f>IF(OR(INDEX($O$2:$O$1001,MATCH(ROWS($N$2:N432),$N$2:$N$1001,0),1)&gt;=100000,INDEX($U$1005:$AC$1005,1,MATCH(COLUMNS($U$1006:W1006),$U$1006:$AC$1006,0))&gt;=100000), " ",IF(INDEX($U$2:$AC$1001,MATCH(ROWS($N$2:N432),$N$2:$N$1001,0),MATCH(COLUMNS($U$1006:W1006),$U$1006:$AC$1006,0)), HYPERLINK("#",""), HYPERLINK(CONCATENATE("#metadata!", ADDRESS(INDEX($P$2:$P$1001,MATCH(ROWS($N$2:N432),$N$2:$N$1001,0),0), INDEX($U$1004:$AC$1004,1,MATCH(COLUMNS($U$1006:W1006),$U$1006:$AC$1006,0)))),"Fix")))</f>
        <v>0</v>
      </c>
      <c r="E432" s="3">
        <f>IF(OR(INDEX($O$2:$O$1001,MATCH(ROWS($N$2:N432),$N$2:$N$1001,0),1)&gt;=100000,INDEX($U$1005:$AC$1005,1,MATCH(COLUMNS($U$1006:X1006),$U$1006:$AC$1006,0))&gt;=100000), " ",IF(INDEX($U$2:$AC$1001,MATCH(ROWS($N$2:N432),$N$2:$N$1001,0),MATCH(COLUMNS($U$1006:X1006),$U$1006:$AC$1006,0)), HYPERLINK("#",""), HYPERLINK(CONCATENATE("#metadata!", ADDRESS(INDEX($P$2:$P$1001,MATCH(ROWS($N$2:N432),$N$2:$N$1001,0),0), INDEX($U$1004:$AC$1004,1,MATCH(COLUMNS($U$1006:X1006),$U$1006:$AC$1006,0)))),"Fix")))</f>
        <v>0</v>
      </c>
      <c r="F432" s="3">
        <f>IF(OR(INDEX($O$2:$O$1001,MATCH(ROWS($N$2:N432),$N$2:$N$1001,0),1)&gt;=100000,INDEX($U$1005:$AC$1005,1,MATCH(COLUMNS($U$1006:Y1006),$U$1006:$AC$1006,0))&gt;=100000), " ",IF(INDEX($U$2:$AC$1001,MATCH(ROWS($N$2:N432),$N$2:$N$1001,0),MATCH(COLUMNS($U$1006:Y1006),$U$1006:$AC$1006,0)), HYPERLINK("#",""), HYPERLINK(CONCATENATE("#metadata!", ADDRESS(INDEX($P$2:$P$1001,MATCH(ROWS($N$2:N432),$N$2:$N$1001,0),0), INDEX($U$1004:$AC$1004,1,MATCH(COLUMNS($U$1006:Y1006),$U$1006:$AC$1006,0)))),"Fix")))</f>
        <v>0</v>
      </c>
      <c r="G432" s="3">
        <f>IF(OR(INDEX($O$2:$O$1001,MATCH(ROWS($N$2:N432),$N$2:$N$1001,0),1)&gt;=100000,INDEX($U$1005:$AC$1005,1,MATCH(COLUMNS($U$1006:Z1006),$U$1006:$AC$1006,0))&gt;=100000), " ",IF(INDEX($U$2:$AC$1001,MATCH(ROWS($N$2:N432),$N$2:$N$1001,0),MATCH(COLUMNS($U$1006:Z1006),$U$1006:$AC$1006,0)), HYPERLINK("#",""), HYPERLINK(CONCATENATE("#metadata!", ADDRESS(INDEX($P$2:$P$1001,MATCH(ROWS($N$2:N432),$N$2:$N$1001,0),0), INDEX($U$1004:$AC$1004,1,MATCH(COLUMNS($U$1006:Z1006),$U$1006:$AC$1006,0)))),"Fix")))</f>
        <v>0</v>
      </c>
      <c r="H432" s="3">
        <f>IF(OR(INDEX($O$2:$O$1001,MATCH(ROWS($N$2:N432),$N$2:$N$1001,0),1)&gt;=100000,INDEX($U$1005:$AC$1005,1,MATCH(COLUMNS($U$1006:AA1006),$U$1006:$AC$1006,0))&gt;=100000), " ",IF(INDEX($U$2:$AC$1001,MATCH(ROWS($N$2:N432),$N$2:$N$1001,0),MATCH(COLUMNS($U$1006:AA1006),$U$1006:$AC$1006,0)), HYPERLINK("#",""), HYPERLINK(CONCATENATE("#metadata!", ADDRESS(INDEX($P$2:$P$1001,MATCH(ROWS($N$2:N432),$N$2:$N$1001,0),0), INDEX($U$1004:$AC$1004,1,MATCH(COLUMNS($U$1006:AA1006),$U$1006:$AC$1006,0)))),"Fix")))</f>
        <v>0</v>
      </c>
      <c r="I432" s="3">
        <f>IF(OR(INDEX($O$2:$O$1001,MATCH(ROWS($N$2:N432),$N$2:$N$1001,0),1)&gt;=100000,INDEX($U$1005:$AC$1005,1,MATCH(COLUMNS($U$1006:AB1006),$U$1006:$AC$1006,0))&gt;=100000), " ",IF(INDEX($U$2:$AC$1001,MATCH(ROWS($N$2:N432),$N$2:$N$1001,0),MATCH(COLUMNS($U$1006:AB1006),$U$1006:$AC$1006,0)), HYPERLINK("#",""), HYPERLINK(CONCATENATE("#metadata!", ADDRESS(INDEX($P$2:$P$1001,MATCH(ROWS($N$2:N432),$N$2:$N$1001,0),0), INDEX($U$1004:$AC$1004,1,MATCH(COLUMNS($U$1006:AB1006),$U$1006:$AC$1006,0)))),"Fix")))</f>
        <v>0</v>
      </c>
      <c r="J432" s="3">
        <f>IF(OR(INDEX($O$2:$O$1001,MATCH(ROWS($N$2:N432),$N$2:$N$1001,0),1)&gt;=100000,INDEX($U$1005:$AC$1005,1,MATCH(COLUMNS($U$1006:AC1006),$U$1006:$AC$1006,0))&gt;=100000), " ",IF(INDEX($U$2:$AC$1001,MATCH(ROWS($N$2:N432),$N$2:$N$1001,0),MATCH(COLUMNS($U$1006:AC1006),$U$1006:$AC$1006,0)), HYPERLINK("#",""), HYPERLINK(CONCATENATE("#metadata!", ADDRESS(INDEX($P$2:$P$1001,MATCH(ROWS($N$2:N432),$N$2:$N$1001,0),0), INDEX($U$1004:$AC$1004,1,MATCH(COLUMNS($U$1006:AC1006),$U$1006:$AC$1006,0)))),"Fix")))</f>
        <v>0</v>
      </c>
      <c r="N432">
        <v>0</v>
      </c>
      <c r="O432">
        <v>0</v>
      </c>
      <c r="P432">
        <v>0</v>
      </c>
      <c r="Q432">
        <f>IF(R432,TRUE,AND(U432:AC432))</f>
        <v>0</v>
      </c>
      <c r="R432">
        <f>COUNTBLANK(metadata!B432:J432)=COLUMNS(metadata!B432:J432)</f>
        <v>0</v>
      </c>
      <c r="S432">
        <v>0</v>
      </c>
      <c r="U432">
        <f>AND(IF(metadata!B432="",FALSE,TRUE),COUNTIF(metadata!B:B, metadata!B432) = 1,NOT(ISERROR(SUMPRODUCT(SEARCH(MID(metadata!B432,ROW(INDIRECT("1:"&amp;LEN(metadata!B432))), 1),"0123456789abcdefghijklmnopqrstuvwxyzABCDEFGHIJKLMNOPQRSTUVWXYZ.")))))</f>
        <v>0</v>
      </c>
      <c r="V432">
        <f>AND(IF(metadata!C432="",FALSE,TRUE),exact(metadata!C432,"UBERON:genitourinary"))</f>
        <v>0</v>
      </c>
      <c r="W432">
        <f>AND(IF(metadata!D432="",FALSE,TRUE),exact(metadata!D432,"UBERON:urine"))</f>
        <v>0</v>
      </c>
      <c r="X432">
        <f>AND(IF(metadata!E432="",FALSE,TRUE),exact(metadata!E432,"UBERON:kidney"))</f>
        <v>0</v>
      </c>
      <c r="Y432">
        <f>AND(IF(metadata!F432="",FALSE,TRUE),exact(metadata!F432,"animal corpus"))</f>
        <v>0</v>
      </c>
      <c r="Z432">
        <f>AND(IF(metadata!G432="",FALSE,TRUE),exact(metadata!G432,"urine"))</f>
        <v>0</v>
      </c>
      <c r="AA432">
        <f>AND(IF(metadata!H432="",FALSE,TRUE),exact(metadata!H432,"urine"))</f>
        <v>0</v>
      </c>
      <c r="AB432">
        <f>AND(IF(metadata!I432="",FALSE,TRUE),exact(metadata!I432,"urine metagenome"))</f>
        <v>0</v>
      </c>
      <c r="AC432">
        <f>AND(IF(metadata!J432="",FALSE,TRUE),exact(metadata!J432,"1346744"))</f>
        <v>0</v>
      </c>
    </row>
    <row r="433" spans="1:29">
      <c r="A433" s="4">
        <f>IF(B433=" "," ",HYPERLINK(CONCATENATE("#metadata!",ADDRESS(INDEX($P$2:$P$1001,MATCH(ROWS($N$2:N433),$N$2:$N$1001,0),0),1)),INDEX($S$2:$S$1001,MATCH(ROWS($N$2:N433),$N$2:$N$1001,0),0)))</f>
        <v>0</v>
      </c>
      <c r="B433" s="3">
        <f>IF(OR(INDEX($O$2:$O$1001,MATCH(ROWS($N$2:N433),$N$2:$N$1001,0),1)&gt;=100000,INDEX($U$1005:$AC$1005,1,MATCH(COLUMNS($U$1006:U1006),$U$1006:$AC$1006,0))&gt;=100000), " ",IF(INDEX($U$2:$AC$1001,MATCH(ROWS($N$2:N433),$N$2:$N$1001,0),MATCH(COLUMNS($U$1006:U1006),$U$1006:$AC$1006,0)), HYPERLINK("#",""), HYPERLINK(CONCATENATE("#metadata!", ADDRESS(INDEX($P$2:$P$1001,MATCH(ROWS($N$2:N433),$N$2:$N$1001,0),0), INDEX($U$1004:$AC$1004,1,MATCH(COLUMNS($U$1006:U1006),$U$1006:$AC$1006,0)))),"Fix")))</f>
        <v>0</v>
      </c>
      <c r="C433" s="3">
        <f>IF(OR(INDEX($O$2:$O$1001,MATCH(ROWS($N$2:N433),$N$2:$N$1001,0),1)&gt;=100000,INDEX($U$1005:$AC$1005,1,MATCH(COLUMNS($U$1006:V1006),$U$1006:$AC$1006,0))&gt;=100000), " ",IF(INDEX($U$2:$AC$1001,MATCH(ROWS($N$2:N433),$N$2:$N$1001,0),MATCH(COLUMNS($U$1006:V1006),$U$1006:$AC$1006,0)), HYPERLINK("#",""), HYPERLINK(CONCATENATE("#metadata!", ADDRESS(INDEX($P$2:$P$1001,MATCH(ROWS($N$2:N433),$N$2:$N$1001,0),0), INDEX($U$1004:$AC$1004,1,MATCH(COLUMNS($U$1006:V1006),$U$1006:$AC$1006,0)))),"Fix")))</f>
        <v>0</v>
      </c>
      <c r="D433" s="3">
        <f>IF(OR(INDEX($O$2:$O$1001,MATCH(ROWS($N$2:N433),$N$2:$N$1001,0),1)&gt;=100000,INDEX($U$1005:$AC$1005,1,MATCH(COLUMNS($U$1006:W1006),$U$1006:$AC$1006,0))&gt;=100000), " ",IF(INDEX($U$2:$AC$1001,MATCH(ROWS($N$2:N433),$N$2:$N$1001,0),MATCH(COLUMNS($U$1006:W1006),$U$1006:$AC$1006,0)), HYPERLINK("#",""), HYPERLINK(CONCATENATE("#metadata!", ADDRESS(INDEX($P$2:$P$1001,MATCH(ROWS($N$2:N433),$N$2:$N$1001,0),0), INDEX($U$1004:$AC$1004,1,MATCH(COLUMNS($U$1006:W1006),$U$1006:$AC$1006,0)))),"Fix")))</f>
        <v>0</v>
      </c>
      <c r="E433" s="3">
        <f>IF(OR(INDEX($O$2:$O$1001,MATCH(ROWS($N$2:N433),$N$2:$N$1001,0),1)&gt;=100000,INDEX($U$1005:$AC$1005,1,MATCH(COLUMNS($U$1006:X1006),$U$1006:$AC$1006,0))&gt;=100000), " ",IF(INDEX($U$2:$AC$1001,MATCH(ROWS($N$2:N433),$N$2:$N$1001,0),MATCH(COLUMNS($U$1006:X1006),$U$1006:$AC$1006,0)), HYPERLINK("#",""), HYPERLINK(CONCATENATE("#metadata!", ADDRESS(INDEX($P$2:$P$1001,MATCH(ROWS($N$2:N433),$N$2:$N$1001,0),0), INDEX($U$1004:$AC$1004,1,MATCH(COLUMNS($U$1006:X1006),$U$1006:$AC$1006,0)))),"Fix")))</f>
        <v>0</v>
      </c>
      <c r="F433" s="3">
        <f>IF(OR(INDEX($O$2:$O$1001,MATCH(ROWS($N$2:N433),$N$2:$N$1001,0),1)&gt;=100000,INDEX($U$1005:$AC$1005,1,MATCH(COLUMNS($U$1006:Y1006),$U$1006:$AC$1006,0))&gt;=100000), " ",IF(INDEX($U$2:$AC$1001,MATCH(ROWS($N$2:N433),$N$2:$N$1001,0),MATCH(COLUMNS($U$1006:Y1006),$U$1006:$AC$1006,0)), HYPERLINK("#",""), HYPERLINK(CONCATENATE("#metadata!", ADDRESS(INDEX($P$2:$P$1001,MATCH(ROWS($N$2:N433),$N$2:$N$1001,0),0), INDEX($U$1004:$AC$1004,1,MATCH(COLUMNS($U$1006:Y1006),$U$1006:$AC$1006,0)))),"Fix")))</f>
        <v>0</v>
      </c>
      <c r="G433" s="3">
        <f>IF(OR(INDEX($O$2:$O$1001,MATCH(ROWS($N$2:N433),$N$2:$N$1001,0),1)&gt;=100000,INDEX($U$1005:$AC$1005,1,MATCH(COLUMNS($U$1006:Z1006),$U$1006:$AC$1006,0))&gt;=100000), " ",IF(INDEX($U$2:$AC$1001,MATCH(ROWS($N$2:N433),$N$2:$N$1001,0),MATCH(COLUMNS($U$1006:Z1006),$U$1006:$AC$1006,0)), HYPERLINK("#",""), HYPERLINK(CONCATENATE("#metadata!", ADDRESS(INDEX($P$2:$P$1001,MATCH(ROWS($N$2:N433),$N$2:$N$1001,0),0), INDEX($U$1004:$AC$1004,1,MATCH(COLUMNS($U$1006:Z1006),$U$1006:$AC$1006,0)))),"Fix")))</f>
        <v>0</v>
      </c>
      <c r="H433" s="3">
        <f>IF(OR(INDEX($O$2:$O$1001,MATCH(ROWS($N$2:N433),$N$2:$N$1001,0),1)&gt;=100000,INDEX($U$1005:$AC$1005,1,MATCH(COLUMNS($U$1006:AA1006),$U$1006:$AC$1006,0))&gt;=100000), " ",IF(INDEX($U$2:$AC$1001,MATCH(ROWS($N$2:N433),$N$2:$N$1001,0),MATCH(COLUMNS($U$1006:AA1006),$U$1006:$AC$1006,0)), HYPERLINK("#",""), HYPERLINK(CONCATENATE("#metadata!", ADDRESS(INDEX($P$2:$P$1001,MATCH(ROWS($N$2:N433),$N$2:$N$1001,0),0), INDEX($U$1004:$AC$1004,1,MATCH(COLUMNS($U$1006:AA1006),$U$1006:$AC$1006,0)))),"Fix")))</f>
        <v>0</v>
      </c>
      <c r="I433" s="3">
        <f>IF(OR(INDEX($O$2:$O$1001,MATCH(ROWS($N$2:N433),$N$2:$N$1001,0),1)&gt;=100000,INDEX($U$1005:$AC$1005,1,MATCH(COLUMNS($U$1006:AB1006),$U$1006:$AC$1006,0))&gt;=100000), " ",IF(INDEX($U$2:$AC$1001,MATCH(ROWS($N$2:N433),$N$2:$N$1001,0),MATCH(COLUMNS($U$1006:AB1006),$U$1006:$AC$1006,0)), HYPERLINK("#",""), HYPERLINK(CONCATENATE("#metadata!", ADDRESS(INDEX($P$2:$P$1001,MATCH(ROWS($N$2:N433),$N$2:$N$1001,0),0), INDEX($U$1004:$AC$1004,1,MATCH(COLUMNS($U$1006:AB1006),$U$1006:$AC$1006,0)))),"Fix")))</f>
        <v>0</v>
      </c>
      <c r="J433" s="3">
        <f>IF(OR(INDEX($O$2:$O$1001,MATCH(ROWS($N$2:N433),$N$2:$N$1001,0),1)&gt;=100000,INDEX($U$1005:$AC$1005,1,MATCH(COLUMNS($U$1006:AC1006),$U$1006:$AC$1006,0))&gt;=100000), " ",IF(INDEX($U$2:$AC$1001,MATCH(ROWS($N$2:N433),$N$2:$N$1001,0),MATCH(COLUMNS($U$1006:AC1006),$U$1006:$AC$1006,0)), HYPERLINK("#",""), HYPERLINK(CONCATENATE("#metadata!", ADDRESS(INDEX($P$2:$P$1001,MATCH(ROWS($N$2:N433),$N$2:$N$1001,0),0), INDEX($U$1004:$AC$1004,1,MATCH(COLUMNS($U$1006:AC1006),$U$1006:$AC$1006,0)))),"Fix")))</f>
        <v>0</v>
      </c>
      <c r="N433">
        <v>0</v>
      </c>
      <c r="O433">
        <v>0</v>
      </c>
      <c r="P433">
        <v>0</v>
      </c>
      <c r="Q433">
        <f>IF(R433,TRUE,AND(U433:AC433))</f>
        <v>0</v>
      </c>
      <c r="R433">
        <f>COUNTBLANK(metadata!B433:J433)=COLUMNS(metadata!B433:J433)</f>
        <v>0</v>
      </c>
      <c r="S433">
        <v>0</v>
      </c>
      <c r="U433">
        <f>AND(IF(metadata!B433="",FALSE,TRUE),COUNTIF(metadata!B:B, metadata!B433) = 1,NOT(ISERROR(SUMPRODUCT(SEARCH(MID(metadata!B433,ROW(INDIRECT("1:"&amp;LEN(metadata!B433))), 1),"0123456789abcdefghijklmnopqrstuvwxyzABCDEFGHIJKLMNOPQRSTUVWXYZ.")))))</f>
        <v>0</v>
      </c>
      <c r="V433">
        <f>AND(IF(metadata!C433="",FALSE,TRUE),exact(metadata!C433,"UBERON:genitourinary"))</f>
        <v>0</v>
      </c>
      <c r="W433">
        <f>AND(IF(metadata!D433="",FALSE,TRUE),exact(metadata!D433,"UBERON:urine"))</f>
        <v>0</v>
      </c>
      <c r="X433">
        <f>AND(IF(metadata!E433="",FALSE,TRUE),exact(metadata!E433,"UBERON:kidney"))</f>
        <v>0</v>
      </c>
      <c r="Y433">
        <f>AND(IF(metadata!F433="",FALSE,TRUE),exact(metadata!F433,"animal corpus"))</f>
        <v>0</v>
      </c>
      <c r="Z433">
        <f>AND(IF(metadata!G433="",FALSE,TRUE),exact(metadata!G433,"urine"))</f>
        <v>0</v>
      </c>
      <c r="AA433">
        <f>AND(IF(metadata!H433="",FALSE,TRUE),exact(metadata!H433,"urine"))</f>
        <v>0</v>
      </c>
      <c r="AB433">
        <f>AND(IF(metadata!I433="",FALSE,TRUE),exact(metadata!I433,"urine metagenome"))</f>
        <v>0</v>
      </c>
      <c r="AC433">
        <f>AND(IF(metadata!J433="",FALSE,TRUE),exact(metadata!J433,"1346744"))</f>
        <v>0</v>
      </c>
    </row>
    <row r="434" spans="1:29">
      <c r="A434" s="4">
        <f>IF(B434=" "," ",HYPERLINK(CONCATENATE("#metadata!",ADDRESS(INDEX($P$2:$P$1001,MATCH(ROWS($N$2:N434),$N$2:$N$1001,0),0),1)),INDEX($S$2:$S$1001,MATCH(ROWS($N$2:N434),$N$2:$N$1001,0),0)))</f>
        <v>0</v>
      </c>
      <c r="B434" s="3">
        <f>IF(OR(INDEX($O$2:$O$1001,MATCH(ROWS($N$2:N434),$N$2:$N$1001,0),1)&gt;=100000,INDEX($U$1005:$AC$1005,1,MATCH(COLUMNS($U$1006:U1006),$U$1006:$AC$1006,0))&gt;=100000), " ",IF(INDEX($U$2:$AC$1001,MATCH(ROWS($N$2:N434),$N$2:$N$1001,0),MATCH(COLUMNS($U$1006:U1006),$U$1006:$AC$1006,0)), HYPERLINK("#",""), HYPERLINK(CONCATENATE("#metadata!", ADDRESS(INDEX($P$2:$P$1001,MATCH(ROWS($N$2:N434),$N$2:$N$1001,0),0), INDEX($U$1004:$AC$1004,1,MATCH(COLUMNS($U$1006:U1006),$U$1006:$AC$1006,0)))),"Fix")))</f>
        <v>0</v>
      </c>
      <c r="C434" s="3">
        <f>IF(OR(INDEX($O$2:$O$1001,MATCH(ROWS($N$2:N434),$N$2:$N$1001,0),1)&gt;=100000,INDEX($U$1005:$AC$1005,1,MATCH(COLUMNS($U$1006:V1006),$U$1006:$AC$1006,0))&gt;=100000), " ",IF(INDEX($U$2:$AC$1001,MATCH(ROWS($N$2:N434),$N$2:$N$1001,0),MATCH(COLUMNS($U$1006:V1006),$U$1006:$AC$1006,0)), HYPERLINK("#",""), HYPERLINK(CONCATENATE("#metadata!", ADDRESS(INDEX($P$2:$P$1001,MATCH(ROWS($N$2:N434),$N$2:$N$1001,0),0), INDEX($U$1004:$AC$1004,1,MATCH(COLUMNS($U$1006:V1006),$U$1006:$AC$1006,0)))),"Fix")))</f>
        <v>0</v>
      </c>
      <c r="D434" s="3">
        <f>IF(OR(INDEX($O$2:$O$1001,MATCH(ROWS($N$2:N434),$N$2:$N$1001,0),1)&gt;=100000,INDEX($U$1005:$AC$1005,1,MATCH(COLUMNS($U$1006:W1006),$U$1006:$AC$1006,0))&gt;=100000), " ",IF(INDEX($U$2:$AC$1001,MATCH(ROWS($N$2:N434),$N$2:$N$1001,0),MATCH(COLUMNS($U$1006:W1006),$U$1006:$AC$1006,0)), HYPERLINK("#",""), HYPERLINK(CONCATENATE("#metadata!", ADDRESS(INDEX($P$2:$P$1001,MATCH(ROWS($N$2:N434),$N$2:$N$1001,0),0), INDEX($U$1004:$AC$1004,1,MATCH(COLUMNS($U$1006:W1006),$U$1006:$AC$1006,0)))),"Fix")))</f>
        <v>0</v>
      </c>
      <c r="E434" s="3">
        <f>IF(OR(INDEX($O$2:$O$1001,MATCH(ROWS($N$2:N434),$N$2:$N$1001,0),1)&gt;=100000,INDEX($U$1005:$AC$1005,1,MATCH(COLUMNS($U$1006:X1006),$U$1006:$AC$1006,0))&gt;=100000), " ",IF(INDEX($U$2:$AC$1001,MATCH(ROWS($N$2:N434),$N$2:$N$1001,0),MATCH(COLUMNS($U$1006:X1006),$U$1006:$AC$1006,0)), HYPERLINK("#",""), HYPERLINK(CONCATENATE("#metadata!", ADDRESS(INDEX($P$2:$P$1001,MATCH(ROWS($N$2:N434),$N$2:$N$1001,0),0), INDEX($U$1004:$AC$1004,1,MATCH(COLUMNS($U$1006:X1006),$U$1006:$AC$1006,0)))),"Fix")))</f>
        <v>0</v>
      </c>
      <c r="F434" s="3">
        <f>IF(OR(INDEX($O$2:$O$1001,MATCH(ROWS($N$2:N434),$N$2:$N$1001,0),1)&gt;=100000,INDEX($U$1005:$AC$1005,1,MATCH(COLUMNS($U$1006:Y1006),$U$1006:$AC$1006,0))&gt;=100000), " ",IF(INDEX($U$2:$AC$1001,MATCH(ROWS($N$2:N434),$N$2:$N$1001,0),MATCH(COLUMNS($U$1006:Y1006),$U$1006:$AC$1006,0)), HYPERLINK("#",""), HYPERLINK(CONCATENATE("#metadata!", ADDRESS(INDEX($P$2:$P$1001,MATCH(ROWS($N$2:N434),$N$2:$N$1001,0),0), INDEX($U$1004:$AC$1004,1,MATCH(COLUMNS($U$1006:Y1006),$U$1006:$AC$1006,0)))),"Fix")))</f>
        <v>0</v>
      </c>
      <c r="G434" s="3">
        <f>IF(OR(INDEX($O$2:$O$1001,MATCH(ROWS($N$2:N434),$N$2:$N$1001,0),1)&gt;=100000,INDEX($U$1005:$AC$1005,1,MATCH(COLUMNS($U$1006:Z1006),$U$1006:$AC$1006,0))&gt;=100000), " ",IF(INDEX($U$2:$AC$1001,MATCH(ROWS($N$2:N434),$N$2:$N$1001,0),MATCH(COLUMNS($U$1006:Z1006),$U$1006:$AC$1006,0)), HYPERLINK("#",""), HYPERLINK(CONCATENATE("#metadata!", ADDRESS(INDEX($P$2:$P$1001,MATCH(ROWS($N$2:N434),$N$2:$N$1001,0),0), INDEX($U$1004:$AC$1004,1,MATCH(COLUMNS($U$1006:Z1006),$U$1006:$AC$1006,0)))),"Fix")))</f>
        <v>0</v>
      </c>
      <c r="H434" s="3">
        <f>IF(OR(INDEX($O$2:$O$1001,MATCH(ROWS($N$2:N434),$N$2:$N$1001,0),1)&gt;=100000,INDEX($U$1005:$AC$1005,1,MATCH(COLUMNS($U$1006:AA1006),$U$1006:$AC$1006,0))&gt;=100000), " ",IF(INDEX($U$2:$AC$1001,MATCH(ROWS($N$2:N434),$N$2:$N$1001,0),MATCH(COLUMNS($U$1006:AA1006),$U$1006:$AC$1006,0)), HYPERLINK("#",""), HYPERLINK(CONCATENATE("#metadata!", ADDRESS(INDEX($P$2:$P$1001,MATCH(ROWS($N$2:N434),$N$2:$N$1001,0),0), INDEX($U$1004:$AC$1004,1,MATCH(COLUMNS($U$1006:AA1006),$U$1006:$AC$1006,0)))),"Fix")))</f>
        <v>0</v>
      </c>
      <c r="I434" s="3">
        <f>IF(OR(INDEX($O$2:$O$1001,MATCH(ROWS($N$2:N434),$N$2:$N$1001,0),1)&gt;=100000,INDEX($U$1005:$AC$1005,1,MATCH(COLUMNS($U$1006:AB1006),$U$1006:$AC$1006,0))&gt;=100000), " ",IF(INDEX($U$2:$AC$1001,MATCH(ROWS($N$2:N434),$N$2:$N$1001,0),MATCH(COLUMNS($U$1006:AB1006),$U$1006:$AC$1006,0)), HYPERLINK("#",""), HYPERLINK(CONCATENATE("#metadata!", ADDRESS(INDEX($P$2:$P$1001,MATCH(ROWS($N$2:N434),$N$2:$N$1001,0),0), INDEX($U$1004:$AC$1004,1,MATCH(COLUMNS($U$1006:AB1006),$U$1006:$AC$1006,0)))),"Fix")))</f>
        <v>0</v>
      </c>
      <c r="J434" s="3">
        <f>IF(OR(INDEX($O$2:$O$1001,MATCH(ROWS($N$2:N434),$N$2:$N$1001,0),1)&gt;=100000,INDEX($U$1005:$AC$1005,1,MATCH(COLUMNS($U$1006:AC1006),$U$1006:$AC$1006,0))&gt;=100000), " ",IF(INDEX($U$2:$AC$1001,MATCH(ROWS($N$2:N434),$N$2:$N$1001,0),MATCH(COLUMNS($U$1006:AC1006),$U$1006:$AC$1006,0)), HYPERLINK("#",""), HYPERLINK(CONCATENATE("#metadata!", ADDRESS(INDEX($P$2:$P$1001,MATCH(ROWS($N$2:N434),$N$2:$N$1001,0),0), INDEX($U$1004:$AC$1004,1,MATCH(COLUMNS($U$1006:AC1006),$U$1006:$AC$1006,0)))),"Fix")))</f>
        <v>0</v>
      </c>
      <c r="N434">
        <v>0</v>
      </c>
      <c r="O434">
        <v>0</v>
      </c>
      <c r="P434">
        <v>0</v>
      </c>
      <c r="Q434">
        <f>IF(R434,TRUE,AND(U434:AC434))</f>
        <v>0</v>
      </c>
      <c r="R434">
        <f>COUNTBLANK(metadata!B434:J434)=COLUMNS(metadata!B434:J434)</f>
        <v>0</v>
      </c>
      <c r="S434">
        <v>0</v>
      </c>
      <c r="U434">
        <f>AND(IF(metadata!B434="",FALSE,TRUE),COUNTIF(metadata!B:B, metadata!B434) = 1,NOT(ISERROR(SUMPRODUCT(SEARCH(MID(metadata!B434,ROW(INDIRECT("1:"&amp;LEN(metadata!B434))), 1),"0123456789abcdefghijklmnopqrstuvwxyzABCDEFGHIJKLMNOPQRSTUVWXYZ.")))))</f>
        <v>0</v>
      </c>
      <c r="V434">
        <f>AND(IF(metadata!C434="",FALSE,TRUE),exact(metadata!C434,"UBERON:genitourinary"))</f>
        <v>0</v>
      </c>
      <c r="W434">
        <f>AND(IF(metadata!D434="",FALSE,TRUE),exact(metadata!D434,"UBERON:urine"))</f>
        <v>0</v>
      </c>
      <c r="X434">
        <f>AND(IF(metadata!E434="",FALSE,TRUE),exact(metadata!E434,"UBERON:kidney"))</f>
        <v>0</v>
      </c>
      <c r="Y434">
        <f>AND(IF(metadata!F434="",FALSE,TRUE),exact(metadata!F434,"animal corpus"))</f>
        <v>0</v>
      </c>
      <c r="Z434">
        <f>AND(IF(metadata!G434="",FALSE,TRUE),exact(metadata!G434,"urine"))</f>
        <v>0</v>
      </c>
      <c r="AA434">
        <f>AND(IF(metadata!H434="",FALSE,TRUE),exact(metadata!H434,"urine"))</f>
        <v>0</v>
      </c>
      <c r="AB434">
        <f>AND(IF(metadata!I434="",FALSE,TRUE),exact(metadata!I434,"urine metagenome"))</f>
        <v>0</v>
      </c>
      <c r="AC434">
        <f>AND(IF(metadata!J434="",FALSE,TRUE),exact(metadata!J434,"1346744"))</f>
        <v>0</v>
      </c>
    </row>
    <row r="435" spans="1:29">
      <c r="A435" s="4">
        <f>IF(B435=" "," ",HYPERLINK(CONCATENATE("#metadata!",ADDRESS(INDEX($P$2:$P$1001,MATCH(ROWS($N$2:N435),$N$2:$N$1001,0),0),1)),INDEX($S$2:$S$1001,MATCH(ROWS($N$2:N435),$N$2:$N$1001,0),0)))</f>
        <v>0</v>
      </c>
      <c r="B435" s="3">
        <f>IF(OR(INDEX($O$2:$O$1001,MATCH(ROWS($N$2:N435),$N$2:$N$1001,0),1)&gt;=100000,INDEX($U$1005:$AC$1005,1,MATCH(COLUMNS($U$1006:U1006),$U$1006:$AC$1006,0))&gt;=100000), " ",IF(INDEX($U$2:$AC$1001,MATCH(ROWS($N$2:N435),$N$2:$N$1001,0),MATCH(COLUMNS($U$1006:U1006),$U$1006:$AC$1006,0)), HYPERLINK("#",""), HYPERLINK(CONCATENATE("#metadata!", ADDRESS(INDEX($P$2:$P$1001,MATCH(ROWS($N$2:N435),$N$2:$N$1001,0),0), INDEX($U$1004:$AC$1004,1,MATCH(COLUMNS($U$1006:U1006),$U$1006:$AC$1006,0)))),"Fix")))</f>
        <v>0</v>
      </c>
      <c r="C435" s="3">
        <f>IF(OR(INDEX($O$2:$O$1001,MATCH(ROWS($N$2:N435),$N$2:$N$1001,0),1)&gt;=100000,INDEX($U$1005:$AC$1005,1,MATCH(COLUMNS($U$1006:V1006),$U$1006:$AC$1006,0))&gt;=100000), " ",IF(INDEX($U$2:$AC$1001,MATCH(ROWS($N$2:N435),$N$2:$N$1001,0),MATCH(COLUMNS($U$1006:V1006),$U$1006:$AC$1006,0)), HYPERLINK("#",""), HYPERLINK(CONCATENATE("#metadata!", ADDRESS(INDEX($P$2:$P$1001,MATCH(ROWS($N$2:N435),$N$2:$N$1001,0),0), INDEX($U$1004:$AC$1004,1,MATCH(COLUMNS($U$1006:V1006),$U$1006:$AC$1006,0)))),"Fix")))</f>
        <v>0</v>
      </c>
      <c r="D435" s="3">
        <f>IF(OR(INDEX($O$2:$O$1001,MATCH(ROWS($N$2:N435),$N$2:$N$1001,0),1)&gt;=100000,INDEX($U$1005:$AC$1005,1,MATCH(COLUMNS($U$1006:W1006),$U$1006:$AC$1006,0))&gt;=100000), " ",IF(INDEX($U$2:$AC$1001,MATCH(ROWS($N$2:N435),$N$2:$N$1001,0),MATCH(COLUMNS($U$1006:W1006),$U$1006:$AC$1006,0)), HYPERLINK("#",""), HYPERLINK(CONCATENATE("#metadata!", ADDRESS(INDEX($P$2:$P$1001,MATCH(ROWS($N$2:N435),$N$2:$N$1001,0),0), INDEX($U$1004:$AC$1004,1,MATCH(COLUMNS($U$1006:W1006),$U$1006:$AC$1006,0)))),"Fix")))</f>
        <v>0</v>
      </c>
      <c r="E435" s="3">
        <f>IF(OR(INDEX($O$2:$O$1001,MATCH(ROWS($N$2:N435),$N$2:$N$1001,0),1)&gt;=100000,INDEX($U$1005:$AC$1005,1,MATCH(COLUMNS($U$1006:X1006),$U$1006:$AC$1006,0))&gt;=100000), " ",IF(INDEX($U$2:$AC$1001,MATCH(ROWS($N$2:N435),$N$2:$N$1001,0),MATCH(COLUMNS($U$1006:X1006),$U$1006:$AC$1006,0)), HYPERLINK("#",""), HYPERLINK(CONCATENATE("#metadata!", ADDRESS(INDEX($P$2:$P$1001,MATCH(ROWS($N$2:N435),$N$2:$N$1001,0),0), INDEX($U$1004:$AC$1004,1,MATCH(COLUMNS($U$1006:X1006),$U$1006:$AC$1006,0)))),"Fix")))</f>
        <v>0</v>
      </c>
      <c r="F435" s="3">
        <f>IF(OR(INDEX($O$2:$O$1001,MATCH(ROWS($N$2:N435),$N$2:$N$1001,0),1)&gt;=100000,INDEX($U$1005:$AC$1005,1,MATCH(COLUMNS($U$1006:Y1006),$U$1006:$AC$1006,0))&gt;=100000), " ",IF(INDEX($U$2:$AC$1001,MATCH(ROWS($N$2:N435),$N$2:$N$1001,0),MATCH(COLUMNS($U$1006:Y1006),$U$1006:$AC$1006,0)), HYPERLINK("#",""), HYPERLINK(CONCATENATE("#metadata!", ADDRESS(INDEX($P$2:$P$1001,MATCH(ROWS($N$2:N435),$N$2:$N$1001,0),0), INDEX($U$1004:$AC$1004,1,MATCH(COLUMNS($U$1006:Y1006),$U$1006:$AC$1006,0)))),"Fix")))</f>
        <v>0</v>
      </c>
      <c r="G435" s="3">
        <f>IF(OR(INDEX($O$2:$O$1001,MATCH(ROWS($N$2:N435),$N$2:$N$1001,0),1)&gt;=100000,INDEX($U$1005:$AC$1005,1,MATCH(COLUMNS($U$1006:Z1006),$U$1006:$AC$1006,0))&gt;=100000), " ",IF(INDEX($U$2:$AC$1001,MATCH(ROWS($N$2:N435),$N$2:$N$1001,0),MATCH(COLUMNS($U$1006:Z1006),$U$1006:$AC$1006,0)), HYPERLINK("#",""), HYPERLINK(CONCATENATE("#metadata!", ADDRESS(INDEX($P$2:$P$1001,MATCH(ROWS($N$2:N435),$N$2:$N$1001,0),0), INDEX($U$1004:$AC$1004,1,MATCH(COLUMNS($U$1006:Z1006),$U$1006:$AC$1006,0)))),"Fix")))</f>
        <v>0</v>
      </c>
      <c r="H435" s="3">
        <f>IF(OR(INDEX($O$2:$O$1001,MATCH(ROWS($N$2:N435),$N$2:$N$1001,0),1)&gt;=100000,INDEX($U$1005:$AC$1005,1,MATCH(COLUMNS($U$1006:AA1006),$U$1006:$AC$1006,0))&gt;=100000), " ",IF(INDEX($U$2:$AC$1001,MATCH(ROWS($N$2:N435),$N$2:$N$1001,0),MATCH(COLUMNS($U$1006:AA1006),$U$1006:$AC$1006,0)), HYPERLINK("#",""), HYPERLINK(CONCATENATE("#metadata!", ADDRESS(INDEX($P$2:$P$1001,MATCH(ROWS($N$2:N435),$N$2:$N$1001,0),0), INDEX($U$1004:$AC$1004,1,MATCH(COLUMNS($U$1006:AA1006),$U$1006:$AC$1006,0)))),"Fix")))</f>
        <v>0</v>
      </c>
      <c r="I435" s="3">
        <f>IF(OR(INDEX($O$2:$O$1001,MATCH(ROWS($N$2:N435),$N$2:$N$1001,0),1)&gt;=100000,INDEX($U$1005:$AC$1005,1,MATCH(COLUMNS($U$1006:AB1006),$U$1006:$AC$1006,0))&gt;=100000), " ",IF(INDEX($U$2:$AC$1001,MATCH(ROWS($N$2:N435),$N$2:$N$1001,0),MATCH(COLUMNS($U$1006:AB1006),$U$1006:$AC$1006,0)), HYPERLINK("#",""), HYPERLINK(CONCATENATE("#metadata!", ADDRESS(INDEX($P$2:$P$1001,MATCH(ROWS($N$2:N435),$N$2:$N$1001,0),0), INDEX($U$1004:$AC$1004,1,MATCH(COLUMNS($U$1006:AB1006),$U$1006:$AC$1006,0)))),"Fix")))</f>
        <v>0</v>
      </c>
      <c r="J435" s="3">
        <f>IF(OR(INDEX($O$2:$O$1001,MATCH(ROWS($N$2:N435),$N$2:$N$1001,0),1)&gt;=100000,INDEX($U$1005:$AC$1005,1,MATCH(COLUMNS($U$1006:AC1006),$U$1006:$AC$1006,0))&gt;=100000), " ",IF(INDEX($U$2:$AC$1001,MATCH(ROWS($N$2:N435),$N$2:$N$1001,0),MATCH(COLUMNS($U$1006:AC1006),$U$1006:$AC$1006,0)), HYPERLINK("#",""), HYPERLINK(CONCATENATE("#metadata!", ADDRESS(INDEX($P$2:$P$1001,MATCH(ROWS($N$2:N435),$N$2:$N$1001,0),0), INDEX($U$1004:$AC$1004,1,MATCH(COLUMNS($U$1006:AC1006),$U$1006:$AC$1006,0)))),"Fix")))</f>
        <v>0</v>
      </c>
      <c r="N435">
        <v>0</v>
      </c>
      <c r="O435">
        <v>0</v>
      </c>
      <c r="P435">
        <v>0</v>
      </c>
      <c r="Q435">
        <f>IF(R435,TRUE,AND(U435:AC435))</f>
        <v>0</v>
      </c>
      <c r="R435">
        <f>COUNTBLANK(metadata!B435:J435)=COLUMNS(metadata!B435:J435)</f>
        <v>0</v>
      </c>
      <c r="S435">
        <v>0</v>
      </c>
      <c r="U435">
        <f>AND(IF(metadata!B435="",FALSE,TRUE),COUNTIF(metadata!B:B, metadata!B435) = 1,NOT(ISERROR(SUMPRODUCT(SEARCH(MID(metadata!B435,ROW(INDIRECT("1:"&amp;LEN(metadata!B435))), 1),"0123456789abcdefghijklmnopqrstuvwxyzABCDEFGHIJKLMNOPQRSTUVWXYZ.")))))</f>
        <v>0</v>
      </c>
      <c r="V435">
        <f>AND(IF(metadata!C435="",FALSE,TRUE),exact(metadata!C435,"UBERON:genitourinary"))</f>
        <v>0</v>
      </c>
      <c r="W435">
        <f>AND(IF(metadata!D435="",FALSE,TRUE),exact(metadata!D435,"UBERON:urine"))</f>
        <v>0</v>
      </c>
      <c r="X435">
        <f>AND(IF(metadata!E435="",FALSE,TRUE),exact(metadata!E435,"UBERON:kidney"))</f>
        <v>0</v>
      </c>
      <c r="Y435">
        <f>AND(IF(metadata!F435="",FALSE,TRUE),exact(metadata!F435,"animal corpus"))</f>
        <v>0</v>
      </c>
      <c r="Z435">
        <f>AND(IF(metadata!G435="",FALSE,TRUE),exact(metadata!G435,"urine"))</f>
        <v>0</v>
      </c>
      <c r="AA435">
        <f>AND(IF(metadata!H435="",FALSE,TRUE),exact(metadata!H435,"urine"))</f>
        <v>0</v>
      </c>
      <c r="AB435">
        <f>AND(IF(metadata!I435="",FALSE,TRUE),exact(metadata!I435,"urine metagenome"))</f>
        <v>0</v>
      </c>
      <c r="AC435">
        <f>AND(IF(metadata!J435="",FALSE,TRUE),exact(metadata!J435,"1346744"))</f>
        <v>0</v>
      </c>
    </row>
    <row r="436" spans="1:29">
      <c r="A436" s="4">
        <f>IF(B436=" "," ",HYPERLINK(CONCATENATE("#metadata!",ADDRESS(INDEX($P$2:$P$1001,MATCH(ROWS($N$2:N436),$N$2:$N$1001,0),0),1)),INDEX($S$2:$S$1001,MATCH(ROWS($N$2:N436),$N$2:$N$1001,0),0)))</f>
        <v>0</v>
      </c>
      <c r="B436" s="3">
        <f>IF(OR(INDEX($O$2:$O$1001,MATCH(ROWS($N$2:N436),$N$2:$N$1001,0),1)&gt;=100000,INDEX($U$1005:$AC$1005,1,MATCH(COLUMNS($U$1006:U1006),$U$1006:$AC$1006,0))&gt;=100000), " ",IF(INDEX($U$2:$AC$1001,MATCH(ROWS($N$2:N436),$N$2:$N$1001,0),MATCH(COLUMNS($U$1006:U1006),$U$1006:$AC$1006,0)), HYPERLINK("#",""), HYPERLINK(CONCATENATE("#metadata!", ADDRESS(INDEX($P$2:$P$1001,MATCH(ROWS($N$2:N436),$N$2:$N$1001,0),0), INDEX($U$1004:$AC$1004,1,MATCH(COLUMNS($U$1006:U1006),$U$1006:$AC$1006,0)))),"Fix")))</f>
        <v>0</v>
      </c>
      <c r="C436" s="3">
        <f>IF(OR(INDEX($O$2:$O$1001,MATCH(ROWS($N$2:N436),$N$2:$N$1001,0),1)&gt;=100000,INDEX($U$1005:$AC$1005,1,MATCH(COLUMNS($U$1006:V1006),$U$1006:$AC$1006,0))&gt;=100000), " ",IF(INDEX($U$2:$AC$1001,MATCH(ROWS($N$2:N436),$N$2:$N$1001,0),MATCH(COLUMNS($U$1006:V1006),$U$1006:$AC$1006,0)), HYPERLINK("#",""), HYPERLINK(CONCATENATE("#metadata!", ADDRESS(INDEX($P$2:$P$1001,MATCH(ROWS($N$2:N436),$N$2:$N$1001,0),0), INDEX($U$1004:$AC$1004,1,MATCH(COLUMNS($U$1006:V1006),$U$1006:$AC$1006,0)))),"Fix")))</f>
        <v>0</v>
      </c>
      <c r="D436" s="3">
        <f>IF(OR(INDEX($O$2:$O$1001,MATCH(ROWS($N$2:N436),$N$2:$N$1001,0),1)&gt;=100000,INDEX($U$1005:$AC$1005,1,MATCH(COLUMNS($U$1006:W1006),$U$1006:$AC$1006,0))&gt;=100000), " ",IF(INDEX($U$2:$AC$1001,MATCH(ROWS($N$2:N436),$N$2:$N$1001,0),MATCH(COLUMNS($U$1006:W1006),$U$1006:$AC$1006,0)), HYPERLINK("#",""), HYPERLINK(CONCATENATE("#metadata!", ADDRESS(INDEX($P$2:$P$1001,MATCH(ROWS($N$2:N436),$N$2:$N$1001,0),0), INDEX($U$1004:$AC$1004,1,MATCH(COLUMNS($U$1006:W1006),$U$1006:$AC$1006,0)))),"Fix")))</f>
        <v>0</v>
      </c>
      <c r="E436" s="3">
        <f>IF(OR(INDEX($O$2:$O$1001,MATCH(ROWS($N$2:N436),$N$2:$N$1001,0),1)&gt;=100000,INDEX($U$1005:$AC$1005,1,MATCH(COLUMNS($U$1006:X1006),$U$1006:$AC$1006,0))&gt;=100000), " ",IF(INDEX($U$2:$AC$1001,MATCH(ROWS($N$2:N436),$N$2:$N$1001,0),MATCH(COLUMNS($U$1006:X1006),$U$1006:$AC$1006,0)), HYPERLINK("#",""), HYPERLINK(CONCATENATE("#metadata!", ADDRESS(INDEX($P$2:$P$1001,MATCH(ROWS($N$2:N436),$N$2:$N$1001,0),0), INDEX($U$1004:$AC$1004,1,MATCH(COLUMNS($U$1006:X1006),$U$1006:$AC$1006,0)))),"Fix")))</f>
        <v>0</v>
      </c>
      <c r="F436" s="3">
        <f>IF(OR(INDEX($O$2:$O$1001,MATCH(ROWS($N$2:N436),$N$2:$N$1001,0),1)&gt;=100000,INDEX($U$1005:$AC$1005,1,MATCH(COLUMNS($U$1006:Y1006),$U$1006:$AC$1006,0))&gt;=100000), " ",IF(INDEX($U$2:$AC$1001,MATCH(ROWS($N$2:N436),$N$2:$N$1001,0),MATCH(COLUMNS($U$1006:Y1006),$U$1006:$AC$1006,0)), HYPERLINK("#",""), HYPERLINK(CONCATENATE("#metadata!", ADDRESS(INDEX($P$2:$P$1001,MATCH(ROWS($N$2:N436),$N$2:$N$1001,0),0), INDEX($U$1004:$AC$1004,1,MATCH(COLUMNS($U$1006:Y1006),$U$1006:$AC$1006,0)))),"Fix")))</f>
        <v>0</v>
      </c>
      <c r="G436" s="3">
        <f>IF(OR(INDEX($O$2:$O$1001,MATCH(ROWS($N$2:N436),$N$2:$N$1001,0),1)&gt;=100000,INDEX($U$1005:$AC$1005,1,MATCH(COLUMNS($U$1006:Z1006),$U$1006:$AC$1006,0))&gt;=100000), " ",IF(INDEX($U$2:$AC$1001,MATCH(ROWS($N$2:N436),$N$2:$N$1001,0),MATCH(COLUMNS($U$1006:Z1006),$U$1006:$AC$1006,0)), HYPERLINK("#",""), HYPERLINK(CONCATENATE("#metadata!", ADDRESS(INDEX($P$2:$P$1001,MATCH(ROWS($N$2:N436),$N$2:$N$1001,0),0), INDEX($U$1004:$AC$1004,1,MATCH(COLUMNS($U$1006:Z1006),$U$1006:$AC$1006,0)))),"Fix")))</f>
        <v>0</v>
      </c>
      <c r="H436" s="3">
        <f>IF(OR(INDEX($O$2:$O$1001,MATCH(ROWS($N$2:N436),$N$2:$N$1001,0),1)&gt;=100000,INDEX($U$1005:$AC$1005,1,MATCH(COLUMNS($U$1006:AA1006),$U$1006:$AC$1006,0))&gt;=100000), " ",IF(INDEX($U$2:$AC$1001,MATCH(ROWS($N$2:N436),$N$2:$N$1001,0),MATCH(COLUMNS($U$1006:AA1006),$U$1006:$AC$1006,0)), HYPERLINK("#",""), HYPERLINK(CONCATENATE("#metadata!", ADDRESS(INDEX($P$2:$P$1001,MATCH(ROWS($N$2:N436),$N$2:$N$1001,0),0), INDEX($U$1004:$AC$1004,1,MATCH(COLUMNS($U$1006:AA1006),$U$1006:$AC$1006,0)))),"Fix")))</f>
        <v>0</v>
      </c>
      <c r="I436" s="3">
        <f>IF(OR(INDEX($O$2:$O$1001,MATCH(ROWS($N$2:N436),$N$2:$N$1001,0),1)&gt;=100000,INDEX($U$1005:$AC$1005,1,MATCH(COLUMNS($U$1006:AB1006),$U$1006:$AC$1006,0))&gt;=100000), " ",IF(INDEX($U$2:$AC$1001,MATCH(ROWS($N$2:N436),$N$2:$N$1001,0),MATCH(COLUMNS($U$1006:AB1006),$U$1006:$AC$1006,0)), HYPERLINK("#",""), HYPERLINK(CONCATENATE("#metadata!", ADDRESS(INDEX($P$2:$P$1001,MATCH(ROWS($N$2:N436),$N$2:$N$1001,0),0), INDEX($U$1004:$AC$1004,1,MATCH(COLUMNS($U$1006:AB1006),$U$1006:$AC$1006,0)))),"Fix")))</f>
        <v>0</v>
      </c>
      <c r="J436" s="3">
        <f>IF(OR(INDEX($O$2:$O$1001,MATCH(ROWS($N$2:N436),$N$2:$N$1001,0),1)&gt;=100000,INDEX($U$1005:$AC$1005,1,MATCH(COLUMNS($U$1006:AC1006),$U$1006:$AC$1006,0))&gt;=100000), " ",IF(INDEX($U$2:$AC$1001,MATCH(ROWS($N$2:N436),$N$2:$N$1001,0),MATCH(COLUMNS($U$1006:AC1006),$U$1006:$AC$1006,0)), HYPERLINK("#",""), HYPERLINK(CONCATENATE("#metadata!", ADDRESS(INDEX($P$2:$P$1001,MATCH(ROWS($N$2:N436),$N$2:$N$1001,0),0), INDEX($U$1004:$AC$1004,1,MATCH(COLUMNS($U$1006:AC1006),$U$1006:$AC$1006,0)))),"Fix")))</f>
        <v>0</v>
      </c>
      <c r="N436">
        <v>0</v>
      </c>
      <c r="O436">
        <v>0</v>
      </c>
      <c r="P436">
        <v>0</v>
      </c>
      <c r="Q436">
        <f>IF(R436,TRUE,AND(U436:AC436))</f>
        <v>0</v>
      </c>
      <c r="R436">
        <f>COUNTBLANK(metadata!B436:J436)=COLUMNS(metadata!B436:J436)</f>
        <v>0</v>
      </c>
      <c r="S436">
        <v>0</v>
      </c>
      <c r="U436">
        <f>AND(IF(metadata!B436="",FALSE,TRUE),COUNTIF(metadata!B:B, metadata!B436) = 1,NOT(ISERROR(SUMPRODUCT(SEARCH(MID(metadata!B436,ROW(INDIRECT("1:"&amp;LEN(metadata!B436))), 1),"0123456789abcdefghijklmnopqrstuvwxyzABCDEFGHIJKLMNOPQRSTUVWXYZ.")))))</f>
        <v>0</v>
      </c>
      <c r="V436">
        <f>AND(IF(metadata!C436="",FALSE,TRUE),exact(metadata!C436,"UBERON:genitourinary"))</f>
        <v>0</v>
      </c>
      <c r="W436">
        <f>AND(IF(metadata!D436="",FALSE,TRUE),exact(metadata!D436,"UBERON:urine"))</f>
        <v>0</v>
      </c>
      <c r="X436">
        <f>AND(IF(metadata!E436="",FALSE,TRUE),exact(metadata!E436,"UBERON:kidney"))</f>
        <v>0</v>
      </c>
      <c r="Y436">
        <f>AND(IF(metadata!F436="",FALSE,TRUE),exact(metadata!F436,"animal corpus"))</f>
        <v>0</v>
      </c>
      <c r="Z436">
        <f>AND(IF(metadata!G436="",FALSE,TRUE),exact(metadata!G436,"urine"))</f>
        <v>0</v>
      </c>
      <c r="AA436">
        <f>AND(IF(metadata!H436="",FALSE,TRUE),exact(metadata!H436,"urine"))</f>
        <v>0</v>
      </c>
      <c r="AB436">
        <f>AND(IF(metadata!I436="",FALSE,TRUE),exact(metadata!I436,"urine metagenome"))</f>
        <v>0</v>
      </c>
      <c r="AC436">
        <f>AND(IF(metadata!J436="",FALSE,TRUE),exact(metadata!J436,"1346744"))</f>
        <v>0</v>
      </c>
    </row>
    <row r="437" spans="1:29">
      <c r="A437" s="4">
        <f>IF(B437=" "," ",HYPERLINK(CONCATENATE("#metadata!",ADDRESS(INDEX($P$2:$P$1001,MATCH(ROWS($N$2:N437),$N$2:$N$1001,0),0),1)),INDEX($S$2:$S$1001,MATCH(ROWS($N$2:N437),$N$2:$N$1001,0),0)))</f>
        <v>0</v>
      </c>
      <c r="B437" s="3">
        <f>IF(OR(INDEX($O$2:$O$1001,MATCH(ROWS($N$2:N437),$N$2:$N$1001,0),1)&gt;=100000,INDEX($U$1005:$AC$1005,1,MATCH(COLUMNS($U$1006:U1006),$U$1006:$AC$1006,0))&gt;=100000), " ",IF(INDEX($U$2:$AC$1001,MATCH(ROWS($N$2:N437),$N$2:$N$1001,0),MATCH(COLUMNS($U$1006:U1006),$U$1006:$AC$1006,0)), HYPERLINK("#",""), HYPERLINK(CONCATENATE("#metadata!", ADDRESS(INDEX($P$2:$P$1001,MATCH(ROWS($N$2:N437),$N$2:$N$1001,0),0), INDEX($U$1004:$AC$1004,1,MATCH(COLUMNS($U$1006:U1006),$U$1006:$AC$1006,0)))),"Fix")))</f>
        <v>0</v>
      </c>
      <c r="C437" s="3">
        <f>IF(OR(INDEX($O$2:$O$1001,MATCH(ROWS($N$2:N437),$N$2:$N$1001,0),1)&gt;=100000,INDEX($U$1005:$AC$1005,1,MATCH(COLUMNS($U$1006:V1006),$U$1006:$AC$1006,0))&gt;=100000), " ",IF(INDEX($U$2:$AC$1001,MATCH(ROWS($N$2:N437),$N$2:$N$1001,0),MATCH(COLUMNS($U$1006:V1006),$U$1006:$AC$1006,0)), HYPERLINK("#",""), HYPERLINK(CONCATENATE("#metadata!", ADDRESS(INDEX($P$2:$P$1001,MATCH(ROWS($N$2:N437),$N$2:$N$1001,0),0), INDEX($U$1004:$AC$1004,1,MATCH(COLUMNS($U$1006:V1006),$U$1006:$AC$1006,0)))),"Fix")))</f>
        <v>0</v>
      </c>
      <c r="D437" s="3">
        <f>IF(OR(INDEX($O$2:$O$1001,MATCH(ROWS($N$2:N437),$N$2:$N$1001,0),1)&gt;=100000,INDEX($U$1005:$AC$1005,1,MATCH(COLUMNS($U$1006:W1006),$U$1006:$AC$1006,0))&gt;=100000), " ",IF(INDEX($U$2:$AC$1001,MATCH(ROWS($N$2:N437),$N$2:$N$1001,0),MATCH(COLUMNS($U$1006:W1006),$U$1006:$AC$1006,0)), HYPERLINK("#",""), HYPERLINK(CONCATENATE("#metadata!", ADDRESS(INDEX($P$2:$P$1001,MATCH(ROWS($N$2:N437),$N$2:$N$1001,0),0), INDEX($U$1004:$AC$1004,1,MATCH(COLUMNS($U$1006:W1006),$U$1006:$AC$1006,0)))),"Fix")))</f>
        <v>0</v>
      </c>
      <c r="E437" s="3">
        <f>IF(OR(INDEX($O$2:$O$1001,MATCH(ROWS($N$2:N437),$N$2:$N$1001,0),1)&gt;=100000,INDEX($U$1005:$AC$1005,1,MATCH(COLUMNS($U$1006:X1006),$U$1006:$AC$1006,0))&gt;=100000), " ",IF(INDEX($U$2:$AC$1001,MATCH(ROWS($N$2:N437),$N$2:$N$1001,0),MATCH(COLUMNS($U$1006:X1006),$U$1006:$AC$1006,0)), HYPERLINK("#",""), HYPERLINK(CONCATENATE("#metadata!", ADDRESS(INDEX($P$2:$P$1001,MATCH(ROWS($N$2:N437),$N$2:$N$1001,0),0), INDEX($U$1004:$AC$1004,1,MATCH(COLUMNS($U$1006:X1006),$U$1006:$AC$1006,0)))),"Fix")))</f>
        <v>0</v>
      </c>
      <c r="F437" s="3">
        <f>IF(OR(INDEX($O$2:$O$1001,MATCH(ROWS($N$2:N437),$N$2:$N$1001,0),1)&gt;=100000,INDEX($U$1005:$AC$1005,1,MATCH(COLUMNS($U$1006:Y1006),$U$1006:$AC$1006,0))&gt;=100000), " ",IF(INDEX($U$2:$AC$1001,MATCH(ROWS($N$2:N437),$N$2:$N$1001,0),MATCH(COLUMNS($U$1006:Y1006),$U$1006:$AC$1006,0)), HYPERLINK("#",""), HYPERLINK(CONCATENATE("#metadata!", ADDRESS(INDEX($P$2:$P$1001,MATCH(ROWS($N$2:N437),$N$2:$N$1001,0),0), INDEX($U$1004:$AC$1004,1,MATCH(COLUMNS($U$1006:Y1006),$U$1006:$AC$1006,0)))),"Fix")))</f>
        <v>0</v>
      </c>
      <c r="G437" s="3">
        <f>IF(OR(INDEX($O$2:$O$1001,MATCH(ROWS($N$2:N437),$N$2:$N$1001,0),1)&gt;=100000,INDEX($U$1005:$AC$1005,1,MATCH(COLUMNS($U$1006:Z1006),$U$1006:$AC$1006,0))&gt;=100000), " ",IF(INDEX($U$2:$AC$1001,MATCH(ROWS($N$2:N437),$N$2:$N$1001,0),MATCH(COLUMNS($U$1006:Z1006),$U$1006:$AC$1006,0)), HYPERLINK("#",""), HYPERLINK(CONCATENATE("#metadata!", ADDRESS(INDEX($P$2:$P$1001,MATCH(ROWS($N$2:N437),$N$2:$N$1001,0),0), INDEX($U$1004:$AC$1004,1,MATCH(COLUMNS($U$1006:Z1006),$U$1006:$AC$1006,0)))),"Fix")))</f>
        <v>0</v>
      </c>
      <c r="H437" s="3">
        <f>IF(OR(INDEX($O$2:$O$1001,MATCH(ROWS($N$2:N437),$N$2:$N$1001,0),1)&gt;=100000,INDEX($U$1005:$AC$1005,1,MATCH(COLUMNS($U$1006:AA1006),$U$1006:$AC$1006,0))&gt;=100000), " ",IF(INDEX($U$2:$AC$1001,MATCH(ROWS($N$2:N437),$N$2:$N$1001,0),MATCH(COLUMNS($U$1006:AA1006),$U$1006:$AC$1006,0)), HYPERLINK("#",""), HYPERLINK(CONCATENATE("#metadata!", ADDRESS(INDEX($P$2:$P$1001,MATCH(ROWS($N$2:N437),$N$2:$N$1001,0),0), INDEX($U$1004:$AC$1004,1,MATCH(COLUMNS($U$1006:AA1006),$U$1006:$AC$1006,0)))),"Fix")))</f>
        <v>0</v>
      </c>
      <c r="I437" s="3">
        <f>IF(OR(INDEX($O$2:$O$1001,MATCH(ROWS($N$2:N437),$N$2:$N$1001,0),1)&gt;=100000,INDEX($U$1005:$AC$1005,1,MATCH(COLUMNS($U$1006:AB1006),$U$1006:$AC$1006,0))&gt;=100000), " ",IF(INDEX($U$2:$AC$1001,MATCH(ROWS($N$2:N437),$N$2:$N$1001,0),MATCH(COLUMNS($U$1006:AB1006),$U$1006:$AC$1006,0)), HYPERLINK("#",""), HYPERLINK(CONCATENATE("#metadata!", ADDRESS(INDEX($P$2:$P$1001,MATCH(ROWS($N$2:N437),$N$2:$N$1001,0),0), INDEX($U$1004:$AC$1004,1,MATCH(COLUMNS($U$1006:AB1006),$U$1006:$AC$1006,0)))),"Fix")))</f>
        <v>0</v>
      </c>
      <c r="J437" s="3">
        <f>IF(OR(INDEX($O$2:$O$1001,MATCH(ROWS($N$2:N437),$N$2:$N$1001,0),1)&gt;=100000,INDEX($U$1005:$AC$1005,1,MATCH(COLUMNS($U$1006:AC1006),$U$1006:$AC$1006,0))&gt;=100000), " ",IF(INDEX($U$2:$AC$1001,MATCH(ROWS($N$2:N437),$N$2:$N$1001,0),MATCH(COLUMNS($U$1006:AC1006),$U$1006:$AC$1006,0)), HYPERLINK("#",""), HYPERLINK(CONCATENATE("#metadata!", ADDRESS(INDEX($P$2:$P$1001,MATCH(ROWS($N$2:N437),$N$2:$N$1001,0),0), INDEX($U$1004:$AC$1004,1,MATCH(COLUMNS($U$1006:AC1006),$U$1006:$AC$1006,0)))),"Fix")))</f>
        <v>0</v>
      </c>
      <c r="N437">
        <v>0</v>
      </c>
      <c r="O437">
        <v>0</v>
      </c>
      <c r="P437">
        <v>0</v>
      </c>
      <c r="Q437">
        <f>IF(R437,TRUE,AND(U437:AC437))</f>
        <v>0</v>
      </c>
      <c r="R437">
        <f>COUNTBLANK(metadata!B437:J437)=COLUMNS(metadata!B437:J437)</f>
        <v>0</v>
      </c>
      <c r="S437">
        <v>0</v>
      </c>
      <c r="U437">
        <f>AND(IF(metadata!B437="",FALSE,TRUE),COUNTIF(metadata!B:B, metadata!B437) = 1,NOT(ISERROR(SUMPRODUCT(SEARCH(MID(metadata!B437,ROW(INDIRECT("1:"&amp;LEN(metadata!B437))), 1),"0123456789abcdefghijklmnopqrstuvwxyzABCDEFGHIJKLMNOPQRSTUVWXYZ.")))))</f>
        <v>0</v>
      </c>
      <c r="V437">
        <f>AND(IF(metadata!C437="",FALSE,TRUE),exact(metadata!C437,"UBERON:genitourinary"))</f>
        <v>0</v>
      </c>
      <c r="W437">
        <f>AND(IF(metadata!D437="",FALSE,TRUE),exact(metadata!D437,"UBERON:urine"))</f>
        <v>0</v>
      </c>
      <c r="X437">
        <f>AND(IF(metadata!E437="",FALSE,TRUE),exact(metadata!E437,"UBERON:kidney"))</f>
        <v>0</v>
      </c>
      <c r="Y437">
        <f>AND(IF(metadata!F437="",FALSE,TRUE),exact(metadata!F437,"animal corpus"))</f>
        <v>0</v>
      </c>
      <c r="Z437">
        <f>AND(IF(metadata!G437="",FALSE,TRUE),exact(metadata!G437,"urine"))</f>
        <v>0</v>
      </c>
      <c r="AA437">
        <f>AND(IF(metadata!H437="",FALSE,TRUE),exact(metadata!H437,"urine"))</f>
        <v>0</v>
      </c>
      <c r="AB437">
        <f>AND(IF(metadata!I437="",FALSE,TRUE),exact(metadata!I437,"urine metagenome"))</f>
        <v>0</v>
      </c>
      <c r="AC437">
        <f>AND(IF(metadata!J437="",FALSE,TRUE),exact(metadata!J437,"1346744"))</f>
        <v>0</v>
      </c>
    </row>
    <row r="438" spans="1:29">
      <c r="A438" s="4">
        <f>IF(B438=" "," ",HYPERLINK(CONCATENATE("#metadata!",ADDRESS(INDEX($P$2:$P$1001,MATCH(ROWS($N$2:N438),$N$2:$N$1001,0),0),1)),INDEX($S$2:$S$1001,MATCH(ROWS($N$2:N438),$N$2:$N$1001,0),0)))</f>
        <v>0</v>
      </c>
      <c r="B438" s="3">
        <f>IF(OR(INDEX($O$2:$O$1001,MATCH(ROWS($N$2:N438),$N$2:$N$1001,0),1)&gt;=100000,INDEX($U$1005:$AC$1005,1,MATCH(COLUMNS($U$1006:U1006),$U$1006:$AC$1006,0))&gt;=100000), " ",IF(INDEX($U$2:$AC$1001,MATCH(ROWS($N$2:N438),$N$2:$N$1001,0),MATCH(COLUMNS($U$1006:U1006),$U$1006:$AC$1006,0)), HYPERLINK("#",""), HYPERLINK(CONCATENATE("#metadata!", ADDRESS(INDEX($P$2:$P$1001,MATCH(ROWS($N$2:N438),$N$2:$N$1001,0),0), INDEX($U$1004:$AC$1004,1,MATCH(COLUMNS($U$1006:U1006),$U$1006:$AC$1006,0)))),"Fix")))</f>
        <v>0</v>
      </c>
      <c r="C438" s="3">
        <f>IF(OR(INDEX($O$2:$O$1001,MATCH(ROWS($N$2:N438),$N$2:$N$1001,0),1)&gt;=100000,INDEX($U$1005:$AC$1005,1,MATCH(COLUMNS($U$1006:V1006),$U$1006:$AC$1006,0))&gt;=100000), " ",IF(INDEX($U$2:$AC$1001,MATCH(ROWS($N$2:N438),$N$2:$N$1001,0),MATCH(COLUMNS($U$1006:V1006),$U$1006:$AC$1006,0)), HYPERLINK("#",""), HYPERLINK(CONCATENATE("#metadata!", ADDRESS(INDEX($P$2:$P$1001,MATCH(ROWS($N$2:N438),$N$2:$N$1001,0),0), INDEX($U$1004:$AC$1004,1,MATCH(COLUMNS($U$1006:V1006),$U$1006:$AC$1006,0)))),"Fix")))</f>
        <v>0</v>
      </c>
      <c r="D438" s="3">
        <f>IF(OR(INDEX($O$2:$O$1001,MATCH(ROWS($N$2:N438),$N$2:$N$1001,0),1)&gt;=100000,INDEX($U$1005:$AC$1005,1,MATCH(COLUMNS($U$1006:W1006),$U$1006:$AC$1006,0))&gt;=100000), " ",IF(INDEX($U$2:$AC$1001,MATCH(ROWS($N$2:N438),$N$2:$N$1001,0),MATCH(COLUMNS($U$1006:W1006),$U$1006:$AC$1006,0)), HYPERLINK("#",""), HYPERLINK(CONCATENATE("#metadata!", ADDRESS(INDEX($P$2:$P$1001,MATCH(ROWS($N$2:N438),$N$2:$N$1001,0),0), INDEX($U$1004:$AC$1004,1,MATCH(COLUMNS($U$1006:W1006),$U$1006:$AC$1006,0)))),"Fix")))</f>
        <v>0</v>
      </c>
      <c r="E438" s="3">
        <f>IF(OR(INDEX($O$2:$O$1001,MATCH(ROWS($N$2:N438),$N$2:$N$1001,0),1)&gt;=100000,INDEX($U$1005:$AC$1005,1,MATCH(COLUMNS($U$1006:X1006),$U$1006:$AC$1006,0))&gt;=100000), " ",IF(INDEX($U$2:$AC$1001,MATCH(ROWS($N$2:N438),$N$2:$N$1001,0),MATCH(COLUMNS($U$1006:X1006),$U$1006:$AC$1006,0)), HYPERLINK("#",""), HYPERLINK(CONCATENATE("#metadata!", ADDRESS(INDEX($P$2:$P$1001,MATCH(ROWS($N$2:N438),$N$2:$N$1001,0),0), INDEX($U$1004:$AC$1004,1,MATCH(COLUMNS($U$1006:X1006),$U$1006:$AC$1006,0)))),"Fix")))</f>
        <v>0</v>
      </c>
      <c r="F438" s="3">
        <f>IF(OR(INDEX($O$2:$O$1001,MATCH(ROWS($N$2:N438),$N$2:$N$1001,0),1)&gt;=100000,INDEX($U$1005:$AC$1005,1,MATCH(COLUMNS($U$1006:Y1006),$U$1006:$AC$1006,0))&gt;=100000), " ",IF(INDEX($U$2:$AC$1001,MATCH(ROWS($N$2:N438),$N$2:$N$1001,0),MATCH(COLUMNS($U$1006:Y1006),$U$1006:$AC$1006,0)), HYPERLINK("#",""), HYPERLINK(CONCATENATE("#metadata!", ADDRESS(INDEX($P$2:$P$1001,MATCH(ROWS($N$2:N438),$N$2:$N$1001,0),0), INDEX($U$1004:$AC$1004,1,MATCH(COLUMNS($U$1006:Y1006),$U$1006:$AC$1006,0)))),"Fix")))</f>
        <v>0</v>
      </c>
      <c r="G438" s="3">
        <f>IF(OR(INDEX($O$2:$O$1001,MATCH(ROWS($N$2:N438),$N$2:$N$1001,0),1)&gt;=100000,INDEX($U$1005:$AC$1005,1,MATCH(COLUMNS($U$1006:Z1006),$U$1006:$AC$1006,0))&gt;=100000), " ",IF(INDEX($U$2:$AC$1001,MATCH(ROWS($N$2:N438),$N$2:$N$1001,0),MATCH(COLUMNS($U$1006:Z1006),$U$1006:$AC$1006,0)), HYPERLINK("#",""), HYPERLINK(CONCATENATE("#metadata!", ADDRESS(INDEX($P$2:$P$1001,MATCH(ROWS($N$2:N438),$N$2:$N$1001,0),0), INDEX($U$1004:$AC$1004,1,MATCH(COLUMNS($U$1006:Z1006),$U$1006:$AC$1006,0)))),"Fix")))</f>
        <v>0</v>
      </c>
      <c r="H438" s="3">
        <f>IF(OR(INDEX($O$2:$O$1001,MATCH(ROWS($N$2:N438),$N$2:$N$1001,0),1)&gt;=100000,INDEX($U$1005:$AC$1005,1,MATCH(COLUMNS($U$1006:AA1006),$U$1006:$AC$1006,0))&gt;=100000), " ",IF(INDEX($U$2:$AC$1001,MATCH(ROWS($N$2:N438),$N$2:$N$1001,0),MATCH(COLUMNS($U$1006:AA1006),$U$1006:$AC$1006,0)), HYPERLINK("#",""), HYPERLINK(CONCATENATE("#metadata!", ADDRESS(INDEX($P$2:$P$1001,MATCH(ROWS($N$2:N438),$N$2:$N$1001,0),0), INDEX($U$1004:$AC$1004,1,MATCH(COLUMNS($U$1006:AA1006),$U$1006:$AC$1006,0)))),"Fix")))</f>
        <v>0</v>
      </c>
      <c r="I438" s="3">
        <f>IF(OR(INDEX($O$2:$O$1001,MATCH(ROWS($N$2:N438),$N$2:$N$1001,0),1)&gt;=100000,INDEX($U$1005:$AC$1005,1,MATCH(COLUMNS($U$1006:AB1006),$U$1006:$AC$1006,0))&gt;=100000), " ",IF(INDEX($U$2:$AC$1001,MATCH(ROWS($N$2:N438),$N$2:$N$1001,0),MATCH(COLUMNS($U$1006:AB1006),$U$1006:$AC$1006,0)), HYPERLINK("#",""), HYPERLINK(CONCATENATE("#metadata!", ADDRESS(INDEX($P$2:$P$1001,MATCH(ROWS($N$2:N438),$N$2:$N$1001,0),0), INDEX($U$1004:$AC$1004,1,MATCH(COLUMNS($U$1006:AB1006),$U$1006:$AC$1006,0)))),"Fix")))</f>
        <v>0</v>
      </c>
      <c r="J438" s="3">
        <f>IF(OR(INDEX($O$2:$O$1001,MATCH(ROWS($N$2:N438),$N$2:$N$1001,0),1)&gt;=100000,INDEX($U$1005:$AC$1005,1,MATCH(COLUMNS($U$1006:AC1006),$U$1006:$AC$1006,0))&gt;=100000), " ",IF(INDEX($U$2:$AC$1001,MATCH(ROWS($N$2:N438),$N$2:$N$1001,0),MATCH(COLUMNS($U$1006:AC1006),$U$1006:$AC$1006,0)), HYPERLINK("#",""), HYPERLINK(CONCATENATE("#metadata!", ADDRESS(INDEX($P$2:$P$1001,MATCH(ROWS($N$2:N438),$N$2:$N$1001,0),0), INDEX($U$1004:$AC$1004,1,MATCH(COLUMNS($U$1006:AC1006),$U$1006:$AC$1006,0)))),"Fix")))</f>
        <v>0</v>
      </c>
      <c r="N438">
        <v>0</v>
      </c>
      <c r="O438">
        <v>0</v>
      </c>
      <c r="P438">
        <v>0</v>
      </c>
      <c r="Q438">
        <f>IF(R438,TRUE,AND(U438:AC438))</f>
        <v>0</v>
      </c>
      <c r="R438">
        <f>COUNTBLANK(metadata!B438:J438)=COLUMNS(metadata!B438:J438)</f>
        <v>0</v>
      </c>
      <c r="S438">
        <v>0</v>
      </c>
      <c r="U438">
        <f>AND(IF(metadata!B438="",FALSE,TRUE),COUNTIF(metadata!B:B, metadata!B438) = 1,NOT(ISERROR(SUMPRODUCT(SEARCH(MID(metadata!B438,ROW(INDIRECT("1:"&amp;LEN(metadata!B438))), 1),"0123456789abcdefghijklmnopqrstuvwxyzABCDEFGHIJKLMNOPQRSTUVWXYZ.")))))</f>
        <v>0</v>
      </c>
      <c r="V438">
        <f>AND(IF(metadata!C438="",FALSE,TRUE),exact(metadata!C438,"UBERON:genitourinary"))</f>
        <v>0</v>
      </c>
      <c r="W438">
        <f>AND(IF(metadata!D438="",FALSE,TRUE),exact(metadata!D438,"UBERON:urine"))</f>
        <v>0</v>
      </c>
      <c r="X438">
        <f>AND(IF(metadata!E438="",FALSE,TRUE),exact(metadata!E438,"UBERON:kidney"))</f>
        <v>0</v>
      </c>
      <c r="Y438">
        <f>AND(IF(metadata!F438="",FALSE,TRUE),exact(metadata!F438,"animal corpus"))</f>
        <v>0</v>
      </c>
      <c r="Z438">
        <f>AND(IF(metadata!G438="",FALSE,TRUE),exact(metadata!G438,"urine"))</f>
        <v>0</v>
      </c>
      <c r="AA438">
        <f>AND(IF(metadata!H438="",FALSE,TRUE),exact(metadata!H438,"urine"))</f>
        <v>0</v>
      </c>
      <c r="AB438">
        <f>AND(IF(metadata!I438="",FALSE,TRUE),exact(metadata!I438,"urine metagenome"))</f>
        <v>0</v>
      </c>
      <c r="AC438">
        <f>AND(IF(metadata!J438="",FALSE,TRUE),exact(metadata!J438,"1346744"))</f>
        <v>0</v>
      </c>
    </row>
    <row r="439" spans="1:29">
      <c r="A439" s="4">
        <f>IF(B439=" "," ",HYPERLINK(CONCATENATE("#metadata!",ADDRESS(INDEX($P$2:$P$1001,MATCH(ROWS($N$2:N439),$N$2:$N$1001,0),0),1)),INDEX($S$2:$S$1001,MATCH(ROWS($N$2:N439),$N$2:$N$1001,0),0)))</f>
        <v>0</v>
      </c>
      <c r="B439" s="3">
        <f>IF(OR(INDEX($O$2:$O$1001,MATCH(ROWS($N$2:N439),$N$2:$N$1001,0),1)&gt;=100000,INDEX($U$1005:$AC$1005,1,MATCH(COLUMNS($U$1006:U1006),$U$1006:$AC$1006,0))&gt;=100000), " ",IF(INDEX($U$2:$AC$1001,MATCH(ROWS($N$2:N439),$N$2:$N$1001,0),MATCH(COLUMNS($U$1006:U1006),$U$1006:$AC$1006,0)), HYPERLINK("#",""), HYPERLINK(CONCATENATE("#metadata!", ADDRESS(INDEX($P$2:$P$1001,MATCH(ROWS($N$2:N439),$N$2:$N$1001,0),0), INDEX($U$1004:$AC$1004,1,MATCH(COLUMNS($U$1006:U1006),$U$1006:$AC$1006,0)))),"Fix")))</f>
        <v>0</v>
      </c>
      <c r="C439" s="3">
        <f>IF(OR(INDEX($O$2:$O$1001,MATCH(ROWS($N$2:N439),$N$2:$N$1001,0),1)&gt;=100000,INDEX($U$1005:$AC$1005,1,MATCH(COLUMNS($U$1006:V1006),$U$1006:$AC$1006,0))&gt;=100000), " ",IF(INDEX($U$2:$AC$1001,MATCH(ROWS($N$2:N439),$N$2:$N$1001,0),MATCH(COLUMNS($U$1006:V1006),$U$1006:$AC$1006,0)), HYPERLINK("#",""), HYPERLINK(CONCATENATE("#metadata!", ADDRESS(INDEX($P$2:$P$1001,MATCH(ROWS($N$2:N439),$N$2:$N$1001,0),0), INDEX($U$1004:$AC$1004,1,MATCH(COLUMNS($U$1006:V1006),$U$1006:$AC$1006,0)))),"Fix")))</f>
        <v>0</v>
      </c>
      <c r="D439" s="3">
        <f>IF(OR(INDEX($O$2:$O$1001,MATCH(ROWS($N$2:N439),$N$2:$N$1001,0),1)&gt;=100000,INDEX($U$1005:$AC$1005,1,MATCH(COLUMNS($U$1006:W1006),$U$1006:$AC$1006,0))&gt;=100000), " ",IF(INDEX($U$2:$AC$1001,MATCH(ROWS($N$2:N439),$N$2:$N$1001,0),MATCH(COLUMNS($U$1006:W1006),$U$1006:$AC$1006,0)), HYPERLINK("#",""), HYPERLINK(CONCATENATE("#metadata!", ADDRESS(INDEX($P$2:$P$1001,MATCH(ROWS($N$2:N439),$N$2:$N$1001,0),0), INDEX($U$1004:$AC$1004,1,MATCH(COLUMNS($U$1006:W1006),$U$1006:$AC$1006,0)))),"Fix")))</f>
        <v>0</v>
      </c>
      <c r="E439" s="3">
        <f>IF(OR(INDEX($O$2:$O$1001,MATCH(ROWS($N$2:N439),$N$2:$N$1001,0),1)&gt;=100000,INDEX($U$1005:$AC$1005,1,MATCH(COLUMNS($U$1006:X1006),$U$1006:$AC$1006,0))&gt;=100000), " ",IF(INDEX($U$2:$AC$1001,MATCH(ROWS($N$2:N439),$N$2:$N$1001,0),MATCH(COLUMNS($U$1006:X1006),$U$1006:$AC$1006,0)), HYPERLINK("#",""), HYPERLINK(CONCATENATE("#metadata!", ADDRESS(INDEX($P$2:$P$1001,MATCH(ROWS($N$2:N439),$N$2:$N$1001,0),0), INDEX($U$1004:$AC$1004,1,MATCH(COLUMNS($U$1006:X1006),$U$1006:$AC$1006,0)))),"Fix")))</f>
        <v>0</v>
      </c>
      <c r="F439" s="3">
        <f>IF(OR(INDEX($O$2:$O$1001,MATCH(ROWS($N$2:N439),$N$2:$N$1001,0),1)&gt;=100000,INDEX($U$1005:$AC$1005,1,MATCH(COLUMNS($U$1006:Y1006),$U$1006:$AC$1006,0))&gt;=100000), " ",IF(INDEX($U$2:$AC$1001,MATCH(ROWS($N$2:N439),$N$2:$N$1001,0),MATCH(COLUMNS($U$1006:Y1006),$U$1006:$AC$1006,0)), HYPERLINK("#",""), HYPERLINK(CONCATENATE("#metadata!", ADDRESS(INDEX($P$2:$P$1001,MATCH(ROWS($N$2:N439),$N$2:$N$1001,0),0), INDEX($U$1004:$AC$1004,1,MATCH(COLUMNS($U$1006:Y1006),$U$1006:$AC$1006,0)))),"Fix")))</f>
        <v>0</v>
      </c>
      <c r="G439" s="3">
        <f>IF(OR(INDEX($O$2:$O$1001,MATCH(ROWS($N$2:N439),$N$2:$N$1001,0),1)&gt;=100000,INDEX($U$1005:$AC$1005,1,MATCH(COLUMNS($U$1006:Z1006),$U$1006:$AC$1006,0))&gt;=100000), " ",IF(INDEX($U$2:$AC$1001,MATCH(ROWS($N$2:N439),$N$2:$N$1001,0),MATCH(COLUMNS($U$1006:Z1006),$U$1006:$AC$1006,0)), HYPERLINK("#",""), HYPERLINK(CONCATENATE("#metadata!", ADDRESS(INDEX($P$2:$P$1001,MATCH(ROWS($N$2:N439),$N$2:$N$1001,0),0), INDEX($U$1004:$AC$1004,1,MATCH(COLUMNS($U$1006:Z1006),$U$1006:$AC$1006,0)))),"Fix")))</f>
        <v>0</v>
      </c>
      <c r="H439" s="3">
        <f>IF(OR(INDEX($O$2:$O$1001,MATCH(ROWS($N$2:N439),$N$2:$N$1001,0),1)&gt;=100000,INDEX($U$1005:$AC$1005,1,MATCH(COLUMNS($U$1006:AA1006),$U$1006:$AC$1006,0))&gt;=100000), " ",IF(INDEX($U$2:$AC$1001,MATCH(ROWS($N$2:N439),$N$2:$N$1001,0),MATCH(COLUMNS($U$1006:AA1006),$U$1006:$AC$1006,0)), HYPERLINK("#",""), HYPERLINK(CONCATENATE("#metadata!", ADDRESS(INDEX($P$2:$P$1001,MATCH(ROWS($N$2:N439),$N$2:$N$1001,0),0), INDEX($U$1004:$AC$1004,1,MATCH(COLUMNS($U$1006:AA1006),$U$1006:$AC$1006,0)))),"Fix")))</f>
        <v>0</v>
      </c>
      <c r="I439" s="3">
        <f>IF(OR(INDEX($O$2:$O$1001,MATCH(ROWS($N$2:N439),$N$2:$N$1001,0),1)&gt;=100000,INDEX($U$1005:$AC$1005,1,MATCH(COLUMNS($U$1006:AB1006),$U$1006:$AC$1006,0))&gt;=100000), " ",IF(INDEX($U$2:$AC$1001,MATCH(ROWS($N$2:N439),$N$2:$N$1001,0),MATCH(COLUMNS($U$1006:AB1006),$U$1006:$AC$1006,0)), HYPERLINK("#",""), HYPERLINK(CONCATENATE("#metadata!", ADDRESS(INDEX($P$2:$P$1001,MATCH(ROWS($N$2:N439),$N$2:$N$1001,0),0), INDEX($U$1004:$AC$1004,1,MATCH(COLUMNS($U$1006:AB1006),$U$1006:$AC$1006,0)))),"Fix")))</f>
        <v>0</v>
      </c>
      <c r="J439" s="3">
        <f>IF(OR(INDEX($O$2:$O$1001,MATCH(ROWS($N$2:N439),$N$2:$N$1001,0),1)&gt;=100000,INDEX($U$1005:$AC$1005,1,MATCH(COLUMNS($U$1006:AC1006),$U$1006:$AC$1006,0))&gt;=100000), " ",IF(INDEX($U$2:$AC$1001,MATCH(ROWS($N$2:N439),$N$2:$N$1001,0),MATCH(COLUMNS($U$1006:AC1006),$U$1006:$AC$1006,0)), HYPERLINK("#",""), HYPERLINK(CONCATENATE("#metadata!", ADDRESS(INDEX($P$2:$P$1001,MATCH(ROWS($N$2:N439),$N$2:$N$1001,0),0), INDEX($U$1004:$AC$1004,1,MATCH(COLUMNS($U$1006:AC1006),$U$1006:$AC$1006,0)))),"Fix")))</f>
        <v>0</v>
      </c>
      <c r="N439">
        <v>0</v>
      </c>
      <c r="O439">
        <v>0</v>
      </c>
      <c r="P439">
        <v>0</v>
      </c>
      <c r="Q439">
        <f>IF(R439,TRUE,AND(U439:AC439))</f>
        <v>0</v>
      </c>
      <c r="R439">
        <f>COUNTBLANK(metadata!B439:J439)=COLUMNS(metadata!B439:J439)</f>
        <v>0</v>
      </c>
      <c r="S439">
        <v>0</v>
      </c>
      <c r="U439">
        <f>AND(IF(metadata!B439="",FALSE,TRUE),COUNTIF(metadata!B:B, metadata!B439) = 1,NOT(ISERROR(SUMPRODUCT(SEARCH(MID(metadata!B439,ROW(INDIRECT("1:"&amp;LEN(metadata!B439))), 1),"0123456789abcdefghijklmnopqrstuvwxyzABCDEFGHIJKLMNOPQRSTUVWXYZ.")))))</f>
        <v>0</v>
      </c>
      <c r="V439">
        <f>AND(IF(metadata!C439="",FALSE,TRUE),exact(metadata!C439,"UBERON:genitourinary"))</f>
        <v>0</v>
      </c>
      <c r="W439">
        <f>AND(IF(metadata!D439="",FALSE,TRUE),exact(metadata!D439,"UBERON:urine"))</f>
        <v>0</v>
      </c>
      <c r="X439">
        <f>AND(IF(metadata!E439="",FALSE,TRUE),exact(metadata!E439,"UBERON:kidney"))</f>
        <v>0</v>
      </c>
      <c r="Y439">
        <f>AND(IF(metadata!F439="",FALSE,TRUE),exact(metadata!F439,"animal corpus"))</f>
        <v>0</v>
      </c>
      <c r="Z439">
        <f>AND(IF(metadata!G439="",FALSE,TRUE),exact(metadata!G439,"urine"))</f>
        <v>0</v>
      </c>
      <c r="AA439">
        <f>AND(IF(metadata!H439="",FALSE,TRUE),exact(metadata!H439,"urine"))</f>
        <v>0</v>
      </c>
      <c r="AB439">
        <f>AND(IF(metadata!I439="",FALSE,TRUE),exact(metadata!I439,"urine metagenome"))</f>
        <v>0</v>
      </c>
      <c r="AC439">
        <f>AND(IF(metadata!J439="",FALSE,TRUE),exact(metadata!J439,"1346744"))</f>
        <v>0</v>
      </c>
    </row>
    <row r="440" spans="1:29">
      <c r="A440" s="4">
        <f>IF(B440=" "," ",HYPERLINK(CONCATENATE("#metadata!",ADDRESS(INDEX($P$2:$P$1001,MATCH(ROWS($N$2:N440),$N$2:$N$1001,0),0),1)),INDEX($S$2:$S$1001,MATCH(ROWS($N$2:N440),$N$2:$N$1001,0),0)))</f>
        <v>0</v>
      </c>
      <c r="B440" s="3">
        <f>IF(OR(INDEX($O$2:$O$1001,MATCH(ROWS($N$2:N440),$N$2:$N$1001,0),1)&gt;=100000,INDEX($U$1005:$AC$1005,1,MATCH(COLUMNS($U$1006:U1006),$U$1006:$AC$1006,0))&gt;=100000), " ",IF(INDEX($U$2:$AC$1001,MATCH(ROWS($N$2:N440),$N$2:$N$1001,0),MATCH(COLUMNS($U$1006:U1006),$U$1006:$AC$1006,0)), HYPERLINK("#",""), HYPERLINK(CONCATENATE("#metadata!", ADDRESS(INDEX($P$2:$P$1001,MATCH(ROWS($N$2:N440),$N$2:$N$1001,0),0), INDEX($U$1004:$AC$1004,1,MATCH(COLUMNS($U$1006:U1006),$U$1006:$AC$1006,0)))),"Fix")))</f>
        <v>0</v>
      </c>
      <c r="C440" s="3">
        <f>IF(OR(INDEX($O$2:$O$1001,MATCH(ROWS($N$2:N440),$N$2:$N$1001,0),1)&gt;=100000,INDEX($U$1005:$AC$1005,1,MATCH(COLUMNS($U$1006:V1006),$U$1006:$AC$1006,0))&gt;=100000), " ",IF(INDEX($U$2:$AC$1001,MATCH(ROWS($N$2:N440),$N$2:$N$1001,0),MATCH(COLUMNS($U$1006:V1006),$U$1006:$AC$1006,0)), HYPERLINK("#",""), HYPERLINK(CONCATENATE("#metadata!", ADDRESS(INDEX($P$2:$P$1001,MATCH(ROWS($N$2:N440),$N$2:$N$1001,0),0), INDEX($U$1004:$AC$1004,1,MATCH(COLUMNS($U$1006:V1006),$U$1006:$AC$1006,0)))),"Fix")))</f>
        <v>0</v>
      </c>
      <c r="D440" s="3">
        <f>IF(OR(INDEX($O$2:$O$1001,MATCH(ROWS($N$2:N440),$N$2:$N$1001,0),1)&gt;=100000,INDEX($U$1005:$AC$1005,1,MATCH(COLUMNS($U$1006:W1006),$U$1006:$AC$1006,0))&gt;=100000), " ",IF(INDEX($U$2:$AC$1001,MATCH(ROWS($N$2:N440),$N$2:$N$1001,0),MATCH(COLUMNS($U$1006:W1006),$U$1006:$AC$1006,0)), HYPERLINK("#",""), HYPERLINK(CONCATENATE("#metadata!", ADDRESS(INDEX($P$2:$P$1001,MATCH(ROWS($N$2:N440),$N$2:$N$1001,0),0), INDEX($U$1004:$AC$1004,1,MATCH(COLUMNS($U$1006:W1006),$U$1006:$AC$1006,0)))),"Fix")))</f>
        <v>0</v>
      </c>
      <c r="E440" s="3">
        <f>IF(OR(INDEX($O$2:$O$1001,MATCH(ROWS($N$2:N440),$N$2:$N$1001,0),1)&gt;=100000,INDEX($U$1005:$AC$1005,1,MATCH(COLUMNS($U$1006:X1006),$U$1006:$AC$1006,0))&gt;=100000), " ",IF(INDEX($U$2:$AC$1001,MATCH(ROWS($N$2:N440),$N$2:$N$1001,0),MATCH(COLUMNS($U$1006:X1006),$U$1006:$AC$1006,0)), HYPERLINK("#",""), HYPERLINK(CONCATENATE("#metadata!", ADDRESS(INDEX($P$2:$P$1001,MATCH(ROWS($N$2:N440),$N$2:$N$1001,0),0), INDEX($U$1004:$AC$1004,1,MATCH(COLUMNS($U$1006:X1006),$U$1006:$AC$1006,0)))),"Fix")))</f>
        <v>0</v>
      </c>
      <c r="F440" s="3">
        <f>IF(OR(INDEX($O$2:$O$1001,MATCH(ROWS($N$2:N440),$N$2:$N$1001,0),1)&gt;=100000,INDEX($U$1005:$AC$1005,1,MATCH(COLUMNS($U$1006:Y1006),$U$1006:$AC$1006,0))&gt;=100000), " ",IF(INDEX($U$2:$AC$1001,MATCH(ROWS($N$2:N440),$N$2:$N$1001,0),MATCH(COLUMNS($U$1006:Y1006),$U$1006:$AC$1006,0)), HYPERLINK("#",""), HYPERLINK(CONCATENATE("#metadata!", ADDRESS(INDEX($P$2:$P$1001,MATCH(ROWS($N$2:N440),$N$2:$N$1001,0),0), INDEX($U$1004:$AC$1004,1,MATCH(COLUMNS($U$1006:Y1006),$U$1006:$AC$1006,0)))),"Fix")))</f>
        <v>0</v>
      </c>
      <c r="G440" s="3">
        <f>IF(OR(INDEX($O$2:$O$1001,MATCH(ROWS($N$2:N440),$N$2:$N$1001,0),1)&gt;=100000,INDEX($U$1005:$AC$1005,1,MATCH(COLUMNS($U$1006:Z1006),$U$1006:$AC$1006,0))&gt;=100000), " ",IF(INDEX($U$2:$AC$1001,MATCH(ROWS($N$2:N440),$N$2:$N$1001,0),MATCH(COLUMNS($U$1006:Z1006),$U$1006:$AC$1006,0)), HYPERLINK("#",""), HYPERLINK(CONCATENATE("#metadata!", ADDRESS(INDEX($P$2:$P$1001,MATCH(ROWS($N$2:N440),$N$2:$N$1001,0),0), INDEX($U$1004:$AC$1004,1,MATCH(COLUMNS($U$1006:Z1006),$U$1006:$AC$1006,0)))),"Fix")))</f>
        <v>0</v>
      </c>
      <c r="H440" s="3">
        <f>IF(OR(INDEX($O$2:$O$1001,MATCH(ROWS($N$2:N440),$N$2:$N$1001,0),1)&gt;=100000,INDEX($U$1005:$AC$1005,1,MATCH(COLUMNS($U$1006:AA1006),$U$1006:$AC$1006,0))&gt;=100000), " ",IF(INDEX($U$2:$AC$1001,MATCH(ROWS($N$2:N440),$N$2:$N$1001,0),MATCH(COLUMNS($U$1006:AA1006),$U$1006:$AC$1006,0)), HYPERLINK("#",""), HYPERLINK(CONCATENATE("#metadata!", ADDRESS(INDEX($P$2:$P$1001,MATCH(ROWS($N$2:N440),$N$2:$N$1001,0),0), INDEX($U$1004:$AC$1004,1,MATCH(COLUMNS($U$1006:AA1006),$U$1006:$AC$1006,0)))),"Fix")))</f>
        <v>0</v>
      </c>
      <c r="I440" s="3">
        <f>IF(OR(INDEX($O$2:$O$1001,MATCH(ROWS($N$2:N440),$N$2:$N$1001,0),1)&gt;=100000,INDEX($U$1005:$AC$1005,1,MATCH(COLUMNS($U$1006:AB1006),$U$1006:$AC$1006,0))&gt;=100000), " ",IF(INDEX($U$2:$AC$1001,MATCH(ROWS($N$2:N440),$N$2:$N$1001,0),MATCH(COLUMNS($U$1006:AB1006),$U$1006:$AC$1006,0)), HYPERLINK("#",""), HYPERLINK(CONCATENATE("#metadata!", ADDRESS(INDEX($P$2:$P$1001,MATCH(ROWS($N$2:N440),$N$2:$N$1001,0),0), INDEX($U$1004:$AC$1004,1,MATCH(COLUMNS($U$1006:AB1006),$U$1006:$AC$1006,0)))),"Fix")))</f>
        <v>0</v>
      </c>
      <c r="J440" s="3">
        <f>IF(OR(INDEX($O$2:$O$1001,MATCH(ROWS($N$2:N440),$N$2:$N$1001,0),1)&gt;=100000,INDEX($U$1005:$AC$1005,1,MATCH(COLUMNS($U$1006:AC1006),$U$1006:$AC$1006,0))&gt;=100000), " ",IF(INDEX($U$2:$AC$1001,MATCH(ROWS($N$2:N440),$N$2:$N$1001,0),MATCH(COLUMNS($U$1006:AC1006),$U$1006:$AC$1006,0)), HYPERLINK("#",""), HYPERLINK(CONCATENATE("#metadata!", ADDRESS(INDEX($P$2:$P$1001,MATCH(ROWS($N$2:N440),$N$2:$N$1001,0),0), INDEX($U$1004:$AC$1004,1,MATCH(COLUMNS($U$1006:AC1006),$U$1006:$AC$1006,0)))),"Fix")))</f>
        <v>0</v>
      </c>
      <c r="N440">
        <v>0</v>
      </c>
      <c r="O440">
        <v>0</v>
      </c>
      <c r="P440">
        <v>0</v>
      </c>
      <c r="Q440">
        <f>IF(R440,TRUE,AND(U440:AC440))</f>
        <v>0</v>
      </c>
      <c r="R440">
        <f>COUNTBLANK(metadata!B440:J440)=COLUMNS(metadata!B440:J440)</f>
        <v>0</v>
      </c>
      <c r="S440">
        <v>0</v>
      </c>
      <c r="U440">
        <f>AND(IF(metadata!B440="",FALSE,TRUE),COUNTIF(metadata!B:B, metadata!B440) = 1,NOT(ISERROR(SUMPRODUCT(SEARCH(MID(metadata!B440,ROW(INDIRECT("1:"&amp;LEN(metadata!B440))), 1),"0123456789abcdefghijklmnopqrstuvwxyzABCDEFGHIJKLMNOPQRSTUVWXYZ.")))))</f>
        <v>0</v>
      </c>
      <c r="V440">
        <f>AND(IF(metadata!C440="",FALSE,TRUE),exact(metadata!C440,"UBERON:genitourinary"))</f>
        <v>0</v>
      </c>
      <c r="W440">
        <f>AND(IF(metadata!D440="",FALSE,TRUE),exact(metadata!D440,"UBERON:urine"))</f>
        <v>0</v>
      </c>
      <c r="X440">
        <f>AND(IF(metadata!E440="",FALSE,TRUE),exact(metadata!E440,"UBERON:kidney"))</f>
        <v>0</v>
      </c>
      <c r="Y440">
        <f>AND(IF(metadata!F440="",FALSE,TRUE),exact(metadata!F440,"animal corpus"))</f>
        <v>0</v>
      </c>
      <c r="Z440">
        <f>AND(IF(metadata!G440="",FALSE,TRUE),exact(metadata!G440,"urine"))</f>
        <v>0</v>
      </c>
      <c r="AA440">
        <f>AND(IF(metadata!H440="",FALSE,TRUE),exact(metadata!H440,"urine"))</f>
        <v>0</v>
      </c>
      <c r="AB440">
        <f>AND(IF(metadata!I440="",FALSE,TRUE),exact(metadata!I440,"urine metagenome"))</f>
        <v>0</v>
      </c>
      <c r="AC440">
        <f>AND(IF(metadata!J440="",FALSE,TRUE),exact(metadata!J440,"1346744"))</f>
        <v>0</v>
      </c>
    </row>
    <row r="441" spans="1:29">
      <c r="A441" s="4">
        <f>IF(B441=" "," ",HYPERLINK(CONCATENATE("#metadata!",ADDRESS(INDEX($P$2:$P$1001,MATCH(ROWS($N$2:N441),$N$2:$N$1001,0),0),1)),INDEX($S$2:$S$1001,MATCH(ROWS($N$2:N441),$N$2:$N$1001,0),0)))</f>
        <v>0</v>
      </c>
      <c r="B441" s="3">
        <f>IF(OR(INDEX($O$2:$O$1001,MATCH(ROWS($N$2:N441),$N$2:$N$1001,0),1)&gt;=100000,INDEX($U$1005:$AC$1005,1,MATCH(COLUMNS($U$1006:U1006),$U$1006:$AC$1006,0))&gt;=100000), " ",IF(INDEX($U$2:$AC$1001,MATCH(ROWS($N$2:N441),$N$2:$N$1001,0),MATCH(COLUMNS($U$1006:U1006),$U$1006:$AC$1006,0)), HYPERLINK("#",""), HYPERLINK(CONCATENATE("#metadata!", ADDRESS(INDEX($P$2:$P$1001,MATCH(ROWS($N$2:N441),$N$2:$N$1001,0),0), INDEX($U$1004:$AC$1004,1,MATCH(COLUMNS($U$1006:U1006),$U$1006:$AC$1006,0)))),"Fix")))</f>
        <v>0</v>
      </c>
      <c r="C441" s="3">
        <f>IF(OR(INDEX($O$2:$O$1001,MATCH(ROWS($N$2:N441),$N$2:$N$1001,0),1)&gt;=100000,INDEX($U$1005:$AC$1005,1,MATCH(COLUMNS($U$1006:V1006),$U$1006:$AC$1006,0))&gt;=100000), " ",IF(INDEX($U$2:$AC$1001,MATCH(ROWS($N$2:N441),$N$2:$N$1001,0),MATCH(COLUMNS($U$1006:V1006),$U$1006:$AC$1006,0)), HYPERLINK("#",""), HYPERLINK(CONCATENATE("#metadata!", ADDRESS(INDEX($P$2:$P$1001,MATCH(ROWS($N$2:N441),$N$2:$N$1001,0),0), INDEX($U$1004:$AC$1004,1,MATCH(COLUMNS($U$1006:V1006),$U$1006:$AC$1006,0)))),"Fix")))</f>
        <v>0</v>
      </c>
      <c r="D441" s="3">
        <f>IF(OR(INDEX($O$2:$O$1001,MATCH(ROWS($N$2:N441),$N$2:$N$1001,0),1)&gt;=100000,INDEX($U$1005:$AC$1005,1,MATCH(COLUMNS($U$1006:W1006),$U$1006:$AC$1006,0))&gt;=100000), " ",IF(INDEX($U$2:$AC$1001,MATCH(ROWS($N$2:N441),$N$2:$N$1001,0),MATCH(COLUMNS($U$1006:W1006),$U$1006:$AC$1006,0)), HYPERLINK("#",""), HYPERLINK(CONCATENATE("#metadata!", ADDRESS(INDEX($P$2:$P$1001,MATCH(ROWS($N$2:N441),$N$2:$N$1001,0),0), INDEX($U$1004:$AC$1004,1,MATCH(COLUMNS($U$1006:W1006),$U$1006:$AC$1006,0)))),"Fix")))</f>
        <v>0</v>
      </c>
      <c r="E441" s="3">
        <f>IF(OR(INDEX($O$2:$O$1001,MATCH(ROWS($N$2:N441),$N$2:$N$1001,0),1)&gt;=100000,INDEX($U$1005:$AC$1005,1,MATCH(COLUMNS($U$1006:X1006),$U$1006:$AC$1006,0))&gt;=100000), " ",IF(INDEX($U$2:$AC$1001,MATCH(ROWS($N$2:N441),$N$2:$N$1001,0),MATCH(COLUMNS($U$1006:X1006),$U$1006:$AC$1006,0)), HYPERLINK("#",""), HYPERLINK(CONCATENATE("#metadata!", ADDRESS(INDEX($P$2:$P$1001,MATCH(ROWS($N$2:N441),$N$2:$N$1001,0),0), INDEX($U$1004:$AC$1004,1,MATCH(COLUMNS($U$1006:X1006),$U$1006:$AC$1006,0)))),"Fix")))</f>
        <v>0</v>
      </c>
      <c r="F441" s="3">
        <f>IF(OR(INDEX($O$2:$O$1001,MATCH(ROWS($N$2:N441),$N$2:$N$1001,0),1)&gt;=100000,INDEX($U$1005:$AC$1005,1,MATCH(COLUMNS($U$1006:Y1006),$U$1006:$AC$1006,0))&gt;=100000), " ",IF(INDEX($U$2:$AC$1001,MATCH(ROWS($N$2:N441),$N$2:$N$1001,0),MATCH(COLUMNS($U$1006:Y1006),$U$1006:$AC$1006,0)), HYPERLINK("#",""), HYPERLINK(CONCATENATE("#metadata!", ADDRESS(INDEX($P$2:$P$1001,MATCH(ROWS($N$2:N441),$N$2:$N$1001,0),0), INDEX($U$1004:$AC$1004,1,MATCH(COLUMNS($U$1006:Y1006),$U$1006:$AC$1006,0)))),"Fix")))</f>
        <v>0</v>
      </c>
      <c r="G441" s="3">
        <f>IF(OR(INDEX($O$2:$O$1001,MATCH(ROWS($N$2:N441),$N$2:$N$1001,0),1)&gt;=100000,INDEX($U$1005:$AC$1005,1,MATCH(COLUMNS($U$1006:Z1006),$U$1006:$AC$1006,0))&gt;=100000), " ",IF(INDEX($U$2:$AC$1001,MATCH(ROWS($N$2:N441),$N$2:$N$1001,0),MATCH(COLUMNS($U$1006:Z1006),$U$1006:$AC$1006,0)), HYPERLINK("#",""), HYPERLINK(CONCATENATE("#metadata!", ADDRESS(INDEX($P$2:$P$1001,MATCH(ROWS($N$2:N441),$N$2:$N$1001,0),0), INDEX($U$1004:$AC$1004,1,MATCH(COLUMNS($U$1006:Z1006),$U$1006:$AC$1006,0)))),"Fix")))</f>
        <v>0</v>
      </c>
      <c r="H441" s="3">
        <f>IF(OR(INDEX($O$2:$O$1001,MATCH(ROWS($N$2:N441),$N$2:$N$1001,0),1)&gt;=100000,INDEX($U$1005:$AC$1005,1,MATCH(COLUMNS($U$1006:AA1006),$U$1006:$AC$1006,0))&gt;=100000), " ",IF(INDEX($U$2:$AC$1001,MATCH(ROWS($N$2:N441),$N$2:$N$1001,0),MATCH(COLUMNS($U$1006:AA1006),$U$1006:$AC$1006,0)), HYPERLINK("#",""), HYPERLINK(CONCATENATE("#metadata!", ADDRESS(INDEX($P$2:$P$1001,MATCH(ROWS($N$2:N441),$N$2:$N$1001,0),0), INDEX($U$1004:$AC$1004,1,MATCH(COLUMNS($U$1006:AA1006),$U$1006:$AC$1006,0)))),"Fix")))</f>
        <v>0</v>
      </c>
      <c r="I441" s="3">
        <f>IF(OR(INDEX($O$2:$O$1001,MATCH(ROWS($N$2:N441),$N$2:$N$1001,0),1)&gt;=100000,INDEX($U$1005:$AC$1005,1,MATCH(COLUMNS($U$1006:AB1006),$U$1006:$AC$1006,0))&gt;=100000), " ",IF(INDEX($U$2:$AC$1001,MATCH(ROWS($N$2:N441),$N$2:$N$1001,0),MATCH(COLUMNS($U$1006:AB1006),$U$1006:$AC$1006,0)), HYPERLINK("#",""), HYPERLINK(CONCATENATE("#metadata!", ADDRESS(INDEX($P$2:$P$1001,MATCH(ROWS($N$2:N441),$N$2:$N$1001,0),0), INDEX($U$1004:$AC$1004,1,MATCH(COLUMNS($U$1006:AB1006),$U$1006:$AC$1006,0)))),"Fix")))</f>
        <v>0</v>
      </c>
      <c r="J441" s="3">
        <f>IF(OR(INDEX($O$2:$O$1001,MATCH(ROWS($N$2:N441),$N$2:$N$1001,0),1)&gt;=100000,INDEX($U$1005:$AC$1005,1,MATCH(COLUMNS($U$1006:AC1006),$U$1006:$AC$1006,0))&gt;=100000), " ",IF(INDEX($U$2:$AC$1001,MATCH(ROWS($N$2:N441),$N$2:$N$1001,0),MATCH(COLUMNS($U$1006:AC1006),$U$1006:$AC$1006,0)), HYPERLINK("#",""), HYPERLINK(CONCATENATE("#metadata!", ADDRESS(INDEX($P$2:$P$1001,MATCH(ROWS($N$2:N441),$N$2:$N$1001,0),0), INDEX($U$1004:$AC$1004,1,MATCH(COLUMNS($U$1006:AC1006),$U$1006:$AC$1006,0)))),"Fix")))</f>
        <v>0</v>
      </c>
      <c r="N441">
        <v>0</v>
      </c>
      <c r="O441">
        <v>0</v>
      </c>
      <c r="P441">
        <v>0</v>
      </c>
      <c r="Q441">
        <f>IF(R441,TRUE,AND(U441:AC441))</f>
        <v>0</v>
      </c>
      <c r="R441">
        <f>COUNTBLANK(metadata!B441:J441)=COLUMNS(metadata!B441:J441)</f>
        <v>0</v>
      </c>
      <c r="S441">
        <v>0</v>
      </c>
      <c r="U441">
        <f>AND(IF(metadata!B441="",FALSE,TRUE),COUNTIF(metadata!B:B, metadata!B441) = 1,NOT(ISERROR(SUMPRODUCT(SEARCH(MID(metadata!B441,ROW(INDIRECT("1:"&amp;LEN(metadata!B441))), 1),"0123456789abcdefghijklmnopqrstuvwxyzABCDEFGHIJKLMNOPQRSTUVWXYZ.")))))</f>
        <v>0</v>
      </c>
      <c r="V441">
        <f>AND(IF(metadata!C441="",FALSE,TRUE),exact(metadata!C441,"UBERON:genitourinary"))</f>
        <v>0</v>
      </c>
      <c r="W441">
        <f>AND(IF(metadata!D441="",FALSE,TRUE),exact(metadata!D441,"UBERON:urine"))</f>
        <v>0</v>
      </c>
      <c r="X441">
        <f>AND(IF(metadata!E441="",FALSE,TRUE),exact(metadata!E441,"UBERON:kidney"))</f>
        <v>0</v>
      </c>
      <c r="Y441">
        <f>AND(IF(metadata!F441="",FALSE,TRUE),exact(metadata!F441,"animal corpus"))</f>
        <v>0</v>
      </c>
      <c r="Z441">
        <f>AND(IF(metadata!G441="",FALSE,TRUE),exact(metadata!G441,"urine"))</f>
        <v>0</v>
      </c>
      <c r="AA441">
        <f>AND(IF(metadata!H441="",FALSE,TRUE),exact(metadata!H441,"urine"))</f>
        <v>0</v>
      </c>
      <c r="AB441">
        <f>AND(IF(metadata!I441="",FALSE,TRUE),exact(metadata!I441,"urine metagenome"))</f>
        <v>0</v>
      </c>
      <c r="AC441">
        <f>AND(IF(metadata!J441="",FALSE,TRUE),exact(metadata!J441,"1346744"))</f>
        <v>0</v>
      </c>
    </row>
    <row r="442" spans="1:29">
      <c r="A442" s="4">
        <f>IF(B442=" "," ",HYPERLINK(CONCATENATE("#metadata!",ADDRESS(INDEX($P$2:$P$1001,MATCH(ROWS($N$2:N442),$N$2:$N$1001,0),0),1)),INDEX($S$2:$S$1001,MATCH(ROWS($N$2:N442),$N$2:$N$1001,0),0)))</f>
        <v>0</v>
      </c>
      <c r="B442" s="3">
        <f>IF(OR(INDEX($O$2:$O$1001,MATCH(ROWS($N$2:N442),$N$2:$N$1001,0),1)&gt;=100000,INDEX($U$1005:$AC$1005,1,MATCH(COLUMNS($U$1006:U1006),$U$1006:$AC$1006,0))&gt;=100000), " ",IF(INDEX($U$2:$AC$1001,MATCH(ROWS($N$2:N442),$N$2:$N$1001,0),MATCH(COLUMNS($U$1006:U1006),$U$1006:$AC$1006,0)), HYPERLINK("#",""), HYPERLINK(CONCATENATE("#metadata!", ADDRESS(INDEX($P$2:$P$1001,MATCH(ROWS($N$2:N442),$N$2:$N$1001,0),0), INDEX($U$1004:$AC$1004,1,MATCH(COLUMNS($U$1006:U1006),$U$1006:$AC$1006,0)))),"Fix")))</f>
        <v>0</v>
      </c>
      <c r="C442" s="3">
        <f>IF(OR(INDEX($O$2:$O$1001,MATCH(ROWS($N$2:N442),$N$2:$N$1001,0),1)&gt;=100000,INDEX($U$1005:$AC$1005,1,MATCH(COLUMNS($U$1006:V1006),$U$1006:$AC$1006,0))&gt;=100000), " ",IF(INDEX($U$2:$AC$1001,MATCH(ROWS($N$2:N442),$N$2:$N$1001,0),MATCH(COLUMNS($U$1006:V1006),$U$1006:$AC$1006,0)), HYPERLINK("#",""), HYPERLINK(CONCATENATE("#metadata!", ADDRESS(INDEX($P$2:$P$1001,MATCH(ROWS($N$2:N442),$N$2:$N$1001,0),0), INDEX($U$1004:$AC$1004,1,MATCH(COLUMNS($U$1006:V1006),$U$1006:$AC$1006,0)))),"Fix")))</f>
        <v>0</v>
      </c>
      <c r="D442" s="3">
        <f>IF(OR(INDEX($O$2:$O$1001,MATCH(ROWS($N$2:N442),$N$2:$N$1001,0),1)&gt;=100000,INDEX($U$1005:$AC$1005,1,MATCH(COLUMNS($U$1006:W1006),$U$1006:$AC$1006,0))&gt;=100000), " ",IF(INDEX($U$2:$AC$1001,MATCH(ROWS($N$2:N442),$N$2:$N$1001,0),MATCH(COLUMNS($U$1006:W1006),$U$1006:$AC$1006,0)), HYPERLINK("#",""), HYPERLINK(CONCATENATE("#metadata!", ADDRESS(INDEX($P$2:$P$1001,MATCH(ROWS($N$2:N442),$N$2:$N$1001,0),0), INDEX($U$1004:$AC$1004,1,MATCH(COLUMNS($U$1006:W1006),$U$1006:$AC$1006,0)))),"Fix")))</f>
        <v>0</v>
      </c>
      <c r="E442" s="3">
        <f>IF(OR(INDEX($O$2:$O$1001,MATCH(ROWS($N$2:N442),$N$2:$N$1001,0),1)&gt;=100000,INDEX($U$1005:$AC$1005,1,MATCH(COLUMNS($U$1006:X1006),$U$1006:$AC$1006,0))&gt;=100000), " ",IF(INDEX($U$2:$AC$1001,MATCH(ROWS($N$2:N442),$N$2:$N$1001,0),MATCH(COLUMNS($U$1006:X1006),$U$1006:$AC$1006,0)), HYPERLINK("#",""), HYPERLINK(CONCATENATE("#metadata!", ADDRESS(INDEX($P$2:$P$1001,MATCH(ROWS($N$2:N442),$N$2:$N$1001,0),0), INDEX($U$1004:$AC$1004,1,MATCH(COLUMNS($U$1006:X1006),$U$1006:$AC$1006,0)))),"Fix")))</f>
        <v>0</v>
      </c>
      <c r="F442" s="3">
        <f>IF(OR(INDEX($O$2:$O$1001,MATCH(ROWS($N$2:N442),$N$2:$N$1001,0),1)&gt;=100000,INDEX($U$1005:$AC$1005,1,MATCH(COLUMNS($U$1006:Y1006),$U$1006:$AC$1006,0))&gt;=100000), " ",IF(INDEX($U$2:$AC$1001,MATCH(ROWS($N$2:N442),$N$2:$N$1001,0),MATCH(COLUMNS($U$1006:Y1006),$U$1006:$AC$1006,0)), HYPERLINK("#",""), HYPERLINK(CONCATENATE("#metadata!", ADDRESS(INDEX($P$2:$P$1001,MATCH(ROWS($N$2:N442),$N$2:$N$1001,0),0), INDEX($U$1004:$AC$1004,1,MATCH(COLUMNS($U$1006:Y1006),$U$1006:$AC$1006,0)))),"Fix")))</f>
        <v>0</v>
      </c>
      <c r="G442" s="3">
        <f>IF(OR(INDEX($O$2:$O$1001,MATCH(ROWS($N$2:N442),$N$2:$N$1001,0),1)&gt;=100000,INDEX($U$1005:$AC$1005,1,MATCH(COLUMNS($U$1006:Z1006),$U$1006:$AC$1006,0))&gt;=100000), " ",IF(INDEX($U$2:$AC$1001,MATCH(ROWS($N$2:N442),$N$2:$N$1001,0),MATCH(COLUMNS($U$1006:Z1006),$U$1006:$AC$1006,0)), HYPERLINK("#",""), HYPERLINK(CONCATENATE("#metadata!", ADDRESS(INDEX($P$2:$P$1001,MATCH(ROWS($N$2:N442),$N$2:$N$1001,0),0), INDEX($U$1004:$AC$1004,1,MATCH(COLUMNS($U$1006:Z1006),$U$1006:$AC$1006,0)))),"Fix")))</f>
        <v>0</v>
      </c>
      <c r="H442" s="3">
        <f>IF(OR(INDEX($O$2:$O$1001,MATCH(ROWS($N$2:N442),$N$2:$N$1001,0),1)&gt;=100000,INDEX($U$1005:$AC$1005,1,MATCH(COLUMNS($U$1006:AA1006),$U$1006:$AC$1006,0))&gt;=100000), " ",IF(INDEX($U$2:$AC$1001,MATCH(ROWS($N$2:N442),$N$2:$N$1001,0),MATCH(COLUMNS($U$1006:AA1006),$U$1006:$AC$1006,0)), HYPERLINK("#",""), HYPERLINK(CONCATENATE("#metadata!", ADDRESS(INDEX($P$2:$P$1001,MATCH(ROWS($N$2:N442),$N$2:$N$1001,0),0), INDEX($U$1004:$AC$1004,1,MATCH(COLUMNS($U$1006:AA1006),$U$1006:$AC$1006,0)))),"Fix")))</f>
        <v>0</v>
      </c>
      <c r="I442" s="3">
        <f>IF(OR(INDEX($O$2:$O$1001,MATCH(ROWS($N$2:N442),$N$2:$N$1001,0),1)&gt;=100000,INDEX($U$1005:$AC$1005,1,MATCH(COLUMNS($U$1006:AB1006),$U$1006:$AC$1006,0))&gt;=100000), " ",IF(INDEX($U$2:$AC$1001,MATCH(ROWS($N$2:N442),$N$2:$N$1001,0),MATCH(COLUMNS($U$1006:AB1006),$U$1006:$AC$1006,0)), HYPERLINK("#",""), HYPERLINK(CONCATENATE("#metadata!", ADDRESS(INDEX($P$2:$P$1001,MATCH(ROWS($N$2:N442),$N$2:$N$1001,0),0), INDEX($U$1004:$AC$1004,1,MATCH(COLUMNS($U$1006:AB1006),$U$1006:$AC$1006,0)))),"Fix")))</f>
        <v>0</v>
      </c>
      <c r="J442" s="3">
        <f>IF(OR(INDEX($O$2:$O$1001,MATCH(ROWS($N$2:N442),$N$2:$N$1001,0),1)&gt;=100000,INDEX($U$1005:$AC$1005,1,MATCH(COLUMNS($U$1006:AC1006),$U$1006:$AC$1006,0))&gt;=100000), " ",IF(INDEX($U$2:$AC$1001,MATCH(ROWS($N$2:N442),$N$2:$N$1001,0),MATCH(COLUMNS($U$1006:AC1006),$U$1006:$AC$1006,0)), HYPERLINK("#",""), HYPERLINK(CONCATENATE("#metadata!", ADDRESS(INDEX($P$2:$P$1001,MATCH(ROWS($N$2:N442),$N$2:$N$1001,0),0), INDEX($U$1004:$AC$1004,1,MATCH(COLUMNS($U$1006:AC1006),$U$1006:$AC$1006,0)))),"Fix")))</f>
        <v>0</v>
      </c>
      <c r="N442">
        <v>0</v>
      </c>
      <c r="O442">
        <v>0</v>
      </c>
      <c r="P442">
        <v>0</v>
      </c>
      <c r="Q442">
        <f>IF(R442,TRUE,AND(U442:AC442))</f>
        <v>0</v>
      </c>
      <c r="R442">
        <f>COUNTBLANK(metadata!B442:J442)=COLUMNS(metadata!B442:J442)</f>
        <v>0</v>
      </c>
      <c r="S442">
        <v>0</v>
      </c>
      <c r="U442">
        <f>AND(IF(metadata!B442="",FALSE,TRUE),COUNTIF(metadata!B:B, metadata!B442) = 1,NOT(ISERROR(SUMPRODUCT(SEARCH(MID(metadata!B442,ROW(INDIRECT("1:"&amp;LEN(metadata!B442))), 1),"0123456789abcdefghijklmnopqrstuvwxyzABCDEFGHIJKLMNOPQRSTUVWXYZ.")))))</f>
        <v>0</v>
      </c>
      <c r="V442">
        <f>AND(IF(metadata!C442="",FALSE,TRUE),exact(metadata!C442,"UBERON:genitourinary"))</f>
        <v>0</v>
      </c>
      <c r="W442">
        <f>AND(IF(metadata!D442="",FALSE,TRUE),exact(metadata!D442,"UBERON:urine"))</f>
        <v>0</v>
      </c>
      <c r="X442">
        <f>AND(IF(metadata!E442="",FALSE,TRUE),exact(metadata!E442,"UBERON:kidney"))</f>
        <v>0</v>
      </c>
      <c r="Y442">
        <f>AND(IF(metadata!F442="",FALSE,TRUE),exact(metadata!F442,"animal corpus"))</f>
        <v>0</v>
      </c>
      <c r="Z442">
        <f>AND(IF(metadata!G442="",FALSE,TRUE),exact(metadata!G442,"urine"))</f>
        <v>0</v>
      </c>
      <c r="AA442">
        <f>AND(IF(metadata!H442="",FALSE,TRUE),exact(metadata!H442,"urine"))</f>
        <v>0</v>
      </c>
      <c r="AB442">
        <f>AND(IF(metadata!I442="",FALSE,TRUE),exact(metadata!I442,"urine metagenome"))</f>
        <v>0</v>
      </c>
      <c r="AC442">
        <f>AND(IF(metadata!J442="",FALSE,TRUE),exact(metadata!J442,"1346744"))</f>
        <v>0</v>
      </c>
    </row>
    <row r="443" spans="1:29">
      <c r="A443" s="4">
        <f>IF(B443=" "," ",HYPERLINK(CONCATENATE("#metadata!",ADDRESS(INDEX($P$2:$P$1001,MATCH(ROWS($N$2:N443),$N$2:$N$1001,0),0),1)),INDEX($S$2:$S$1001,MATCH(ROWS($N$2:N443),$N$2:$N$1001,0),0)))</f>
        <v>0</v>
      </c>
      <c r="B443" s="3">
        <f>IF(OR(INDEX($O$2:$O$1001,MATCH(ROWS($N$2:N443),$N$2:$N$1001,0),1)&gt;=100000,INDEX($U$1005:$AC$1005,1,MATCH(COLUMNS($U$1006:U1006),$U$1006:$AC$1006,0))&gt;=100000), " ",IF(INDEX($U$2:$AC$1001,MATCH(ROWS($N$2:N443),$N$2:$N$1001,0),MATCH(COLUMNS($U$1006:U1006),$U$1006:$AC$1006,0)), HYPERLINK("#",""), HYPERLINK(CONCATENATE("#metadata!", ADDRESS(INDEX($P$2:$P$1001,MATCH(ROWS($N$2:N443),$N$2:$N$1001,0),0), INDEX($U$1004:$AC$1004,1,MATCH(COLUMNS($U$1006:U1006),$U$1006:$AC$1006,0)))),"Fix")))</f>
        <v>0</v>
      </c>
      <c r="C443" s="3">
        <f>IF(OR(INDEX($O$2:$O$1001,MATCH(ROWS($N$2:N443),$N$2:$N$1001,0),1)&gt;=100000,INDEX($U$1005:$AC$1005,1,MATCH(COLUMNS($U$1006:V1006),$U$1006:$AC$1006,0))&gt;=100000), " ",IF(INDEX($U$2:$AC$1001,MATCH(ROWS($N$2:N443),$N$2:$N$1001,0),MATCH(COLUMNS($U$1006:V1006),$U$1006:$AC$1006,0)), HYPERLINK("#",""), HYPERLINK(CONCATENATE("#metadata!", ADDRESS(INDEX($P$2:$P$1001,MATCH(ROWS($N$2:N443),$N$2:$N$1001,0),0), INDEX($U$1004:$AC$1004,1,MATCH(COLUMNS($U$1006:V1006),$U$1006:$AC$1006,0)))),"Fix")))</f>
        <v>0</v>
      </c>
      <c r="D443" s="3">
        <f>IF(OR(INDEX($O$2:$O$1001,MATCH(ROWS($N$2:N443),$N$2:$N$1001,0),1)&gt;=100000,INDEX($U$1005:$AC$1005,1,MATCH(COLUMNS($U$1006:W1006),$U$1006:$AC$1006,0))&gt;=100000), " ",IF(INDEX($U$2:$AC$1001,MATCH(ROWS($N$2:N443),$N$2:$N$1001,0),MATCH(COLUMNS($U$1006:W1006),$U$1006:$AC$1006,0)), HYPERLINK("#",""), HYPERLINK(CONCATENATE("#metadata!", ADDRESS(INDEX($P$2:$P$1001,MATCH(ROWS($N$2:N443),$N$2:$N$1001,0),0), INDEX($U$1004:$AC$1004,1,MATCH(COLUMNS($U$1006:W1006),$U$1006:$AC$1006,0)))),"Fix")))</f>
        <v>0</v>
      </c>
      <c r="E443" s="3">
        <f>IF(OR(INDEX($O$2:$O$1001,MATCH(ROWS($N$2:N443),$N$2:$N$1001,0),1)&gt;=100000,INDEX($U$1005:$AC$1005,1,MATCH(COLUMNS($U$1006:X1006),$U$1006:$AC$1006,0))&gt;=100000), " ",IF(INDEX($U$2:$AC$1001,MATCH(ROWS($N$2:N443),$N$2:$N$1001,0),MATCH(COLUMNS($U$1006:X1006),$U$1006:$AC$1006,0)), HYPERLINK("#",""), HYPERLINK(CONCATENATE("#metadata!", ADDRESS(INDEX($P$2:$P$1001,MATCH(ROWS($N$2:N443),$N$2:$N$1001,0),0), INDEX($U$1004:$AC$1004,1,MATCH(COLUMNS($U$1006:X1006),$U$1006:$AC$1006,0)))),"Fix")))</f>
        <v>0</v>
      </c>
      <c r="F443" s="3">
        <f>IF(OR(INDEX($O$2:$O$1001,MATCH(ROWS($N$2:N443),$N$2:$N$1001,0),1)&gt;=100000,INDEX($U$1005:$AC$1005,1,MATCH(COLUMNS($U$1006:Y1006),$U$1006:$AC$1006,0))&gt;=100000), " ",IF(INDEX($U$2:$AC$1001,MATCH(ROWS($N$2:N443),$N$2:$N$1001,0),MATCH(COLUMNS($U$1006:Y1006),$U$1006:$AC$1006,0)), HYPERLINK("#",""), HYPERLINK(CONCATENATE("#metadata!", ADDRESS(INDEX($P$2:$P$1001,MATCH(ROWS($N$2:N443),$N$2:$N$1001,0),0), INDEX($U$1004:$AC$1004,1,MATCH(COLUMNS($U$1006:Y1006),$U$1006:$AC$1006,0)))),"Fix")))</f>
        <v>0</v>
      </c>
      <c r="G443" s="3">
        <f>IF(OR(INDEX($O$2:$O$1001,MATCH(ROWS($N$2:N443),$N$2:$N$1001,0),1)&gt;=100000,INDEX($U$1005:$AC$1005,1,MATCH(COLUMNS($U$1006:Z1006),$U$1006:$AC$1006,0))&gt;=100000), " ",IF(INDEX($U$2:$AC$1001,MATCH(ROWS($N$2:N443),$N$2:$N$1001,0),MATCH(COLUMNS($U$1006:Z1006),$U$1006:$AC$1006,0)), HYPERLINK("#",""), HYPERLINK(CONCATENATE("#metadata!", ADDRESS(INDEX($P$2:$P$1001,MATCH(ROWS($N$2:N443),$N$2:$N$1001,0),0), INDEX($U$1004:$AC$1004,1,MATCH(COLUMNS($U$1006:Z1006),$U$1006:$AC$1006,0)))),"Fix")))</f>
        <v>0</v>
      </c>
      <c r="H443" s="3">
        <f>IF(OR(INDEX($O$2:$O$1001,MATCH(ROWS($N$2:N443),$N$2:$N$1001,0),1)&gt;=100000,INDEX($U$1005:$AC$1005,1,MATCH(COLUMNS($U$1006:AA1006),$U$1006:$AC$1006,0))&gt;=100000), " ",IF(INDEX($U$2:$AC$1001,MATCH(ROWS($N$2:N443),$N$2:$N$1001,0),MATCH(COLUMNS($U$1006:AA1006),$U$1006:$AC$1006,0)), HYPERLINK("#",""), HYPERLINK(CONCATENATE("#metadata!", ADDRESS(INDEX($P$2:$P$1001,MATCH(ROWS($N$2:N443),$N$2:$N$1001,0),0), INDEX($U$1004:$AC$1004,1,MATCH(COLUMNS($U$1006:AA1006),$U$1006:$AC$1006,0)))),"Fix")))</f>
        <v>0</v>
      </c>
      <c r="I443" s="3">
        <f>IF(OR(INDEX($O$2:$O$1001,MATCH(ROWS($N$2:N443),$N$2:$N$1001,0),1)&gt;=100000,INDEX($U$1005:$AC$1005,1,MATCH(COLUMNS($U$1006:AB1006),$U$1006:$AC$1006,0))&gt;=100000), " ",IF(INDEX($U$2:$AC$1001,MATCH(ROWS($N$2:N443),$N$2:$N$1001,0),MATCH(COLUMNS($U$1006:AB1006),$U$1006:$AC$1006,0)), HYPERLINK("#",""), HYPERLINK(CONCATENATE("#metadata!", ADDRESS(INDEX($P$2:$P$1001,MATCH(ROWS($N$2:N443),$N$2:$N$1001,0),0), INDEX($U$1004:$AC$1004,1,MATCH(COLUMNS($U$1006:AB1006),$U$1006:$AC$1006,0)))),"Fix")))</f>
        <v>0</v>
      </c>
      <c r="J443" s="3">
        <f>IF(OR(INDEX($O$2:$O$1001,MATCH(ROWS($N$2:N443),$N$2:$N$1001,0),1)&gt;=100000,INDEX($U$1005:$AC$1005,1,MATCH(COLUMNS($U$1006:AC1006),$U$1006:$AC$1006,0))&gt;=100000), " ",IF(INDEX($U$2:$AC$1001,MATCH(ROWS($N$2:N443),$N$2:$N$1001,0),MATCH(COLUMNS($U$1006:AC1006),$U$1006:$AC$1006,0)), HYPERLINK("#",""), HYPERLINK(CONCATENATE("#metadata!", ADDRESS(INDEX($P$2:$P$1001,MATCH(ROWS($N$2:N443),$N$2:$N$1001,0),0), INDEX($U$1004:$AC$1004,1,MATCH(COLUMNS($U$1006:AC1006),$U$1006:$AC$1006,0)))),"Fix")))</f>
        <v>0</v>
      </c>
      <c r="N443">
        <v>0</v>
      </c>
      <c r="O443">
        <v>0</v>
      </c>
      <c r="P443">
        <v>0</v>
      </c>
      <c r="Q443">
        <f>IF(R443,TRUE,AND(U443:AC443))</f>
        <v>0</v>
      </c>
      <c r="R443">
        <f>COUNTBLANK(metadata!B443:J443)=COLUMNS(metadata!B443:J443)</f>
        <v>0</v>
      </c>
      <c r="S443">
        <v>0</v>
      </c>
      <c r="U443">
        <f>AND(IF(metadata!B443="",FALSE,TRUE),COUNTIF(metadata!B:B, metadata!B443) = 1,NOT(ISERROR(SUMPRODUCT(SEARCH(MID(metadata!B443,ROW(INDIRECT("1:"&amp;LEN(metadata!B443))), 1),"0123456789abcdefghijklmnopqrstuvwxyzABCDEFGHIJKLMNOPQRSTUVWXYZ.")))))</f>
        <v>0</v>
      </c>
      <c r="V443">
        <f>AND(IF(metadata!C443="",FALSE,TRUE),exact(metadata!C443,"UBERON:genitourinary"))</f>
        <v>0</v>
      </c>
      <c r="W443">
        <f>AND(IF(metadata!D443="",FALSE,TRUE),exact(metadata!D443,"UBERON:urine"))</f>
        <v>0</v>
      </c>
      <c r="X443">
        <f>AND(IF(metadata!E443="",FALSE,TRUE),exact(metadata!E443,"UBERON:kidney"))</f>
        <v>0</v>
      </c>
      <c r="Y443">
        <f>AND(IF(metadata!F443="",FALSE,TRUE),exact(metadata!F443,"animal corpus"))</f>
        <v>0</v>
      </c>
      <c r="Z443">
        <f>AND(IF(metadata!G443="",FALSE,TRUE),exact(metadata!G443,"urine"))</f>
        <v>0</v>
      </c>
      <c r="AA443">
        <f>AND(IF(metadata!H443="",FALSE,TRUE),exact(metadata!H443,"urine"))</f>
        <v>0</v>
      </c>
      <c r="AB443">
        <f>AND(IF(metadata!I443="",FALSE,TRUE),exact(metadata!I443,"urine metagenome"))</f>
        <v>0</v>
      </c>
      <c r="AC443">
        <f>AND(IF(metadata!J443="",FALSE,TRUE),exact(metadata!J443,"1346744"))</f>
        <v>0</v>
      </c>
    </row>
    <row r="444" spans="1:29">
      <c r="A444" s="4">
        <f>IF(B444=" "," ",HYPERLINK(CONCATENATE("#metadata!",ADDRESS(INDEX($P$2:$P$1001,MATCH(ROWS($N$2:N444),$N$2:$N$1001,0),0),1)),INDEX($S$2:$S$1001,MATCH(ROWS($N$2:N444),$N$2:$N$1001,0),0)))</f>
        <v>0</v>
      </c>
      <c r="B444" s="3">
        <f>IF(OR(INDEX($O$2:$O$1001,MATCH(ROWS($N$2:N444),$N$2:$N$1001,0),1)&gt;=100000,INDEX($U$1005:$AC$1005,1,MATCH(COLUMNS($U$1006:U1006),$U$1006:$AC$1006,0))&gt;=100000), " ",IF(INDEX($U$2:$AC$1001,MATCH(ROWS($N$2:N444),$N$2:$N$1001,0),MATCH(COLUMNS($U$1006:U1006),$U$1006:$AC$1006,0)), HYPERLINK("#",""), HYPERLINK(CONCATENATE("#metadata!", ADDRESS(INDEX($P$2:$P$1001,MATCH(ROWS($N$2:N444),$N$2:$N$1001,0),0), INDEX($U$1004:$AC$1004,1,MATCH(COLUMNS($U$1006:U1006),$U$1006:$AC$1006,0)))),"Fix")))</f>
        <v>0</v>
      </c>
      <c r="C444" s="3">
        <f>IF(OR(INDEX($O$2:$O$1001,MATCH(ROWS($N$2:N444),$N$2:$N$1001,0),1)&gt;=100000,INDEX($U$1005:$AC$1005,1,MATCH(COLUMNS($U$1006:V1006),$U$1006:$AC$1006,0))&gt;=100000), " ",IF(INDEX($U$2:$AC$1001,MATCH(ROWS($N$2:N444),$N$2:$N$1001,0),MATCH(COLUMNS($U$1006:V1006),$U$1006:$AC$1006,0)), HYPERLINK("#",""), HYPERLINK(CONCATENATE("#metadata!", ADDRESS(INDEX($P$2:$P$1001,MATCH(ROWS($N$2:N444),$N$2:$N$1001,0),0), INDEX($U$1004:$AC$1004,1,MATCH(COLUMNS($U$1006:V1006),$U$1006:$AC$1006,0)))),"Fix")))</f>
        <v>0</v>
      </c>
      <c r="D444" s="3">
        <f>IF(OR(INDEX($O$2:$O$1001,MATCH(ROWS($N$2:N444),$N$2:$N$1001,0),1)&gt;=100000,INDEX($U$1005:$AC$1005,1,MATCH(COLUMNS($U$1006:W1006),$U$1006:$AC$1006,0))&gt;=100000), " ",IF(INDEX($U$2:$AC$1001,MATCH(ROWS($N$2:N444),$N$2:$N$1001,0),MATCH(COLUMNS($U$1006:W1006),$U$1006:$AC$1006,0)), HYPERLINK("#",""), HYPERLINK(CONCATENATE("#metadata!", ADDRESS(INDEX($P$2:$P$1001,MATCH(ROWS($N$2:N444),$N$2:$N$1001,0),0), INDEX($U$1004:$AC$1004,1,MATCH(COLUMNS($U$1006:W1006),$U$1006:$AC$1006,0)))),"Fix")))</f>
        <v>0</v>
      </c>
      <c r="E444" s="3">
        <f>IF(OR(INDEX($O$2:$O$1001,MATCH(ROWS($N$2:N444),$N$2:$N$1001,0),1)&gt;=100000,INDEX($U$1005:$AC$1005,1,MATCH(COLUMNS($U$1006:X1006),$U$1006:$AC$1006,0))&gt;=100000), " ",IF(INDEX($U$2:$AC$1001,MATCH(ROWS($N$2:N444),$N$2:$N$1001,0),MATCH(COLUMNS($U$1006:X1006),$U$1006:$AC$1006,0)), HYPERLINK("#",""), HYPERLINK(CONCATENATE("#metadata!", ADDRESS(INDEX($P$2:$P$1001,MATCH(ROWS($N$2:N444),$N$2:$N$1001,0),0), INDEX($U$1004:$AC$1004,1,MATCH(COLUMNS($U$1006:X1006),$U$1006:$AC$1006,0)))),"Fix")))</f>
        <v>0</v>
      </c>
      <c r="F444" s="3">
        <f>IF(OR(INDEX($O$2:$O$1001,MATCH(ROWS($N$2:N444),$N$2:$N$1001,0),1)&gt;=100000,INDEX($U$1005:$AC$1005,1,MATCH(COLUMNS($U$1006:Y1006),$U$1006:$AC$1006,0))&gt;=100000), " ",IF(INDEX($U$2:$AC$1001,MATCH(ROWS($N$2:N444),$N$2:$N$1001,0),MATCH(COLUMNS($U$1006:Y1006),$U$1006:$AC$1006,0)), HYPERLINK("#",""), HYPERLINK(CONCATENATE("#metadata!", ADDRESS(INDEX($P$2:$P$1001,MATCH(ROWS($N$2:N444),$N$2:$N$1001,0),0), INDEX($U$1004:$AC$1004,1,MATCH(COLUMNS($U$1006:Y1006),$U$1006:$AC$1006,0)))),"Fix")))</f>
        <v>0</v>
      </c>
      <c r="G444" s="3">
        <f>IF(OR(INDEX($O$2:$O$1001,MATCH(ROWS($N$2:N444),$N$2:$N$1001,0),1)&gt;=100000,INDEX($U$1005:$AC$1005,1,MATCH(COLUMNS($U$1006:Z1006),$U$1006:$AC$1006,0))&gt;=100000), " ",IF(INDEX($U$2:$AC$1001,MATCH(ROWS($N$2:N444),$N$2:$N$1001,0),MATCH(COLUMNS($U$1006:Z1006),$U$1006:$AC$1006,0)), HYPERLINK("#",""), HYPERLINK(CONCATENATE("#metadata!", ADDRESS(INDEX($P$2:$P$1001,MATCH(ROWS($N$2:N444),$N$2:$N$1001,0),0), INDEX($U$1004:$AC$1004,1,MATCH(COLUMNS($U$1006:Z1006),$U$1006:$AC$1006,0)))),"Fix")))</f>
        <v>0</v>
      </c>
      <c r="H444" s="3">
        <f>IF(OR(INDEX($O$2:$O$1001,MATCH(ROWS($N$2:N444),$N$2:$N$1001,0),1)&gt;=100000,INDEX($U$1005:$AC$1005,1,MATCH(COLUMNS($U$1006:AA1006),$U$1006:$AC$1006,0))&gt;=100000), " ",IF(INDEX($U$2:$AC$1001,MATCH(ROWS($N$2:N444),$N$2:$N$1001,0),MATCH(COLUMNS($U$1006:AA1006),$U$1006:$AC$1006,0)), HYPERLINK("#",""), HYPERLINK(CONCATENATE("#metadata!", ADDRESS(INDEX($P$2:$P$1001,MATCH(ROWS($N$2:N444),$N$2:$N$1001,0),0), INDEX($U$1004:$AC$1004,1,MATCH(COLUMNS($U$1006:AA1006),$U$1006:$AC$1006,0)))),"Fix")))</f>
        <v>0</v>
      </c>
      <c r="I444" s="3">
        <f>IF(OR(INDEX($O$2:$O$1001,MATCH(ROWS($N$2:N444),$N$2:$N$1001,0),1)&gt;=100000,INDEX($U$1005:$AC$1005,1,MATCH(COLUMNS($U$1006:AB1006),$U$1006:$AC$1006,0))&gt;=100000), " ",IF(INDEX($U$2:$AC$1001,MATCH(ROWS($N$2:N444),$N$2:$N$1001,0),MATCH(COLUMNS($U$1006:AB1006),$U$1006:$AC$1006,0)), HYPERLINK("#",""), HYPERLINK(CONCATENATE("#metadata!", ADDRESS(INDEX($P$2:$P$1001,MATCH(ROWS($N$2:N444),$N$2:$N$1001,0),0), INDEX($U$1004:$AC$1004,1,MATCH(COLUMNS($U$1006:AB1006),$U$1006:$AC$1006,0)))),"Fix")))</f>
        <v>0</v>
      </c>
      <c r="J444" s="3">
        <f>IF(OR(INDEX($O$2:$O$1001,MATCH(ROWS($N$2:N444),$N$2:$N$1001,0),1)&gt;=100000,INDEX($U$1005:$AC$1005,1,MATCH(COLUMNS($U$1006:AC1006),$U$1006:$AC$1006,0))&gt;=100000), " ",IF(INDEX($U$2:$AC$1001,MATCH(ROWS($N$2:N444),$N$2:$N$1001,0),MATCH(COLUMNS($U$1006:AC1006),$U$1006:$AC$1006,0)), HYPERLINK("#",""), HYPERLINK(CONCATENATE("#metadata!", ADDRESS(INDEX($P$2:$P$1001,MATCH(ROWS($N$2:N444),$N$2:$N$1001,0),0), INDEX($U$1004:$AC$1004,1,MATCH(COLUMNS($U$1006:AC1006),$U$1006:$AC$1006,0)))),"Fix")))</f>
        <v>0</v>
      </c>
      <c r="N444">
        <v>0</v>
      </c>
      <c r="O444">
        <v>0</v>
      </c>
      <c r="P444">
        <v>0</v>
      </c>
      <c r="Q444">
        <f>IF(R444,TRUE,AND(U444:AC444))</f>
        <v>0</v>
      </c>
      <c r="R444">
        <f>COUNTBLANK(metadata!B444:J444)=COLUMNS(metadata!B444:J444)</f>
        <v>0</v>
      </c>
      <c r="S444">
        <v>0</v>
      </c>
      <c r="U444">
        <f>AND(IF(metadata!B444="",FALSE,TRUE),COUNTIF(metadata!B:B, metadata!B444) = 1,NOT(ISERROR(SUMPRODUCT(SEARCH(MID(metadata!B444,ROW(INDIRECT("1:"&amp;LEN(metadata!B444))), 1),"0123456789abcdefghijklmnopqrstuvwxyzABCDEFGHIJKLMNOPQRSTUVWXYZ.")))))</f>
        <v>0</v>
      </c>
      <c r="V444">
        <f>AND(IF(metadata!C444="",FALSE,TRUE),exact(metadata!C444,"UBERON:genitourinary"))</f>
        <v>0</v>
      </c>
      <c r="W444">
        <f>AND(IF(metadata!D444="",FALSE,TRUE),exact(metadata!D444,"UBERON:urine"))</f>
        <v>0</v>
      </c>
      <c r="X444">
        <f>AND(IF(metadata!E444="",FALSE,TRUE),exact(metadata!E444,"UBERON:kidney"))</f>
        <v>0</v>
      </c>
      <c r="Y444">
        <f>AND(IF(metadata!F444="",FALSE,TRUE),exact(metadata!F444,"animal corpus"))</f>
        <v>0</v>
      </c>
      <c r="Z444">
        <f>AND(IF(metadata!G444="",FALSE,TRUE),exact(metadata!G444,"urine"))</f>
        <v>0</v>
      </c>
      <c r="AA444">
        <f>AND(IF(metadata!H444="",FALSE,TRUE),exact(metadata!H444,"urine"))</f>
        <v>0</v>
      </c>
      <c r="AB444">
        <f>AND(IF(metadata!I444="",FALSE,TRUE),exact(metadata!I444,"urine metagenome"))</f>
        <v>0</v>
      </c>
      <c r="AC444">
        <f>AND(IF(metadata!J444="",FALSE,TRUE),exact(metadata!J444,"1346744"))</f>
        <v>0</v>
      </c>
    </row>
    <row r="445" spans="1:29">
      <c r="A445" s="4">
        <f>IF(B445=" "," ",HYPERLINK(CONCATENATE("#metadata!",ADDRESS(INDEX($P$2:$P$1001,MATCH(ROWS($N$2:N445),$N$2:$N$1001,0),0),1)),INDEX($S$2:$S$1001,MATCH(ROWS($N$2:N445),$N$2:$N$1001,0),0)))</f>
        <v>0</v>
      </c>
      <c r="B445" s="3">
        <f>IF(OR(INDEX($O$2:$O$1001,MATCH(ROWS($N$2:N445),$N$2:$N$1001,0),1)&gt;=100000,INDEX($U$1005:$AC$1005,1,MATCH(COLUMNS($U$1006:U1006),$U$1006:$AC$1006,0))&gt;=100000), " ",IF(INDEX($U$2:$AC$1001,MATCH(ROWS($N$2:N445),$N$2:$N$1001,0),MATCH(COLUMNS($U$1006:U1006),$U$1006:$AC$1006,0)), HYPERLINK("#",""), HYPERLINK(CONCATENATE("#metadata!", ADDRESS(INDEX($P$2:$P$1001,MATCH(ROWS($N$2:N445),$N$2:$N$1001,0),0), INDEX($U$1004:$AC$1004,1,MATCH(COLUMNS($U$1006:U1006),$U$1006:$AC$1006,0)))),"Fix")))</f>
        <v>0</v>
      </c>
      <c r="C445" s="3">
        <f>IF(OR(INDEX($O$2:$O$1001,MATCH(ROWS($N$2:N445),$N$2:$N$1001,0),1)&gt;=100000,INDEX($U$1005:$AC$1005,1,MATCH(COLUMNS($U$1006:V1006),$U$1006:$AC$1006,0))&gt;=100000), " ",IF(INDEX($U$2:$AC$1001,MATCH(ROWS($N$2:N445),$N$2:$N$1001,0),MATCH(COLUMNS($U$1006:V1006),$U$1006:$AC$1006,0)), HYPERLINK("#",""), HYPERLINK(CONCATENATE("#metadata!", ADDRESS(INDEX($P$2:$P$1001,MATCH(ROWS($N$2:N445),$N$2:$N$1001,0),0), INDEX($U$1004:$AC$1004,1,MATCH(COLUMNS($U$1006:V1006),$U$1006:$AC$1006,0)))),"Fix")))</f>
        <v>0</v>
      </c>
      <c r="D445" s="3">
        <f>IF(OR(INDEX($O$2:$O$1001,MATCH(ROWS($N$2:N445),$N$2:$N$1001,0),1)&gt;=100000,INDEX($U$1005:$AC$1005,1,MATCH(COLUMNS($U$1006:W1006),$U$1006:$AC$1006,0))&gt;=100000), " ",IF(INDEX($U$2:$AC$1001,MATCH(ROWS($N$2:N445),$N$2:$N$1001,0),MATCH(COLUMNS($U$1006:W1006),$U$1006:$AC$1006,0)), HYPERLINK("#",""), HYPERLINK(CONCATENATE("#metadata!", ADDRESS(INDEX($P$2:$P$1001,MATCH(ROWS($N$2:N445),$N$2:$N$1001,0),0), INDEX($U$1004:$AC$1004,1,MATCH(COLUMNS($U$1006:W1006),$U$1006:$AC$1006,0)))),"Fix")))</f>
        <v>0</v>
      </c>
      <c r="E445" s="3">
        <f>IF(OR(INDEX($O$2:$O$1001,MATCH(ROWS($N$2:N445),$N$2:$N$1001,0),1)&gt;=100000,INDEX($U$1005:$AC$1005,1,MATCH(COLUMNS($U$1006:X1006),$U$1006:$AC$1006,0))&gt;=100000), " ",IF(INDEX($U$2:$AC$1001,MATCH(ROWS($N$2:N445),$N$2:$N$1001,0),MATCH(COLUMNS($U$1006:X1006),$U$1006:$AC$1006,0)), HYPERLINK("#",""), HYPERLINK(CONCATENATE("#metadata!", ADDRESS(INDEX($P$2:$P$1001,MATCH(ROWS($N$2:N445),$N$2:$N$1001,0),0), INDEX($U$1004:$AC$1004,1,MATCH(COLUMNS($U$1006:X1006),$U$1006:$AC$1006,0)))),"Fix")))</f>
        <v>0</v>
      </c>
      <c r="F445" s="3">
        <f>IF(OR(INDEX($O$2:$O$1001,MATCH(ROWS($N$2:N445),$N$2:$N$1001,0),1)&gt;=100000,INDEX($U$1005:$AC$1005,1,MATCH(COLUMNS($U$1006:Y1006),$U$1006:$AC$1006,0))&gt;=100000), " ",IF(INDEX($U$2:$AC$1001,MATCH(ROWS($N$2:N445),$N$2:$N$1001,0),MATCH(COLUMNS($U$1006:Y1006),$U$1006:$AC$1006,0)), HYPERLINK("#",""), HYPERLINK(CONCATENATE("#metadata!", ADDRESS(INDEX($P$2:$P$1001,MATCH(ROWS($N$2:N445),$N$2:$N$1001,0),0), INDEX($U$1004:$AC$1004,1,MATCH(COLUMNS($U$1006:Y1006),$U$1006:$AC$1006,0)))),"Fix")))</f>
        <v>0</v>
      </c>
      <c r="G445" s="3">
        <f>IF(OR(INDEX($O$2:$O$1001,MATCH(ROWS($N$2:N445),$N$2:$N$1001,0),1)&gt;=100000,INDEX($U$1005:$AC$1005,1,MATCH(COLUMNS($U$1006:Z1006),$U$1006:$AC$1006,0))&gt;=100000), " ",IF(INDEX($U$2:$AC$1001,MATCH(ROWS($N$2:N445),$N$2:$N$1001,0),MATCH(COLUMNS($U$1006:Z1006),$U$1006:$AC$1006,0)), HYPERLINK("#",""), HYPERLINK(CONCATENATE("#metadata!", ADDRESS(INDEX($P$2:$P$1001,MATCH(ROWS($N$2:N445),$N$2:$N$1001,0),0), INDEX($U$1004:$AC$1004,1,MATCH(COLUMNS($U$1006:Z1006),$U$1006:$AC$1006,0)))),"Fix")))</f>
        <v>0</v>
      </c>
      <c r="H445" s="3">
        <f>IF(OR(INDEX($O$2:$O$1001,MATCH(ROWS($N$2:N445),$N$2:$N$1001,0),1)&gt;=100000,INDEX($U$1005:$AC$1005,1,MATCH(COLUMNS($U$1006:AA1006),$U$1006:$AC$1006,0))&gt;=100000), " ",IF(INDEX($U$2:$AC$1001,MATCH(ROWS($N$2:N445),$N$2:$N$1001,0),MATCH(COLUMNS($U$1006:AA1006),$U$1006:$AC$1006,0)), HYPERLINK("#",""), HYPERLINK(CONCATENATE("#metadata!", ADDRESS(INDEX($P$2:$P$1001,MATCH(ROWS($N$2:N445),$N$2:$N$1001,0),0), INDEX($U$1004:$AC$1004,1,MATCH(COLUMNS($U$1006:AA1006),$U$1006:$AC$1006,0)))),"Fix")))</f>
        <v>0</v>
      </c>
      <c r="I445" s="3">
        <f>IF(OR(INDEX($O$2:$O$1001,MATCH(ROWS($N$2:N445),$N$2:$N$1001,0),1)&gt;=100000,INDEX($U$1005:$AC$1005,1,MATCH(COLUMNS($U$1006:AB1006),$U$1006:$AC$1006,0))&gt;=100000), " ",IF(INDEX($U$2:$AC$1001,MATCH(ROWS($N$2:N445),$N$2:$N$1001,0),MATCH(COLUMNS($U$1006:AB1006),$U$1006:$AC$1006,0)), HYPERLINK("#",""), HYPERLINK(CONCATENATE("#metadata!", ADDRESS(INDEX($P$2:$P$1001,MATCH(ROWS($N$2:N445),$N$2:$N$1001,0),0), INDEX($U$1004:$AC$1004,1,MATCH(COLUMNS($U$1006:AB1006),$U$1006:$AC$1006,0)))),"Fix")))</f>
        <v>0</v>
      </c>
      <c r="J445" s="3">
        <f>IF(OR(INDEX($O$2:$O$1001,MATCH(ROWS($N$2:N445),$N$2:$N$1001,0),1)&gt;=100000,INDEX($U$1005:$AC$1005,1,MATCH(COLUMNS($U$1006:AC1006),$U$1006:$AC$1006,0))&gt;=100000), " ",IF(INDEX($U$2:$AC$1001,MATCH(ROWS($N$2:N445),$N$2:$N$1001,0),MATCH(COLUMNS($U$1006:AC1006),$U$1006:$AC$1006,0)), HYPERLINK("#",""), HYPERLINK(CONCATENATE("#metadata!", ADDRESS(INDEX($P$2:$P$1001,MATCH(ROWS($N$2:N445),$N$2:$N$1001,0),0), INDEX($U$1004:$AC$1004,1,MATCH(COLUMNS($U$1006:AC1006),$U$1006:$AC$1006,0)))),"Fix")))</f>
        <v>0</v>
      </c>
      <c r="N445">
        <v>0</v>
      </c>
      <c r="O445">
        <v>0</v>
      </c>
      <c r="P445">
        <v>0</v>
      </c>
      <c r="Q445">
        <f>IF(R445,TRUE,AND(U445:AC445))</f>
        <v>0</v>
      </c>
      <c r="R445">
        <f>COUNTBLANK(metadata!B445:J445)=COLUMNS(metadata!B445:J445)</f>
        <v>0</v>
      </c>
      <c r="S445">
        <v>0</v>
      </c>
      <c r="U445">
        <f>AND(IF(metadata!B445="",FALSE,TRUE),COUNTIF(metadata!B:B, metadata!B445) = 1,NOT(ISERROR(SUMPRODUCT(SEARCH(MID(metadata!B445,ROW(INDIRECT("1:"&amp;LEN(metadata!B445))), 1),"0123456789abcdefghijklmnopqrstuvwxyzABCDEFGHIJKLMNOPQRSTUVWXYZ.")))))</f>
        <v>0</v>
      </c>
      <c r="V445">
        <f>AND(IF(metadata!C445="",FALSE,TRUE),exact(metadata!C445,"UBERON:genitourinary"))</f>
        <v>0</v>
      </c>
      <c r="W445">
        <f>AND(IF(metadata!D445="",FALSE,TRUE),exact(metadata!D445,"UBERON:urine"))</f>
        <v>0</v>
      </c>
      <c r="X445">
        <f>AND(IF(metadata!E445="",FALSE,TRUE),exact(metadata!E445,"UBERON:kidney"))</f>
        <v>0</v>
      </c>
      <c r="Y445">
        <f>AND(IF(metadata!F445="",FALSE,TRUE),exact(metadata!F445,"animal corpus"))</f>
        <v>0</v>
      </c>
      <c r="Z445">
        <f>AND(IF(metadata!G445="",FALSE,TRUE),exact(metadata!G445,"urine"))</f>
        <v>0</v>
      </c>
      <c r="AA445">
        <f>AND(IF(metadata!H445="",FALSE,TRUE),exact(metadata!H445,"urine"))</f>
        <v>0</v>
      </c>
      <c r="AB445">
        <f>AND(IF(metadata!I445="",FALSE,TRUE),exact(metadata!I445,"urine metagenome"))</f>
        <v>0</v>
      </c>
      <c r="AC445">
        <f>AND(IF(metadata!J445="",FALSE,TRUE),exact(metadata!J445,"1346744"))</f>
        <v>0</v>
      </c>
    </row>
    <row r="446" spans="1:29">
      <c r="A446" s="4">
        <f>IF(B446=" "," ",HYPERLINK(CONCATENATE("#metadata!",ADDRESS(INDEX($P$2:$P$1001,MATCH(ROWS($N$2:N446),$N$2:$N$1001,0),0),1)),INDEX($S$2:$S$1001,MATCH(ROWS($N$2:N446),$N$2:$N$1001,0),0)))</f>
        <v>0</v>
      </c>
      <c r="B446" s="3">
        <f>IF(OR(INDEX($O$2:$O$1001,MATCH(ROWS($N$2:N446),$N$2:$N$1001,0),1)&gt;=100000,INDEX($U$1005:$AC$1005,1,MATCH(COLUMNS($U$1006:U1006),$U$1006:$AC$1006,0))&gt;=100000), " ",IF(INDEX($U$2:$AC$1001,MATCH(ROWS($N$2:N446),$N$2:$N$1001,0),MATCH(COLUMNS($U$1006:U1006),$U$1006:$AC$1006,0)), HYPERLINK("#",""), HYPERLINK(CONCATENATE("#metadata!", ADDRESS(INDEX($P$2:$P$1001,MATCH(ROWS($N$2:N446),$N$2:$N$1001,0),0), INDEX($U$1004:$AC$1004,1,MATCH(COLUMNS($U$1006:U1006),$U$1006:$AC$1006,0)))),"Fix")))</f>
        <v>0</v>
      </c>
      <c r="C446" s="3">
        <f>IF(OR(INDEX($O$2:$O$1001,MATCH(ROWS($N$2:N446),$N$2:$N$1001,0),1)&gt;=100000,INDEX($U$1005:$AC$1005,1,MATCH(COLUMNS($U$1006:V1006),$U$1006:$AC$1006,0))&gt;=100000), " ",IF(INDEX($U$2:$AC$1001,MATCH(ROWS($N$2:N446),$N$2:$N$1001,0),MATCH(COLUMNS($U$1006:V1006),$U$1006:$AC$1006,0)), HYPERLINK("#",""), HYPERLINK(CONCATENATE("#metadata!", ADDRESS(INDEX($P$2:$P$1001,MATCH(ROWS($N$2:N446),$N$2:$N$1001,0),0), INDEX($U$1004:$AC$1004,1,MATCH(COLUMNS($U$1006:V1006),$U$1006:$AC$1006,0)))),"Fix")))</f>
        <v>0</v>
      </c>
      <c r="D446" s="3">
        <f>IF(OR(INDEX($O$2:$O$1001,MATCH(ROWS($N$2:N446),$N$2:$N$1001,0),1)&gt;=100000,INDEX($U$1005:$AC$1005,1,MATCH(COLUMNS($U$1006:W1006),$U$1006:$AC$1006,0))&gt;=100000), " ",IF(INDEX($U$2:$AC$1001,MATCH(ROWS($N$2:N446),$N$2:$N$1001,0),MATCH(COLUMNS($U$1006:W1006),$U$1006:$AC$1006,0)), HYPERLINK("#",""), HYPERLINK(CONCATENATE("#metadata!", ADDRESS(INDEX($P$2:$P$1001,MATCH(ROWS($N$2:N446),$N$2:$N$1001,0),0), INDEX($U$1004:$AC$1004,1,MATCH(COLUMNS($U$1006:W1006),$U$1006:$AC$1006,0)))),"Fix")))</f>
        <v>0</v>
      </c>
      <c r="E446" s="3">
        <f>IF(OR(INDEX($O$2:$O$1001,MATCH(ROWS($N$2:N446),$N$2:$N$1001,0),1)&gt;=100000,INDEX($U$1005:$AC$1005,1,MATCH(COLUMNS($U$1006:X1006),$U$1006:$AC$1006,0))&gt;=100000), " ",IF(INDEX($U$2:$AC$1001,MATCH(ROWS($N$2:N446),$N$2:$N$1001,0),MATCH(COLUMNS($U$1006:X1006),$U$1006:$AC$1006,0)), HYPERLINK("#",""), HYPERLINK(CONCATENATE("#metadata!", ADDRESS(INDEX($P$2:$P$1001,MATCH(ROWS($N$2:N446),$N$2:$N$1001,0),0), INDEX($U$1004:$AC$1004,1,MATCH(COLUMNS($U$1006:X1006),$U$1006:$AC$1006,0)))),"Fix")))</f>
        <v>0</v>
      </c>
      <c r="F446" s="3">
        <f>IF(OR(INDEX($O$2:$O$1001,MATCH(ROWS($N$2:N446),$N$2:$N$1001,0),1)&gt;=100000,INDEX($U$1005:$AC$1005,1,MATCH(COLUMNS($U$1006:Y1006),$U$1006:$AC$1006,0))&gt;=100000), " ",IF(INDEX($U$2:$AC$1001,MATCH(ROWS($N$2:N446),$N$2:$N$1001,0),MATCH(COLUMNS($U$1006:Y1006),$U$1006:$AC$1006,0)), HYPERLINK("#",""), HYPERLINK(CONCATENATE("#metadata!", ADDRESS(INDEX($P$2:$P$1001,MATCH(ROWS($N$2:N446),$N$2:$N$1001,0),0), INDEX($U$1004:$AC$1004,1,MATCH(COLUMNS($U$1006:Y1006),$U$1006:$AC$1006,0)))),"Fix")))</f>
        <v>0</v>
      </c>
      <c r="G446" s="3">
        <f>IF(OR(INDEX($O$2:$O$1001,MATCH(ROWS($N$2:N446),$N$2:$N$1001,0),1)&gt;=100000,INDEX($U$1005:$AC$1005,1,MATCH(COLUMNS($U$1006:Z1006),$U$1006:$AC$1006,0))&gt;=100000), " ",IF(INDEX($U$2:$AC$1001,MATCH(ROWS($N$2:N446),$N$2:$N$1001,0),MATCH(COLUMNS($U$1006:Z1006),$U$1006:$AC$1006,0)), HYPERLINK("#",""), HYPERLINK(CONCATENATE("#metadata!", ADDRESS(INDEX($P$2:$P$1001,MATCH(ROWS($N$2:N446),$N$2:$N$1001,0),0), INDEX($U$1004:$AC$1004,1,MATCH(COLUMNS($U$1006:Z1006),$U$1006:$AC$1006,0)))),"Fix")))</f>
        <v>0</v>
      </c>
      <c r="H446" s="3">
        <f>IF(OR(INDEX($O$2:$O$1001,MATCH(ROWS($N$2:N446),$N$2:$N$1001,0),1)&gt;=100000,INDEX($U$1005:$AC$1005,1,MATCH(COLUMNS($U$1006:AA1006),$U$1006:$AC$1006,0))&gt;=100000), " ",IF(INDEX($U$2:$AC$1001,MATCH(ROWS($N$2:N446),$N$2:$N$1001,0),MATCH(COLUMNS($U$1006:AA1006),$U$1006:$AC$1006,0)), HYPERLINK("#",""), HYPERLINK(CONCATENATE("#metadata!", ADDRESS(INDEX($P$2:$P$1001,MATCH(ROWS($N$2:N446),$N$2:$N$1001,0),0), INDEX($U$1004:$AC$1004,1,MATCH(COLUMNS($U$1006:AA1006),$U$1006:$AC$1006,0)))),"Fix")))</f>
        <v>0</v>
      </c>
      <c r="I446" s="3">
        <f>IF(OR(INDEX($O$2:$O$1001,MATCH(ROWS($N$2:N446),$N$2:$N$1001,0),1)&gt;=100000,INDEX($U$1005:$AC$1005,1,MATCH(COLUMNS($U$1006:AB1006),$U$1006:$AC$1006,0))&gt;=100000), " ",IF(INDEX($U$2:$AC$1001,MATCH(ROWS($N$2:N446),$N$2:$N$1001,0),MATCH(COLUMNS($U$1006:AB1006),$U$1006:$AC$1006,0)), HYPERLINK("#",""), HYPERLINK(CONCATENATE("#metadata!", ADDRESS(INDEX($P$2:$P$1001,MATCH(ROWS($N$2:N446),$N$2:$N$1001,0),0), INDEX($U$1004:$AC$1004,1,MATCH(COLUMNS($U$1006:AB1006),$U$1006:$AC$1006,0)))),"Fix")))</f>
        <v>0</v>
      </c>
      <c r="J446" s="3">
        <f>IF(OR(INDEX($O$2:$O$1001,MATCH(ROWS($N$2:N446),$N$2:$N$1001,0),1)&gt;=100000,INDEX($U$1005:$AC$1005,1,MATCH(COLUMNS($U$1006:AC1006),$U$1006:$AC$1006,0))&gt;=100000), " ",IF(INDEX($U$2:$AC$1001,MATCH(ROWS($N$2:N446),$N$2:$N$1001,0),MATCH(COLUMNS($U$1006:AC1006),$U$1006:$AC$1006,0)), HYPERLINK("#",""), HYPERLINK(CONCATENATE("#metadata!", ADDRESS(INDEX($P$2:$P$1001,MATCH(ROWS($N$2:N446),$N$2:$N$1001,0),0), INDEX($U$1004:$AC$1004,1,MATCH(COLUMNS($U$1006:AC1006),$U$1006:$AC$1006,0)))),"Fix")))</f>
        <v>0</v>
      </c>
      <c r="N446">
        <v>0</v>
      </c>
      <c r="O446">
        <v>0</v>
      </c>
      <c r="P446">
        <v>0</v>
      </c>
      <c r="Q446">
        <f>IF(R446,TRUE,AND(U446:AC446))</f>
        <v>0</v>
      </c>
      <c r="R446">
        <f>COUNTBLANK(metadata!B446:J446)=COLUMNS(metadata!B446:J446)</f>
        <v>0</v>
      </c>
      <c r="S446">
        <v>0</v>
      </c>
      <c r="U446">
        <f>AND(IF(metadata!B446="",FALSE,TRUE),COUNTIF(metadata!B:B, metadata!B446) = 1,NOT(ISERROR(SUMPRODUCT(SEARCH(MID(metadata!B446,ROW(INDIRECT("1:"&amp;LEN(metadata!B446))), 1),"0123456789abcdefghijklmnopqrstuvwxyzABCDEFGHIJKLMNOPQRSTUVWXYZ.")))))</f>
        <v>0</v>
      </c>
      <c r="V446">
        <f>AND(IF(metadata!C446="",FALSE,TRUE),exact(metadata!C446,"UBERON:genitourinary"))</f>
        <v>0</v>
      </c>
      <c r="W446">
        <f>AND(IF(metadata!D446="",FALSE,TRUE),exact(metadata!D446,"UBERON:urine"))</f>
        <v>0</v>
      </c>
      <c r="X446">
        <f>AND(IF(metadata!E446="",FALSE,TRUE),exact(metadata!E446,"UBERON:kidney"))</f>
        <v>0</v>
      </c>
      <c r="Y446">
        <f>AND(IF(metadata!F446="",FALSE,TRUE),exact(metadata!F446,"animal corpus"))</f>
        <v>0</v>
      </c>
      <c r="Z446">
        <f>AND(IF(metadata!G446="",FALSE,TRUE),exact(metadata!G446,"urine"))</f>
        <v>0</v>
      </c>
      <c r="AA446">
        <f>AND(IF(metadata!H446="",FALSE,TRUE),exact(metadata!H446,"urine"))</f>
        <v>0</v>
      </c>
      <c r="AB446">
        <f>AND(IF(metadata!I446="",FALSE,TRUE),exact(metadata!I446,"urine metagenome"))</f>
        <v>0</v>
      </c>
      <c r="AC446">
        <f>AND(IF(metadata!J446="",FALSE,TRUE),exact(metadata!J446,"1346744"))</f>
        <v>0</v>
      </c>
    </row>
    <row r="447" spans="1:29">
      <c r="A447" s="4">
        <f>IF(B447=" "," ",HYPERLINK(CONCATENATE("#metadata!",ADDRESS(INDEX($P$2:$P$1001,MATCH(ROWS($N$2:N447),$N$2:$N$1001,0),0),1)),INDEX($S$2:$S$1001,MATCH(ROWS($N$2:N447),$N$2:$N$1001,0),0)))</f>
        <v>0</v>
      </c>
      <c r="B447" s="3">
        <f>IF(OR(INDEX($O$2:$O$1001,MATCH(ROWS($N$2:N447),$N$2:$N$1001,0),1)&gt;=100000,INDEX($U$1005:$AC$1005,1,MATCH(COLUMNS($U$1006:U1006),$U$1006:$AC$1006,0))&gt;=100000), " ",IF(INDEX($U$2:$AC$1001,MATCH(ROWS($N$2:N447),$N$2:$N$1001,0),MATCH(COLUMNS($U$1006:U1006),$U$1006:$AC$1006,0)), HYPERLINK("#",""), HYPERLINK(CONCATENATE("#metadata!", ADDRESS(INDEX($P$2:$P$1001,MATCH(ROWS($N$2:N447),$N$2:$N$1001,0),0), INDEX($U$1004:$AC$1004,1,MATCH(COLUMNS($U$1006:U1006),$U$1006:$AC$1006,0)))),"Fix")))</f>
        <v>0</v>
      </c>
      <c r="C447" s="3">
        <f>IF(OR(INDEX($O$2:$O$1001,MATCH(ROWS($N$2:N447),$N$2:$N$1001,0),1)&gt;=100000,INDEX($U$1005:$AC$1005,1,MATCH(COLUMNS($U$1006:V1006),$U$1006:$AC$1006,0))&gt;=100000), " ",IF(INDEX($U$2:$AC$1001,MATCH(ROWS($N$2:N447),$N$2:$N$1001,0),MATCH(COLUMNS($U$1006:V1006),$U$1006:$AC$1006,0)), HYPERLINK("#",""), HYPERLINK(CONCATENATE("#metadata!", ADDRESS(INDEX($P$2:$P$1001,MATCH(ROWS($N$2:N447),$N$2:$N$1001,0),0), INDEX($U$1004:$AC$1004,1,MATCH(COLUMNS($U$1006:V1006),$U$1006:$AC$1006,0)))),"Fix")))</f>
        <v>0</v>
      </c>
      <c r="D447" s="3">
        <f>IF(OR(INDEX($O$2:$O$1001,MATCH(ROWS($N$2:N447),$N$2:$N$1001,0),1)&gt;=100000,INDEX($U$1005:$AC$1005,1,MATCH(COLUMNS($U$1006:W1006),$U$1006:$AC$1006,0))&gt;=100000), " ",IF(INDEX($U$2:$AC$1001,MATCH(ROWS($N$2:N447),$N$2:$N$1001,0),MATCH(COLUMNS($U$1006:W1006),$U$1006:$AC$1006,0)), HYPERLINK("#",""), HYPERLINK(CONCATENATE("#metadata!", ADDRESS(INDEX($P$2:$P$1001,MATCH(ROWS($N$2:N447),$N$2:$N$1001,0),0), INDEX($U$1004:$AC$1004,1,MATCH(COLUMNS($U$1006:W1006),$U$1006:$AC$1006,0)))),"Fix")))</f>
        <v>0</v>
      </c>
      <c r="E447" s="3">
        <f>IF(OR(INDEX($O$2:$O$1001,MATCH(ROWS($N$2:N447),$N$2:$N$1001,0),1)&gt;=100000,INDEX($U$1005:$AC$1005,1,MATCH(COLUMNS($U$1006:X1006),$U$1006:$AC$1006,0))&gt;=100000), " ",IF(INDEX($U$2:$AC$1001,MATCH(ROWS($N$2:N447),$N$2:$N$1001,0),MATCH(COLUMNS($U$1006:X1006),$U$1006:$AC$1006,0)), HYPERLINK("#",""), HYPERLINK(CONCATENATE("#metadata!", ADDRESS(INDEX($P$2:$P$1001,MATCH(ROWS($N$2:N447),$N$2:$N$1001,0),0), INDEX($U$1004:$AC$1004,1,MATCH(COLUMNS($U$1006:X1006),$U$1006:$AC$1006,0)))),"Fix")))</f>
        <v>0</v>
      </c>
      <c r="F447" s="3">
        <f>IF(OR(INDEX($O$2:$O$1001,MATCH(ROWS($N$2:N447),$N$2:$N$1001,0),1)&gt;=100000,INDEX($U$1005:$AC$1005,1,MATCH(COLUMNS($U$1006:Y1006),$U$1006:$AC$1006,0))&gt;=100000), " ",IF(INDEX($U$2:$AC$1001,MATCH(ROWS($N$2:N447),$N$2:$N$1001,0),MATCH(COLUMNS($U$1006:Y1006),$U$1006:$AC$1006,0)), HYPERLINK("#",""), HYPERLINK(CONCATENATE("#metadata!", ADDRESS(INDEX($P$2:$P$1001,MATCH(ROWS($N$2:N447),$N$2:$N$1001,0),0), INDEX($U$1004:$AC$1004,1,MATCH(COLUMNS($U$1006:Y1006),$U$1006:$AC$1006,0)))),"Fix")))</f>
        <v>0</v>
      </c>
      <c r="G447" s="3">
        <f>IF(OR(INDEX($O$2:$O$1001,MATCH(ROWS($N$2:N447),$N$2:$N$1001,0),1)&gt;=100000,INDEX($U$1005:$AC$1005,1,MATCH(COLUMNS($U$1006:Z1006),$U$1006:$AC$1006,0))&gt;=100000), " ",IF(INDEX($U$2:$AC$1001,MATCH(ROWS($N$2:N447),$N$2:$N$1001,0),MATCH(COLUMNS($U$1006:Z1006),$U$1006:$AC$1006,0)), HYPERLINK("#",""), HYPERLINK(CONCATENATE("#metadata!", ADDRESS(INDEX($P$2:$P$1001,MATCH(ROWS($N$2:N447),$N$2:$N$1001,0),0), INDEX($U$1004:$AC$1004,1,MATCH(COLUMNS($U$1006:Z1006),$U$1006:$AC$1006,0)))),"Fix")))</f>
        <v>0</v>
      </c>
      <c r="H447" s="3">
        <f>IF(OR(INDEX($O$2:$O$1001,MATCH(ROWS($N$2:N447),$N$2:$N$1001,0),1)&gt;=100000,INDEX($U$1005:$AC$1005,1,MATCH(COLUMNS($U$1006:AA1006),$U$1006:$AC$1006,0))&gt;=100000), " ",IF(INDEX($U$2:$AC$1001,MATCH(ROWS($N$2:N447),$N$2:$N$1001,0),MATCH(COLUMNS($U$1006:AA1006),$U$1006:$AC$1006,0)), HYPERLINK("#",""), HYPERLINK(CONCATENATE("#metadata!", ADDRESS(INDEX($P$2:$P$1001,MATCH(ROWS($N$2:N447),$N$2:$N$1001,0),0), INDEX($U$1004:$AC$1004,1,MATCH(COLUMNS($U$1006:AA1006),$U$1006:$AC$1006,0)))),"Fix")))</f>
        <v>0</v>
      </c>
      <c r="I447" s="3">
        <f>IF(OR(INDEX($O$2:$O$1001,MATCH(ROWS($N$2:N447),$N$2:$N$1001,0),1)&gt;=100000,INDEX($U$1005:$AC$1005,1,MATCH(COLUMNS($U$1006:AB1006),$U$1006:$AC$1006,0))&gt;=100000), " ",IF(INDEX($U$2:$AC$1001,MATCH(ROWS($N$2:N447),$N$2:$N$1001,0),MATCH(COLUMNS($U$1006:AB1006),$U$1006:$AC$1006,0)), HYPERLINK("#",""), HYPERLINK(CONCATENATE("#metadata!", ADDRESS(INDEX($P$2:$P$1001,MATCH(ROWS($N$2:N447),$N$2:$N$1001,0),0), INDEX($U$1004:$AC$1004,1,MATCH(COLUMNS($U$1006:AB1006),$U$1006:$AC$1006,0)))),"Fix")))</f>
        <v>0</v>
      </c>
      <c r="J447" s="3">
        <f>IF(OR(INDEX($O$2:$O$1001,MATCH(ROWS($N$2:N447),$N$2:$N$1001,0),1)&gt;=100000,INDEX($U$1005:$AC$1005,1,MATCH(COLUMNS($U$1006:AC1006),$U$1006:$AC$1006,0))&gt;=100000), " ",IF(INDEX($U$2:$AC$1001,MATCH(ROWS($N$2:N447),$N$2:$N$1001,0),MATCH(COLUMNS($U$1006:AC1006),$U$1006:$AC$1006,0)), HYPERLINK("#",""), HYPERLINK(CONCATENATE("#metadata!", ADDRESS(INDEX($P$2:$P$1001,MATCH(ROWS($N$2:N447),$N$2:$N$1001,0),0), INDEX($U$1004:$AC$1004,1,MATCH(COLUMNS($U$1006:AC1006),$U$1006:$AC$1006,0)))),"Fix")))</f>
        <v>0</v>
      </c>
      <c r="N447">
        <v>0</v>
      </c>
      <c r="O447">
        <v>0</v>
      </c>
      <c r="P447">
        <v>0</v>
      </c>
      <c r="Q447">
        <f>IF(R447,TRUE,AND(U447:AC447))</f>
        <v>0</v>
      </c>
      <c r="R447">
        <f>COUNTBLANK(metadata!B447:J447)=COLUMNS(metadata!B447:J447)</f>
        <v>0</v>
      </c>
      <c r="S447">
        <v>0</v>
      </c>
      <c r="U447">
        <f>AND(IF(metadata!B447="",FALSE,TRUE),COUNTIF(metadata!B:B, metadata!B447) = 1,NOT(ISERROR(SUMPRODUCT(SEARCH(MID(metadata!B447,ROW(INDIRECT("1:"&amp;LEN(metadata!B447))), 1),"0123456789abcdefghijklmnopqrstuvwxyzABCDEFGHIJKLMNOPQRSTUVWXYZ.")))))</f>
        <v>0</v>
      </c>
      <c r="V447">
        <f>AND(IF(metadata!C447="",FALSE,TRUE),exact(metadata!C447,"UBERON:genitourinary"))</f>
        <v>0</v>
      </c>
      <c r="W447">
        <f>AND(IF(metadata!D447="",FALSE,TRUE),exact(metadata!D447,"UBERON:urine"))</f>
        <v>0</v>
      </c>
      <c r="X447">
        <f>AND(IF(metadata!E447="",FALSE,TRUE),exact(metadata!E447,"UBERON:kidney"))</f>
        <v>0</v>
      </c>
      <c r="Y447">
        <f>AND(IF(metadata!F447="",FALSE,TRUE),exact(metadata!F447,"animal corpus"))</f>
        <v>0</v>
      </c>
      <c r="Z447">
        <f>AND(IF(metadata!G447="",FALSE,TRUE),exact(metadata!G447,"urine"))</f>
        <v>0</v>
      </c>
      <c r="AA447">
        <f>AND(IF(metadata!H447="",FALSE,TRUE),exact(metadata!H447,"urine"))</f>
        <v>0</v>
      </c>
      <c r="AB447">
        <f>AND(IF(metadata!I447="",FALSE,TRUE),exact(metadata!I447,"urine metagenome"))</f>
        <v>0</v>
      </c>
      <c r="AC447">
        <f>AND(IF(metadata!J447="",FALSE,TRUE),exact(metadata!J447,"1346744"))</f>
        <v>0</v>
      </c>
    </row>
    <row r="448" spans="1:29">
      <c r="A448" s="4">
        <f>IF(B448=" "," ",HYPERLINK(CONCATENATE("#metadata!",ADDRESS(INDEX($P$2:$P$1001,MATCH(ROWS($N$2:N448),$N$2:$N$1001,0),0),1)),INDEX($S$2:$S$1001,MATCH(ROWS($N$2:N448),$N$2:$N$1001,0),0)))</f>
        <v>0</v>
      </c>
      <c r="B448" s="3">
        <f>IF(OR(INDEX($O$2:$O$1001,MATCH(ROWS($N$2:N448),$N$2:$N$1001,0),1)&gt;=100000,INDEX($U$1005:$AC$1005,1,MATCH(COLUMNS($U$1006:U1006),$U$1006:$AC$1006,0))&gt;=100000), " ",IF(INDEX($U$2:$AC$1001,MATCH(ROWS($N$2:N448),$N$2:$N$1001,0),MATCH(COLUMNS($U$1006:U1006),$U$1006:$AC$1006,0)), HYPERLINK("#",""), HYPERLINK(CONCATENATE("#metadata!", ADDRESS(INDEX($P$2:$P$1001,MATCH(ROWS($N$2:N448),$N$2:$N$1001,0),0), INDEX($U$1004:$AC$1004,1,MATCH(COLUMNS($U$1006:U1006),$U$1006:$AC$1006,0)))),"Fix")))</f>
        <v>0</v>
      </c>
      <c r="C448" s="3">
        <f>IF(OR(INDEX($O$2:$O$1001,MATCH(ROWS($N$2:N448),$N$2:$N$1001,0),1)&gt;=100000,INDEX($U$1005:$AC$1005,1,MATCH(COLUMNS($U$1006:V1006),$U$1006:$AC$1006,0))&gt;=100000), " ",IF(INDEX($U$2:$AC$1001,MATCH(ROWS($N$2:N448),$N$2:$N$1001,0),MATCH(COLUMNS($U$1006:V1006),$U$1006:$AC$1006,0)), HYPERLINK("#",""), HYPERLINK(CONCATENATE("#metadata!", ADDRESS(INDEX($P$2:$P$1001,MATCH(ROWS($N$2:N448),$N$2:$N$1001,0),0), INDEX($U$1004:$AC$1004,1,MATCH(COLUMNS($U$1006:V1006),$U$1006:$AC$1006,0)))),"Fix")))</f>
        <v>0</v>
      </c>
      <c r="D448" s="3">
        <f>IF(OR(INDEX($O$2:$O$1001,MATCH(ROWS($N$2:N448),$N$2:$N$1001,0),1)&gt;=100000,INDEX($U$1005:$AC$1005,1,MATCH(COLUMNS($U$1006:W1006),$U$1006:$AC$1006,0))&gt;=100000), " ",IF(INDEX($U$2:$AC$1001,MATCH(ROWS($N$2:N448),$N$2:$N$1001,0),MATCH(COLUMNS($U$1006:W1006),$U$1006:$AC$1006,0)), HYPERLINK("#",""), HYPERLINK(CONCATENATE("#metadata!", ADDRESS(INDEX($P$2:$P$1001,MATCH(ROWS($N$2:N448),$N$2:$N$1001,0),0), INDEX($U$1004:$AC$1004,1,MATCH(COLUMNS($U$1006:W1006),$U$1006:$AC$1006,0)))),"Fix")))</f>
        <v>0</v>
      </c>
      <c r="E448" s="3">
        <f>IF(OR(INDEX($O$2:$O$1001,MATCH(ROWS($N$2:N448),$N$2:$N$1001,0),1)&gt;=100000,INDEX($U$1005:$AC$1005,1,MATCH(COLUMNS($U$1006:X1006),$U$1006:$AC$1006,0))&gt;=100000), " ",IF(INDEX($U$2:$AC$1001,MATCH(ROWS($N$2:N448),$N$2:$N$1001,0),MATCH(COLUMNS($U$1006:X1006),$U$1006:$AC$1006,0)), HYPERLINK("#",""), HYPERLINK(CONCATENATE("#metadata!", ADDRESS(INDEX($P$2:$P$1001,MATCH(ROWS($N$2:N448),$N$2:$N$1001,0),0), INDEX($U$1004:$AC$1004,1,MATCH(COLUMNS($U$1006:X1006),$U$1006:$AC$1006,0)))),"Fix")))</f>
        <v>0</v>
      </c>
      <c r="F448" s="3">
        <f>IF(OR(INDEX($O$2:$O$1001,MATCH(ROWS($N$2:N448),$N$2:$N$1001,0),1)&gt;=100000,INDEX($U$1005:$AC$1005,1,MATCH(COLUMNS($U$1006:Y1006),$U$1006:$AC$1006,0))&gt;=100000), " ",IF(INDEX($U$2:$AC$1001,MATCH(ROWS($N$2:N448),$N$2:$N$1001,0),MATCH(COLUMNS($U$1006:Y1006),$U$1006:$AC$1006,0)), HYPERLINK("#",""), HYPERLINK(CONCATENATE("#metadata!", ADDRESS(INDEX($P$2:$P$1001,MATCH(ROWS($N$2:N448),$N$2:$N$1001,0),0), INDEX($U$1004:$AC$1004,1,MATCH(COLUMNS($U$1006:Y1006),$U$1006:$AC$1006,0)))),"Fix")))</f>
        <v>0</v>
      </c>
      <c r="G448" s="3">
        <f>IF(OR(INDEX($O$2:$O$1001,MATCH(ROWS($N$2:N448),$N$2:$N$1001,0),1)&gt;=100000,INDEX($U$1005:$AC$1005,1,MATCH(COLUMNS($U$1006:Z1006),$U$1006:$AC$1006,0))&gt;=100000), " ",IF(INDEX($U$2:$AC$1001,MATCH(ROWS($N$2:N448),$N$2:$N$1001,0),MATCH(COLUMNS($U$1006:Z1006),$U$1006:$AC$1006,0)), HYPERLINK("#",""), HYPERLINK(CONCATENATE("#metadata!", ADDRESS(INDEX($P$2:$P$1001,MATCH(ROWS($N$2:N448),$N$2:$N$1001,0),0), INDEX($U$1004:$AC$1004,1,MATCH(COLUMNS($U$1006:Z1006),$U$1006:$AC$1006,0)))),"Fix")))</f>
        <v>0</v>
      </c>
      <c r="H448" s="3">
        <f>IF(OR(INDEX($O$2:$O$1001,MATCH(ROWS($N$2:N448),$N$2:$N$1001,0),1)&gt;=100000,INDEX($U$1005:$AC$1005,1,MATCH(COLUMNS($U$1006:AA1006),$U$1006:$AC$1006,0))&gt;=100000), " ",IF(INDEX($U$2:$AC$1001,MATCH(ROWS($N$2:N448),$N$2:$N$1001,0),MATCH(COLUMNS($U$1006:AA1006),$U$1006:$AC$1006,0)), HYPERLINK("#",""), HYPERLINK(CONCATENATE("#metadata!", ADDRESS(INDEX($P$2:$P$1001,MATCH(ROWS($N$2:N448),$N$2:$N$1001,0),0), INDEX($U$1004:$AC$1004,1,MATCH(COLUMNS($U$1006:AA1006),$U$1006:$AC$1006,0)))),"Fix")))</f>
        <v>0</v>
      </c>
      <c r="I448" s="3">
        <f>IF(OR(INDEX($O$2:$O$1001,MATCH(ROWS($N$2:N448),$N$2:$N$1001,0),1)&gt;=100000,INDEX($U$1005:$AC$1005,1,MATCH(COLUMNS($U$1006:AB1006),$U$1006:$AC$1006,0))&gt;=100000), " ",IF(INDEX($U$2:$AC$1001,MATCH(ROWS($N$2:N448),$N$2:$N$1001,0),MATCH(COLUMNS($U$1006:AB1006),$U$1006:$AC$1006,0)), HYPERLINK("#",""), HYPERLINK(CONCATENATE("#metadata!", ADDRESS(INDEX($P$2:$P$1001,MATCH(ROWS($N$2:N448),$N$2:$N$1001,0),0), INDEX($U$1004:$AC$1004,1,MATCH(COLUMNS($U$1006:AB1006),$U$1006:$AC$1006,0)))),"Fix")))</f>
        <v>0</v>
      </c>
      <c r="J448" s="3">
        <f>IF(OR(INDEX($O$2:$O$1001,MATCH(ROWS($N$2:N448),$N$2:$N$1001,0),1)&gt;=100000,INDEX($U$1005:$AC$1005,1,MATCH(COLUMNS($U$1006:AC1006),$U$1006:$AC$1006,0))&gt;=100000), " ",IF(INDEX($U$2:$AC$1001,MATCH(ROWS($N$2:N448),$N$2:$N$1001,0),MATCH(COLUMNS($U$1006:AC1006),$U$1006:$AC$1006,0)), HYPERLINK("#",""), HYPERLINK(CONCATENATE("#metadata!", ADDRESS(INDEX($P$2:$P$1001,MATCH(ROWS($N$2:N448),$N$2:$N$1001,0),0), INDEX($U$1004:$AC$1004,1,MATCH(COLUMNS($U$1006:AC1006),$U$1006:$AC$1006,0)))),"Fix")))</f>
        <v>0</v>
      </c>
      <c r="N448">
        <v>0</v>
      </c>
      <c r="O448">
        <v>0</v>
      </c>
      <c r="P448">
        <v>0</v>
      </c>
      <c r="Q448">
        <f>IF(R448,TRUE,AND(U448:AC448))</f>
        <v>0</v>
      </c>
      <c r="R448">
        <f>COUNTBLANK(metadata!B448:J448)=COLUMNS(metadata!B448:J448)</f>
        <v>0</v>
      </c>
      <c r="S448">
        <v>0</v>
      </c>
      <c r="U448">
        <f>AND(IF(metadata!B448="",FALSE,TRUE),COUNTIF(metadata!B:B, metadata!B448) = 1,NOT(ISERROR(SUMPRODUCT(SEARCH(MID(metadata!B448,ROW(INDIRECT("1:"&amp;LEN(metadata!B448))), 1),"0123456789abcdefghijklmnopqrstuvwxyzABCDEFGHIJKLMNOPQRSTUVWXYZ.")))))</f>
        <v>0</v>
      </c>
      <c r="V448">
        <f>AND(IF(metadata!C448="",FALSE,TRUE),exact(metadata!C448,"UBERON:genitourinary"))</f>
        <v>0</v>
      </c>
      <c r="W448">
        <f>AND(IF(metadata!D448="",FALSE,TRUE),exact(metadata!D448,"UBERON:urine"))</f>
        <v>0</v>
      </c>
      <c r="X448">
        <f>AND(IF(metadata!E448="",FALSE,TRUE),exact(metadata!E448,"UBERON:kidney"))</f>
        <v>0</v>
      </c>
      <c r="Y448">
        <f>AND(IF(metadata!F448="",FALSE,TRUE),exact(metadata!F448,"animal corpus"))</f>
        <v>0</v>
      </c>
      <c r="Z448">
        <f>AND(IF(metadata!G448="",FALSE,TRUE),exact(metadata!G448,"urine"))</f>
        <v>0</v>
      </c>
      <c r="AA448">
        <f>AND(IF(metadata!H448="",FALSE,TRUE),exact(metadata!H448,"urine"))</f>
        <v>0</v>
      </c>
      <c r="AB448">
        <f>AND(IF(metadata!I448="",FALSE,TRUE),exact(metadata!I448,"urine metagenome"))</f>
        <v>0</v>
      </c>
      <c r="AC448">
        <f>AND(IF(metadata!J448="",FALSE,TRUE),exact(metadata!J448,"1346744"))</f>
        <v>0</v>
      </c>
    </row>
    <row r="449" spans="1:29">
      <c r="A449" s="4">
        <f>IF(B449=" "," ",HYPERLINK(CONCATENATE("#metadata!",ADDRESS(INDEX($P$2:$P$1001,MATCH(ROWS($N$2:N449),$N$2:$N$1001,0),0),1)),INDEX($S$2:$S$1001,MATCH(ROWS($N$2:N449),$N$2:$N$1001,0),0)))</f>
        <v>0</v>
      </c>
      <c r="B449" s="3">
        <f>IF(OR(INDEX($O$2:$O$1001,MATCH(ROWS($N$2:N449),$N$2:$N$1001,0),1)&gt;=100000,INDEX($U$1005:$AC$1005,1,MATCH(COLUMNS($U$1006:U1006),$U$1006:$AC$1006,0))&gt;=100000), " ",IF(INDEX($U$2:$AC$1001,MATCH(ROWS($N$2:N449),$N$2:$N$1001,0),MATCH(COLUMNS($U$1006:U1006),$U$1006:$AC$1006,0)), HYPERLINK("#",""), HYPERLINK(CONCATENATE("#metadata!", ADDRESS(INDEX($P$2:$P$1001,MATCH(ROWS($N$2:N449),$N$2:$N$1001,0),0), INDEX($U$1004:$AC$1004,1,MATCH(COLUMNS($U$1006:U1006),$U$1006:$AC$1006,0)))),"Fix")))</f>
        <v>0</v>
      </c>
      <c r="C449" s="3">
        <f>IF(OR(INDEX($O$2:$O$1001,MATCH(ROWS($N$2:N449),$N$2:$N$1001,0),1)&gt;=100000,INDEX($U$1005:$AC$1005,1,MATCH(COLUMNS($U$1006:V1006),$U$1006:$AC$1006,0))&gt;=100000), " ",IF(INDEX($U$2:$AC$1001,MATCH(ROWS($N$2:N449),$N$2:$N$1001,0),MATCH(COLUMNS($U$1006:V1006),$U$1006:$AC$1006,0)), HYPERLINK("#",""), HYPERLINK(CONCATENATE("#metadata!", ADDRESS(INDEX($P$2:$P$1001,MATCH(ROWS($N$2:N449),$N$2:$N$1001,0),0), INDEX($U$1004:$AC$1004,1,MATCH(COLUMNS($U$1006:V1006),$U$1006:$AC$1006,0)))),"Fix")))</f>
        <v>0</v>
      </c>
      <c r="D449" s="3">
        <f>IF(OR(INDEX($O$2:$O$1001,MATCH(ROWS($N$2:N449),$N$2:$N$1001,0),1)&gt;=100000,INDEX($U$1005:$AC$1005,1,MATCH(COLUMNS($U$1006:W1006),$U$1006:$AC$1006,0))&gt;=100000), " ",IF(INDEX($U$2:$AC$1001,MATCH(ROWS($N$2:N449),$N$2:$N$1001,0),MATCH(COLUMNS($U$1006:W1006),$U$1006:$AC$1006,0)), HYPERLINK("#",""), HYPERLINK(CONCATENATE("#metadata!", ADDRESS(INDEX($P$2:$P$1001,MATCH(ROWS($N$2:N449),$N$2:$N$1001,0),0), INDEX($U$1004:$AC$1004,1,MATCH(COLUMNS($U$1006:W1006),$U$1006:$AC$1006,0)))),"Fix")))</f>
        <v>0</v>
      </c>
      <c r="E449" s="3">
        <f>IF(OR(INDEX($O$2:$O$1001,MATCH(ROWS($N$2:N449),$N$2:$N$1001,0),1)&gt;=100000,INDEX($U$1005:$AC$1005,1,MATCH(COLUMNS($U$1006:X1006),$U$1006:$AC$1006,0))&gt;=100000), " ",IF(INDEX($U$2:$AC$1001,MATCH(ROWS($N$2:N449),$N$2:$N$1001,0),MATCH(COLUMNS($U$1006:X1006),$U$1006:$AC$1006,0)), HYPERLINK("#",""), HYPERLINK(CONCATENATE("#metadata!", ADDRESS(INDEX($P$2:$P$1001,MATCH(ROWS($N$2:N449),$N$2:$N$1001,0),0), INDEX($U$1004:$AC$1004,1,MATCH(COLUMNS($U$1006:X1006),$U$1006:$AC$1006,0)))),"Fix")))</f>
        <v>0</v>
      </c>
      <c r="F449" s="3">
        <f>IF(OR(INDEX($O$2:$O$1001,MATCH(ROWS($N$2:N449),$N$2:$N$1001,0),1)&gt;=100000,INDEX($U$1005:$AC$1005,1,MATCH(COLUMNS($U$1006:Y1006),$U$1006:$AC$1006,0))&gt;=100000), " ",IF(INDEX($U$2:$AC$1001,MATCH(ROWS($N$2:N449),$N$2:$N$1001,0),MATCH(COLUMNS($U$1006:Y1006),$U$1006:$AC$1006,0)), HYPERLINK("#",""), HYPERLINK(CONCATENATE("#metadata!", ADDRESS(INDEX($P$2:$P$1001,MATCH(ROWS($N$2:N449),$N$2:$N$1001,0),0), INDEX($U$1004:$AC$1004,1,MATCH(COLUMNS($U$1006:Y1006),$U$1006:$AC$1006,0)))),"Fix")))</f>
        <v>0</v>
      </c>
      <c r="G449" s="3">
        <f>IF(OR(INDEX($O$2:$O$1001,MATCH(ROWS($N$2:N449),$N$2:$N$1001,0),1)&gt;=100000,INDEX($U$1005:$AC$1005,1,MATCH(COLUMNS($U$1006:Z1006),$U$1006:$AC$1006,0))&gt;=100000), " ",IF(INDEX($U$2:$AC$1001,MATCH(ROWS($N$2:N449),$N$2:$N$1001,0),MATCH(COLUMNS($U$1006:Z1006),$U$1006:$AC$1006,0)), HYPERLINK("#",""), HYPERLINK(CONCATENATE("#metadata!", ADDRESS(INDEX($P$2:$P$1001,MATCH(ROWS($N$2:N449),$N$2:$N$1001,0),0), INDEX($U$1004:$AC$1004,1,MATCH(COLUMNS($U$1006:Z1006),$U$1006:$AC$1006,0)))),"Fix")))</f>
        <v>0</v>
      </c>
      <c r="H449" s="3">
        <f>IF(OR(INDEX($O$2:$O$1001,MATCH(ROWS($N$2:N449),$N$2:$N$1001,0),1)&gt;=100000,INDEX($U$1005:$AC$1005,1,MATCH(COLUMNS($U$1006:AA1006),$U$1006:$AC$1006,0))&gt;=100000), " ",IF(INDEX($U$2:$AC$1001,MATCH(ROWS($N$2:N449),$N$2:$N$1001,0),MATCH(COLUMNS($U$1006:AA1006),$U$1006:$AC$1006,0)), HYPERLINK("#",""), HYPERLINK(CONCATENATE("#metadata!", ADDRESS(INDEX($P$2:$P$1001,MATCH(ROWS($N$2:N449),$N$2:$N$1001,0),0), INDEX($U$1004:$AC$1004,1,MATCH(COLUMNS($U$1006:AA1006),$U$1006:$AC$1006,0)))),"Fix")))</f>
        <v>0</v>
      </c>
      <c r="I449" s="3">
        <f>IF(OR(INDEX($O$2:$O$1001,MATCH(ROWS($N$2:N449),$N$2:$N$1001,0),1)&gt;=100000,INDEX($U$1005:$AC$1005,1,MATCH(COLUMNS($U$1006:AB1006),$U$1006:$AC$1006,0))&gt;=100000), " ",IF(INDEX($U$2:$AC$1001,MATCH(ROWS($N$2:N449),$N$2:$N$1001,0),MATCH(COLUMNS($U$1006:AB1006),$U$1006:$AC$1006,0)), HYPERLINK("#",""), HYPERLINK(CONCATENATE("#metadata!", ADDRESS(INDEX($P$2:$P$1001,MATCH(ROWS($N$2:N449),$N$2:$N$1001,0),0), INDEX($U$1004:$AC$1004,1,MATCH(COLUMNS($U$1006:AB1006),$U$1006:$AC$1006,0)))),"Fix")))</f>
        <v>0</v>
      </c>
      <c r="J449" s="3">
        <f>IF(OR(INDEX($O$2:$O$1001,MATCH(ROWS($N$2:N449),$N$2:$N$1001,0),1)&gt;=100000,INDEX($U$1005:$AC$1005,1,MATCH(COLUMNS($U$1006:AC1006),$U$1006:$AC$1006,0))&gt;=100000), " ",IF(INDEX($U$2:$AC$1001,MATCH(ROWS($N$2:N449),$N$2:$N$1001,0),MATCH(COLUMNS($U$1006:AC1006),$U$1006:$AC$1006,0)), HYPERLINK("#",""), HYPERLINK(CONCATENATE("#metadata!", ADDRESS(INDEX($P$2:$P$1001,MATCH(ROWS($N$2:N449),$N$2:$N$1001,0),0), INDEX($U$1004:$AC$1004,1,MATCH(COLUMNS($U$1006:AC1006),$U$1006:$AC$1006,0)))),"Fix")))</f>
        <v>0</v>
      </c>
      <c r="N449">
        <v>0</v>
      </c>
      <c r="O449">
        <v>0</v>
      </c>
      <c r="P449">
        <v>0</v>
      </c>
      <c r="Q449">
        <f>IF(R449,TRUE,AND(U449:AC449))</f>
        <v>0</v>
      </c>
      <c r="R449">
        <f>COUNTBLANK(metadata!B449:J449)=COLUMNS(metadata!B449:J449)</f>
        <v>0</v>
      </c>
      <c r="S449">
        <v>0</v>
      </c>
      <c r="U449">
        <f>AND(IF(metadata!B449="",FALSE,TRUE),COUNTIF(metadata!B:B, metadata!B449) = 1,NOT(ISERROR(SUMPRODUCT(SEARCH(MID(metadata!B449,ROW(INDIRECT("1:"&amp;LEN(metadata!B449))), 1),"0123456789abcdefghijklmnopqrstuvwxyzABCDEFGHIJKLMNOPQRSTUVWXYZ.")))))</f>
        <v>0</v>
      </c>
      <c r="V449">
        <f>AND(IF(metadata!C449="",FALSE,TRUE),exact(metadata!C449,"UBERON:genitourinary"))</f>
        <v>0</v>
      </c>
      <c r="W449">
        <f>AND(IF(metadata!D449="",FALSE,TRUE),exact(metadata!D449,"UBERON:urine"))</f>
        <v>0</v>
      </c>
      <c r="X449">
        <f>AND(IF(metadata!E449="",FALSE,TRUE),exact(metadata!E449,"UBERON:kidney"))</f>
        <v>0</v>
      </c>
      <c r="Y449">
        <f>AND(IF(metadata!F449="",FALSE,TRUE),exact(metadata!F449,"animal corpus"))</f>
        <v>0</v>
      </c>
      <c r="Z449">
        <f>AND(IF(metadata!G449="",FALSE,TRUE),exact(metadata!G449,"urine"))</f>
        <v>0</v>
      </c>
      <c r="AA449">
        <f>AND(IF(metadata!H449="",FALSE,TRUE),exact(metadata!H449,"urine"))</f>
        <v>0</v>
      </c>
      <c r="AB449">
        <f>AND(IF(metadata!I449="",FALSE,TRUE),exact(metadata!I449,"urine metagenome"))</f>
        <v>0</v>
      </c>
      <c r="AC449">
        <f>AND(IF(metadata!J449="",FALSE,TRUE),exact(metadata!J449,"1346744"))</f>
        <v>0</v>
      </c>
    </row>
    <row r="450" spans="1:29">
      <c r="A450" s="4">
        <f>IF(B450=" "," ",HYPERLINK(CONCATENATE("#metadata!",ADDRESS(INDEX($P$2:$P$1001,MATCH(ROWS($N$2:N450),$N$2:$N$1001,0),0),1)),INDEX($S$2:$S$1001,MATCH(ROWS($N$2:N450),$N$2:$N$1001,0),0)))</f>
        <v>0</v>
      </c>
      <c r="B450" s="3">
        <f>IF(OR(INDEX($O$2:$O$1001,MATCH(ROWS($N$2:N450),$N$2:$N$1001,0),1)&gt;=100000,INDEX($U$1005:$AC$1005,1,MATCH(COLUMNS($U$1006:U1006),$U$1006:$AC$1006,0))&gt;=100000), " ",IF(INDEX($U$2:$AC$1001,MATCH(ROWS($N$2:N450),$N$2:$N$1001,0),MATCH(COLUMNS($U$1006:U1006),$U$1006:$AC$1006,0)), HYPERLINK("#",""), HYPERLINK(CONCATENATE("#metadata!", ADDRESS(INDEX($P$2:$P$1001,MATCH(ROWS($N$2:N450),$N$2:$N$1001,0),0), INDEX($U$1004:$AC$1004,1,MATCH(COLUMNS($U$1006:U1006),$U$1006:$AC$1006,0)))),"Fix")))</f>
        <v>0</v>
      </c>
      <c r="C450" s="3">
        <f>IF(OR(INDEX($O$2:$O$1001,MATCH(ROWS($N$2:N450),$N$2:$N$1001,0),1)&gt;=100000,INDEX($U$1005:$AC$1005,1,MATCH(COLUMNS($U$1006:V1006),$U$1006:$AC$1006,0))&gt;=100000), " ",IF(INDEX($U$2:$AC$1001,MATCH(ROWS($N$2:N450),$N$2:$N$1001,0),MATCH(COLUMNS($U$1006:V1006),$U$1006:$AC$1006,0)), HYPERLINK("#",""), HYPERLINK(CONCATENATE("#metadata!", ADDRESS(INDEX($P$2:$P$1001,MATCH(ROWS($N$2:N450),$N$2:$N$1001,0),0), INDEX($U$1004:$AC$1004,1,MATCH(COLUMNS($U$1006:V1006),$U$1006:$AC$1006,0)))),"Fix")))</f>
        <v>0</v>
      </c>
      <c r="D450" s="3">
        <f>IF(OR(INDEX($O$2:$O$1001,MATCH(ROWS($N$2:N450),$N$2:$N$1001,0),1)&gt;=100000,INDEX($U$1005:$AC$1005,1,MATCH(COLUMNS($U$1006:W1006),$U$1006:$AC$1006,0))&gt;=100000), " ",IF(INDEX($U$2:$AC$1001,MATCH(ROWS($N$2:N450),$N$2:$N$1001,0),MATCH(COLUMNS($U$1006:W1006),$U$1006:$AC$1006,0)), HYPERLINK("#",""), HYPERLINK(CONCATENATE("#metadata!", ADDRESS(INDEX($P$2:$P$1001,MATCH(ROWS($N$2:N450),$N$2:$N$1001,0),0), INDEX($U$1004:$AC$1004,1,MATCH(COLUMNS($U$1006:W1006),$U$1006:$AC$1006,0)))),"Fix")))</f>
        <v>0</v>
      </c>
      <c r="E450" s="3">
        <f>IF(OR(INDEX($O$2:$O$1001,MATCH(ROWS($N$2:N450),$N$2:$N$1001,0),1)&gt;=100000,INDEX($U$1005:$AC$1005,1,MATCH(COLUMNS($U$1006:X1006),$U$1006:$AC$1006,0))&gt;=100000), " ",IF(INDEX($U$2:$AC$1001,MATCH(ROWS($N$2:N450),$N$2:$N$1001,0),MATCH(COLUMNS($U$1006:X1006),$U$1006:$AC$1006,0)), HYPERLINK("#",""), HYPERLINK(CONCATENATE("#metadata!", ADDRESS(INDEX($P$2:$P$1001,MATCH(ROWS($N$2:N450),$N$2:$N$1001,0),0), INDEX($U$1004:$AC$1004,1,MATCH(COLUMNS($U$1006:X1006),$U$1006:$AC$1006,0)))),"Fix")))</f>
        <v>0</v>
      </c>
      <c r="F450" s="3">
        <f>IF(OR(INDEX($O$2:$O$1001,MATCH(ROWS($N$2:N450),$N$2:$N$1001,0),1)&gt;=100000,INDEX($U$1005:$AC$1005,1,MATCH(COLUMNS($U$1006:Y1006),$U$1006:$AC$1006,0))&gt;=100000), " ",IF(INDEX($U$2:$AC$1001,MATCH(ROWS($N$2:N450),$N$2:$N$1001,0),MATCH(COLUMNS($U$1006:Y1006),$U$1006:$AC$1006,0)), HYPERLINK("#",""), HYPERLINK(CONCATENATE("#metadata!", ADDRESS(INDEX($P$2:$P$1001,MATCH(ROWS($N$2:N450),$N$2:$N$1001,0),0), INDEX($U$1004:$AC$1004,1,MATCH(COLUMNS($U$1006:Y1006),$U$1006:$AC$1006,0)))),"Fix")))</f>
        <v>0</v>
      </c>
      <c r="G450" s="3">
        <f>IF(OR(INDEX($O$2:$O$1001,MATCH(ROWS($N$2:N450),$N$2:$N$1001,0),1)&gt;=100000,INDEX($U$1005:$AC$1005,1,MATCH(COLUMNS($U$1006:Z1006),$U$1006:$AC$1006,0))&gt;=100000), " ",IF(INDEX($U$2:$AC$1001,MATCH(ROWS($N$2:N450),$N$2:$N$1001,0),MATCH(COLUMNS($U$1006:Z1006),$U$1006:$AC$1006,0)), HYPERLINK("#",""), HYPERLINK(CONCATENATE("#metadata!", ADDRESS(INDEX($P$2:$P$1001,MATCH(ROWS($N$2:N450),$N$2:$N$1001,0),0), INDEX($U$1004:$AC$1004,1,MATCH(COLUMNS($U$1006:Z1006),$U$1006:$AC$1006,0)))),"Fix")))</f>
        <v>0</v>
      </c>
      <c r="H450" s="3">
        <f>IF(OR(INDEX($O$2:$O$1001,MATCH(ROWS($N$2:N450),$N$2:$N$1001,0),1)&gt;=100000,INDEX($U$1005:$AC$1005,1,MATCH(COLUMNS($U$1006:AA1006),$U$1006:$AC$1006,0))&gt;=100000), " ",IF(INDEX($U$2:$AC$1001,MATCH(ROWS($N$2:N450),$N$2:$N$1001,0),MATCH(COLUMNS($U$1006:AA1006),$U$1006:$AC$1006,0)), HYPERLINK("#",""), HYPERLINK(CONCATENATE("#metadata!", ADDRESS(INDEX($P$2:$P$1001,MATCH(ROWS($N$2:N450),$N$2:$N$1001,0),0), INDEX($U$1004:$AC$1004,1,MATCH(COLUMNS($U$1006:AA1006),$U$1006:$AC$1006,0)))),"Fix")))</f>
        <v>0</v>
      </c>
      <c r="I450" s="3">
        <f>IF(OR(INDEX($O$2:$O$1001,MATCH(ROWS($N$2:N450),$N$2:$N$1001,0),1)&gt;=100000,INDEX($U$1005:$AC$1005,1,MATCH(COLUMNS($U$1006:AB1006),$U$1006:$AC$1006,0))&gt;=100000), " ",IF(INDEX($U$2:$AC$1001,MATCH(ROWS($N$2:N450),$N$2:$N$1001,0),MATCH(COLUMNS($U$1006:AB1006),$U$1006:$AC$1006,0)), HYPERLINK("#",""), HYPERLINK(CONCATENATE("#metadata!", ADDRESS(INDEX($P$2:$P$1001,MATCH(ROWS($N$2:N450),$N$2:$N$1001,0),0), INDEX($U$1004:$AC$1004,1,MATCH(COLUMNS($U$1006:AB1006),$U$1006:$AC$1006,0)))),"Fix")))</f>
        <v>0</v>
      </c>
      <c r="J450" s="3">
        <f>IF(OR(INDEX($O$2:$O$1001,MATCH(ROWS($N$2:N450),$N$2:$N$1001,0),1)&gt;=100000,INDEX($U$1005:$AC$1005,1,MATCH(COLUMNS($U$1006:AC1006),$U$1006:$AC$1006,0))&gt;=100000), " ",IF(INDEX($U$2:$AC$1001,MATCH(ROWS($N$2:N450),$N$2:$N$1001,0),MATCH(COLUMNS($U$1006:AC1006),$U$1006:$AC$1006,0)), HYPERLINK("#",""), HYPERLINK(CONCATENATE("#metadata!", ADDRESS(INDEX($P$2:$P$1001,MATCH(ROWS($N$2:N450),$N$2:$N$1001,0),0), INDEX($U$1004:$AC$1004,1,MATCH(COLUMNS($U$1006:AC1006),$U$1006:$AC$1006,0)))),"Fix")))</f>
        <v>0</v>
      </c>
      <c r="N450">
        <v>0</v>
      </c>
      <c r="O450">
        <v>0</v>
      </c>
      <c r="P450">
        <v>0</v>
      </c>
      <c r="Q450">
        <f>IF(R450,TRUE,AND(U450:AC450))</f>
        <v>0</v>
      </c>
      <c r="R450">
        <f>COUNTBLANK(metadata!B450:J450)=COLUMNS(metadata!B450:J450)</f>
        <v>0</v>
      </c>
      <c r="S450">
        <v>0</v>
      </c>
      <c r="U450">
        <f>AND(IF(metadata!B450="",FALSE,TRUE),COUNTIF(metadata!B:B, metadata!B450) = 1,NOT(ISERROR(SUMPRODUCT(SEARCH(MID(metadata!B450,ROW(INDIRECT("1:"&amp;LEN(metadata!B450))), 1),"0123456789abcdefghijklmnopqrstuvwxyzABCDEFGHIJKLMNOPQRSTUVWXYZ.")))))</f>
        <v>0</v>
      </c>
      <c r="V450">
        <f>AND(IF(metadata!C450="",FALSE,TRUE),exact(metadata!C450,"UBERON:genitourinary"))</f>
        <v>0</v>
      </c>
      <c r="W450">
        <f>AND(IF(metadata!D450="",FALSE,TRUE),exact(metadata!D450,"UBERON:urine"))</f>
        <v>0</v>
      </c>
      <c r="X450">
        <f>AND(IF(metadata!E450="",FALSE,TRUE),exact(metadata!E450,"UBERON:kidney"))</f>
        <v>0</v>
      </c>
      <c r="Y450">
        <f>AND(IF(metadata!F450="",FALSE,TRUE),exact(metadata!F450,"animal corpus"))</f>
        <v>0</v>
      </c>
      <c r="Z450">
        <f>AND(IF(metadata!G450="",FALSE,TRUE),exact(metadata!G450,"urine"))</f>
        <v>0</v>
      </c>
      <c r="AA450">
        <f>AND(IF(metadata!H450="",FALSE,TRUE),exact(metadata!H450,"urine"))</f>
        <v>0</v>
      </c>
      <c r="AB450">
        <f>AND(IF(metadata!I450="",FALSE,TRUE),exact(metadata!I450,"urine metagenome"))</f>
        <v>0</v>
      </c>
      <c r="AC450">
        <f>AND(IF(metadata!J450="",FALSE,TRUE),exact(metadata!J450,"1346744"))</f>
        <v>0</v>
      </c>
    </row>
    <row r="451" spans="1:29">
      <c r="A451" s="4">
        <f>IF(B451=" "," ",HYPERLINK(CONCATENATE("#metadata!",ADDRESS(INDEX($P$2:$P$1001,MATCH(ROWS($N$2:N451),$N$2:$N$1001,0),0),1)),INDEX($S$2:$S$1001,MATCH(ROWS($N$2:N451),$N$2:$N$1001,0),0)))</f>
        <v>0</v>
      </c>
      <c r="B451" s="3">
        <f>IF(OR(INDEX($O$2:$O$1001,MATCH(ROWS($N$2:N451),$N$2:$N$1001,0),1)&gt;=100000,INDEX($U$1005:$AC$1005,1,MATCH(COLUMNS($U$1006:U1006),$U$1006:$AC$1006,0))&gt;=100000), " ",IF(INDEX($U$2:$AC$1001,MATCH(ROWS($N$2:N451),$N$2:$N$1001,0),MATCH(COLUMNS($U$1006:U1006),$U$1006:$AC$1006,0)), HYPERLINK("#",""), HYPERLINK(CONCATENATE("#metadata!", ADDRESS(INDEX($P$2:$P$1001,MATCH(ROWS($N$2:N451),$N$2:$N$1001,0),0), INDEX($U$1004:$AC$1004,1,MATCH(COLUMNS($U$1006:U1006),$U$1006:$AC$1006,0)))),"Fix")))</f>
        <v>0</v>
      </c>
      <c r="C451" s="3">
        <f>IF(OR(INDEX($O$2:$O$1001,MATCH(ROWS($N$2:N451),$N$2:$N$1001,0),1)&gt;=100000,INDEX($U$1005:$AC$1005,1,MATCH(COLUMNS($U$1006:V1006),$U$1006:$AC$1006,0))&gt;=100000), " ",IF(INDEX($U$2:$AC$1001,MATCH(ROWS($N$2:N451),$N$2:$N$1001,0),MATCH(COLUMNS($U$1006:V1006),$U$1006:$AC$1006,0)), HYPERLINK("#",""), HYPERLINK(CONCATENATE("#metadata!", ADDRESS(INDEX($P$2:$P$1001,MATCH(ROWS($N$2:N451),$N$2:$N$1001,0),0), INDEX($U$1004:$AC$1004,1,MATCH(COLUMNS($U$1006:V1006),$U$1006:$AC$1006,0)))),"Fix")))</f>
        <v>0</v>
      </c>
      <c r="D451" s="3">
        <f>IF(OR(INDEX($O$2:$O$1001,MATCH(ROWS($N$2:N451),$N$2:$N$1001,0),1)&gt;=100000,INDEX($U$1005:$AC$1005,1,MATCH(COLUMNS($U$1006:W1006),$U$1006:$AC$1006,0))&gt;=100000), " ",IF(INDEX($U$2:$AC$1001,MATCH(ROWS($N$2:N451),$N$2:$N$1001,0),MATCH(COLUMNS($U$1006:W1006),$U$1006:$AC$1006,0)), HYPERLINK("#",""), HYPERLINK(CONCATENATE("#metadata!", ADDRESS(INDEX($P$2:$P$1001,MATCH(ROWS($N$2:N451),$N$2:$N$1001,0),0), INDEX($U$1004:$AC$1004,1,MATCH(COLUMNS($U$1006:W1006),$U$1006:$AC$1006,0)))),"Fix")))</f>
        <v>0</v>
      </c>
      <c r="E451" s="3">
        <f>IF(OR(INDEX($O$2:$O$1001,MATCH(ROWS($N$2:N451),$N$2:$N$1001,0),1)&gt;=100000,INDEX($U$1005:$AC$1005,1,MATCH(COLUMNS($U$1006:X1006),$U$1006:$AC$1006,0))&gt;=100000), " ",IF(INDEX($U$2:$AC$1001,MATCH(ROWS($N$2:N451),$N$2:$N$1001,0),MATCH(COLUMNS($U$1006:X1006),$U$1006:$AC$1006,0)), HYPERLINK("#",""), HYPERLINK(CONCATENATE("#metadata!", ADDRESS(INDEX($P$2:$P$1001,MATCH(ROWS($N$2:N451),$N$2:$N$1001,0),0), INDEX($U$1004:$AC$1004,1,MATCH(COLUMNS($U$1006:X1006),$U$1006:$AC$1006,0)))),"Fix")))</f>
        <v>0</v>
      </c>
      <c r="F451" s="3">
        <f>IF(OR(INDEX($O$2:$O$1001,MATCH(ROWS($N$2:N451),$N$2:$N$1001,0),1)&gt;=100000,INDEX($U$1005:$AC$1005,1,MATCH(COLUMNS($U$1006:Y1006),$U$1006:$AC$1006,0))&gt;=100000), " ",IF(INDEX($U$2:$AC$1001,MATCH(ROWS($N$2:N451),$N$2:$N$1001,0),MATCH(COLUMNS($U$1006:Y1006),$U$1006:$AC$1006,0)), HYPERLINK("#",""), HYPERLINK(CONCATENATE("#metadata!", ADDRESS(INDEX($P$2:$P$1001,MATCH(ROWS($N$2:N451),$N$2:$N$1001,0),0), INDEX($U$1004:$AC$1004,1,MATCH(COLUMNS($U$1006:Y1006),$U$1006:$AC$1006,0)))),"Fix")))</f>
        <v>0</v>
      </c>
      <c r="G451" s="3">
        <f>IF(OR(INDEX($O$2:$O$1001,MATCH(ROWS($N$2:N451),$N$2:$N$1001,0),1)&gt;=100000,INDEX($U$1005:$AC$1005,1,MATCH(COLUMNS($U$1006:Z1006),$U$1006:$AC$1006,0))&gt;=100000), " ",IF(INDEX($U$2:$AC$1001,MATCH(ROWS($N$2:N451),$N$2:$N$1001,0),MATCH(COLUMNS($U$1006:Z1006),$U$1006:$AC$1006,0)), HYPERLINK("#",""), HYPERLINK(CONCATENATE("#metadata!", ADDRESS(INDEX($P$2:$P$1001,MATCH(ROWS($N$2:N451),$N$2:$N$1001,0),0), INDEX($U$1004:$AC$1004,1,MATCH(COLUMNS($U$1006:Z1006),$U$1006:$AC$1006,0)))),"Fix")))</f>
        <v>0</v>
      </c>
      <c r="H451" s="3">
        <f>IF(OR(INDEX($O$2:$O$1001,MATCH(ROWS($N$2:N451),$N$2:$N$1001,0),1)&gt;=100000,INDEX($U$1005:$AC$1005,1,MATCH(COLUMNS($U$1006:AA1006),$U$1006:$AC$1006,0))&gt;=100000), " ",IF(INDEX($U$2:$AC$1001,MATCH(ROWS($N$2:N451),$N$2:$N$1001,0),MATCH(COLUMNS($U$1006:AA1006),$U$1006:$AC$1006,0)), HYPERLINK("#",""), HYPERLINK(CONCATENATE("#metadata!", ADDRESS(INDEX($P$2:$P$1001,MATCH(ROWS($N$2:N451),$N$2:$N$1001,0),0), INDEX($U$1004:$AC$1004,1,MATCH(COLUMNS($U$1006:AA1006),$U$1006:$AC$1006,0)))),"Fix")))</f>
        <v>0</v>
      </c>
      <c r="I451" s="3">
        <f>IF(OR(INDEX($O$2:$O$1001,MATCH(ROWS($N$2:N451),$N$2:$N$1001,0),1)&gt;=100000,INDEX($U$1005:$AC$1005,1,MATCH(COLUMNS($U$1006:AB1006),$U$1006:$AC$1006,0))&gt;=100000), " ",IF(INDEX($U$2:$AC$1001,MATCH(ROWS($N$2:N451),$N$2:$N$1001,0),MATCH(COLUMNS($U$1006:AB1006),$U$1006:$AC$1006,0)), HYPERLINK("#",""), HYPERLINK(CONCATENATE("#metadata!", ADDRESS(INDEX($P$2:$P$1001,MATCH(ROWS($N$2:N451),$N$2:$N$1001,0),0), INDEX($U$1004:$AC$1004,1,MATCH(COLUMNS($U$1006:AB1006),$U$1006:$AC$1006,0)))),"Fix")))</f>
        <v>0</v>
      </c>
      <c r="J451" s="3">
        <f>IF(OR(INDEX($O$2:$O$1001,MATCH(ROWS($N$2:N451),$N$2:$N$1001,0),1)&gt;=100000,INDEX($U$1005:$AC$1005,1,MATCH(COLUMNS($U$1006:AC1006),$U$1006:$AC$1006,0))&gt;=100000), " ",IF(INDEX($U$2:$AC$1001,MATCH(ROWS($N$2:N451),$N$2:$N$1001,0),MATCH(COLUMNS($U$1006:AC1006),$U$1006:$AC$1006,0)), HYPERLINK("#",""), HYPERLINK(CONCATENATE("#metadata!", ADDRESS(INDEX($P$2:$P$1001,MATCH(ROWS($N$2:N451),$N$2:$N$1001,0),0), INDEX($U$1004:$AC$1004,1,MATCH(COLUMNS($U$1006:AC1006),$U$1006:$AC$1006,0)))),"Fix")))</f>
        <v>0</v>
      </c>
      <c r="N451">
        <v>0</v>
      </c>
      <c r="O451">
        <v>0</v>
      </c>
      <c r="P451">
        <v>0</v>
      </c>
      <c r="Q451">
        <f>IF(R451,TRUE,AND(U451:AC451))</f>
        <v>0</v>
      </c>
      <c r="R451">
        <f>COUNTBLANK(metadata!B451:J451)=COLUMNS(metadata!B451:J451)</f>
        <v>0</v>
      </c>
      <c r="S451">
        <v>0</v>
      </c>
      <c r="U451">
        <f>AND(IF(metadata!B451="",FALSE,TRUE),COUNTIF(metadata!B:B, metadata!B451) = 1,NOT(ISERROR(SUMPRODUCT(SEARCH(MID(metadata!B451,ROW(INDIRECT("1:"&amp;LEN(metadata!B451))), 1),"0123456789abcdefghijklmnopqrstuvwxyzABCDEFGHIJKLMNOPQRSTUVWXYZ.")))))</f>
        <v>0</v>
      </c>
      <c r="V451">
        <f>AND(IF(metadata!C451="",FALSE,TRUE),exact(metadata!C451,"UBERON:genitourinary"))</f>
        <v>0</v>
      </c>
      <c r="W451">
        <f>AND(IF(metadata!D451="",FALSE,TRUE),exact(metadata!D451,"UBERON:urine"))</f>
        <v>0</v>
      </c>
      <c r="X451">
        <f>AND(IF(metadata!E451="",FALSE,TRUE),exact(metadata!E451,"UBERON:kidney"))</f>
        <v>0</v>
      </c>
      <c r="Y451">
        <f>AND(IF(metadata!F451="",FALSE,TRUE),exact(metadata!F451,"animal corpus"))</f>
        <v>0</v>
      </c>
      <c r="Z451">
        <f>AND(IF(metadata!G451="",FALSE,TRUE),exact(metadata!G451,"urine"))</f>
        <v>0</v>
      </c>
      <c r="AA451">
        <f>AND(IF(metadata!H451="",FALSE,TRUE),exact(metadata!H451,"urine"))</f>
        <v>0</v>
      </c>
      <c r="AB451">
        <f>AND(IF(metadata!I451="",FALSE,TRUE),exact(metadata!I451,"urine metagenome"))</f>
        <v>0</v>
      </c>
      <c r="AC451">
        <f>AND(IF(metadata!J451="",FALSE,TRUE),exact(metadata!J451,"1346744"))</f>
        <v>0</v>
      </c>
    </row>
    <row r="452" spans="1:29">
      <c r="A452" s="4">
        <f>IF(B452=" "," ",HYPERLINK(CONCATENATE("#metadata!",ADDRESS(INDEX($P$2:$P$1001,MATCH(ROWS($N$2:N452),$N$2:$N$1001,0),0),1)),INDEX($S$2:$S$1001,MATCH(ROWS($N$2:N452),$N$2:$N$1001,0),0)))</f>
        <v>0</v>
      </c>
      <c r="B452" s="3">
        <f>IF(OR(INDEX($O$2:$O$1001,MATCH(ROWS($N$2:N452),$N$2:$N$1001,0),1)&gt;=100000,INDEX($U$1005:$AC$1005,1,MATCH(COLUMNS($U$1006:U1006),$U$1006:$AC$1006,0))&gt;=100000), " ",IF(INDEX($U$2:$AC$1001,MATCH(ROWS($N$2:N452),$N$2:$N$1001,0),MATCH(COLUMNS($U$1006:U1006),$U$1006:$AC$1006,0)), HYPERLINK("#",""), HYPERLINK(CONCATENATE("#metadata!", ADDRESS(INDEX($P$2:$P$1001,MATCH(ROWS($N$2:N452),$N$2:$N$1001,0),0), INDEX($U$1004:$AC$1004,1,MATCH(COLUMNS($U$1006:U1006),$U$1006:$AC$1006,0)))),"Fix")))</f>
        <v>0</v>
      </c>
      <c r="C452" s="3">
        <f>IF(OR(INDEX($O$2:$O$1001,MATCH(ROWS($N$2:N452),$N$2:$N$1001,0),1)&gt;=100000,INDEX($U$1005:$AC$1005,1,MATCH(COLUMNS($U$1006:V1006),$U$1006:$AC$1006,0))&gt;=100000), " ",IF(INDEX($U$2:$AC$1001,MATCH(ROWS($N$2:N452),$N$2:$N$1001,0),MATCH(COLUMNS($U$1006:V1006),$U$1006:$AC$1006,0)), HYPERLINK("#",""), HYPERLINK(CONCATENATE("#metadata!", ADDRESS(INDEX($P$2:$P$1001,MATCH(ROWS($N$2:N452),$N$2:$N$1001,0),0), INDEX($U$1004:$AC$1004,1,MATCH(COLUMNS($U$1006:V1006),$U$1006:$AC$1006,0)))),"Fix")))</f>
        <v>0</v>
      </c>
      <c r="D452" s="3">
        <f>IF(OR(INDEX($O$2:$O$1001,MATCH(ROWS($N$2:N452),$N$2:$N$1001,0),1)&gt;=100000,INDEX($U$1005:$AC$1005,1,MATCH(COLUMNS($U$1006:W1006),$U$1006:$AC$1006,0))&gt;=100000), " ",IF(INDEX($U$2:$AC$1001,MATCH(ROWS($N$2:N452),$N$2:$N$1001,0),MATCH(COLUMNS($U$1006:W1006),$U$1006:$AC$1006,0)), HYPERLINK("#",""), HYPERLINK(CONCATENATE("#metadata!", ADDRESS(INDEX($P$2:$P$1001,MATCH(ROWS($N$2:N452),$N$2:$N$1001,0),0), INDEX($U$1004:$AC$1004,1,MATCH(COLUMNS($U$1006:W1006),$U$1006:$AC$1006,0)))),"Fix")))</f>
        <v>0</v>
      </c>
      <c r="E452" s="3">
        <f>IF(OR(INDEX($O$2:$O$1001,MATCH(ROWS($N$2:N452),$N$2:$N$1001,0),1)&gt;=100000,INDEX($U$1005:$AC$1005,1,MATCH(COLUMNS($U$1006:X1006),$U$1006:$AC$1006,0))&gt;=100000), " ",IF(INDEX($U$2:$AC$1001,MATCH(ROWS($N$2:N452),$N$2:$N$1001,0),MATCH(COLUMNS($U$1006:X1006),$U$1006:$AC$1006,0)), HYPERLINK("#",""), HYPERLINK(CONCATENATE("#metadata!", ADDRESS(INDEX($P$2:$P$1001,MATCH(ROWS($N$2:N452),$N$2:$N$1001,0),0), INDEX($U$1004:$AC$1004,1,MATCH(COLUMNS($U$1006:X1006),$U$1006:$AC$1006,0)))),"Fix")))</f>
        <v>0</v>
      </c>
      <c r="F452" s="3">
        <f>IF(OR(INDEX($O$2:$O$1001,MATCH(ROWS($N$2:N452),$N$2:$N$1001,0),1)&gt;=100000,INDEX($U$1005:$AC$1005,1,MATCH(COLUMNS($U$1006:Y1006),$U$1006:$AC$1006,0))&gt;=100000), " ",IF(INDEX($U$2:$AC$1001,MATCH(ROWS($N$2:N452),$N$2:$N$1001,0),MATCH(COLUMNS($U$1006:Y1006),$U$1006:$AC$1006,0)), HYPERLINK("#",""), HYPERLINK(CONCATENATE("#metadata!", ADDRESS(INDEX($P$2:$P$1001,MATCH(ROWS($N$2:N452),$N$2:$N$1001,0),0), INDEX($U$1004:$AC$1004,1,MATCH(COLUMNS($U$1006:Y1006),$U$1006:$AC$1006,0)))),"Fix")))</f>
        <v>0</v>
      </c>
      <c r="G452" s="3">
        <f>IF(OR(INDEX($O$2:$O$1001,MATCH(ROWS($N$2:N452),$N$2:$N$1001,0),1)&gt;=100000,INDEX($U$1005:$AC$1005,1,MATCH(COLUMNS($U$1006:Z1006),$U$1006:$AC$1006,0))&gt;=100000), " ",IF(INDEX($U$2:$AC$1001,MATCH(ROWS($N$2:N452),$N$2:$N$1001,0),MATCH(COLUMNS($U$1006:Z1006),$U$1006:$AC$1006,0)), HYPERLINK("#",""), HYPERLINK(CONCATENATE("#metadata!", ADDRESS(INDEX($P$2:$P$1001,MATCH(ROWS($N$2:N452),$N$2:$N$1001,0),0), INDEX($U$1004:$AC$1004,1,MATCH(COLUMNS($U$1006:Z1006),$U$1006:$AC$1006,0)))),"Fix")))</f>
        <v>0</v>
      </c>
      <c r="H452" s="3">
        <f>IF(OR(INDEX($O$2:$O$1001,MATCH(ROWS($N$2:N452),$N$2:$N$1001,0),1)&gt;=100000,INDEX($U$1005:$AC$1005,1,MATCH(COLUMNS($U$1006:AA1006),$U$1006:$AC$1006,0))&gt;=100000), " ",IF(INDEX($U$2:$AC$1001,MATCH(ROWS($N$2:N452),$N$2:$N$1001,0),MATCH(COLUMNS($U$1006:AA1006),$U$1006:$AC$1006,0)), HYPERLINK("#",""), HYPERLINK(CONCATENATE("#metadata!", ADDRESS(INDEX($P$2:$P$1001,MATCH(ROWS($N$2:N452),$N$2:$N$1001,0),0), INDEX($U$1004:$AC$1004,1,MATCH(COLUMNS($U$1006:AA1006),$U$1006:$AC$1006,0)))),"Fix")))</f>
        <v>0</v>
      </c>
      <c r="I452" s="3">
        <f>IF(OR(INDEX($O$2:$O$1001,MATCH(ROWS($N$2:N452),$N$2:$N$1001,0),1)&gt;=100000,INDEX($U$1005:$AC$1005,1,MATCH(COLUMNS($U$1006:AB1006),$U$1006:$AC$1006,0))&gt;=100000), " ",IF(INDEX($U$2:$AC$1001,MATCH(ROWS($N$2:N452),$N$2:$N$1001,0),MATCH(COLUMNS($U$1006:AB1006),$U$1006:$AC$1006,0)), HYPERLINK("#",""), HYPERLINK(CONCATENATE("#metadata!", ADDRESS(INDEX($P$2:$P$1001,MATCH(ROWS($N$2:N452),$N$2:$N$1001,0),0), INDEX($U$1004:$AC$1004,1,MATCH(COLUMNS($U$1006:AB1006),$U$1006:$AC$1006,0)))),"Fix")))</f>
        <v>0</v>
      </c>
      <c r="J452" s="3">
        <f>IF(OR(INDEX($O$2:$O$1001,MATCH(ROWS($N$2:N452),$N$2:$N$1001,0),1)&gt;=100000,INDEX($U$1005:$AC$1005,1,MATCH(COLUMNS($U$1006:AC1006),$U$1006:$AC$1006,0))&gt;=100000), " ",IF(INDEX($U$2:$AC$1001,MATCH(ROWS($N$2:N452),$N$2:$N$1001,0),MATCH(COLUMNS($U$1006:AC1006),$U$1006:$AC$1006,0)), HYPERLINK("#",""), HYPERLINK(CONCATENATE("#metadata!", ADDRESS(INDEX($P$2:$P$1001,MATCH(ROWS($N$2:N452),$N$2:$N$1001,0),0), INDEX($U$1004:$AC$1004,1,MATCH(COLUMNS($U$1006:AC1006),$U$1006:$AC$1006,0)))),"Fix")))</f>
        <v>0</v>
      </c>
      <c r="N452">
        <v>0</v>
      </c>
      <c r="O452">
        <v>0</v>
      </c>
      <c r="P452">
        <v>0</v>
      </c>
      <c r="Q452">
        <f>IF(R452,TRUE,AND(U452:AC452))</f>
        <v>0</v>
      </c>
      <c r="R452">
        <f>COUNTBLANK(metadata!B452:J452)=COLUMNS(metadata!B452:J452)</f>
        <v>0</v>
      </c>
      <c r="S452">
        <v>0</v>
      </c>
      <c r="U452">
        <f>AND(IF(metadata!B452="",FALSE,TRUE),COUNTIF(metadata!B:B, metadata!B452) = 1,NOT(ISERROR(SUMPRODUCT(SEARCH(MID(metadata!B452,ROW(INDIRECT("1:"&amp;LEN(metadata!B452))), 1),"0123456789abcdefghijklmnopqrstuvwxyzABCDEFGHIJKLMNOPQRSTUVWXYZ.")))))</f>
        <v>0</v>
      </c>
      <c r="V452">
        <f>AND(IF(metadata!C452="",FALSE,TRUE),exact(metadata!C452,"UBERON:genitourinary"))</f>
        <v>0</v>
      </c>
      <c r="W452">
        <f>AND(IF(metadata!D452="",FALSE,TRUE),exact(metadata!D452,"UBERON:urine"))</f>
        <v>0</v>
      </c>
      <c r="X452">
        <f>AND(IF(metadata!E452="",FALSE,TRUE),exact(metadata!E452,"UBERON:kidney"))</f>
        <v>0</v>
      </c>
      <c r="Y452">
        <f>AND(IF(metadata!F452="",FALSE,TRUE),exact(metadata!F452,"animal corpus"))</f>
        <v>0</v>
      </c>
      <c r="Z452">
        <f>AND(IF(metadata!G452="",FALSE,TRUE),exact(metadata!G452,"urine"))</f>
        <v>0</v>
      </c>
      <c r="AA452">
        <f>AND(IF(metadata!H452="",FALSE,TRUE),exact(metadata!H452,"urine"))</f>
        <v>0</v>
      </c>
      <c r="AB452">
        <f>AND(IF(metadata!I452="",FALSE,TRUE),exact(metadata!I452,"urine metagenome"))</f>
        <v>0</v>
      </c>
      <c r="AC452">
        <f>AND(IF(metadata!J452="",FALSE,TRUE),exact(metadata!J452,"1346744"))</f>
        <v>0</v>
      </c>
    </row>
    <row r="453" spans="1:29">
      <c r="A453" s="4">
        <f>IF(B453=" "," ",HYPERLINK(CONCATENATE("#metadata!",ADDRESS(INDEX($P$2:$P$1001,MATCH(ROWS($N$2:N453),$N$2:$N$1001,0),0),1)),INDEX($S$2:$S$1001,MATCH(ROWS($N$2:N453),$N$2:$N$1001,0),0)))</f>
        <v>0</v>
      </c>
      <c r="B453" s="3">
        <f>IF(OR(INDEX($O$2:$O$1001,MATCH(ROWS($N$2:N453),$N$2:$N$1001,0),1)&gt;=100000,INDEX($U$1005:$AC$1005,1,MATCH(COLUMNS($U$1006:U1006),$U$1006:$AC$1006,0))&gt;=100000), " ",IF(INDEX($U$2:$AC$1001,MATCH(ROWS($N$2:N453),$N$2:$N$1001,0),MATCH(COLUMNS($U$1006:U1006),$U$1006:$AC$1006,0)), HYPERLINK("#",""), HYPERLINK(CONCATENATE("#metadata!", ADDRESS(INDEX($P$2:$P$1001,MATCH(ROWS($N$2:N453),$N$2:$N$1001,0),0), INDEX($U$1004:$AC$1004,1,MATCH(COLUMNS($U$1006:U1006),$U$1006:$AC$1006,0)))),"Fix")))</f>
        <v>0</v>
      </c>
      <c r="C453" s="3">
        <f>IF(OR(INDEX($O$2:$O$1001,MATCH(ROWS($N$2:N453),$N$2:$N$1001,0),1)&gt;=100000,INDEX($U$1005:$AC$1005,1,MATCH(COLUMNS($U$1006:V1006),$U$1006:$AC$1006,0))&gt;=100000), " ",IF(INDEX($U$2:$AC$1001,MATCH(ROWS($N$2:N453),$N$2:$N$1001,0),MATCH(COLUMNS($U$1006:V1006),$U$1006:$AC$1006,0)), HYPERLINK("#",""), HYPERLINK(CONCATENATE("#metadata!", ADDRESS(INDEX($P$2:$P$1001,MATCH(ROWS($N$2:N453),$N$2:$N$1001,0),0), INDEX($U$1004:$AC$1004,1,MATCH(COLUMNS($U$1006:V1006),$U$1006:$AC$1006,0)))),"Fix")))</f>
        <v>0</v>
      </c>
      <c r="D453" s="3">
        <f>IF(OR(INDEX($O$2:$O$1001,MATCH(ROWS($N$2:N453),$N$2:$N$1001,0),1)&gt;=100000,INDEX($U$1005:$AC$1005,1,MATCH(COLUMNS($U$1006:W1006),$U$1006:$AC$1006,0))&gt;=100000), " ",IF(INDEX($U$2:$AC$1001,MATCH(ROWS($N$2:N453),$N$2:$N$1001,0),MATCH(COLUMNS($U$1006:W1006),$U$1006:$AC$1006,0)), HYPERLINK("#",""), HYPERLINK(CONCATENATE("#metadata!", ADDRESS(INDEX($P$2:$P$1001,MATCH(ROWS($N$2:N453),$N$2:$N$1001,0),0), INDEX($U$1004:$AC$1004,1,MATCH(COLUMNS($U$1006:W1006),$U$1006:$AC$1006,0)))),"Fix")))</f>
        <v>0</v>
      </c>
      <c r="E453" s="3">
        <f>IF(OR(INDEX($O$2:$O$1001,MATCH(ROWS($N$2:N453),$N$2:$N$1001,0),1)&gt;=100000,INDEX($U$1005:$AC$1005,1,MATCH(COLUMNS($U$1006:X1006),$U$1006:$AC$1006,0))&gt;=100000), " ",IF(INDEX($U$2:$AC$1001,MATCH(ROWS($N$2:N453),$N$2:$N$1001,0),MATCH(COLUMNS($U$1006:X1006),$U$1006:$AC$1006,0)), HYPERLINK("#",""), HYPERLINK(CONCATENATE("#metadata!", ADDRESS(INDEX($P$2:$P$1001,MATCH(ROWS($N$2:N453),$N$2:$N$1001,0),0), INDEX($U$1004:$AC$1004,1,MATCH(COLUMNS($U$1006:X1006),$U$1006:$AC$1006,0)))),"Fix")))</f>
        <v>0</v>
      </c>
      <c r="F453" s="3">
        <f>IF(OR(INDEX($O$2:$O$1001,MATCH(ROWS($N$2:N453),$N$2:$N$1001,0),1)&gt;=100000,INDEX($U$1005:$AC$1005,1,MATCH(COLUMNS($U$1006:Y1006),$U$1006:$AC$1006,0))&gt;=100000), " ",IF(INDEX($U$2:$AC$1001,MATCH(ROWS($N$2:N453),$N$2:$N$1001,0),MATCH(COLUMNS($U$1006:Y1006),$U$1006:$AC$1006,0)), HYPERLINK("#",""), HYPERLINK(CONCATENATE("#metadata!", ADDRESS(INDEX($P$2:$P$1001,MATCH(ROWS($N$2:N453),$N$2:$N$1001,0),0), INDEX($U$1004:$AC$1004,1,MATCH(COLUMNS($U$1006:Y1006),$U$1006:$AC$1006,0)))),"Fix")))</f>
        <v>0</v>
      </c>
      <c r="G453" s="3">
        <f>IF(OR(INDEX($O$2:$O$1001,MATCH(ROWS($N$2:N453),$N$2:$N$1001,0),1)&gt;=100000,INDEX($U$1005:$AC$1005,1,MATCH(COLUMNS($U$1006:Z1006),$U$1006:$AC$1006,0))&gt;=100000), " ",IF(INDEX($U$2:$AC$1001,MATCH(ROWS($N$2:N453),$N$2:$N$1001,0),MATCH(COLUMNS($U$1006:Z1006),$U$1006:$AC$1006,0)), HYPERLINK("#",""), HYPERLINK(CONCATENATE("#metadata!", ADDRESS(INDEX($P$2:$P$1001,MATCH(ROWS($N$2:N453),$N$2:$N$1001,0),0), INDEX($U$1004:$AC$1004,1,MATCH(COLUMNS($U$1006:Z1006),$U$1006:$AC$1006,0)))),"Fix")))</f>
        <v>0</v>
      </c>
      <c r="H453" s="3">
        <f>IF(OR(INDEX($O$2:$O$1001,MATCH(ROWS($N$2:N453),$N$2:$N$1001,0),1)&gt;=100000,INDEX($U$1005:$AC$1005,1,MATCH(COLUMNS($U$1006:AA1006),$U$1006:$AC$1006,0))&gt;=100000), " ",IF(INDEX($U$2:$AC$1001,MATCH(ROWS($N$2:N453),$N$2:$N$1001,0),MATCH(COLUMNS($U$1006:AA1006),$U$1006:$AC$1006,0)), HYPERLINK("#",""), HYPERLINK(CONCATENATE("#metadata!", ADDRESS(INDEX($P$2:$P$1001,MATCH(ROWS($N$2:N453),$N$2:$N$1001,0),0), INDEX($U$1004:$AC$1004,1,MATCH(COLUMNS($U$1006:AA1006),$U$1006:$AC$1006,0)))),"Fix")))</f>
        <v>0</v>
      </c>
      <c r="I453" s="3">
        <f>IF(OR(INDEX($O$2:$O$1001,MATCH(ROWS($N$2:N453),$N$2:$N$1001,0),1)&gt;=100000,INDEX($U$1005:$AC$1005,1,MATCH(COLUMNS($U$1006:AB1006),$U$1006:$AC$1006,0))&gt;=100000), " ",IF(INDEX($U$2:$AC$1001,MATCH(ROWS($N$2:N453),$N$2:$N$1001,0),MATCH(COLUMNS($U$1006:AB1006),$U$1006:$AC$1006,0)), HYPERLINK("#",""), HYPERLINK(CONCATENATE("#metadata!", ADDRESS(INDEX($P$2:$P$1001,MATCH(ROWS($N$2:N453),$N$2:$N$1001,0),0), INDEX($U$1004:$AC$1004,1,MATCH(COLUMNS($U$1006:AB1006),$U$1006:$AC$1006,0)))),"Fix")))</f>
        <v>0</v>
      </c>
      <c r="J453" s="3">
        <f>IF(OR(INDEX($O$2:$O$1001,MATCH(ROWS($N$2:N453),$N$2:$N$1001,0),1)&gt;=100000,INDEX($U$1005:$AC$1005,1,MATCH(COLUMNS($U$1006:AC1006),$U$1006:$AC$1006,0))&gt;=100000), " ",IF(INDEX($U$2:$AC$1001,MATCH(ROWS($N$2:N453),$N$2:$N$1001,0),MATCH(COLUMNS($U$1006:AC1006),$U$1006:$AC$1006,0)), HYPERLINK("#",""), HYPERLINK(CONCATENATE("#metadata!", ADDRESS(INDEX($P$2:$P$1001,MATCH(ROWS($N$2:N453),$N$2:$N$1001,0),0), INDEX($U$1004:$AC$1004,1,MATCH(COLUMNS($U$1006:AC1006),$U$1006:$AC$1006,0)))),"Fix")))</f>
        <v>0</v>
      </c>
      <c r="N453">
        <v>0</v>
      </c>
      <c r="O453">
        <v>0</v>
      </c>
      <c r="P453">
        <v>0</v>
      </c>
      <c r="Q453">
        <f>IF(R453,TRUE,AND(U453:AC453))</f>
        <v>0</v>
      </c>
      <c r="R453">
        <f>COUNTBLANK(metadata!B453:J453)=COLUMNS(metadata!B453:J453)</f>
        <v>0</v>
      </c>
      <c r="S453">
        <v>0</v>
      </c>
      <c r="U453">
        <f>AND(IF(metadata!B453="",FALSE,TRUE),COUNTIF(metadata!B:B, metadata!B453) = 1,NOT(ISERROR(SUMPRODUCT(SEARCH(MID(metadata!B453,ROW(INDIRECT("1:"&amp;LEN(metadata!B453))), 1),"0123456789abcdefghijklmnopqrstuvwxyzABCDEFGHIJKLMNOPQRSTUVWXYZ.")))))</f>
        <v>0</v>
      </c>
      <c r="V453">
        <f>AND(IF(metadata!C453="",FALSE,TRUE),exact(metadata!C453,"UBERON:genitourinary"))</f>
        <v>0</v>
      </c>
      <c r="W453">
        <f>AND(IF(metadata!D453="",FALSE,TRUE),exact(metadata!D453,"UBERON:urine"))</f>
        <v>0</v>
      </c>
      <c r="X453">
        <f>AND(IF(metadata!E453="",FALSE,TRUE),exact(metadata!E453,"UBERON:kidney"))</f>
        <v>0</v>
      </c>
      <c r="Y453">
        <f>AND(IF(metadata!F453="",FALSE,TRUE),exact(metadata!F453,"animal corpus"))</f>
        <v>0</v>
      </c>
      <c r="Z453">
        <f>AND(IF(metadata!G453="",FALSE,TRUE),exact(metadata!G453,"urine"))</f>
        <v>0</v>
      </c>
      <c r="AA453">
        <f>AND(IF(metadata!H453="",FALSE,TRUE),exact(metadata!H453,"urine"))</f>
        <v>0</v>
      </c>
      <c r="AB453">
        <f>AND(IF(metadata!I453="",FALSE,TRUE),exact(metadata!I453,"urine metagenome"))</f>
        <v>0</v>
      </c>
      <c r="AC453">
        <f>AND(IF(metadata!J453="",FALSE,TRUE),exact(metadata!J453,"1346744"))</f>
        <v>0</v>
      </c>
    </row>
    <row r="454" spans="1:29">
      <c r="A454" s="4">
        <f>IF(B454=" "," ",HYPERLINK(CONCATENATE("#metadata!",ADDRESS(INDEX($P$2:$P$1001,MATCH(ROWS($N$2:N454),$N$2:$N$1001,0),0),1)),INDEX($S$2:$S$1001,MATCH(ROWS($N$2:N454),$N$2:$N$1001,0),0)))</f>
        <v>0</v>
      </c>
      <c r="B454" s="3">
        <f>IF(OR(INDEX($O$2:$O$1001,MATCH(ROWS($N$2:N454),$N$2:$N$1001,0),1)&gt;=100000,INDEX($U$1005:$AC$1005,1,MATCH(COLUMNS($U$1006:U1006),$U$1006:$AC$1006,0))&gt;=100000), " ",IF(INDEX($U$2:$AC$1001,MATCH(ROWS($N$2:N454),$N$2:$N$1001,0),MATCH(COLUMNS($U$1006:U1006),$U$1006:$AC$1006,0)), HYPERLINK("#",""), HYPERLINK(CONCATENATE("#metadata!", ADDRESS(INDEX($P$2:$P$1001,MATCH(ROWS($N$2:N454),$N$2:$N$1001,0),0), INDEX($U$1004:$AC$1004,1,MATCH(COLUMNS($U$1006:U1006),$U$1006:$AC$1006,0)))),"Fix")))</f>
        <v>0</v>
      </c>
      <c r="C454" s="3">
        <f>IF(OR(INDEX($O$2:$O$1001,MATCH(ROWS($N$2:N454),$N$2:$N$1001,0),1)&gt;=100000,INDEX($U$1005:$AC$1005,1,MATCH(COLUMNS($U$1006:V1006),$U$1006:$AC$1006,0))&gt;=100000), " ",IF(INDEX($U$2:$AC$1001,MATCH(ROWS($N$2:N454),$N$2:$N$1001,0),MATCH(COLUMNS($U$1006:V1006),$U$1006:$AC$1006,0)), HYPERLINK("#",""), HYPERLINK(CONCATENATE("#metadata!", ADDRESS(INDEX($P$2:$P$1001,MATCH(ROWS($N$2:N454),$N$2:$N$1001,0),0), INDEX($U$1004:$AC$1004,1,MATCH(COLUMNS($U$1006:V1006),$U$1006:$AC$1006,0)))),"Fix")))</f>
        <v>0</v>
      </c>
      <c r="D454" s="3">
        <f>IF(OR(INDEX($O$2:$O$1001,MATCH(ROWS($N$2:N454),$N$2:$N$1001,0),1)&gt;=100000,INDEX($U$1005:$AC$1005,1,MATCH(COLUMNS($U$1006:W1006),$U$1006:$AC$1006,0))&gt;=100000), " ",IF(INDEX($U$2:$AC$1001,MATCH(ROWS($N$2:N454),$N$2:$N$1001,0),MATCH(COLUMNS($U$1006:W1006),$U$1006:$AC$1006,0)), HYPERLINK("#",""), HYPERLINK(CONCATENATE("#metadata!", ADDRESS(INDEX($P$2:$P$1001,MATCH(ROWS($N$2:N454),$N$2:$N$1001,0),0), INDEX($U$1004:$AC$1004,1,MATCH(COLUMNS($U$1006:W1006),$U$1006:$AC$1006,0)))),"Fix")))</f>
        <v>0</v>
      </c>
      <c r="E454" s="3">
        <f>IF(OR(INDEX($O$2:$O$1001,MATCH(ROWS($N$2:N454),$N$2:$N$1001,0),1)&gt;=100000,INDEX($U$1005:$AC$1005,1,MATCH(COLUMNS($U$1006:X1006),$U$1006:$AC$1006,0))&gt;=100000), " ",IF(INDEX($U$2:$AC$1001,MATCH(ROWS($N$2:N454),$N$2:$N$1001,0),MATCH(COLUMNS($U$1006:X1006),$U$1006:$AC$1006,0)), HYPERLINK("#",""), HYPERLINK(CONCATENATE("#metadata!", ADDRESS(INDEX($P$2:$P$1001,MATCH(ROWS($N$2:N454),$N$2:$N$1001,0),0), INDEX($U$1004:$AC$1004,1,MATCH(COLUMNS($U$1006:X1006),$U$1006:$AC$1006,0)))),"Fix")))</f>
        <v>0</v>
      </c>
      <c r="F454" s="3">
        <f>IF(OR(INDEX($O$2:$O$1001,MATCH(ROWS($N$2:N454),$N$2:$N$1001,0),1)&gt;=100000,INDEX($U$1005:$AC$1005,1,MATCH(COLUMNS($U$1006:Y1006),$U$1006:$AC$1006,0))&gt;=100000), " ",IF(INDEX($U$2:$AC$1001,MATCH(ROWS($N$2:N454),$N$2:$N$1001,0),MATCH(COLUMNS($U$1006:Y1006),$U$1006:$AC$1006,0)), HYPERLINK("#",""), HYPERLINK(CONCATENATE("#metadata!", ADDRESS(INDEX($P$2:$P$1001,MATCH(ROWS($N$2:N454),$N$2:$N$1001,0),0), INDEX($U$1004:$AC$1004,1,MATCH(COLUMNS($U$1006:Y1006),$U$1006:$AC$1006,0)))),"Fix")))</f>
        <v>0</v>
      </c>
      <c r="G454" s="3">
        <f>IF(OR(INDEX($O$2:$O$1001,MATCH(ROWS($N$2:N454),$N$2:$N$1001,0),1)&gt;=100000,INDEX($U$1005:$AC$1005,1,MATCH(COLUMNS($U$1006:Z1006),$U$1006:$AC$1006,0))&gt;=100000), " ",IF(INDEX($U$2:$AC$1001,MATCH(ROWS($N$2:N454),$N$2:$N$1001,0),MATCH(COLUMNS($U$1006:Z1006),$U$1006:$AC$1006,0)), HYPERLINK("#",""), HYPERLINK(CONCATENATE("#metadata!", ADDRESS(INDEX($P$2:$P$1001,MATCH(ROWS($N$2:N454),$N$2:$N$1001,0),0), INDEX($U$1004:$AC$1004,1,MATCH(COLUMNS($U$1006:Z1006),$U$1006:$AC$1006,0)))),"Fix")))</f>
        <v>0</v>
      </c>
      <c r="H454" s="3">
        <f>IF(OR(INDEX($O$2:$O$1001,MATCH(ROWS($N$2:N454),$N$2:$N$1001,0),1)&gt;=100000,INDEX($U$1005:$AC$1005,1,MATCH(COLUMNS($U$1006:AA1006),$U$1006:$AC$1006,0))&gt;=100000), " ",IF(INDEX($U$2:$AC$1001,MATCH(ROWS($N$2:N454),$N$2:$N$1001,0),MATCH(COLUMNS($U$1006:AA1006),$U$1006:$AC$1006,0)), HYPERLINK("#",""), HYPERLINK(CONCATENATE("#metadata!", ADDRESS(INDEX($P$2:$P$1001,MATCH(ROWS($N$2:N454),$N$2:$N$1001,0),0), INDEX($U$1004:$AC$1004,1,MATCH(COLUMNS($U$1006:AA1006),$U$1006:$AC$1006,0)))),"Fix")))</f>
        <v>0</v>
      </c>
      <c r="I454" s="3">
        <f>IF(OR(INDEX($O$2:$O$1001,MATCH(ROWS($N$2:N454),$N$2:$N$1001,0),1)&gt;=100000,INDEX($U$1005:$AC$1005,1,MATCH(COLUMNS($U$1006:AB1006),$U$1006:$AC$1006,0))&gt;=100000), " ",IF(INDEX($U$2:$AC$1001,MATCH(ROWS($N$2:N454),$N$2:$N$1001,0),MATCH(COLUMNS($U$1006:AB1006),$U$1006:$AC$1006,0)), HYPERLINK("#",""), HYPERLINK(CONCATENATE("#metadata!", ADDRESS(INDEX($P$2:$P$1001,MATCH(ROWS($N$2:N454),$N$2:$N$1001,0),0), INDEX($U$1004:$AC$1004,1,MATCH(COLUMNS($U$1006:AB1006),$U$1006:$AC$1006,0)))),"Fix")))</f>
        <v>0</v>
      </c>
      <c r="J454" s="3">
        <f>IF(OR(INDEX($O$2:$O$1001,MATCH(ROWS($N$2:N454),$N$2:$N$1001,0),1)&gt;=100000,INDEX($U$1005:$AC$1005,1,MATCH(COLUMNS($U$1006:AC1006),$U$1006:$AC$1006,0))&gt;=100000), " ",IF(INDEX($U$2:$AC$1001,MATCH(ROWS($N$2:N454),$N$2:$N$1001,0),MATCH(COLUMNS($U$1006:AC1006),$U$1006:$AC$1006,0)), HYPERLINK("#",""), HYPERLINK(CONCATENATE("#metadata!", ADDRESS(INDEX($P$2:$P$1001,MATCH(ROWS($N$2:N454),$N$2:$N$1001,0),0), INDEX($U$1004:$AC$1004,1,MATCH(COLUMNS($U$1006:AC1006),$U$1006:$AC$1006,0)))),"Fix")))</f>
        <v>0</v>
      </c>
      <c r="N454">
        <v>0</v>
      </c>
      <c r="O454">
        <v>0</v>
      </c>
      <c r="P454">
        <v>0</v>
      </c>
      <c r="Q454">
        <f>IF(R454,TRUE,AND(U454:AC454))</f>
        <v>0</v>
      </c>
      <c r="R454">
        <f>COUNTBLANK(metadata!B454:J454)=COLUMNS(metadata!B454:J454)</f>
        <v>0</v>
      </c>
      <c r="S454">
        <v>0</v>
      </c>
      <c r="U454">
        <f>AND(IF(metadata!B454="",FALSE,TRUE),COUNTIF(metadata!B:B, metadata!B454) = 1,NOT(ISERROR(SUMPRODUCT(SEARCH(MID(metadata!B454,ROW(INDIRECT("1:"&amp;LEN(metadata!B454))), 1),"0123456789abcdefghijklmnopqrstuvwxyzABCDEFGHIJKLMNOPQRSTUVWXYZ.")))))</f>
        <v>0</v>
      </c>
      <c r="V454">
        <f>AND(IF(metadata!C454="",FALSE,TRUE),exact(metadata!C454,"UBERON:genitourinary"))</f>
        <v>0</v>
      </c>
      <c r="W454">
        <f>AND(IF(metadata!D454="",FALSE,TRUE),exact(metadata!D454,"UBERON:urine"))</f>
        <v>0</v>
      </c>
      <c r="X454">
        <f>AND(IF(metadata!E454="",FALSE,TRUE),exact(metadata!E454,"UBERON:kidney"))</f>
        <v>0</v>
      </c>
      <c r="Y454">
        <f>AND(IF(metadata!F454="",FALSE,TRUE),exact(metadata!F454,"animal corpus"))</f>
        <v>0</v>
      </c>
      <c r="Z454">
        <f>AND(IF(metadata!G454="",FALSE,TRUE),exact(metadata!G454,"urine"))</f>
        <v>0</v>
      </c>
      <c r="AA454">
        <f>AND(IF(metadata!H454="",FALSE,TRUE),exact(metadata!H454,"urine"))</f>
        <v>0</v>
      </c>
      <c r="AB454">
        <f>AND(IF(metadata!I454="",FALSE,TRUE),exact(metadata!I454,"urine metagenome"))</f>
        <v>0</v>
      </c>
      <c r="AC454">
        <f>AND(IF(metadata!J454="",FALSE,TRUE),exact(metadata!J454,"1346744"))</f>
        <v>0</v>
      </c>
    </row>
    <row r="455" spans="1:29">
      <c r="A455" s="4">
        <f>IF(B455=" "," ",HYPERLINK(CONCATENATE("#metadata!",ADDRESS(INDEX($P$2:$P$1001,MATCH(ROWS($N$2:N455),$N$2:$N$1001,0),0),1)),INDEX($S$2:$S$1001,MATCH(ROWS($N$2:N455),$N$2:$N$1001,0),0)))</f>
        <v>0</v>
      </c>
      <c r="B455" s="3">
        <f>IF(OR(INDEX($O$2:$O$1001,MATCH(ROWS($N$2:N455),$N$2:$N$1001,0),1)&gt;=100000,INDEX($U$1005:$AC$1005,1,MATCH(COLUMNS($U$1006:U1006),$U$1006:$AC$1006,0))&gt;=100000), " ",IF(INDEX($U$2:$AC$1001,MATCH(ROWS($N$2:N455),$N$2:$N$1001,0),MATCH(COLUMNS($U$1006:U1006),$U$1006:$AC$1006,0)), HYPERLINK("#",""), HYPERLINK(CONCATENATE("#metadata!", ADDRESS(INDEX($P$2:$P$1001,MATCH(ROWS($N$2:N455),$N$2:$N$1001,0),0), INDEX($U$1004:$AC$1004,1,MATCH(COLUMNS($U$1006:U1006),$U$1006:$AC$1006,0)))),"Fix")))</f>
        <v>0</v>
      </c>
      <c r="C455" s="3">
        <f>IF(OR(INDEX($O$2:$O$1001,MATCH(ROWS($N$2:N455),$N$2:$N$1001,0),1)&gt;=100000,INDEX($U$1005:$AC$1005,1,MATCH(COLUMNS($U$1006:V1006),$U$1006:$AC$1006,0))&gt;=100000), " ",IF(INDEX($U$2:$AC$1001,MATCH(ROWS($N$2:N455),$N$2:$N$1001,0),MATCH(COLUMNS($U$1006:V1006),$U$1006:$AC$1006,0)), HYPERLINK("#",""), HYPERLINK(CONCATENATE("#metadata!", ADDRESS(INDEX($P$2:$P$1001,MATCH(ROWS($N$2:N455),$N$2:$N$1001,0),0), INDEX($U$1004:$AC$1004,1,MATCH(COLUMNS($U$1006:V1006),$U$1006:$AC$1006,0)))),"Fix")))</f>
        <v>0</v>
      </c>
      <c r="D455" s="3">
        <f>IF(OR(INDEX($O$2:$O$1001,MATCH(ROWS($N$2:N455),$N$2:$N$1001,0),1)&gt;=100000,INDEX($U$1005:$AC$1005,1,MATCH(COLUMNS($U$1006:W1006),$U$1006:$AC$1006,0))&gt;=100000), " ",IF(INDEX($U$2:$AC$1001,MATCH(ROWS($N$2:N455),$N$2:$N$1001,0),MATCH(COLUMNS($U$1006:W1006),$U$1006:$AC$1006,0)), HYPERLINK("#",""), HYPERLINK(CONCATENATE("#metadata!", ADDRESS(INDEX($P$2:$P$1001,MATCH(ROWS($N$2:N455),$N$2:$N$1001,0),0), INDEX($U$1004:$AC$1004,1,MATCH(COLUMNS($U$1006:W1006),$U$1006:$AC$1006,0)))),"Fix")))</f>
        <v>0</v>
      </c>
      <c r="E455" s="3">
        <f>IF(OR(INDEX($O$2:$O$1001,MATCH(ROWS($N$2:N455),$N$2:$N$1001,0),1)&gt;=100000,INDEX($U$1005:$AC$1005,1,MATCH(COLUMNS($U$1006:X1006),$U$1006:$AC$1006,0))&gt;=100000), " ",IF(INDEX($U$2:$AC$1001,MATCH(ROWS($N$2:N455),$N$2:$N$1001,0),MATCH(COLUMNS($U$1006:X1006),$U$1006:$AC$1006,0)), HYPERLINK("#",""), HYPERLINK(CONCATENATE("#metadata!", ADDRESS(INDEX($P$2:$P$1001,MATCH(ROWS($N$2:N455),$N$2:$N$1001,0),0), INDEX($U$1004:$AC$1004,1,MATCH(COLUMNS($U$1006:X1006),$U$1006:$AC$1006,0)))),"Fix")))</f>
        <v>0</v>
      </c>
      <c r="F455" s="3">
        <f>IF(OR(INDEX($O$2:$O$1001,MATCH(ROWS($N$2:N455),$N$2:$N$1001,0),1)&gt;=100000,INDEX($U$1005:$AC$1005,1,MATCH(COLUMNS($U$1006:Y1006),$U$1006:$AC$1006,0))&gt;=100000), " ",IF(INDEX($U$2:$AC$1001,MATCH(ROWS($N$2:N455),$N$2:$N$1001,0),MATCH(COLUMNS($U$1006:Y1006),$U$1006:$AC$1006,0)), HYPERLINK("#",""), HYPERLINK(CONCATENATE("#metadata!", ADDRESS(INDEX($P$2:$P$1001,MATCH(ROWS($N$2:N455),$N$2:$N$1001,0),0), INDEX($U$1004:$AC$1004,1,MATCH(COLUMNS($U$1006:Y1006),$U$1006:$AC$1006,0)))),"Fix")))</f>
        <v>0</v>
      </c>
      <c r="G455" s="3">
        <f>IF(OR(INDEX($O$2:$O$1001,MATCH(ROWS($N$2:N455),$N$2:$N$1001,0),1)&gt;=100000,INDEX($U$1005:$AC$1005,1,MATCH(COLUMNS($U$1006:Z1006),$U$1006:$AC$1006,0))&gt;=100000), " ",IF(INDEX($U$2:$AC$1001,MATCH(ROWS($N$2:N455),$N$2:$N$1001,0),MATCH(COLUMNS($U$1006:Z1006),$U$1006:$AC$1006,0)), HYPERLINK("#",""), HYPERLINK(CONCATENATE("#metadata!", ADDRESS(INDEX($P$2:$P$1001,MATCH(ROWS($N$2:N455),$N$2:$N$1001,0),0), INDEX($U$1004:$AC$1004,1,MATCH(COLUMNS($U$1006:Z1006),$U$1006:$AC$1006,0)))),"Fix")))</f>
        <v>0</v>
      </c>
      <c r="H455" s="3">
        <f>IF(OR(INDEX($O$2:$O$1001,MATCH(ROWS($N$2:N455),$N$2:$N$1001,0),1)&gt;=100000,INDEX($U$1005:$AC$1005,1,MATCH(COLUMNS($U$1006:AA1006),$U$1006:$AC$1006,0))&gt;=100000), " ",IF(INDEX($U$2:$AC$1001,MATCH(ROWS($N$2:N455),$N$2:$N$1001,0),MATCH(COLUMNS($U$1006:AA1006),$U$1006:$AC$1006,0)), HYPERLINK("#",""), HYPERLINK(CONCATENATE("#metadata!", ADDRESS(INDEX($P$2:$P$1001,MATCH(ROWS($N$2:N455),$N$2:$N$1001,0),0), INDEX($U$1004:$AC$1004,1,MATCH(COLUMNS($U$1006:AA1006),$U$1006:$AC$1006,0)))),"Fix")))</f>
        <v>0</v>
      </c>
      <c r="I455" s="3">
        <f>IF(OR(INDEX($O$2:$O$1001,MATCH(ROWS($N$2:N455),$N$2:$N$1001,0),1)&gt;=100000,INDEX($U$1005:$AC$1005,1,MATCH(COLUMNS($U$1006:AB1006),$U$1006:$AC$1006,0))&gt;=100000), " ",IF(INDEX($U$2:$AC$1001,MATCH(ROWS($N$2:N455),$N$2:$N$1001,0),MATCH(COLUMNS($U$1006:AB1006),$U$1006:$AC$1006,0)), HYPERLINK("#",""), HYPERLINK(CONCATENATE("#metadata!", ADDRESS(INDEX($P$2:$P$1001,MATCH(ROWS($N$2:N455),$N$2:$N$1001,0),0), INDEX($U$1004:$AC$1004,1,MATCH(COLUMNS($U$1006:AB1006),$U$1006:$AC$1006,0)))),"Fix")))</f>
        <v>0</v>
      </c>
      <c r="J455" s="3">
        <f>IF(OR(INDEX($O$2:$O$1001,MATCH(ROWS($N$2:N455),$N$2:$N$1001,0),1)&gt;=100000,INDEX($U$1005:$AC$1005,1,MATCH(COLUMNS($U$1006:AC1006),$U$1006:$AC$1006,0))&gt;=100000), " ",IF(INDEX($U$2:$AC$1001,MATCH(ROWS($N$2:N455),$N$2:$N$1001,0),MATCH(COLUMNS($U$1006:AC1006),$U$1006:$AC$1006,0)), HYPERLINK("#",""), HYPERLINK(CONCATENATE("#metadata!", ADDRESS(INDEX($P$2:$P$1001,MATCH(ROWS($N$2:N455),$N$2:$N$1001,0),0), INDEX($U$1004:$AC$1004,1,MATCH(COLUMNS($U$1006:AC1006),$U$1006:$AC$1006,0)))),"Fix")))</f>
        <v>0</v>
      </c>
      <c r="N455">
        <v>0</v>
      </c>
      <c r="O455">
        <v>0</v>
      </c>
      <c r="P455">
        <v>0</v>
      </c>
      <c r="Q455">
        <f>IF(R455,TRUE,AND(U455:AC455))</f>
        <v>0</v>
      </c>
      <c r="R455">
        <f>COUNTBLANK(metadata!B455:J455)=COLUMNS(metadata!B455:J455)</f>
        <v>0</v>
      </c>
      <c r="S455">
        <v>0</v>
      </c>
      <c r="U455">
        <f>AND(IF(metadata!B455="",FALSE,TRUE),COUNTIF(metadata!B:B, metadata!B455) = 1,NOT(ISERROR(SUMPRODUCT(SEARCH(MID(metadata!B455,ROW(INDIRECT("1:"&amp;LEN(metadata!B455))), 1),"0123456789abcdefghijklmnopqrstuvwxyzABCDEFGHIJKLMNOPQRSTUVWXYZ.")))))</f>
        <v>0</v>
      </c>
      <c r="V455">
        <f>AND(IF(metadata!C455="",FALSE,TRUE),exact(metadata!C455,"UBERON:genitourinary"))</f>
        <v>0</v>
      </c>
      <c r="W455">
        <f>AND(IF(metadata!D455="",FALSE,TRUE),exact(metadata!D455,"UBERON:urine"))</f>
        <v>0</v>
      </c>
      <c r="X455">
        <f>AND(IF(metadata!E455="",FALSE,TRUE),exact(metadata!E455,"UBERON:kidney"))</f>
        <v>0</v>
      </c>
      <c r="Y455">
        <f>AND(IF(metadata!F455="",FALSE,TRUE),exact(metadata!F455,"animal corpus"))</f>
        <v>0</v>
      </c>
      <c r="Z455">
        <f>AND(IF(metadata!G455="",FALSE,TRUE),exact(metadata!G455,"urine"))</f>
        <v>0</v>
      </c>
      <c r="AA455">
        <f>AND(IF(metadata!H455="",FALSE,TRUE),exact(metadata!H455,"urine"))</f>
        <v>0</v>
      </c>
      <c r="AB455">
        <f>AND(IF(metadata!I455="",FALSE,TRUE),exact(metadata!I455,"urine metagenome"))</f>
        <v>0</v>
      </c>
      <c r="AC455">
        <f>AND(IF(metadata!J455="",FALSE,TRUE),exact(metadata!J455,"1346744"))</f>
        <v>0</v>
      </c>
    </row>
    <row r="456" spans="1:29">
      <c r="A456" s="4">
        <f>IF(B456=" "," ",HYPERLINK(CONCATENATE("#metadata!",ADDRESS(INDEX($P$2:$P$1001,MATCH(ROWS($N$2:N456),$N$2:$N$1001,0),0),1)),INDEX($S$2:$S$1001,MATCH(ROWS($N$2:N456),$N$2:$N$1001,0),0)))</f>
        <v>0</v>
      </c>
      <c r="B456" s="3">
        <f>IF(OR(INDEX($O$2:$O$1001,MATCH(ROWS($N$2:N456),$N$2:$N$1001,0),1)&gt;=100000,INDEX($U$1005:$AC$1005,1,MATCH(COLUMNS($U$1006:U1006),$U$1006:$AC$1006,0))&gt;=100000), " ",IF(INDEX($U$2:$AC$1001,MATCH(ROWS($N$2:N456),$N$2:$N$1001,0),MATCH(COLUMNS($U$1006:U1006),$U$1006:$AC$1006,0)), HYPERLINK("#",""), HYPERLINK(CONCATENATE("#metadata!", ADDRESS(INDEX($P$2:$P$1001,MATCH(ROWS($N$2:N456),$N$2:$N$1001,0),0), INDEX($U$1004:$AC$1004,1,MATCH(COLUMNS($U$1006:U1006),$U$1006:$AC$1006,0)))),"Fix")))</f>
        <v>0</v>
      </c>
      <c r="C456" s="3">
        <f>IF(OR(INDEX($O$2:$O$1001,MATCH(ROWS($N$2:N456),$N$2:$N$1001,0),1)&gt;=100000,INDEX($U$1005:$AC$1005,1,MATCH(COLUMNS($U$1006:V1006),$U$1006:$AC$1006,0))&gt;=100000), " ",IF(INDEX($U$2:$AC$1001,MATCH(ROWS($N$2:N456),$N$2:$N$1001,0),MATCH(COLUMNS($U$1006:V1006),$U$1006:$AC$1006,0)), HYPERLINK("#",""), HYPERLINK(CONCATENATE("#metadata!", ADDRESS(INDEX($P$2:$P$1001,MATCH(ROWS($N$2:N456),$N$2:$N$1001,0),0), INDEX($U$1004:$AC$1004,1,MATCH(COLUMNS($U$1006:V1006),$U$1006:$AC$1006,0)))),"Fix")))</f>
        <v>0</v>
      </c>
      <c r="D456" s="3">
        <f>IF(OR(INDEX($O$2:$O$1001,MATCH(ROWS($N$2:N456),$N$2:$N$1001,0),1)&gt;=100000,INDEX($U$1005:$AC$1005,1,MATCH(COLUMNS($U$1006:W1006),$U$1006:$AC$1006,0))&gt;=100000), " ",IF(INDEX($U$2:$AC$1001,MATCH(ROWS($N$2:N456),$N$2:$N$1001,0),MATCH(COLUMNS($U$1006:W1006),$U$1006:$AC$1006,0)), HYPERLINK("#",""), HYPERLINK(CONCATENATE("#metadata!", ADDRESS(INDEX($P$2:$P$1001,MATCH(ROWS($N$2:N456),$N$2:$N$1001,0),0), INDEX($U$1004:$AC$1004,1,MATCH(COLUMNS($U$1006:W1006),$U$1006:$AC$1006,0)))),"Fix")))</f>
        <v>0</v>
      </c>
      <c r="E456" s="3">
        <f>IF(OR(INDEX($O$2:$O$1001,MATCH(ROWS($N$2:N456),$N$2:$N$1001,0),1)&gt;=100000,INDEX($U$1005:$AC$1005,1,MATCH(COLUMNS($U$1006:X1006),$U$1006:$AC$1006,0))&gt;=100000), " ",IF(INDEX($U$2:$AC$1001,MATCH(ROWS($N$2:N456),$N$2:$N$1001,0),MATCH(COLUMNS($U$1006:X1006),$U$1006:$AC$1006,0)), HYPERLINK("#",""), HYPERLINK(CONCATENATE("#metadata!", ADDRESS(INDEX($P$2:$P$1001,MATCH(ROWS($N$2:N456),$N$2:$N$1001,0),0), INDEX($U$1004:$AC$1004,1,MATCH(COLUMNS($U$1006:X1006),$U$1006:$AC$1006,0)))),"Fix")))</f>
        <v>0</v>
      </c>
      <c r="F456" s="3">
        <f>IF(OR(INDEX($O$2:$O$1001,MATCH(ROWS($N$2:N456),$N$2:$N$1001,0),1)&gt;=100000,INDEX($U$1005:$AC$1005,1,MATCH(COLUMNS($U$1006:Y1006),$U$1006:$AC$1006,0))&gt;=100000), " ",IF(INDEX($U$2:$AC$1001,MATCH(ROWS($N$2:N456),$N$2:$N$1001,0),MATCH(COLUMNS($U$1006:Y1006),$U$1006:$AC$1006,0)), HYPERLINK("#",""), HYPERLINK(CONCATENATE("#metadata!", ADDRESS(INDEX($P$2:$P$1001,MATCH(ROWS($N$2:N456),$N$2:$N$1001,0),0), INDEX($U$1004:$AC$1004,1,MATCH(COLUMNS($U$1006:Y1006),$U$1006:$AC$1006,0)))),"Fix")))</f>
        <v>0</v>
      </c>
      <c r="G456" s="3">
        <f>IF(OR(INDEX($O$2:$O$1001,MATCH(ROWS($N$2:N456),$N$2:$N$1001,0),1)&gt;=100000,INDEX($U$1005:$AC$1005,1,MATCH(COLUMNS($U$1006:Z1006),$U$1006:$AC$1006,0))&gt;=100000), " ",IF(INDEX($U$2:$AC$1001,MATCH(ROWS($N$2:N456),$N$2:$N$1001,0),MATCH(COLUMNS($U$1006:Z1006),$U$1006:$AC$1006,0)), HYPERLINK("#",""), HYPERLINK(CONCATENATE("#metadata!", ADDRESS(INDEX($P$2:$P$1001,MATCH(ROWS($N$2:N456),$N$2:$N$1001,0),0), INDEX($U$1004:$AC$1004,1,MATCH(COLUMNS($U$1006:Z1006),$U$1006:$AC$1006,0)))),"Fix")))</f>
        <v>0</v>
      </c>
      <c r="H456" s="3">
        <f>IF(OR(INDEX($O$2:$O$1001,MATCH(ROWS($N$2:N456),$N$2:$N$1001,0),1)&gt;=100000,INDEX($U$1005:$AC$1005,1,MATCH(COLUMNS($U$1006:AA1006),$U$1006:$AC$1006,0))&gt;=100000), " ",IF(INDEX($U$2:$AC$1001,MATCH(ROWS($N$2:N456),$N$2:$N$1001,0),MATCH(COLUMNS($U$1006:AA1006),$U$1006:$AC$1006,0)), HYPERLINK("#",""), HYPERLINK(CONCATENATE("#metadata!", ADDRESS(INDEX($P$2:$P$1001,MATCH(ROWS($N$2:N456),$N$2:$N$1001,0),0), INDEX($U$1004:$AC$1004,1,MATCH(COLUMNS($U$1006:AA1006),$U$1006:$AC$1006,0)))),"Fix")))</f>
        <v>0</v>
      </c>
      <c r="I456" s="3">
        <f>IF(OR(INDEX($O$2:$O$1001,MATCH(ROWS($N$2:N456),$N$2:$N$1001,0),1)&gt;=100000,INDEX($U$1005:$AC$1005,1,MATCH(COLUMNS($U$1006:AB1006),$U$1006:$AC$1006,0))&gt;=100000), " ",IF(INDEX($U$2:$AC$1001,MATCH(ROWS($N$2:N456),$N$2:$N$1001,0),MATCH(COLUMNS($U$1006:AB1006),$U$1006:$AC$1006,0)), HYPERLINK("#",""), HYPERLINK(CONCATENATE("#metadata!", ADDRESS(INDEX($P$2:$P$1001,MATCH(ROWS($N$2:N456),$N$2:$N$1001,0),0), INDEX($U$1004:$AC$1004,1,MATCH(COLUMNS($U$1006:AB1006),$U$1006:$AC$1006,0)))),"Fix")))</f>
        <v>0</v>
      </c>
      <c r="J456" s="3">
        <f>IF(OR(INDEX($O$2:$O$1001,MATCH(ROWS($N$2:N456),$N$2:$N$1001,0),1)&gt;=100000,INDEX($U$1005:$AC$1005,1,MATCH(COLUMNS($U$1006:AC1006),$U$1006:$AC$1006,0))&gt;=100000), " ",IF(INDEX($U$2:$AC$1001,MATCH(ROWS($N$2:N456),$N$2:$N$1001,0),MATCH(COLUMNS($U$1006:AC1006),$U$1006:$AC$1006,0)), HYPERLINK("#",""), HYPERLINK(CONCATENATE("#metadata!", ADDRESS(INDEX($P$2:$P$1001,MATCH(ROWS($N$2:N456),$N$2:$N$1001,0),0), INDEX($U$1004:$AC$1004,1,MATCH(COLUMNS($U$1006:AC1006),$U$1006:$AC$1006,0)))),"Fix")))</f>
        <v>0</v>
      </c>
      <c r="N456">
        <v>0</v>
      </c>
      <c r="O456">
        <v>0</v>
      </c>
      <c r="P456">
        <v>0</v>
      </c>
      <c r="Q456">
        <f>IF(R456,TRUE,AND(U456:AC456))</f>
        <v>0</v>
      </c>
      <c r="R456">
        <f>COUNTBLANK(metadata!B456:J456)=COLUMNS(metadata!B456:J456)</f>
        <v>0</v>
      </c>
      <c r="S456">
        <v>0</v>
      </c>
      <c r="U456">
        <f>AND(IF(metadata!B456="",FALSE,TRUE),COUNTIF(metadata!B:B, metadata!B456) = 1,NOT(ISERROR(SUMPRODUCT(SEARCH(MID(metadata!B456,ROW(INDIRECT("1:"&amp;LEN(metadata!B456))), 1),"0123456789abcdefghijklmnopqrstuvwxyzABCDEFGHIJKLMNOPQRSTUVWXYZ.")))))</f>
        <v>0</v>
      </c>
      <c r="V456">
        <f>AND(IF(metadata!C456="",FALSE,TRUE),exact(metadata!C456,"UBERON:genitourinary"))</f>
        <v>0</v>
      </c>
      <c r="W456">
        <f>AND(IF(metadata!D456="",FALSE,TRUE),exact(metadata!D456,"UBERON:urine"))</f>
        <v>0</v>
      </c>
      <c r="X456">
        <f>AND(IF(metadata!E456="",FALSE,TRUE),exact(metadata!E456,"UBERON:kidney"))</f>
        <v>0</v>
      </c>
      <c r="Y456">
        <f>AND(IF(metadata!F456="",FALSE,TRUE),exact(metadata!F456,"animal corpus"))</f>
        <v>0</v>
      </c>
      <c r="Z456">
        <f>AND(IF(metadata!G456="",FALSE,TRUE),exact(metadata!G456,"urine"))</f>
        <v>0</v>
      </c>
      <c r="AA456">
        <f>AND(IF(metadata!H456="",FALSE,TRUE),exact(metadata!H456,"urine"))</f>
        <v>0</v>
      </c>
      <c r="AB456">
        <f>AND(IF(metadata!I456="",FALSE,TRUE),exact(metadata!I456,"urine metagenome"))</f>
        <v>0</v>
      </c>
      <c r="AC456">
        <f>AND(IF(metadata!J456="",FALSE,TRUE),exact(metadata!J456,"1346744"))</f>
        <v>0</v>
      </c>
    </row>
    <row r="457" spans="1:29">
      <c r="A457" s="4">
        <f>IF(B457=" "," ",HYPERLINK(CONCATENATE("#metadata!",ADDRESS(INDEX($P$2:$P$1001,MATCH(ROWS($N$2:N457),$N$2:$N$1001,0),0),1)),INDEX($S$2:$S$1001,MATCH(ROWS($N$2:N457),$N$2:$N$1001,0),0)))</f>
        <v>0</v>
      </c>
      <c r="B457" s="3">
        <f>IF(OR(INDEX($O$2:$O$1001,MATCH(ROWS($N$2:N457),$N$2:$N$1001,0),1)&gt;=100000,INDEX($U$1005:$AC$1005,1,MATCH(COLUMNS($U$1006:U1006),$U$1006:$AC$1006,0))&gt;=100000), " ",IF(INDEX($U$2:$AC$1001,MATCH(ROWS($N$2:N457),$N$2:$N$1001,0),MATCH(COLUMNS($U$1006:U1006),$U$1006:$AC$1006,0)), HYPERLINK("#",""), HYPERLINK(CONCATENATE("#metadata!", ADDRESS(INDEX($P$2:$P$1001,MATCH(ROWS($N$2:N457),$N$2:$N$1001,0),0), INDEX($U$1004:$AC$1004,1,MATCH(COLUMNS($U$1006:U1006),$U$1006:$AC$1006,0)))),"Fix")))</f>
        <v>0</v>
      </c>
      <c r="C457" s="3">
        <f>IF(OR(INDEX($O$2:$O$1001,MATCH(ROWS($N$2:N457),$N$2:$N$1001,0),1)&gt;=100000,INDEX($U$1005:$AC$1005,1,MATCH(COLUMNS($U$1006:V1006),$U$1006:$AC$1006,0))&gt;=100000), " ",IF(INDEX($U$2:$AC$1001,MATCH(ROWS($N$2:N457),$N$2:$N$1001,0),MATCH(COLUMNS($U$1006:V1006),$U$1006:$AC$1006,0)), HYPERLINK("#",""), HYPERLINK(CONCATENATE("#metadata!", ADDRESS(INDEX($P$2:$P$1001,MATCH(ROWS($N$2:N457),$N$2:$N$1001,0),0), INDEX($U$1004:$AC$1004,1,MATCH(COLUMNS($U$1006:V1006),$U$1006:$AC$1006,0)))),"Fix")))</f>
        <v>0</v>
      </c>
      <c r="D457" s="3">
        <f>IF(OR(INDEX($O$2:$O$1001,MATCH(ROWS($N$2:N457),$N$2:$N$1001,0),1)&gt;=100000,INDEX($U$1005:$AC$1005,1,MATCH(COLUMNS($U$1006:W1006),$U$1006:$AC$1006,0))&gt;=100000), " ",IF(INDEX($U$2:$AC$1001,MATCH(ROWS($N$2:N457),$N$2:$N$1001,0),MATCH(COLUMNS($U$1006:W1006),$U$1006:$AC$1006,0)), HYPERLINK("#",""), HYPERLINK(CONCATENATE("#metadata!", ADDRESS(INDEX($P$2:$P$1001,MATCH(ROWS($N$2:N457),$N$2:$N$1001,0),0), INDEX($U$1004:$AC$1004,1,MATCH(COLUMNS($U$1006:W1006),$U$1006:$AC$1006,0)))),"Fix")))</f>
        <v>0</v>
      </c>
      <c r="E457" s="3">
        <f>IF(OR(INDEX($O$2:$O$1001,MATCH(ROWS($N$2:N457),$N$2:$N$1001,0),1)&gt;=100000,INDEX($U$1005:$AC$1005,1,MATCH(COLUMNS($U$1006:X1006),$U$1006:$AC$1006,0))&gt;=100000), " ",IF(INDEX($U$2:$AC$1001,MATCH(ROWS($N$2:N457),$N$2:$N$1001,0),MATCH(COLUMNS($U$1006:X1006),$U$1006:$AC$1006,0)), HYPERLINK("#",""), HYPERLINK(CONCATENATE("#metadata!", ADDRESS(INDEX($P$2:$P$1001,MATCH(ROWS($N$2:N457),$N$2:$N$1001,0),0), INDEX($U$1004:$AC$1004,1,MATCH(COLUMNS($U$1006:X1006),$U$1006:$AC$1006,0)))),"Fix")))</f>
        <v>0</v>
      </c>
      <c r="F457" s="3">
        <f>IF(OR(INDEX($O$2:$O$1001,MATCH(ROWS($N$2:N457),$N$2:$N$1001,0),1)&gt;=100000,INDEX($U$1005:$AC$1005,1,MATCH(COLUMNS($U$1006:Y1006),$U$1006:$AC$1006,0))&gt;=100000), " ",IF(INDEX($U$2:$AC$1001,MATCH(ROWS($N$2:N457),$N$2:$N$1001,0),MATCH(COLUMNS($U$1006:Y1006),$U$1006:$AC$1006,0)), HYPERLINK("#",""), HYPERLINK(CONCATENATE("#metadata!", ADDRESS(INDEX($P$2:$P$1001,MATCH(ROWS($N$2:N457),$N$2:$N$1001,0),0), INDEX($U$1004:$AC$1004,1,MATCH(COLUMNS($U$1006:Y1006),$U$1006:$AC$1006,0)))),"Fix")))</f>
        <v>0</v>
      </c>
      <c r="G457" s="3">
        <f>IF(OR(INDEX($O$2:$O$1001,MATCH(ROWS($N$2:N457),$N$2:$N$1001,0),1)&gt;=100000,INDEX($U$1005:$AC$1005,1,MATCH(COLUMNS($U$1006:Z1006),$U$1006:$AC$1006,0))&gt;=100000), " ",IF(INDEX($U$2:$AC$1001,MATCH(ROWS($N$2:N457),$N$2:$N$1001,0),MATCH(COLUMNS($U$1006:Z1006),$U$1006:$AC$1006,0)), HYPERLINK("#",""), HYPERLINK(CONCATENATE("#metadata!", ADDRESS(INDEX($P$2:$P$1001,MATCH(ROWS($N$2:N457),$N$2:$N$1001,0),0), INDEX($U$1004:$AC$1004,1,MATCH(COLUMNS($U$1006:Z1006),$U$1006:$AC$1006,0)))),"Fix")))</f>
        <v>0</v>
      </c>
      <c r="H457" s="3">
        <f>IF(OR(INDEX($O$2:$O$1001,MATCH(ROWS($N$2:N457),$N$2:$N$1001,0),1)&gt;=100000,INDEX($U$1005:$AC$1005,1,MATCH(COLUMNS($U$1006:AA1006),$U$1006:$AC$1006,0))&gt;=100000), " ",IF(INDEX($U$2:$AC$1001,MATCH(ROWS($N$2:N457),$N$2:$N$1001,0),MATCH(COLUMNS($U$1006:AA1006),$U$1006:$AC$1006,0)), HYPERLINK("#",""), HYPERLINK(CONCATENATE("#metadata!", ADDRESS(INDEX($P$2:$P$1001,MATCH(ROWS($N$2:N457),$N$2:$N$1001,0),0), INDEX($U$1004:$AC$1004,1,MATCH(COLUMNS($U$1006:AA1006),$U$1006:$AC$1006,0)))),"Fix")))</f>
        <v>0</v>
      </c>
      <c r="I457" s="3">
        <f>IF(OR(INDEX($O$2:$O$1001,MATCH(ROWS($N$2:N457),$N$2:$N$1001,0),1)&gt;=100000,INDEX($U$1005:$AC$1005,1,MATCH(COLUMNS($U$1006:AB1006),$U$1006:$AC$1006,0))&gt;=100000), " ",IF(INDEX($U$2:$AC$1001,MATCH(ROWS($N$2:N457),$N$2:$N$1001,0),MATCH(COLUMNS($U$1006:AB1006),$U$1006:$AC$1006,0)), HYPERLINK("#",""), HYPERLINK(CONCATENATE("#metadata!", ADDRESS(INDEX($P$2:$P$1001,MATCH(ROWS($N$2:N457),$N$2:$N$1001,0),0), INDEX($U$1004:$AC$1004,1,MATCH(COLUMNS($U$1006:AB1006),$U$1006:$AC$1006,0)))),"Fix")))</f>
        <v>0</v>
      </c>
      <c r="J457" s="3">
        <f>IF(OR(INDEX($O$2:$O$1001,MATCH(ROWS($N$2:N457),$N$2:$N$1001,0),1)&gt;=100000,INDEX($U$1005:$AC$1005,1,MATCH(COLUMNS($U$1006:AC1006),$U$1006:$AC$1006,0))&gt;=100000), " ",IF(INDEX($U$2:$AC$1001,MATCH(ROWS($N$2:N457),$N$2:$N$1001,0),MATCH(COLUMNS($U$1006:AC1006),$U$1006:$AC$1006,0)), HYPERLINK("#",""), HYPERLINK(CONCATENATE("#metadata!", ADDRESS(INDEX($P$2:$P$1001,MATCH(ROWS($N$2:N457),$N$2:$N$1001,0),0), INDEX($U$1004:$AC$1004,1,MATCH(COLUMNS($U$1006:AC1006),$U$1006:$AC$1006,0)))),"Fix")))</f>
        <v>0</v>
      </c>
      <c r="N457">
        <v>0</v>
      </c>
      <c r="O457">
        <v>0</v>
      </c>
      <c r="P457">
        <v>0</v>
      </c>
      <c r="Q457">
        <f>IF(R457,TRUE,AND(U457:AC457))</f>
        <v>0</v>
      </c>
      <c r="R457">
        <f>COUNTBLANK(metadata!B457:J457)=COLUMNS(metadata!B457:J457)</f>
        <v>0</v>
      </c>
      <c r="S457">
        <v>0</v>
      </c>
      <c r="U457">
        <f>AND(IF(metadata!B457="",FALSE,TRUE),COUNTIF(metadata!B:B, metadata!B457) = 1,NOT(ISERROR(SUMPRODUCT(SEARCH(MID(metadata!B457,ROW(INDIRECT("1:"&amp;LEN(metadata!B457))), 1),"0123456789abcdefghijklmnopqrstuvwxyzABCDEFGHIJKLMNOPQRSTUVWXYZ.")))))</f>
        <v>0</v>
      </c>
      <c r="V457">
        <f>AND(IF(metadata!C457="",FALSE,TRUE),exact(metadata!C457,"UBERON:genitourinary"))</f>
        <v>0</v>
      </c>
      <c r="W457">
        <f>AND(IF(metadata!D457="",FALSE,TRUE),exact(metadata!D457,"UBERON:urine"))</f>
        <v>0</v>
      </c>
      <c r="X457">
        <f>AND(IF(metadata!E457="",FALSE,TRUE),exact(metadata!E457,"UBERON:kidney"))</f>
        <v>0</v>
      </c>
      <c r="Y457">
        <f>AND(IF(metadata!F457="",FALSE,TRUE),exact(metadata!F457,"animal corpus"))</f>
        <v>0</v>
      </c>
      <c r="Z457">
        <f>AND(IF(metadata!G457="",FALSE,TRUE),exact(metadata!G457,"urine"))</f>
        <v>0</v>
      </c>
      <c r="AA457">
        <f>AND(IF(metadata!H457="",FALSE,TRUE),exact(metadata!H457,"urine"))</f>
        <v>0</v>
      </c>
      <c r="AB457">
        <f>AND(IF(metadata!I457="",FALSE,TRUE),exact(metadata!I457,"urine metagenome"))</f>
        <v>0</v>
      </c>
      <c r="AC457">
        <f>AND(IF(metadata!J457="",FALSE,TRUE),exact(metadata!J457,"1346744"))</f>
        <v>0</v>
      </c>
    </row>
    <row r="458" spans="1:29">
      <c r="A458" s="4">
        <f>IF(B458=" "," ",HYPERLINK(CONCATENATE("#metadata!",ADDRESS(INDEX($P$2:$P$1001,MATCH(ROWS($N$2:N458),$N$2:$N$1001,0),0),1)),INDEX($S$2:$S$1001,MATCH(ROWS($N$2:N458),$N$2:$N$1001,0),0)))</f>
        <v>0</v>
      </c>
      <c r="B458" s="3">
        <f>IF(OR(INDEX($O$2:$O$1001,MATCH(ROWS($N$2:N458),$N$2:$N$1001,0),1)&gt;=100000,INDEX($U$1005:$AC$1005,1,MATCH(COLUMNS($U$1006:U1006),$U$1006:$AC$1006,0))&gt;=100000), " ",IF(INDEX($U$2:$AC$1001,MATCH(ROWS($N$2:N458),$N$2:$N$1001,0),MATCH(COLUMNS($U$1006:U1006),$U$1006:$AC$1006,0)), HYPERLINK("#",""), HYPERLINK(CONCATENATE("#metadata!", ADDRESS(INDEX($P$2:$P$1001,MATCH(ROWS($N$2:N458),$N$2:$N$1001,0),0), INDEX($U$1004:$AC$1004,1,MATCH(COLUMNS($U$1006:U1006),$U$1006:$AC$1006,0)))),"Fix")))</f>
        <v>0</v>
      </c>
      <c r="C458" s="3">
        <f>IF(OR(INDEX($O$2:$O$1001,MATCH(ROWS($N$2:N458),$N$2:$N$1001,0),1)&gt;=100000,INDEX($U$1005:$AC$1005,1,MATCH(COLUMNS($U$1006:V1006),$U$1006:$AC$1006,0))&gt;=100000), " ",IF(INDEX($U$2:$AC$1001,MATCH(ROWS($N$2:N458),$N$2:$N$1001,0),MATCH(COLUMNS($U$1006:V1006),$U$1006:$AC$1006,0)), HYPERLINK("#",""), HYPERLINK(CONCATENATE("#metadata!", ADDRESS(INDEX($P$2:$P$1001,MATCH(ROWS($N$2:N458),$N$2:$N$1001,0),0), INDEX($U$1004:$AC$1004,1,MATCH(COLUMNS($U$1006:V1006),$U$1006:$AC$1006,0)))),"Fix")))</f>
        <v>0</v>
      </c>
      <c r="D458" s="3">
        <f>IF(OR(INDEX($O$2:$O$1001,MATCH(ROWS($N$2:N458),$N$2:$N$1001,0),1)&gt;=100000,INDEX($U$1005:$AC$1005,1,MATCH(COLUMNS($U$1006:W1006),$U$1006:$AC$1006,0))&gt;=100000), " ",IF(INDEX($U$2:$AC$1001,MATCH(ROWS($N$2:N458),$N$2:$N$1001,0),MATCH(COLUMNS($U$1006:W1006),$U$1006:$AC$1006,0)), HYPERLINK("#",""), HYPERLINK(CONCATENATE("#metadata!", ADDRESS(INDEX($P$2:$P$1001,MATCH(ROWS($N$2:N458),$N$2:$N$1001,0),0), INDEX($U$1004:$AC$1004,1,MATCH(COLUMNS($U$1006:W1006),$U$1006:$AC$1006,0)))),"Fix")))</f>
        <v>0</v>
      </c>
      <c r="E458" s="3">
        <f>IF(OR(INDEX($O$2:$O$1001,MATCH(ROWS($N$2:N458),$N$2:$N$1001,0),1)&gt;=100000,INDEX($U$1005:$AC$1005,1,MATCH(COLUMNS($U$1006:X1006),$U$1006:$AC$1006,0))&gt;=100000), " ",IF(INDEX($U$2:$AC$1001,MATCH(ROWS($N$2:N458),$N$2:$N$1001,0),MATCH(COLUMNS($U$1006:X1006),$U$1006:$AC$1006,0)), HYPERLINK("#",""), HYPERLINK(CONCATENATE("#metadata!", ADDRESS(INDEX($P$2:$P$1001,MATCH(ROWS($N$2:N458),$N$2:$N$1001,0),0), INDEX($U$1004:$AC$1004,1,MATCH(COLUMNS($U$1006:X1006),$U$1006:$AC$1006,0)))),"Fix")))</f>
        <v>0</v>
      </c>
      <c r="F458" s="3">
        <f>IF(OR(INDEX($O$2:$O$1001,MATCH(ROWS($N$2:N458),$N$2:$N$1001,0),1)&gt;=100000,INDEX($U$1005:$AC$1005,1,MATCH(COLUMNS($U$1006:Y1006),$U$1006:$AC$1006,0))&gt;=100000), " ",IF(INDEX($U$2:$AC$1001,MATCH(ROWS($N$2:N458),$N$2:$N$1001,0),MATCH(COLUMNS($U$1006:Y1006),$U$1006:$AC$1006,0)), HYPERLINK("#",""), HYPERLINK(CONCATENATE("#metadata!", ADDRESS(INDEX($P$2:$P$1001,MATCH(ROWS($N$2:N458),$N$2:$N$1001,0),0), INDEX($U$1004:$AC$1004,1,MATCH(COLUMNS($U$1006:Y1006),$U$1006:$AC$1006,0)))),"Fix")))</f>
        <v>0</v>
      </c>
      <c r="G458" s="3">
        <f>IF(OR(INDEX($O$2:$O$1001,MATCH(ROWS($N$2:N458),$N$2:$N$1001,0),1)&gt;=100000,INDEX($U$1005:$AC$1005,1,MATCH(COLUMNS($U$1006:Z1006),$U$1006:$AC$1006,0))&gt;=100000), " ",IF(INDEX($U$2:$AC$1001,MATCH(ROWS($N$2:N458),$N$2:$N$1001,0),MATCH(COLUMNS($U$1006:Z1006),$U$1006:$AC$1006,0)), HYPERLINK("#",""), HYPERLINK(CONCATENATE("#metadata!", ADDRESS(INDEX($P$2:$P$1001,MATCH(ROWS($N$2:N458),$N$2:$N$1001,0),0), INDEX($U$1004:$AC$1004,1,MATCH(COLUMNS($U$1006:Z1006),$U$1006:$AC$1006,0)))),"Fix")))</f>
        <v>0</v>
      </c>
      <c r="H458" s="3">
        <f>IF(OR(INDEX($O$2:$O$1001,MATCH(ROWS($N$2:N458),$N$2:$N$1001,0),1)&gt;=100000,INDEX($U$1005:$AC$1005,1,MATCH(COLUMNS($U$1006:AA1006),$U$1006:$AC$1006,0))&gt;=100000), " ",IF(INDEX($U$2:$AC$1001,MATCH(ROWS($N$2:N458),$N$2:$N$1001,0),MATCH(COLUMNS($U$1006:AA1006),$U$1006:$AC$1006,0)), HYPERLINK("#",""), HYPERLINK(CONCATENATE("#metadata!", ADDRESS(INDEX($P$2:$P$1001,MATCH(ROWS($N$2:N458),$N$2:$N$1001,0),0), INDEX($U$1004:$AC$1004,1,MATCH(COLUMNS($U$1006:AA1006),$U$1006:$AC$1006,0)))),"Fix")))</f>
        <v>0</v>
      </c>
      <c r="I458" s="3">
        <f>IF(OR(INDEX($O$2:$O$1001,MATCH(ROWS($N$2:N458),$N$2:$N$1001,0),1)&gt;=100000,INDEX($U$1005:$AC$1005,1,MATCH(COLUMNS($U$1006:AB1006),$U$1006:$AC$1006,0))&gt;=100000), " ",IF(INDEX($U$2:$AC$1001,MATCH(ROWS($N$2:N458),$N$2:$N$1001,0),MATCH(COLUMNS($U$1006:AB1006),$U$1006:$AC$1006,0)), HYPERLINK("#",""), HYPERLINK(CONCATENATE("#metadata!", ADDRESS(INDEX($P$2:$P$1001,MATCH(ROWS($N$2:N458),$N$2:$N$1001,0),0), INDEX($U$1004:$AC$1004,1,MATCH(COLUMNS($U$1006:AB1006),$U$1006:$AC$1006,0)))),"Fix")))</f>
        <v>0</v>
      </c>
      <c r="J458" s="3">
        <f>IF(OR(INDEX($O$2:$O$1001,MATCH(ROWS($N$2:N458),$N$2:$N$1001,0),1)&gt;=100000,INDEX($U$1005:$AC$1005,1,MATCH(COLUMNS($U$1006:AC1006),$U$1006:$AC$1006,0))&gt;=100000), " ",IF(INDEX($U$2:$AC$1001,MATCH(ROWS($N$2:N458),$N$2:$N$1001,0),MATCH(COLUMNS($U$1006:AC1006),$U$1006:$AC$1006,0)), HYPERLINK("#",""), HYPERLINK(CONCATENATE("#metadata!", ADDRESS(INDEX($P$2:$P$1001,MATCH(ROWS($N$2:N458),$N$2:$N$1001,0),0), INDEX($U$1004:$AC$1004,1,MATCH(COLUMNS($U$1006:AC1006),$U$1006:$AC$1006,0)))),"Fix")))</f>
        <v>0</v>
      </c>
      <c r="N458">
        <v>0</v>
      </c>
      <c r="O458">
        <v>0</v>
      </c>
      <c r="P458">
        <v>0</v>
      </c>
      <c r="Q458">
        <f>IF(R458,TRUE,AND(U458:AC458))</f>
        <v>0</v>
      </c>
      <c r="R458">
        <f>COUNTBLANK(metadata!B458:J458)=COLUMNS(metadata!B458:J458)</f>
        <v>0</v>
      </c>
      <c r="S458">
        <v>0</v>
      </c>
      <c r="U458">
        <f>AND(IF(metadata!B458="",FALSE,TRUE),COUNTIF(metadata!B:B, metadata!B458) = 1,NOT(ISERROR(SUMPRODUCT(SEARCH(MID(metadata!B458,ROW(INDIRECT("1:"&amp;LEN(metadata!B458))), 1),"0123456789abcdefghijklmnopqrstuvwxyzABCDEFGHIJKLMNOPQRSTUVWXYZ.")))))</f>
        <v>0</v>
      </c>
      <c r="V458">
        <f>AND(IF(metadata!C458="",FALSE,TRUE),exact(metadata!C458,"UBERON:genitourinary"))</f>
        <v>0</v>
      </c>
      <c r="W458">
        <f>AND(IF(metadata!D458="",FALSE,TRUE),exact(metadata!D458,"UBERON:urine"))</f>
        <v>0</v>
      </c>
      <c r="X458">
        <f>AND(IF(metadata!E458="",FALSE,TRUE),exact(metadata!E458,"UBERON:kidney"))</f>
        <v>0</v>
      </c>
      <c r="Y458">
        <f>AND(IF(metadata!F458="",FALSE,TRUE),exact(metadata!F458,"animal corpus"))</f>
        <v>0</v>
      </c>
      <c r="Z458">
        <f>AND(IF(metadata!G458="",FALSE,TRUE),exact(metadata!G458,"urine"))</f>
        <v>0</v>
      </c>
      <c r="AA458">
        <f>AND(IF(metadata!H458="",FALSE,TRUE),exact(metadata!H458,"urine"))</f>
        <v>0</v>
      </c>
      <c r="AB458">
        <f>AND(IF(metadata!I458="",FALSE,TRUE),exact(metadata!I458,"urine metagenome"))</f>
        <v>0</v>
      </c>
      <c r="AC458">
        <f>AND(IF(metadata!J458="",FALSE,TRUE),exact(metadata!J458,"1346744"))</f>
        <v>0</v>
      </c>
    </row>
    <row r="459" spans="1:29">
      <c r="A459" s="4">
        <f>IF(B459=" "," ",HYPERLINK(CONCATENATE("#metadata!",ADDRESS(INDEX($P$2:$P$1001,MATCH(ROWS($N$2:N459),$N$2:$N$1001,0),0),1)),INDEX($S$2:$S$1001,MATCH(ROWS($N$2:N459),$N$2:$N$1001,0),0)))</f>
        <v>0</v>
      </c>
      <c r="B459" s="3">
        <f>IF(OR(INDEX($O$2:$O$1001,MATCH(ROWS($N$2:N459),$N$2:$N$1001,0),1)&gt;=100000,INDEX($U$1005:$AC$1005,1,MATCH(COLUMNS($U$1006:U1006),$U$1006:$AC$1006,0))&gt;=100000), " ",IF(INDEX($U$2:$AC$1001,MATCH(ROWS($N$2:N459),$N$2:$N$1001,0),MATCH(COLUMNS($U$1006:U1006),$U$1006:$AC$1006,0)), HYPERLINK("#",""), HYPERLINK(CONCATENATE("#metadata!", ADDRESS(INDEX($P$2:$P$1001,MATCH(ROWS($N$2:N459),$N$2:$N$1001,0),0), INDEX($U$1004:$AC$1004,1,MATCH(COLUMNS($U$1006:U1006),$U$1006:$AC$1006,0)))),"Fix")))</f>
        <v>0</v>
      </c>
      <c r="C459" s="3">
        <f>IF(OR(INDEX($O$2:$O$1001,MATCH(ROWS($N$2:N459),$N$2:$N$1001,0),1)&gt;=100000,INDEX($U$1005:$AC$1005,1,MATCH(COLUMNS($U$1006:V1006),$U$1006:$AC$1006,0))&gt;=100000), " ",IF(INDEX($U$2:$AC$1001,MATCH(ROWS($N$2:N459),$N$2:$N$1001,0),MATCH(COLUMNS($U$1006:V1006),$U$1006:$AC$1006,0)), HYPERLINK("#",""), HYPERLINK(CONCATENATE("#metadata!", ADDRESS(INDEX($P$2:$P$1001,MATCH(ROWS($N$2:N459),$N$2:$N$1001,0),0), INDEX($U$1004:$AC$1004,1,MATCH(COLUMNS($U$1006:V1006),$U$1006:$AC$1006,0)))),"Fix")))</f>
        <v>0</v>
      </c>
      <c r="D459" s="3">
        <f>IF(OR(INDEX($O$2:$O$1001,MATCH(ROWS($N$2:N459),$N$2:$N$1001,0),1)&gt;=100000,INDEX($U$1005:$AC$1005,1,MATCH(COLUMNS($U$1006:W1006),$U$1006:$AC$1006,0))&gt;=100000), " ",IF(INDEX($U$2:$AC$1001,MATCH(ROWS($N$2:N459),$N$2:$N$1001,0),MATCH(COLUMNS($U$1006:W1006),$U$1006:$AC$1006,0)), HYPERLINK("#",""), HYPERLINK(CONCATENATE("#metadata!", ADDRESS(INDEX($P$2:$P$1001,MATCH(ROWS($N$2:N459),$N$2:$N$1001,0),0), INDEX($U$1004:$AC$1004,1,MATCH(COLUMNS($U$1006:W1006),$U$1006:$AC$1006,0)))),"Fix")))</f>
        <v>0</v>
      </c>
      <c r="E459" s="3">
        <f>IF(OR(INDEX($O$2:$O$1001,MATCH(ROWS($N$2:N459),$N$2:$N$1001,0),1)&gt;=100000,INDEX($U$1005:$AC$1005,1,MATCH(COLUMNS($U$1006:X1006),$U$1006:$AC$1006,0))&gt;=100000), " ",IF(INDEX($U$2:$AC$1001,MATCH(ROWS($N$2:N459),$N$2:$N$1001,0),MATCH(COLUMNS($U$1006:X1006),$U$1006:$AC$1006,0)), HYPERLINK("#",""), HYPERLINK(CONCATENATE("#metadata!", ADDRESS(INDEX($P$2:$P$1001,MATCH(ROWS($N$2:N459),$N$2:$N$1001,0),0), INDEX($U$1004:$AC$1004,1,MATCH(COLUMNS($U$1006:X1006),$U$1006:$AC$1006,0)))),"Fix")))</f>
        <v>0</v>
      </c>
      <c r="F459" s="3">
        <f>IF(OR(INDEX($O$2:$O$1001,MATCH(ROWS($N$2:N459),$N$2:$N$1001,0),1)&gt;=100000,INDEX($U$1005:$AC$1005,1,MATCH(COLUMNS($U$1006:Y1006),$U$1006:$AC$1006,0))&gt;=100000), " ",IF(INDEX($U$2:$AC$1001,MATCH(ROWS($N$2:N459),$N$2:$N$1001,0),MATCH(COLUMNS($U$1006:Y1006),$U$1006:$AC$1006,0)), HYPERLINK("#",""), HYPERLINK(CONCATENATE("#metadata!", ADDRESS(INDEX($P$2:$P$1001,MATCH(ROWS($N$2:N459),$N$2:$N$1001,0),0), INDEX($U$1004:$AC$1004,1,MATCH(COLUMNS($U$1006:Y1006),$U$1006:$AC$1006,0)))),"Fix")))</f>
        <v>0</v>
      </c>
      <c r="G459" s="3">
        <f>IF(OR(INDEX($O$2:$O$1001,MATCH(ROWS($N$2:N459),$N$2:$N$1001,0),1)&gt;=100000,INDEX($U$1005:$AC$1005,1,MATCH(COLUMNS($U$1006:Z1006),$U$1006:$AC$1006,0))&gt;=100000), " ",IF(INDEX($U$2:$AC$1001,MATCH(ROWS($N$2:N459),$N$2:$N$1001,0),MATCH(COLUMNS($U$1006:Z1006),$U$1006:$AC$1006,0)), HYPERLINK("#",""), HYPERLINK(CONCATENATE("#metadata!", ADDRESS(INDEX($P$2:$P$1001,MATCH(ROWS($N$2:N459),$N$2:$N$1001,0),0), INDEX($U$1004:$AC$1004,1,MATCH(COLUMNS($U$1006:Z1006),$U$1006:$AC$1006,0)))),"Fix")))</f>
        <v>0</v>
      </c>
      <c r="H459" s="3">
        <f>IF(OR(INDEX($O$2:$O$1001,MATCH(ROWS($N$2:N459),$N$2:$N$1001,0),1)&gt;=100000,INDEX($U$1005:$AC$1005,1,MATCH(COLUMNS($U$1006:AA1006),$U$1006:$AC$1006,0))&gt;=100000), " ",IF(INDEX($U$2:$AC$1001,MATCH(ROWS($N$2:N459),$N$2:$N$1001,0),MATCH(COLUMNS($U$1006:AA1006),$U$1006:$AC$1006,0)), HYPERLINK("#",""), HYPERLINK(CONCATENATE("#metadata!", ADDRESS(INDEX($P$2:$P$1001,MATCH(ROWS($N$2:N459),$N$2:$N$1001,0),0), INDEX($U$1004:$AC$1004,1,MATCH(COLUMNS($U$1006:AA1006),$U$1006:$AC$1006,0)))),"Fix")))</f>
        <v>0</v>
      </c>
      <c r="I459" s="3">
        <f>IF(OR(INDEX($O$2:$O$1001,MATCH(ROWS($N$2:N459),$N$2:$N$1001,0),1)&gt;=100000,INDEX($U$1005:$AC$1005,1,MATCH(COLUMNS($U$1006:AB1006),$U$1006:$AC$1006,0))&gt;=100000), " ",IF(INDEX($U$2:$AC$1001,MATCH(ROWS($N$2:N459),$N$2:$N$1001,0),MATCH(COLUMNS($U$1006:AB1006),$U$1006:$AC$1006,0)), HYPERLINK("#",""), HYPERLINK(CONCATENATE("#metadata!", ADDRESS(INDEX($P$2:$P$1001,MATCH(ROWS($N$2:N459),$N$2:$N$1001,0),0), INDEX($U$1004:$AC$1004,1,MATCH(COLUMNS($U$1006:AB1006),$U$1006:$AC$1006,0)))),"Fix")))</f>
        <v>0</v>
      </c>
      <c r="J459" s="3">
        <f>IF(OR(INDEX($O$2:$O$1001,MATCH(ROWS($N$2:N459),$N$2:$N$1001,0),1)&gt;=100000,INDEX($U$1005:$AC$1005,1,MATCH(COLUMNS($U$1006:AC1006),$U$1006:$AC$1006,0))&gt;=100000), " ",IF(INDEX($U$2:$AC$1001,MATCH(ROWS($N$2:N459),$N$2:$N$1001,0),MATCH(COLUMNS($U$1006:AC1006),$U$1006:$AC$1006,0)), HYPERLINK("#",""), HYPERLINK(CONCATENATE("#metadata!", ADDRESS(INDEX($P$2:$P$1001,MATCH(ROWS($N$2:N459),$N$2:$N$1001,0),0), INDEX($U$1004:$AC$1004,1,MATCH(COLUMNS($U$1006:AC1006),$U$1006:$AC$1006,0)))),"Fix")))</f>
        <v>0</v>
      </c>
      <c r="N459">
        <v>0</v>
      </c>
      <c r="O459">
        <v>0</v>
      </c>
      <c r="P459">
        <v>0</v>
      </c>
      <c r="Q459">
        <f>IF(R459,TRUE,AND(U459:AC459))</f>
        <v>0</v>
      </c>
      <c r="R459">
        <f>COUNTBLANK(metadata!B459:J459)=COLUMNS(metadata!B459:J459)</f>
        <v>0</v>
      </c>
      <c r="S459">
        <v>0</v>
      </c>
      <c r="U459">
        <f>AND(IF(metadata!B459="",FALSE,TRUE),COUNTIF(metadata!B:B, metadata!B459) = 1,NOT(ISERROR(SUMPRODUCT(SEARCH(MID(metadata!B459,ROW(INDIRECT("1:"&amp;LEN(metadata!B459))), 1),"0123456789abcdefghijklmnopqrstuvwxyzABCDEFGHIJKLMNOPQRSTUVWXYZ.")))))</f>
        <v>0</v>
      </c>
      <c r="V459">
        <f>AND(IF(metadata!C459="",FALSE,TRUE),exact(metadata!C459,"UBERON:genitourinary"))</f>
        <v>0</v>
      </c>
      <c r="W459">
        <f>AND(IF(metadata!D459="",FALSE,TRUE),exact(metadata!D459,"UBERON:urine"))</f>
        <v>0</v>
      </c>
      <c r="X459">
        <f>AND(IF(metadata!E459="",FALSE,TRUE),exact(metadata!E459,"UBERON:kidney"))</f>
        <v>0</v>
      </c>
      <c r="Y459">
        <f>AND(IF(metadata!F459="",FALSE,TRUE),exact(metadata!F459,"animal corpus"))</f>
        <v>0</v>
      </c>
      <c r="Z459">
        <f>AND(IF(metadata!G459="",FALSE,TRUE),exact(metadata!G459,"urine"))</f>
        <v>0</v>
      </c>
      <c r="AA459">
        <f>AND(IF(metadata!H459="",FALSE,TRUE),exact(metadata!H459,"urine"))</f>
        <v>0</v>
      </c>
      <c r="AB459">
        <f>AND(IF(metadata!I459="",FALSE,TRUE),exact(metadata!I459,"urine metagenome"))</f>
        <v>0</v>
      </c>
      <c r="AC459">
        <f>AND(IF(metadata!J459="",FALSE,TRUE),exact(metadata!J459,"1346744"))</f>
        <v>0</v>
      </c>
    </row>
    <row r="460" spans="1:29">
      <c r="A460" s="4">
        <f>IF(B460=" "," ",HYPERLINK(CONCATENATE("#metadata!",ADDRESS(INDEX($P$2:$P$1001,MATCH(ROWS($N$2:N460),$N$2:$N$1001,0),0),1)),INDEX($S$2:$S$1001,MATCH(ROWS($N$2:N460),$N$2:$N$1001,0),0)))</f>
        <v>0</v>
      </c>
      <c r="B460" s="3">
        <f>IF(OR(INDEX($O$2:$O$1001,MATCH(ROWS($N$2:N460),$N$2:$N$1001,0),1)&gt;=100000,INDEX($U$1005:$AC$1005,1,MATCH(COLUMNS($U$1006:U1006),$U$1006:$AC$1006,0))&gt;=100000), " ",IF(INDEX($U$2:$AC$1001,MATCH(ROWS($N$2:N460),$N$2:$N$1001,0),MATCH(COLUMNS($U$1006:U1006),$U$1006:$AC$1006,0)), HYPERLINK("#",""), HYPERLINK(CONCATENATE("#metadata!", ADDRESS(INDEX($P$2:$P$1001,MATCH(ROWS($N$2:N460),$N$2:$N$1001,0),0), INDEX($U$1004:$AC$1004,1,MATCH(COLUMNS($U$1006:U1006),$U$1006:$AC$1006,0)))),"Fix")))</f>
        <v>0</v>
      </c>
      <c r="C460" s="3">
        <f>IF(OR(INDEX($O$2:$O$1001,MATCH(ROWS($N$2:N460),$N$2:$N$1001,0),1)&gt;=100000,INDEX($U$1005:$AC$1005,1,MATCH(COLUMNS($U$1006:V1006),$U$1006:$AC$1006,0))&gt;=100000), " ",IF(INDEX($U$2:$AC$1001,MATCH(ROWS($N$2:N460),$N$2:$N$1001,0),MATCH(COLUMNS($U$1006:V1006),$U$1006:$AC$1006,0)), HYPERLINK("#",""), HYPERLINK(CONCATENATE("#metadata!", ADDRESS(INDEX($P$2:$P$1001,MATCH(ROWS($N$2:N460),$N$2:$N$1001,0),0), INDEX($U$1004:$AC$1004,1,MATCH(COLUMNS($U$1006:V1006),$U$1006:$AC$1006,0)))),"Fix")))</f>
        <v>0</v>
      </c>
      <c r="D460" s="3">
        <f>IF(OR(INDEX($O$2:$O$1001,MATCH(ROWS($N$2:N460),$N$2:$N$1001,0),1)&gt;=100000,INDEX($U$1005:$AC$1005,1,MATCH(COLUMNS($U$1006:W1006),$U$1006:$AC$1006,0))&gt;=100000), " ",IF(INDEX($U$2:$AC$1001,MATCH(ROWS($N$2:N460),$N$2:$N$1001,0),MATCH(COLUMNS($U$1006:W1006),$U$1006:$AC$1006,0)), HYPERLINK("#",""), HYPERLINK(CONCATENATE("#metadata!", ADDRESS(INDEX($P$2:$P$1001,MATCH(ROWS($N$2:N460),$N$2:$N$1001,0),0), INDEX($U$1004:$AC$1004,1,MATCH(COLUMNS($U$1006:W1006),$U$1006:$AC$1006,0)))),"Fix")))</f>
        <v>0</v>
      </c>
      <c r="E460" s="3">
        <f>IF(OR(INDEX($O$2:$O$1001,MATCH(ROWS($N$2:N460),$N$2:$N$1001,0),1)&gt;=100000,INDEX($U$1005:$AC$1005,1,MATCH(COLUMNS($U$1006:X1006),$U$1006:$AC$1006,0))&gt;=100000), " ",IF(INDEX($U$2:$AC$1001,MATCH(ROWS($N$2:N460),$N$2:$N$1001,0),MATCH(COLUMNS($U$1006:X1006),$U$1006:$AC$1006,0)), HYPERLINK("#",""), HYPERLINK(CONCATENATE("#metadata!", ADDRESS(INDEX($P$2:$P$1001,MATCH(ROWS($N$2:N460),$N$2:$N$1001,0),0), INDEX($U$1004:$AC$1004,1,MATCH(COLUMNS($U$1006:X1006),$U$1006:$AC$1006,0)))),"Fix")))</f>
        <v>0</v>
      </c>
      <c r="F460" s="3">
        <f>IF(OR(INDEX($O$2:$O$1001,MATCH(ROWS($N$2:N460),$N$2:$N$1001,0),1)&gt;=100000,INDEX($U$1005:$AC$1005,1,MATCH(COLUMNS($U$1006:Y1006),$U$1006:$AC$1006,0))&gt;=100000), " ",IF(INDEX($U$2:$AC$1001,MATCH(ROWS($N$2:N460),$N$2:$N$1001,0),MATCH(COLUMNS($U$1006:Y1006),$U$1006:$AC$1006,0)), HYPERLINK("#",""), HYPERLINK(CONCATENATE("#metadata!", ADDRESS(INDEX($P$2:$P$1001,MATCH(ROWS($N$2:N460),$N$2:$N$1001,0),0), INDEX($U$1004:$AC$1004,1,MATCH(COLUMNS($U$1006:Y1006),$U$1006:$AC$1006,0)))),"Fix")))</f>
        <v>0</v>
      </c>
      <c r="G460" s="3">
        <f>IF(OR(INDEX($O$2:$O$1001,MATCH(ROWS($N$2:N460),$N$2:$N$1001,0),1)&gt;=100000,INDEX($U$1005:$AC$1005,1,MATCH(COLUMNS($U$1006:Z1006),$U$1006:$AC$1006,0))&gt;=100000), " ",IF(INDEX($U$2:$AC$1001,MATCH(ROWS($N$2:N460),$N$2:$N$1001,0),MATCH(COLUMNS($U$1006:Z1006),$U$1006:$AC$1006,0)), HYPERLINK("#",""), HYPERLINK(CONCATENATE("#metadata!", ADDRESS(INDEX($P$2:$P$1001,MATCH(ROWS($N$2:N460),$N$2:$N$1001,0),0), INDEX($U$1004:$AC$1004,1,MATCH(COLUMNS($U$1006:Z1006),$U$1006:$AC$1006,0)))),"Fix")))</f>
        <v>0</v>
      </c>
      <c r="H460" s="3">
        <f>IF(OR(INDEX($O$2:$O$1001,MATCH(ROWS($N$2:N460),$N$2:$N$1001,0),1)&gt;=100000,INDEX($U$1005:$AC$1005,1,MATCH(COLUMNS($U$1006:AA1006),$U$1006:$AC$1006,0))&gt;=100000), " ",IF(INDEX($U$2:$AC$1001,MATCH(ROWS($N$2:N460),$N$2:$N$1001,0),MATCH(COLUMNS($U$1006:AA1006),$U$1006:$AC$1006,0)), HYPERLINK("#",""), HYPERLINK(CONCATENATE("#metadata!", ADDRESS(INDEX($P$2:$P$1001,MATCH(ROWS($N$2:N460),$N$2:$N$1001,0),0), INDEX($U$1004:$AC$1004,1,MATCH(COLUMNS($U$1006:AA1006),$U$1006:$AC$1006,0)))),"Fix")))</f>
        <v>0</v>
      </c>
      <c r="I460" s="3">
        <f>IF(OR(INDEX($O$2:$O$1001,MATCH(ROWS($N$2:N460),$N$2:$N$1001,0),1)&gt;=100000,INDEX($U$1005:$AC$1005,1,MATCH(COLUMNS($U$1006:AB1006),$U$1006:$AC$1006,0))&gt;=100000), " ",IF(INDEX($U$2:$AC$1001,MATCH(ROWS($N$2:N460),$N$2:$N$1001,0),MATCH(COLUMNS($U$1006:AB1006),$U$1006:$AC$1006,0)), HYPERLINK("#",""), HYPERLINK(CONCATENATE("#metadata!", ADDRESS(INDEX($P$2:$P$1001,MATCH(ROWS($N$2:N460),$N$2:$N$1001,0),0), INDEX($U$1004:$AC$1004,1,MATCH(COLUMNS($U$1006:AB1006),$U$1006:$AC$1006,0)))),"Fix")))</f>
        <v>0</v>
      </c>
      <c r="J460" s="3">
        <f>IF(OR(INDEX($O$2:$O$1001,MATCH(ROWS($N$2:N460),$N$2:$N$1001,0),1)&gt;=100000,INDEX($U$1005:$AC$1005,1,MATCH(COLUMNS($U$1006:AC1006),$U$1006:$AC$1006,0))&gt;=100000), " ",IF(INDEX($U$2:$AC$1001,MATCH(ROWS($N$2:N460),$N$2:$N$1001,0),MATCH(COLUMNS($U$1006:AC1006),$U$1006:$AC$1006,0)), HYPERLINK("#",""), HYPERLINK(CONCATENATE("#metadata!", ADDRESS(INDEX($P$2:$P$1001,MATCH(ROWS($N$2:N460),$N$2:$N$1001,0),0), INDEX($U$1004:$AC$1004,1,MATCH(COLUMNS($U$1006:AC1006),$U$1006:$AC$1006,0)))),"Fix")))</f>
        <v>0</v>
      </c>
      <c r="N460">
        <v>0</v>
      </c>
      <c r="O460">
        <v>0</v>
      </c>
      <c r="P460">
        <v>0</v>
      </c>
      <c r="Q460">
        <f>IF(R460,TRUE,AND(U460:AC460))</f>
        <v>0</v>
      </c>
      <c r="R460">
        <f>COUNTBLANK(metadata!B460:J460)=COLUMNS(metadata!B460:J460)</f>
        <v>0</v>
      </c>
      <c r="S460">
        <v>0</v>
      </c>
      <c r="U460">
        <f>AND(IF(metadata!B460="",FALSE,TRUE),COUNTIF(metadata!B:B, metadata!B460) = 1,NOT(ISERROR(SUMPRODUCT(SEARCH(MID(metadata!B460,ROW(INDIRECT("1:"&amp;LEN(metadata!B460))), 1),"0123456789abcdefghijklmnopqrstuvwxyzABCDEFGHIJKLMNOPQRSTUVWXYZ.")))))</f>
        <v>0</v>
      </c>
      <c r="V460">
        <f>AND(IF(metadata!C460="",FALSE,TRUE),exact(metadata!C460,"UBERON:genitourinary"))</f>
        <v>0</v>
      </c>
      <c r="W460">
        <f>AND(IF(metadata!D460="",FALSE,TRUE),exact(metadata!D460,"UBERON:urine"))</f>
        <v>0</v>
      </c>
      <c r="X460">
        <f>AND(IF(metadata!E460="",FALSE,TRUE),exact(metadata!E460,"UBERON:kidney"))</f>
        <v>0</v>
      </c>
      <c r="Y460">
        <f>AND(IF(metadata!F460="",FALSE,TRUE),exact(metadata!F460,"animal corpus"))</f>
        <v>0</v>
      </c>
      <c r="Z460">
        <f>AND(IF(metadata!G460="",FALSE,TRUE),exact(metadata!G460,"urine"))</f>
        <v>0</v>
      </c>
      <c r="AA460">
        <f>AND(IF(metadata!H460="",FALSE,TRUE),exact(metadata!H460,"urine"))</f>
        <v>0</v>
      </c>
      <c r="AB460">
        <f>AND(IF(metadata!I460="",FALSE,TRUE),exact(metadata!I460,"urine metagenome"))</f>
        <v>0</v>
      </c>
      <c r="AC460">
        <f>AND(IF(metadata!J460="",FALSE,TRUE),exact(metadata!J460,"1346744"))</f>
        <v>0</v>
      </c>
    </row>
    <row r="461" spans="1:29">
      <c r="A461" s="4">
        <f>IF(B461=" "," ",HYPERLINK(CONCATENATE("#metadata!",ADDRESS(INDEX($P$2:$P$1001,MATCH(ROWS($N$2:N461),$N$2:$N$1001,0),0),1)),INDEX($S$2:$S$1001,MATCH(ROWS($N$2:N461),$N$2:$N$1001,0),0)))</f>
        <v>0</v>
      </c>
      <c r="B461" s="3">
        <f>IF(OR(INDEX($O$2:$O$1001,MATCH(ROWS($N$2:N461),$N$2:$N$1001,0),1)&gt;=100000,INDEX($U$1005:$AC$1005,1,MATCH(COLUMNS($U$1006:U1006),$U$1006:$AC$1006,0))&gt;=100000), " ",IF(INDEX($U$2:$AC$1001,MATCH(ROWS($N$2:N461),$N$2:$N$1001,0),MATCH(COLUMNS($U$1006:U1006),$U$1006:$AC$1006,0)), HYPERLINK("#",""), HYPERLINK(CONCATENATE("#metadata!", ADDRESS(INDEX($P$2:$P$1001,MATCH(ROWS($N$2:N461),$N$2:$N$1001,0),0), INDEX($U$1004:$AC$1004,1,MATCH(COLUMNS($U$1006:U1006),$U$1006:$AC$1006,0)))),"Fix")))</f>
        <v>0</v>
      </c>
      <c r="C461" s="3">
        <f>IF(OR(INDEX($O$2:$O$1001,MATCH(ROWS($N$2:N461),$N$2:$N$1001,0),1)&gt;=100000,INDEX($U$1005:$AC$1005,1,MATCH(COLUMNS($U$1006:V1006),$U$1006:$AC$1006,0))&gt;=100000), " ",IF(INDEX($U$2:$AC$1001,MATCH(ROWS($N$2:N461),$N$2:$N$1001,0),MATCH(COLUMNS($U$1006:V1006),$U$1006:$AC$1006,0)), HYPERLINK("#",""), HYPERLINK(CONCATENATE("#metadata!", ADDRESS(INDEX($P$2:$P$1001,MATCH(ROWS($N$2:N461),$N$2:$N$1001,0),0), INDEX($U$1004:$AC$1004,1,MATCH(COLUMNS($U$1006:V1006),$U$1006:$AC$1006,0)))),"Fix")))</f>
        <v>0</v>
      </c>
      <c r="D461" s="3">
        <f>IF(OR(INDEX($O$2:$O$1001,MATCH(ROWS($N$2:N461),$N$2:$N$1001,0),1)&gt;=100000,INDEX($U$1005:$AC$1005,1,MATCH(COLUMNS($U$1006:W1006),$U$1006:$AC$1006,0))&gt;=100000), " ",IF(INDEX($U$2:$AC$1001,MATCH(ROWS($N$2:N461),$N$2:$N$1001,0),MATCH(COLUMNS($U$1006:W1006),$U$1006:$AC$1006,0)), HYPERLINK("#",""), HYPERLINK(CONCATENATE("#metadata!", ADDRESS(INDEX($P$2:$P$1001,MATCH(ROWS($N$2:N461),$N$2:$N$1001,0),0), INDEX($U$1004:$AC$1004,1,MATCH(COLUMNS($U$1006:W1006),$U$1006:$AC$1006,0)))),"Fix")))</f>
        <v>0</v>
      </c>
      <c r="E461" s="3">
        <f>IF(OR(INDEX($O$2:$O$1001,MATCH(ROWS($N$2:N461),$N$2:$N$1001,0),1)&gt;=100000,INDEX($U$1005:$AC$1005,1,MATCH(COLUMNS($U$1006:X1006),$U$1006:$AC$1006,0))&gt;=100000), " ",IF(INDEX($U$2:$AC$1001,MATCH(ROWS($N$2:N461),$N$2:$N$1001,0),MATCH(COLUMNS($U$1006:X1006),$U$1006:$AC$1006,0)), HYPERLINK("#",""), HYPERLINK(CONCATENATE("#metadata!", ADDRESS(INDEX($P$2:$P$1001,MATCH(ROWS($N$2:N461),$N$2:$N$1001,0),0), INDEX($U$1004:$AC$1004,1,MATCH(COLUMNS($U$1006:X1006),$U$1006:$AC$1006,0)))),"Fix")))</f>
        <v>0</v>
      </c>
      <c r="F461" s="3">
        <f>IF(OR(INDEX($O$2:$O$1001,MATCH(ROWS($N$2:N461),$N$2:$N$1001,0),1)&gt;=100000,INDEX($U$1005:$AC$1005,1,MATCH(COLUMNS($U$1006:Y1006),$U$1006:$AC$1006,0))&gt;=100000), " ",IF(INDEX($U$2:$AC$1001,MATCH(ROWS($N$2:N461),$N$2:$N$1001,0),MATCH(COLUMNS($U$1006:Y1006),$U$1006:$AC$1006,0)), HYPERLINK("#",""), HYPERLINK(CONCATENATE("#metadata!", ADDRESS(INDEX($P$2:$P$1001,MATCH(ROWS($N$2:N461),$N$2:$N$1001,0),0), INDEX($U$1004:$AC$1004,1,MATCH(COLUMNS($U$1006:Y1006),$U$1006:$AC$1006,0)))),"Fix")))</f>
        <v>0</v>
      </c>
      <c r="G461" s="3">
        <f>IF(OR(INDEX($O$2:$O$1001,MATCH(ROWS($N$2:N461),$N$2:$N$1001,0),1)&gt;=100000,INDEX($U$1005:$AC$1005,1,MATCH(COLUMNS($U$1006:Z1006),$U$1006:$AC$1006,0))&gt;=100000), " ",IF(INDEX($U$2:$AC$1001,MATCH(ROWS($N$2:N461),$N$2:$N$1001,0),MATCH(COLUMNS($U$1006:Z1006),$U$1006:$AC$1006,0)), HYPERLINK("#",""), HYPERLINK(CONCATENATE("#metadata!", ADDRESS(INDEX($P$2:$P$1001,MATCH(ROWS($N$2:N461),$N$2:$N$1001,0),0), INDEX($U$1004:$AC$1004,1,MATCH(COLUMNS($U$1006:Z1006),$U$1006:$AC$1006,0)))),"Fix")))</f>
        <v>0</v>
      </c>
      <c r="H461" s="3">
        <f>IF(OR(INDEX($O$2:$O$1001,MATCH(ROWS($N$2:N461),$N$2:$N$1001,0),1)&gt;=100000,INDEX($U$1005:$AC$1005,1,MATCH(COLUMNS($U$1006:AA1006),$U$1006:$AC$1006,0))&gt;=100000), " ",IF(INDEX($U$2:$AC$1001,MATCH(ROWS($N$2:N461),$N$2:$N$1001,0),MATCH(COLUMNS($U$1006:AA1006),$U$1006:$AC$1006,0)), HYPERLINK("#",""), HYPERLINK(CONCATENATE("#metadata!", ADDRESS(INDEX($P$2:$P$1001,MATCH(ROWS($N$2:N461),$N$2:$N$1001,0),0), INDEX($U$1004:$AC$1004,1,MATCH(COLUMNS($U$1006:AA1006),$U$1006:$AC$1006,0)))),"Fix")))</f>
        <v>0</v>
      </c>
      <c r="I461" s="3">
        <f>IF(OR(INDEX($O$2:$O$1001,MATCH(ROWS($N$2:N461),$N$2:$N$1001,0),1)&gt;=100000,INDEX($U$1005:$AC$1005,1,MATCH(COLUMNS($U$1006:AB1006),$U$1006:$AC$1006,0))&gt;=100000), " ",IF(INDEX($U$2:$AC$1001,MATCH(ROWS($N$2:N461),$N$2:$N$1001,0),MATCH(COLUMNS($U$1006:AB1006),$U$1006:$AC$1006,0)), HYPERLINK("#",""), HYPERLINK(CONCATENATE("#metadata!", ADDRESS(INDEX($P$2:$P$1001,MATCH(ROWS($N$2:N461),$N$2:$N$1001,0),0), INDEX($U$1004:$AC$1004,1,MATCH(COLUMNS($U$1006:AB1006),$U$1006:$AC$1006,0)))),"Fix")))</f>
        <v>0</v>
      </c>
      <c r="J461" s="3">
        <f>IF(OR(INDEX($O$2:$O$1001,MATCH(ROWS($N$2:N461),$N$2:$N$1001,0),1)&gt;=100000,INDEX($U$1005:$AC$1005,1,MATCH(COLUMNS($U$1006:AC1006),$U$1006:$AC$1006,0))&gt;=100000), " ",IF(INDEX($U$2:$AC$1001,MATCH(ROWS($N$2:N461),$N$2:$N$1001,0),MATCH(COLUMNS($U$1006:AC1006),$U$1006:$AC$1006,0)), HYPERLINK("#",""), HYPERLINK(CONCATENATE("#metadata!", ADDRESS(INDEX($P$2:$P$1001,MATCH(ROWS($N$2:N461),$N$2:$N$1001,0),0), INDEX($U$1004:$AC$1004,1,MATCH(COLUMNS($U$1006:AC1006),$U$1006:$AC$1006,0)))),"Fix")))</f>
        <v>0</v>
      </c>
      <c r="N461">
        <v>0</v>
      </c>
      <c r="O461">
        <v>0</v>
      </c>
      <c r="P461">
        <v>0</v>
      </c>
      <c r="Q461">
        <f>IF(R461,TRUE,AND(U461:AC461))</f>
        <v>0</v>
      </c>
      <c r="R461">
        <f>COUNTBLANK(metadata!B461:J461)=COLUMNS(metadata!B461:J461)</f>
        <v>0</v>
      </c>
      <c r="S461">
        <v>0</v>
      </c>
      <c r="U461">
        <f>AND(IF(metadata!B461="",FALSE,TRUE),COUNTIF(metadata!B:B, metadata!B461) = 1,NOT(ISERROR(SUMPRODUCT(SEARCH(MID(metadata!B461,ROW(INDIRECT("1:"&amp;LEN(metadata!B461))), 1),"0123456789abcdefghijklmnopqrstuvwxyzABCDEFGHIJKLMNOPQRSTUVWXYZ.")))))</f>
        <v>0</v>
      </c>
      <c r="V461">
        <f>AND(IF(metadata!C461="",FALSE,TRUE),exact(metadata!C461,"UBERON:genitourinary"))</f>
        <v>0</v>
      </c>
      <c r="W461">
        <f>AND(IF(metadata!D461="",FALSE,TRUE),exact(metadata!D461,"UBERON:urine"))</f>
        <v>0</v>
      </c>
      <c r="X461">
        <f>AND(IF(metadata!E461="",FALSE,TRUE),exact(metadata!E461,"UBERON:kidney"))</f>
        <v>0</v>
      </c>
      <c r="Y461">
        <f>AND(IF(metadata!F461="",FALSE,TRUE),exact(metadata!F461,"animal corpus"))</f>
        <v>0</v>
      </c>
      <c r="Z461">
        <f>AND(IF(metadata!G461="",FALSE,TRUE),exact(metadata!G461,"urine"))</f>
        <v>0</v>
      </c>
      <c r="AA461">
        <f>AND(IF(metadata!H461="",FALSE,TRUE),exact(metadata!H461,"urine"))</f>
        <v>0</v>
      </c>
      <c r="AB461">
        <f>AND(IF(metadata!I461="",FALSE,TRUE),exact(metadata!I461,"urine metagenome"))</f>
        <v>0</v>
      </c>
      <c r="AC461">
        <f>AND(IF(metadata!J461="",FALSE,TRUE),exact(metadata!J461,"1346744"))</f>
        <v>0</v>
      </c>
    </row>
    <row r="462" spans="1:29">
      <c r="A462" s="4">
        <f>IF(B462=" "," ",HYPERLINK(CONCATENATE("#metadata!",ADDRESS(INDEX($P$2:$P$1001,MATCH(ROWS($N$2:N462),$N$2:$N$1001,0),0),1)),INDEX($S$2:$S$1001,MATCH(ROWS($N$2:N462),$N$2:$N$1001,0),0)))</f>
        <v>0</v>
      </c>
      <c r="B462" s="3">
        <f>IF(OR(INDEX($O$2:$O$1001,MATCH(ROWS($N$2:N462),$N$2:$N$1001,0),1)&gt;=100000,INDEX($U$1005:$AC$1005,1,MATCH(COLUMNS($U$1006:U1006),$U$1006:$AC$1006,0))&gt;=100000), " ",IF(INDEX($U$2:$AC$1001,MATCH(ROWS($N$2:N462),$N$2:$N$1001,0),MATCH(COLUMNS($U$1006:U1006),$U$1006:$AC$1006,0)), HYPERLINK("#",""), HYPERLINK(CONCATENATE("#metadata!", ADDRESS(INDEX($P$2:$P$1001,MATCH(ROWS($N$2:N462),$N$2:$N$1001,0),0), INDEX($U$1004:$AC$1004,1,MATCH(COLUMNS($U$1006:U1006),$U$1006:$AC$1006,0)))),"Fix")))</f>
        <v>0</v>
      </c>
      <c r="C462" s="3">
        <f>IF(OR(INDEX($O$2:$O$1001,MATCH(ROWS($N$2:N462),$N$2:$N$1001,0),1)&gt;=100000,INDEX($U$1005:$AC$1005,1,MATCH(COLUMNS($U$1006:V1006),$U$1006:$AC$1006,0))&gt;=100000), " ",IF(INDEX($U$2:$AC$1001,MATCH(ROWS($N$2:N462),$N$2:$N$1001,0),MATCH(COLUMNS($U$1006:V1006),$U$1006:$AC$1006,0)), HYPERLINK("#",""), HYPERLINK(CONCATENATE("#metadata!", ADDRESS(INDEX($P$2:$P$1001,MATCH(ROWS($N$2:N462),$N$2:$N$1001,0),0), INDEX($U$1004:$AC$1004,1,MATCH(COLUMNS($U$1006:V1006),$U$1006:$AC$1006,0)))),"Fix")))</f>
        <v>0</v>
      </c>
      <c r="D462" s="3">
        <f>IF(OR(INDEX($O$2:$O$1001,MATCH(ROWS($N$2:N462),$N$2:$N$1001,0),1)&gt;=100000,INDEX($U$1005:$AC$1005,1,MATCH(COLUMNS($U$1006:W1006),$U$1006:$AC$1006,0))&gt;=100000), " ",IF(INDEX($U$2:$AC$1001,MATCH(ROWS($N$2:N462),$N$2:$N$1001,0),MATCH(COLUMNS($U$1006:W1006),$U$1006:$AC$1006,0)), HYPERLINK("#",""), HYPERLINK(CONCATENATE("#metadata!", ADDRESS(INDEX($P$2:$P$1001,MATCH(ROWS($N$2:N462),$N$2:$N$1001,0),0), INDEX($U$1004:$AC$1004,1,MATCH(COLUMNS($U$1006:W1006),$U$1006:$AC$1006,0)))),"Fix")))</f>
        <v>0</v>
      </c>
      <c r="E462" s="3">
        <f>IF(OR(INDEX($O$2:$O$1001,MATCH(ROWS($N$2:N462),$N$2:$N$1001,0),1)&gt;=100000,INDEX($U$1005:$AC$1005,1,MATCH(COLUMNS($U$1006:X1006),$U$1006:$AC$1006,0))&gt;=100000), " ",IF(INDEX($U$2:$AC$1001,MATCH(ROWS($N$2:N462),$N$2:$N$1001,0),MATCH(COLUMNS($U$1006:X1006),$U$1006:$AC$1006,0)), HYPERLINK("#",""), HYPERLINK(CONCATENATE("#metadata!", ADDRESS(INDEX($P$2:$P$1001,MATCH(ROWS($N$2:N462),$N$2:$N$1001,0),0), INDEX($U$1004:$AC$1004,1,MATCH(COLUMNS($U$1006:X1006),$U$1006:$AC$1006,0)))),"Fix")))</f>
        <v>0</v>
      </c>
      <c r="F462" s="3">
        <f>IF(OR(INDEX($O$2:$O$1001,MATCH(ROWS($N$2:N462),$N$2:$N$1001,0),1)&gt;=100000,INDEX($U$1005:$AC$1005,1,MATCH(COLUMNS($U$1006:Y1006),$U$1006:$AC$1006,0))&gt;=100000), " ",IF(INDEX($U$2:$AC$1001,MATCH(ROWS($N$2:N462),$N$2:$N$1001,0),MATCH(COLUMNS($U$1006:Y1006),$U$1006:$AC$1006,0)), HYPERLINK("#",""), HYPERLINK(CONCATENATE("#metadata!", ADDRESS(INDEX($P$2:$P$1001,MATCH(ROWS($N$2:N462),$N$2:$N$1001,0),0), INDEX($U$1004:$AC$1004,1,MATCH(COLUMNS($U$1006:Y1006),$U$1006:$AC$1006,0)))),"Fix")))</f>
        <v>0</v>
      </c>
      <c r="G462" s="3">
        <f>IF(OR(INDEX($O$2:$O$1001,MATCH(ROWS($N$2:N462),$N$2:$N$1001,0),1)&gt;=100000,INDEX($U$1005:$AC$1005,1,MATCH(COLUMNS($U$1006:Z1006),$U$1006:$AC$1006,0))&gt;=100000), " ",IF(INDEX($U$2:$AC$1001,MATCH(ROWS($N$2:N462),$N$2:$N$1001,0),MATCH(COLUMNS($U$1006:Z1006),$U$1006:$AC$1006,0)), HYPERLINK("#",""), HYPERLINK(CONCATENATE("#metadata!", ADDRESS(INDEX($P$2:$P$1001,MATCH(ROWS($N$2:N462),$N$2:$N$1001,0),0), INDEX($U$1004:$AC$1004,1,MATCH(COLUMNS($U$1006:Z1006),$U$1006:$AC$1006,0)))),"Fix")))</f>
        <v>0</v>
      </c>
      <c r="H462" s="3">
        <f>IF(OR(INDEX($O$2:$O$1001,MATCH(ROWS($N$2:N462),$N$2:$N$1001,0),1)&gt;=100000,INDEX($U$1005:$AC$1005,1,MATCH(COLUMNS($U$1006:AA1006),$U$1006:$AC$1006,0))&gt;=100000), " ",IF(INDEX($U$2:$AC$1001,MATCH(ROWS($N$2:N462),$N$2:$N$1001,0),MATCH(COLUMNS($U$1006:AA1006),$U$1006:$AC$1006,0)), HYPERLINK("#",""), HYPERLINK(CONCATENATE("#metadata!", ADDRESS(INDEX($P$2:$P$1001,MATCH(ROWS($N$2:N462),$N$2:$N$1001,0),0), INDEX($U$1004:$AC$1004,1,MATCH(COLUMNS($U$1006:AA1006),$U$1006:$AC$1006,0)))),"Fix")))</f>
        <v>0</v>
      </c>
      <c r="I462" s="3">
        <f>IF(OR(INDEX($O$2:$O$1001,MATCH(ROWS($N$2:N462),$N$2:$N$1001,0),1)&gt;=100000,INDEX($U$1005:$AC$1005,1,MATCH(COLUMNS($U$1006:AB1006),$U$1006:$AC$1006,0))&gt;=100000), " ",IF(INDEX($U$2:$AC$1001,MATCH(ROWS($N$2:N462),$N$2:$N$1001,0),MATCH(COLUMNS($U$1006:AB1006),$U$1006:$AC$1006,0)), HYPERLINK("#",""), HYPERLINK(CONCATENATE("#metadata!", ADDRESS(INDEX($P$2:$P$1001,MATCH(ROWS($N$2:N462),$N$2:$N$1001,0),0), INDEX($U$1004:$AC$1004,1,MATCH(COLUMNS($U$1006:AB1006),$U$1006:$AC$1006,0)))),"Fix")))</f>
        <v>0</v>
      </c>
      <c r="J462" s="3">
        <f>IF(OR(INDEX($O$2:$O$1001,MATCH(ROWS($N$2:N462),$N$2:$N$1001,0),1)&gt;=100000,INDEX($U$1005:$AC$1005,1,MATCH(COLUMNS($U$1006:AC1006),$U$1006:$AC$1006,0))&gt;=100000), " ",IF(INDEX($U$2:$AC$1001,MATCH(ROWS($N$2:N462),$N$2:$N$1001,0),MATCH(COLUMNS($U$1006:AC1006),$U$1006:$AC$1006,0)), HYPERLINK("#",""), HYPERLINK(CONCATENATE("#metadata!", ADDRESS(INDEX($P$2:$P$1001,MATCH(ROWS($N$2:N462),$N$2:$N$1001,0),0), INDEX($U$1004:$AC$1004,1,MATCH(COLUMNS($U$1006:AC1006),$U$1006:$AC$1006,0)))),"Fix")))</f>
        <v>0</v>
      </c>
      <c r="N462">
        <v>0</v>
      </c>
      <c r="O462">
        <v>0</v>
      </c>
      <c r="P462">
        <v>0</v>
      </c>
      <c r="Q462">
        <f>IF(R462,TRUE,AND(U462:AC462))</f>
        <v>0</v>
      </c>
      <c r="R462">
        <f>COUNTBLANK(metadata!B462:J462)=COLUMNS(metadata!B462:J462)</f>
        <v>0</v>
      </c>
      <c r="S462">
        <v>0</v>
      </c>
      <c r="U462">
        <f>AND(IF(metadata!B462="",FALSE,TRUE),COUNTIF(metadata!B:B, metadata!B462) = 1,NOT(ISERROR(SUMPRODUCT(SEARCH(MID(metadata!B462,ROW(INDIRECT("1:"&amp;LEN(metadata!B462))), 1),"0123456789abcdefghijklmnopqrstuvwxyzABCDEFGHIJKLMNOPQRSTUVWXYZ.")))))</f>
        <v>0</v>
      </c>
      <c r="V462">
        <f>AND(IF(metadata!C462="",FALSE,TRUE),exact(metadata!C462,"UBERON:genitourinary"))</f>
        <v>0</v>
      </c>
      <c r="W462">
        <f>AND(IF(metadata!D462="",FALSE,TRUE),exact(metadata!D462,"UBERON:urine"))</f>
        <v>0</v>
      </c>
      <c r="X462">
        <f>AND(IF(metadata!E462="",FALSE,TRUE),exact(metadata!E462,"UBERON:kidney"))</f>
        <v>0</v>
      </c>
      <c r="Y462">
        <f>AND(IF(metadata!F462="",FALSE,TRUE),exact(metadata!F462,"animal corpus"))</f>
        <v>0</v>
      </c>
      <c r="Z462">
        <f>AND(IF(metadata!G462="",FALSE,TRUE),exact(metadata!G462,"urine"))</f>
        <v>0</v>
      </c>
      <c r="AA462">
        <f>AND(IF(metadata!H462="",FALSE,TRUE),exact(metadata!H462,"urine"))</f>
        <v>0</v>
      </c>
      <c r="AB462">
        <f>AND(IF(metadata!I462="",FALSE,TRUE),exact(metadata!I462,"urine metagenome"))</f>
        <v>0</v>
      </c>
      <c r="AC462">
        <f>AND(IF(metadata!J462="",FALSE,TRUE),exact(metadata!J462,"1346744"))</f>
        <v>0</v>
      </c>
    </row>
    <row r="463" spans="1:29">
      <c r="A463" s="4">
        <f>IF(B463=" "," ",HYPERLINK(CONCATENATE("#metadata!",ADDRESS(INDEX($P$2:$P$1001,MATCH(ROWS($N$2:N463),$N$2:$N$1001,0),0),1)),INDEX($S$2:$S$1001,MATCH(ROWS($N$2:N463),$N$2:$N$1001,0),0)))</f>
        <v>0</v>
      </c>
      <c r="B463" s="3">
        <f>IF(OR(INDEX($O$2:$O$1001,MATCH(ROWS($N$2:N463),$N$2:$N$1001,0),1)&gt;=100000,INDEX($U$1005:$AC$1005,1,MATCH(COLUMNS($U$1006:U1006),$U$1006:$AC$1006,0))&gt;=100000), " ",IF(INDEX($U$2:$AC$1001,MATCH(ROWS($N$2:N463),$N$2:$N$1001,0),MATCH(COLUMNS($U$1006:U1006),$U$1006:$AC$1006,0)), HYPERLINK("#",""), HYPERLINK(CONCATENATE("#metadata!", ADDRESS(INDEX($P$2:$P$1001,MATCH(ROWS($N$2:N463),$N$2:$N$1001,0),0), INDEX($U$1004:$AC$1004,1,MATCH(COLUMNS($U$1006:U1006),$U$1006:$AC$1006,0)))),"Fix")))</f>
        <v>0</v>
      </c>
      <c r="C463" s="3">
        <f>IF(OR(INDEX($O$2:$O$1001,MATCH(ROWS($N$2:N463),$N$2:$N$1001,0),1)&gt;=100000,INDEX($U$1005:$AC$1005,1,MATCH(COLUMNS($U$1006:V1006),$U$1006:$AC$1006,0))&gt;=100000), " ",IF(INDEX($U$2:$AC$1001,MATCH(ROWS($N$2:N463),$N$2:$N$1001,0),MATCH(COLUMNS($U$1006:V1006),$U$1006:$AC$1006,0)), HYPERLINK("#",""), HYPERLINK(CONCATENATE("#metadata!", ADDRESS(INDEX($P$2:$P$1001,MATCH(ROWS($N$2:N463),$N$2:$N$1001,0),0), INDEX($U$1004:$AC$1004,1,MATCH(COLUMNS($U$1006:V1006),$U$1006:$AC$1006,0)))),"Fix")))</f>
        <v>0</v>
      </c>
      <c r="D463" s="3">
        <f>IF(OR(INDEX($O$2:$O$1001,MATCH(ROWS($N$2:N463),$N$2:$N$1001,0),1)&gt;=100000,INDEX($U$1005:$AC$1005,1,MATCH(COLUMNS($U$1006:W1006),$U$1006:$AC$1006,0))&gt;=100000), " ",IF(INDEX($U$2:$AC$1001,MATCH(ROWS($N$2:N463),$N$2:$N$1001,0),MATCH(COLUMNS($U$1006:W1006),$U$1006:$AC$1006,0)), HYPERLINK("#",""), HYPERLINK(CONCATENATE("#metadata!", ADDRESS(INDEX($P$2:$P$1001,MATCH(ROWS($N$2:N463),$N$2:$N$1001,0),0), INDEX($U$1004:$AC$1004,1,MATCH(COLUMNS($U$1006:W1006),$U$1006:$AC$1006,0)))),"Fix")))</f>
        <v>0</v>
      </c>
      <c r="E463" s="3">
        <f>IF(OR(INDEX($O$2:$O$1001,MATCH(ROWS($N$2:N463),$N$2:$N$1001,0),1)&gt;=100000,INDEX($U$1005:$AC$1005,1,MATCH(COLUMNS($U$1006:X1006),$U$1006:$AC$1006,0))&gt;=100000), " ",IF(INDEX($U$2:$AC$1001,MATCH(ROWS($N$2:N463),$N$2:$N$1001,0),MATCH(COLUMNS($U$1006:X1006),$U$1006:$AC$1006,0)), HYPERLINK("#",""), HYPERLINK(CONCATENATE("#metadata!", ADDRESS(INDEX($P$2:$P$1001,MATCH(ROWS($N$2:N463),$N$2:$N$1001,0),0), INDEX($U$1004:$AC$1004,1,MATCH(COLUMNS($U$1006:X1006),$U$1006:$AC$1006,0)))),"Fix")))</f>
        <v>0</v>
      </c>
      <c r="F463" s="3">
        <f>IF(OR(INDEX($O$2:$O$1001,MATCH(ROWS($N$2:N463),$N$2:$N$1001,0),1)&gt;=100000,INDEX($U$1005:$AC$1005,1,MATCH(COLUMNS($U$1006:Y1006),$U$1006:$AC$1006,0))&gt;=100000), " ",IF(INDEX($U$2:$AC$1001,MATCH(ROWS($N$2:N463),$N$2:$N$1001,0),MATCH(COLUMNS($U$1006:Y1006),$U$1006:$AC$1006,0)), HYPERLINK("#",""), HYPERLINK(CONCATENATE("#metadata!", ADDRESS(INDEX($P$2:$P$1001,MATCH(ROWS($N$2:N463),$N$2:$N$1001,0),0), INDEX($U$1004:$AC$1004,1,MATCH(COLUMNS($U$1006:Y1006),$U$1006:$AC$1006,0)))),"Fix")))</f>
        <v>0</v>
      </c>
      <c r="G463" s="3">
        <f>IF(OR(INDEX($O$2:$O$1001,MATCH(ROWS($N$2:N463),$N$2:$N$1001,0),1)&gt;=100000,INDEX($U$1005:$AC$1005,1,MATCH(COLUMNS($U$1006:Z1006),$U$1006:$AC$1006,0))&gt;=100000), " ",IF(INDEX($U$2:$AC$1001,MATCH(ROWS($N$2:N463),$N$2:$N$1001,0),MATCH(COLUMNS($U$1006:Z1006),$U$1006:$AC$1006,0)), HYPERLINK("#",""), HYPERLINK(CONCATENATE("#metadata!", ADDRESS(INDEX($P$2:$P$1001,MATCH(ROWS($N$2:N463),$N$2:$N$1001,0),0), INDEX($U$1004:$AC$1004,1,MATCH(COLUMNS($U$1006:Z1006),$U$1006:$AC$1006,0)))),"Fix")))</f>
        <v>0</v>
      </c>
      <c r="H463" s="3">
        <f>IF(OR(INDEX($O$2:$O$1001,MATCH(ROWS($N$2:N463),$N$2:$N$1001,0),1)&gt;=100000,INDEX($U$1005:$AC$1005,1,MATCH(COLUMNS($U$1006:AA1006),$U$1006:$AC$1006,0))&gt;=100000), " ",IF(INDEX($U$2:$AC$1001,MATCH(ROWS($N$2:N463),$N$2:$N$1001,0),MATCH(COLUMNS($U$1006:AA1006),$U$1006:$AC$1006,0)), HYPERLINK("#",""), HYPERLINK(CONCATENATE("#metadata!", ADDRESS(INDEX($P$2:$P$1001,MATCH(ROWS($N$2:N463),$N$2:$N$1001,0),0), INDEX($U$1004:$AC$1004,1,MATCH(COLUMNS($U$1006:AA1006),$U$1006:$AC$1006,0)))),"Fix")))</f>
        <v>0</v>
      </c>
      <c r="I463" s="3">
        <f>IF(OR(INDEX($O$2:$O$1001,MATCH(ROWS($N$2:N463),$N$2:$N$1001,0),1)&gt;=100000,INDEX($U$1005:$AC$1005,1,MATCH(COLUMNS($U$1006:AB1006),$U$1006:$AC$1006,0))&gt;=100000), " ",IF(INDEX($U$2:$AC$1001,MATCH(ROWS($N$2:N463),$N$2:$N$1001,0),MATCH(COLUMNS($U$1006:AB1006),$U$1006:$AC$1006,0)), HYPERLINK("#",""), HYPERLINK(CONCATENATE("#metadata!", ADDRESS(INDEX($P$2:$P$1001,MATCH(ROWS($N$2:N463),$N$2:$N$1001,0),0), INDEX($U$1004:$AC$1004,1,MATCH(COLUMNS($U$1006:AB1006),$U$1006:$AC$1006,0)))),"Fix")))</f>
        <v>0</v>
      </c>
      <c r="J463" s="3">
        <f>IF(OR(INDEX($O$2:$O$1001,MATCH(ROWS($N$2:N463),$N$2:$N$1001,0),1)&gt;=100000,INDEX($U$1005:$AC$1005,1,MATCH(COLUMNS($U$1006:AC1006),$U$1006:$AC$1006,0))&gt;=100000), " ",IF(INDEX($U$2:$AC$1001,MATCH(ROWS($N$2:N463),$N$2:$N$1001,0),MATCH(COLUMNS($U$1006:AC1006),$U$1006:$AC$1006,0)), HYPERLINK("#",""), HYPERLINK(CONCATENATE("#metadata!", ADDRESS(INDEX($P$2:$P$1001,MATCH(ROWS($N$2:N463),$N$2:$N$1001,0),0), INDEX($U$1004:$AC$1004,1,MATCH(COLUMNS($U$1006:AC1006),$U$1006:$AC$1006,0)))),"Fix")))</f>
        <v>0</v>
      </c>
      <c r="N463">
        <v>0</v>
      </c>
      <c r="O463">
        <v>0</v>
      </c>
      <c r="P463">
        <v>0</v>
      </c>
      <c r="Q463">
        <f>IF(R463,TRUE,AND(U463:AC463))</f>
        <v>0</v>
      </c>
      <c r="R463">
        <f>COUNTBLANK(metadata!B463:J463)=COLUMNS(metadata!B463:J463)</f>
        <v>0</v>
      </c>
      <c r="S463">
        <v>0</v>
      </c>
      <c r="U463">
        <f>AND(IF(metadata!B463="",FALSE,TRUE),COUNTIF(metadata!B:B, metadata!B463) = 1,NOT(ISERROR(SUMPRODUCT(SEARCH(MID(metadata!B463,ROW(INDIRECT("1:"&amp;LEN(metadata!B463))), 1),"0123456789abcdefghijklmnopqrstuvwxyzABCDEFGHIJKLMNOPQRSTUVWXYZ.")))))</f>
        <v>0</v>
      </c>
      <c r="V463">
        <f>AND(IF(metadata!C463="",FALSE,TRUE),exact(metadata!C463,"UBERON:genitourinary"))</f>
        <v>0</v>
      </c>
      <c r="W463">
        <f>AND(IF(metadata!D463="",FALSE,TRUE),exact(metadata!D463,"UBERON:urine"))</f>
        <v>0</v>
      </c>
      <c r="X463">
        <f>AND(IF(metadata!E463="",FALSE,TRUE),exact(metadata!E463,"UBERON:kidney"))</f>
        <v>0</v>
      </c>
      <c r="Y463">
        <f>AND(IF(metadata!F463="",FALSE,TRUE),exact(metadata!F463,"animal corpus"))</f>
        <v>0</v>
      </c>
      <c r="Z463">
        <f>AND(IF(metadata!G463="",FALSE,TRUE),exact(metadata!G463,"urine"))</f>
        <v>0</v>
      </c>
      <c r="AA463">
        <f>AND(IF(metadata!H463="",FALSE,TRUE),exact(metadata!H463,"urine"))</f>
        <v>0</v>
      </c>
      <c r="AB463">
        <f>AND(IF(metadata!I463="",FALSE,TRUE),exact(metadata!I463,"urine metagenome"))</f>
        <v>0</v>
      </c>
      <c r="AC463">
        <f>AND(IF(metadata!J463="",FALSE,TRUE),exact(metadata!J463,"1346744"))</f>
        <v>0</v>
      </c>
    </row>
    <row r="464" spans="1:29">
      <c r="A464" s="4">
        <f>IF(B464=" "," ",HYPERLINK(CONCATENATE("#metadata!",ADDRESS(INDEX($P$2:$P$1001,MATCH(ROWS($N$2:N464),$N$2:$N$1001,0),0),1)),INDEX($S$2:$S$1001,MATCH(ROWS($N$2:N464),$N$2:$N$1001,0),0)))</f>
        <v>0</v>
      </c>
      <c r="B464" s="3">
        <f>IF(OR(INDEX($O$2:$O$1001,MATCH(ROWS($N$2:N464),$N$2:$N$1001,0),1)&gt;=100000,INDEX($U$1005:$AC$1005,1,MATCH(COLUMNS($U$1006:U1006),$U$1006:$AC$1006,0))&gt;=100000), " ",IF(INDEX($U$2:$AC$1001,MATCH(ROWS($N$2:N464),$N$2:$N$1001,0),MATCH(COLUMNS($U$1006:U1006),$U$1006:$AC$1006,0)), HYPERLINK("#",""), HYPERLINK(CONCATENATE("#metadata!", ADDRESS(INDEX($P$2:$P$1001,MATCH(ROWS($N$2:N464),$N$2:$N$1001,0),0), INDEX($U$1004:$AC$1004,1,MATCH(COLUMNS($U$1006:U1006),$U$1006:$AC$1006,0)))),"Fix")))</f>
        <v>0</v>
      </c>
      <c r="C464" s="3">
        <f>IF(OR(INDEX($O$2:$O$1001,MATCH(ROWS($N$2:N464),$N$2:$N$1001,0),1)&gt;=100000,INDEX($U$1005:$AC$1005,1,MATCH(COLUMNS($U$1006:V1006),$U$1006:$AC$1006,0))&gt;=100000), " ",IF(INDEX($U$2:$AC$1001,MATCH(ROWS($N$2:N464),$N$2:$N$1001,0),MATCH(COLUMNS($U$1006:V1006),$U$1006:$AC$1006,0)), HYPERLINK("#",""), HYPERLINK(CONCATENATE("#metadata!", ADDRESS(INDEX($P$2:$P$1001,MATCH(ROWS($N$2:N464),$N$2:$N$1001,0),0), INDEX($U$1004:$AC$1004,1,MATCH(COLUMNS($U$1006:V1006),$U$1006:$AC$1006,0)))),"Fix")))</f>
        <v>0</v>
      </c>
      <c r="D464" s="3">
        <f>IF(OR(INDEX($O$2:$O$1001,MATCH(ROWS($N$2:N464),$N$2:$N$1001,0),1)&gt;=100000,INDEX($U$1005:$AC$1005,1,MATCH(COLUMNS($U$1006:W1006),$U$1006:$AC$1006,0))&gt;=100000), " ",IF(INDEX($U$2:$AC$1001,MATCH(ROWS($N$2:N464),$N$2:$N$1001,0),MATCH(COLUMNS($U$1006:W1006),$U$1006:$AC$1006,0)), HYPERLINK("#",""), HYPERLINK(CONCATENATE("#metadata!", ADDRESS(INDEX($P$2:$P$1001,MATCH(ROWS($N$2:N464),$N$2:$N$1001,0),0), INDEX($U$1004:$AC$1004,1,MATCH(COLUMNS($U$1006:W1006),$U$1006:$AC$1006,0)))),"Fix")))</f>
        <v>0</v>
      </c>
      <c r="E464" s="3">
        <f>IF(OR(INDEX($O$2:$O$1001,MATCH(ROWS($N$2:N464),$N$2:$N$1001,0),1)&gt;=100000,INDEX($U$1005:$AC$1005,1,MATCH(COLUMNS($U$1006:X1006),$U$1006:$AC$1006,0))&gt;=100000), " ",IF(INDEX($U$2:$AC$1001,MATCH(ROWS($N$2:N464),$N$2:$N$1001,0),MATCH(COLUMNS($U$1006:X1006),$U$1006:$AC$1006,0)), HYPERLINK("#",""), HYPERLINK(CONCATENATE("#metadata!", ADDRESS(INDEX($P$2:$P$1001,MATCH(ROWS($N$2:N464),$N$2:$N$1001,0),0), INDEX($U$1004:$AC$1004,1,MATCH(COLUMNS($U$1006:X1006),$U$1006:$AC$1006,0)))),"Fix")))</f>
        <v>0</v>
      </c>
      <c r="F464" s="3">
        <f>IF(OR(INDEX($O$2:$O$1001,MATCH(ROWS($N$2:N464),$N$2:$N$1001,0),1)&gt;=100000,INDEX($U$1005:$AC$1005,1,MATCH(COLUMNS($U$1006:Y1006),$U$1006:$AC$1006,0))&gt;=100000), " ",IF(INDEX($U$2:$AC$1001,MATCH(ROWS($N$2:N464),$N$2:$N$1001,0),MATCH(COLUMNS($U$1006:Y1006),$U$1006:$AC$1006,0)), HYPERLINK("#",""), HYPERLINK(CONCATENATE("#metadata!", ADDRESS(INDEX($P$2:$P$1001,MATCH(ROWS($N$2:N464),$N$2:$N$1001,0),0), INDEX($U$1004:$AC$1004,1,MATCH(COLUMNS($U$1006:Y1006),$U$1006:$AC$1006,0)))),"Fix")))</f>
        <v>0</v>
      </c>
      <c r="G464" s="3">
        <f>IF(OR(INDEX($O$2:$O$1001,MATCH(ROWS($N$2:N464),$N$2:$N$1001,0),1)&gt;=100000,INDEX($U$1005:$AC$1005,1,MATCH(COLUMNS($U$1006:Z1006),$U$1006:$AC$1006,0))&gt;=100000), " ",IF(INDEX($U$2:$AC$1001,MATCH(ROWS($N$2:N464),$N$2:$N$1001,0),MATCH(COLUMNS($U$1006:Z1006),$U$1006:$AC$1006,0)), HYPERLINK("#",""), HYPERLINK(CONCATENATE("#metadata!", ADDRESS(INDEX($P$2:$P$1001,MATCH(ROWS($N$2:N464),$N$2:$N$1001,0),0), INDEX($U$1004:$AC$1004,1,MATCH(COLUMNS($U$1006:Z1006),$U$1006:$AC$1006,0)))),"Fix")))</f>
        <v>0</v>
      </c>
      <c r="H464" s="3">
        <f>IF(OR(INDEX($O$2:$O$1001,MATCH(ROWS($N$2:N464),$N$2:$N$1001,0),1)&gt;=100000,INDEX($U$1005:$AC$1005,1,MATCH(COLUMNS($U$1006:AA1006),$U$1006:$AC$1006,0))&gt;=100000), " ",IF(INDEX($U$2:$AC$1001,MATCH(ROWS($N$2:N464),$N$2:$N$1001,0),MATCH(COLUMNS($U$1006:AA1006),$U$1006:$AC$1006,0)), HYPERLINK("#",""), HYPERLINK(CONCATENATE("#metadata!", ADDRESS(INDEX($P$2:$P$1001,MATCH(ROWS($N$2:N464),$N$2:$N$1001,0),0), INDEX($U$1004:$AC$1004,1,MATCH(COLUMNS($U$1006:AA1006),$U$1006:$AC$1006,0)))),"Fix")))</f>
        <v>0</v>
      </c>
      <c r="I464" s="3">
        <f>IF(OR(INDEX($O$2:$O$1001,MATCH(ROWS($N$2:N464),$N$2:$N$1001,0),1)&gt;=100000,INDEX($U$1005:$AC$1005,1,MATCH(COLUMNS($U$1006:AB1006),$U$1006:$AC$1006,0))&gt;=100000), " ",IF(INDEX($U$2:$AC$1001,MATCH(ROWS($N$2:N464),$N$2:$N$1001,0),MATCH(COLUMNS($U$1006:AB1006),$U$1006:$AC$1006,0)), HYPERLINK("#",""), HYPERLINK(CONCATENATE("#metadata!", ADDRESS(INDEX($P$2:$P$1001,MATCH(ROWS($N$2:N464),$N$2:$N$1001,0),0), INDEX($U$1004:$AC$1004,1,MATCH(COLUMNS($U$1006:AB1006),$U$1006:$AC$1006,0)))),"Fix")))</f>
        <v>0</v>
      </c>
      <c r="J464" s="3">
        <f>IF(OR(INDEX($O$2:$O$1001,MATCH(ROWS($N$2:N464),$N$2:$N$1001,0),1)&gt;=100000,INDEX($U$1005:$AC$1005,1,MATCH(COLUMNS($U$1006:AC1006),$U$1006:$AC$1006,0))&gt;=100000), " ",IF(INDEX($U$2:$AC$1001,MATCH(ROWS($N$2:N464),$N$2:$N$1001,0),MATCH(COLUMNS($U$1006:AC1006),$U$1006:$AC$1006,0)), HYPERLINK("#",""), HYPERLINK(CONCATENATE("#metadata!", ADDRESS(INDEX($P$2:$P$1001,MATCH(ROWS($N$2:N464),$N$2:$N$1001,0),0), INDEX($U$1004:$AC$1004,1,MATCH(COLUMNS($U$1006:AC1006),$U$1006:$AC$1006,0)))),"Fix")))</f>
        <v>0</v>
      </c>
      <c r="N464">
        <v>0</v>
      </c>
      <c r="O464">
        <v>0</v>
      </c>
      <c r="P464">
        <v>0</v>
      </c>
      <c r="Q464">
        <f>IF(R464,TRUE,AND(U464:AC464))</f>
        <v>0</v>
      </c>
      <c r="R464">
        <f>COUNTBLANK(metadata!B464:J464)=COLUMNS(metadata!B464:J464)</f>
        <v>0</v>
      </c>
      <c r="S464">
        <v>0</v>
      </c>
      <c r="U464">
        <f>AND(IF(metadata!B464="",FALSE,TRUE),COUNTIF(metadata!B:B, metadata!B464) = 1,NOT(ISERROR(SUMPRODUCT(SEARCH(MID(metadata!B464,ROW(INDIRECT("1:"&amp;LEN(metadata!B464))), 1),"0123456789abcdefghijklmnopqrstuvwxyzABCDEFGHIJKLMNOPQRSTUVWXYZ.")))))</f>
        <v>0</v>
      </c>
      <c r="V464">
        <f>AND(IF(metadata!C464="",FALSE,TRUE),exact(metadata!C464,"UBERON:genitourinary"))</f>
        <v>0</v>
      </c>
      <c r="W464">
        <f>AND(IF(metadata!D464="",FALSE,TRUE),exact(metadata!D464,"UBERON:urine"))</f>
        <v>0</v>
      </c>
      <c r="X464">
        <f>AND(IF(metadata!E464="",FALSE,TRUE),exact(metadata!E464,"UBERON:kidney"))</f>
        <v>0</v>
      </c>
      <c r="Y464">
        <f>AND(IF(metadata!F464="",FALSE,TRUE),exact(metadata!F464,"animal corpus"))</f>
        <v>0</v>
      </c>
      <c r="Z464">
        <f>AND(IF(metadata!G464="",FALSE,TRUE),exact(metadata!G464,"urine"))</f>
        <v>0</v>
      </c>
      <c r="AA464">
        <f>AND(IF(metadata!H464="",FALSE,TRUE),exact(metadata!H464,"urine"))</f>
        <v>0</v>
      </c>
      <c r="AB464">
        <f>AND(IF(metadata!I464="",FALSE,TRUE),exact(metadata!I464,"urine metagenome"))</f>
        <v>0</v>
      </c>
      <c r="AC464">
        <f>AND(IF(metadata!J464="",FALSE,TRUE),exact(metadata!J464,"1346744"))</f>
        <v>0</v>
      </c>
    </row>
    <row r="465" spans="1:29">
      <c r="A465" s="4">
        <f>IF(B465=" "," ",HYPERLINK(CONCATENATE("#metadata!",ADDRESS(INDEX($P$2:$P$1001,MATCH(ROWS($N$2:N465),$N$2:$N$1001,0),0),1)),INDEX($S$2:$S$1001,MATCH(ROWS($N$2:N465),$N$2:$N$1001,0),0)))</f>
        <v>0</v>
      </c>
      <c r="B465" s="3">
        <f>IF(OR(INDEX($O$2:$O$1001,MATCH(ROWS($N$2:N465),$N$2:$N$1001,0),1)&gt;=100000,INDEX($U$1005:$AC$1005,1,MATCH(COLUMNS($U$1006:U1006),$U$1006:$AC$1006,0))&gt;=100000), " ",IF(INDEX($U$2:$AC$1001,MATCH(ROWS($N$2:N465),$N$2:$N$1001,0),MATCH(COLUMNS($U$1006:U1006),$U$1006:$AC$1006,0)), HYPERLINK("#",""), HYPERLINK(CONCATENATE("#metadata!", ADDRESS(INDEX($P$2:$P$1001,MATCH(ROWS($N$2:N465),$N$2:$N$1001,0),0), INDEX($U$1004:$AC$1004,1,MATCH(COLUMNS($U$1006:U1006),$U$1006:$AC$1006,0)))),"Fix")))</f>
        <v>0</v>
      </c>
      <c r="C465" s="3">
        <f>IF(OR(INDEX($O$2:$O$1001,MATCH(ROWS($N$2:N465),$N$2:$N$1001,0),1)&gt;=100000,INDEX($U$1005:$AC$1005,1,MATCH(COLUMNS($U$1006:V1006),$U$1006:$AC$1006,0))&gt;=100000), " ",IF(INDEX($U$2:$AC$1001,MATCH(ROWS($N$2:N465),$N$2:$N$1001,0),MATCH(COLUMNS($U$1006:V1006),$U$1006:$AC$1006,0)), HYPERLINK("#",""), HYPERLINK(CONCATENATE("#metadata!", ADDRESS(INDEX($P$2:$P$1001,MATCH(ROWS($N$2:N465),$N$2:$N$1001,0),0), INDEX($U$1004:$AC$1004,1,MATCH(COLUMNS($U$1006:V1006),$U$1006:$AC$1006,0)))),"Fix")))</f>
        <v>0</v>
      </c>
      <c r="D465" s="3">
        <f>IF(OR(INDEX($O$2:$O$1001,MATCH(ROWS($N$2:N465),$N$2:$N$1001,0),1)&gt;=100000,INDEX($U$1005:$AC$1005,1,MATCH(COLUMNS($U$1006:W1006),$U$1006:$AC$1006,0))&gt;=100000), " ",IF(INDEX($U$2:$AC$1001,MATCH(ROWS($N$2:N465),$N$2:$N$1001,0),MATCH(COLUMNS($U$1006:W1006),$U$1006:$AC$1006,0)), HYPERLINK("#",""), HYPERLINK(CONCATENATE("#metadata!", ADDRESS(INDEX($P$2:$P$1001,MATCH(ROWS($N$2:N465),$N$2:$N$1001,0),0), INDEX($U$1004:$AC$1004,1,MATCH(COLUMNS($U$1006:W1006),$U$1006:$AC$1006,0)))),"Fix")))</f>
        <v>0</v>
      </c>
      <c r="E465" s="3">
        <f>IF(OR(INDEX($O$2:$O$1001,MATCH(ROWS($N$2:N465),$N$2:$N$1001,0),1)&gt;=100000,INDEX($U$1005:$AC$1005,1,MATCH(COLUMNS($U$1006:X1006),$U$1006:$AC$1006,0))&gt;=100000), " ",IF(INDEX($U$2:$AC$1001,MATCH(ROWS($N$2:N465),$N$2:$N$1001,0),MATCH(COLUMNS($U$1006:X1006),$U$1006:$AC$1006,0)), HYPERLINK("#",""), HYPERLINK(CONCATENATE("#metadata!", ADDRESS(INDEX($P$2:$P$1001,MATCH(ROWS($N$2:N465),$N$2:$N$1001,0),0), INDEX($U$1004:$AC$1004,1,MATCH(COLUMNS($U$1006:X1006),$U$1006:$AC$1006,0)))),"Fix")))</f>
        <v>0</v>
      </c>
      <c r="F465" s="3">
        <f>IF(OR(INDEX($O$2:$O$1001,MATCH(ROWS($N$2:N465),$N$2:$N$1001,0),1)&gt;=100000,INDEX($U$1005:$AC$1005,1,MATCH(COLUMNS($U$1006:Y1006),$U$1006:$AC$1006,0))&gt;=100000), " ",IF(INDEX($U$2:$AC$1001,MATCH(ROWS($N$2:N465),$N$2:$N$1001,0),MATCH(COLUMNS($U$1006:Y1006),$U$1006:$AC$1006,0)), HYPERLINK("#",""), HYPERLINK(CONCATENATE("#metadata!", ADDRESS(INDEX($P$2:$P$1001,MATCH(ROWS($N$2:N465),$N$2:$N$1001,0),0), INDEX($U$1004:$AC$1004,1,MATCH(COLUMNS($U$1006:Y1006),$U$1006:$AC$1006,0)))),"Fix")))</f>
        <v>0</v>
      </c>
      <c r="G465" s="3">
        <f>IF(OR(INDEX($O$2:$O$1001,MATCH(ROWS($N$2:N465),$N$2:$N$1001,0),1)&gt;=100000,INDEX($U$1005:$AC$1005,1,MATCH(COLUMNS($U$1006:Z1006),$U$1006:$AC$1006,0))&gt;=100000), " ",IF(INDEX($U$2:$AC$1001,MATCH(ROWS($N$2:N465),$N$2:$N$1001,0),MATCH(COLUMNS($U$1006:Z1006),$U$1006:$AC$1006,0)), HYPERLINK("#",""), HYPERLINK(CONCATENATE("#metadata!", ADDRESS(INDEX($P$2:$P$1001,MATCH(ROWS($N$2:N465),$N$2:$N$1001,0),0), INDEX($U$1004:$AC$1004,1,MATCH(COLUMNS($U$1006:Z1006),$U$1006:$AC$1006,0)))),"Fix")))</f>
        <v>0</v>
      </c>
      <c r="H465" s="3">
        <f>IF(OR(INDEX($O$2:$O$1001,MATCH(ROWS($N$2:N465),$N$2:$N$1001,0),1)&gt;=100000,INDEX($U$1005:$AC$1005,1,MATCH(COLUMNS($U$1006:AA1006),$U$1006:$AC$1006,0))&gt;=100000), " ",IF(INDEX($U$2:$AC$1001,MATCH(ROWS($N$2:N465),$N$2:$N$1001,0),MATCH(COLUMNS($U$1006:AA1006),$U$1006:$AC$1006,0)), HYPERLINK("#",""), HYPERLINK(CONCATENATE("#metadata!", ADDRESS(INDEX($P$2:$P$1001,MATCH(ROWS($N$2:N465),$N$2:$N$1001,0),0), INDEX($U$1004:$AC$1004,1,MATCH(COLUMNS($U$1006:AA1006),$U$1006:$AC$1006,0)))),"Fix")))</f>
        <v>0</v>
      </c>
      <c r="I465" s="3">
        <f>IF(OR(INDEX($O$2:$O$1001,MATCH(ROWS($N$2:N465),$N$2:$N$1001,0),1)&gt;=100000,INDEX($U$1005:$AC$1005,1,MATCH(COLUMNS($U$1006:AB1006),$U$1006:$AC$1006,0))&gt;=100000), " ",IF(INDEX($U$2:$AC$1001,MATCH(ROWS($N$2:N465),$N$2:$N$1001,0),MATCH(COLUMNS($U$1006:AB1006),$U$1006:$AC$1006,0)), HYPERLINK("#",""), HYPERLINK(CONCATENATE("#metadata!", ADDRESS(INDEX($P$2:$P$1001,MATCH(ROWS($N$2:N465),$N$2:$N$1001,0),0), INDEX($U$1004:$AC$1004,1,MATCH(COLUMNS($U$1006:AB1006),$U$1006:$AC$1006,0)))),"Fix")))</f>
        <v>0</v>
      </c>
      <c r="J465" s="3">
        <f>IF(OR(INDEX($O$2:$O$1001,MATCH(ROWS($N$2:N465),$N$2:$N$1001,0),1)&gt;=100000,INDEX($U$1005:$AC$1005,1,MATCH(COLUMNS($U$1006:AC1006),$U$1006:$AC$1006,0))&gt;=100000), " ",IF(INDEX($U$2:$AC$1001,MATCH(ROWS($N$2:N465),$N$2:$N$1001,0),MATCH(COLUMNS($U$1006:AC1006),$U$1006:$AC$1006,0)), HYPERLINK("#",""), HYPERLINK(CONCATENATE("#metadata!", ADDRESS(INDEX($P$2:$P$1001,MATCH(ROWS($N$2:N465),$N$2:$N$1001,0),0), INDEX($U$1004:$AC$1004,1,MATCH(COLUMNS($U$1006:AC1006),$U$1006:$AC$1006,0)))),"Fix")))</f>
        <v>0</v>
      </c>
      <c r="N465">
        <v>0</v>
      </c>
      <c r="O465">
        <v>0</v>
      </c>
      <c r="P465">
        <v>0</v>
      </c>
      <c r="Q465">
        <f>IF(R465,TRUE,AND(U465:AC465))</f>
        <v>0</v>
      </c>
      <c r="R465">
        <f>COUNTBLANK(metadata!B465:J465)=COLUMNS(metadata!B465:J465)</f>
        <v>0</v>
      </c>
      <c r="S465">
        <v>0</v>
      </c>
      <c r="U465">
        <f>AND(IF(metadata!B465="",FALSE,TRUE),COUNTIF(metadata!B:B, metadata!B465) = 1,NOT(ISERROR(SUMPRODUCT(SEARCH(MID(metadata!B465,ROW(INDIRECT("1:"&amp;LEN(metadata!B465))), 1),"0123456789abcdefghijklmnopqrstuvwxyzABCDEFGHIJKLMNOPQRSTUVWXYZ.")))))</f>
        <v>0</v>
      </c>
      <c r="V465">
        <f>AND(IF(metadata!C465="",FALSE,TRUE),exact(metadata!C465,"UBERON:genitourinary"))</f>
        <v>0</v>
      </c>
      <c r="W465">
        <f>AND(IF(metadata!D465="",FALSE,TRUE),exact(metadata!D465,"UBERON:urine"))</f>
        <v>0</v>
      </c>
      <c r="X465">
        <f>AND(IF(metadata!E465="",FALSE,TRUE),exact(metadata!E465,"UBERON:kidney"))</f>
        <v>0</v>
      </c>
      <c r="Y465">
        <f>AND(IF(metadata!F465="",FALSE,TRUE),exact(metadata!F465,"animal corpus"))</f>
        <v>0</v>
      </c>
      <c r="Z465">
        <f>AND(IF(metadata!G465="",FALSE,TRUE),exact(metadata!G465,"urine"))</f>
        <v>0</v>
      </c>
      <c r="AA465">
        <f>AND(IF(metadata!H465="",FALSE,TRUE),exact(metadata!H465,"urine"))</f>
        <v>0</v>
      </c>
      <c r="AB465">
        <f>AND(IF(metadata!I465="",FALSE,TRUE),exact(metadata!I465,"urine metagenome"))</f>
        <v>0</v>
      </c>
      <c r="AC465">
        <f>AND(IF(metadata!J465="",FALSE,TRUE),exact(metadata!J465,"1346744"))</f>
        <v>0</v>
      </c>
    </row>
    <row r="466" spans="1:29">
      <c r="A466" s="4">
        <f>IF(B466=" "," ",HYPERLINK(CONCATENATE("#metadata!",ADDRESS(INDEX($P$2:$P$1001,MATCH(ROWS($N$2:N466),$N$2:$N$1001,0),0),1)),INDEX($S$2:$S$1001,MATCH(ROWS($N$2:N466),$N$2:$N$1001,0),0)))</f>
        <v>0</v>
      </c>
      <c r="B466" s="3">
        <f>IF(OR(INDEX($O$2:$O$1001,MATCH(ROWS($N$2:N466),$N$2:$N$1001,0),1)&gt;=100000,INDEX($U$1005:$AC$1005,1,MATCH(COLUMNS($U$1006:U1006),$U$1006:$AC$1006,0))&gt;=100000), " ",IF(INDEX($U$2:$AC$1001,MATCH(ROWS($N$2:N466),$N$2:$N$1001,0),MATCH(COLUMNS($U$1006:U1006),$U$1006:$AC$1006,0)), HYPERLINK("#",""), HYPERLINK(CONCATENATE("#metadata!", ADDRESS(INDEX($P$2:$P$1001,MATCH(ROWS($N$2:N466),$N$2:$N$1001,0),0), INDEX($U$1004:$AC$1004,1,MATCH(COLUMNS($U$1006:U1006),$U$1006:$AC$1006,0)))),"Fix")))</f>
        <v>0</v>
      </c>
      <c r="C466" s="3">
        <f>IF(OR(INDEX($O$2:$O$1001,MATCH(ROWS($N$2:N466),$N$2:$N$1001,0),1)&gt;=100000,INDEX($U$1005:$AC$1005,1,MATCH(COLUMNS($U$1006:V1006),$U$1006:$AC$1006,0))&gt;=100000), " ",IF(INDEX($U$2:$AC$1001,MATCH(ROWS($N$2:N466),$N$2:$N$1001,0),MATCH(COLUMNS($U$1006:V1006),$U$1006:$AC$1006,0)), HYPERLINK("#",""), HYPERLINK(CONCATENATE("#metadata!", ADDRESS(INDEX($P$2:$P$1001,MATCH(ROWS($N$2:N466),$N$2:$N$1001,0),0), INDEX($U$1004:$AC$1004,1,MATCH(COLUMNS($U$1006:V1006),$U$1006:$AC$1006,0)))),"Fix")))</f>
        <v>0</v>
      </c>
      <c r="D466" s="3">
        <f>IF(OR(INDEX($O$2:$O$1001,MATCH(ROWS($N$2:N466),$N$2:$N$1001,0),1)&gt;=100000,INDEX($U$1005:$AC$1005,1,MATCH(COLUMNS($U$1006:W1006),$U$1006:$AC$1006,0))&gt;=100000), " ",IF(INDEX($U$2:$AC$1001,MATCH(ROWS($N$2:N466),$N$2:$N$1001,0),MATCH(COLUMNS($U$1006:W1006),$U$1006:$AC$1006,0)), HYPERLINK("#",""), HYPERLINK(CONCATENATE("#metadata!", ADDRESS(INDEX($P$2:$P$1001,MATCH(ROWS($N$2:N466),$N$2:$N$1001,0),0), INDEX($U$1004:$AC$1004,1,MATCH(COLUMNS($U$1006:W1006),$U$1006:$AC$1006,0)))),"Fix")))</f>
        <v>0</v>
      </c>
      <c r="E466" s="3">
        <f>IF(OR(INDEX($O$2:$O$1001,MATCH(ROWS($N$2:N466),$N$2:$N$1001,0),1)&gt;=100000,INDEX($U$1005:$AC$1005,1,MATCH(COLUMNS($U$1006:X1006),$U$1006:$AC$1006,0))&gt;=100000), " ",IF(INDEX($U$2:$AC$1001,MATCH(ROWS($N$2:N466),$N$2:$N$1001,0),MATCH(COLUMNS($U$1006:X1006),$U$1006:$AC$1006,0)), HYPERLINK("#",""), HYPERLINK(CONCATENATE("#metadata!", ADDRESS(INDEX($P$2:$P$1001,MATCH(ROWS($N$2:N466),$N$2:$N$1001,0),0), INDEX($U$1004:$AC$1004,1,MATCH(COLUMNS($U$1006:X1006),$U$1006:$AC$1006,0)))),"Fix")))</f>
        <v>0</v>
      </c>
      <c r="F466" s="3">
        <f>IF(OR(INDEX($O$2:$O$1001,MATCH(ROWS($N$2:N466),$N$2:$N$1001,0),1)&gt;=100000,INDEX($U$1005:$AC$1005,1,MATCH(COLUMNS($U$1006:Y1006),$U$1006:$AC$1006,0))&gt;=100000), " ",IF(INDEX($U$2:$AC$1001,MATCH(ROWS($N$2:N466),$N$2:$N$1001,0),MATCH(COLUMNS($U$1006:Y1006),$U$1006:$AC$1006,0)), HYPERLINK("#",""), HYPERLINK(CONCATENATE("#metadata!", ADDRESS(INDEX($P$2:$P$1001,MATCH(ROWS($N$2:N466),$N$2:$N$1001,0),0), INDEX($U$1004:$AC$1004,1,MATCH(COLUMNS($U$1006:Y1006),$U$1006:$AC$1006,0)))),"Fix")))</f>
        <v>0</v>
      </c>
      <c r="G466" s="3">
        <f>IF(OR(INDEX($O$2:$O$1001,MATCH(ROWS($N$2:N466),$N$2:$N$1001,0),1)&gt;=100000,INDEX($U$1005:$AC$1005,1,MATCH(COLUMNS($U$1006:Z1006),$U$1006:$AC$1006,0))&gt;=100000), " ",IF(INDEX($U$2:$AC$1001,MATCH(ROWS($N$2:N466),$N$2:$N$1001,0),MATCH(COLUMNS($U$1006:Z1006),$U$1006:$AC$1006,0)), HYPERLINK("#",""), HYPERLINK(CONCATENATE("#metadata!", ADDRESS(INDEX($P$2:$P$1001,MATCH(ROWS($N$2:N466),$N$2:$N$1001,0),0), INDEX($U$1004:$AC$1004,1,MATCH(COLUMNS($U$1006:Z1006),$U$1006:$AC$1006,0)))),"Fix")))</f>
        <v>0</v>
      </c>
      <c r="H466" s="3">
        <f>IF(OR(INDEX($O$2:$O$1001,MATCH(ROWS($N$2:N466),$N$2:$N$1001,0),1)&gt;=100000,INDEX($U$1005:$AC$1005,1,MATCH(COLUMNS($U$1006:AA1006),$U$1006:$AC$1006,0))&gt;=100000), " ",IF(INDEX($U$2:$AC$1001,MATCH(ROWS($N$2:N466),$N$2:$N$1001,0),MATCH(COLUMNS($U$1006:AA1006),$U$1006:$AC$1006,0)), HYPERLINK("#",""), HYPERLINK(CONCATENATE("#metadata!", ADDRESS(INDEX($P$2:$P$1001,MATCH(ROWS($N$2:N466),$N$2:$N$1001,0),0), INDEX($U$1004:$AC$1004,1,MATCH(COLUMNS($U$1006:AA1006),$U$1006:$AC$1006,0)))),"Fix")))</f>
        <v>0</v>
      </c>
      <c r="I466" s="3">
        <f>IF(OR(INDEX($O$2:$O$1001,MATCH(ROWS($N$2:N466),$N$2:$N$1001,0),1)&gt;=100000,INDEX($U$1005:$AC$1005,1,MATCH(COLUMNS($U$1006:AB1006),$U$1006:$AC$1006,0))&gt;=100000), " ",IF(INDEX($U$2:$AC$1001,MATCH(ROWS($N$2:N466),$N$2:$N$1001,0),MATCH(COLUMNS($U$1006:AB1006),$U$1006:$AC$1006,0)), HYPERLINK("#",""), HYPERLINK(CONCATENATE("#metadata!", ADDRESS(INDEX($P$2:$P$1001,MATCH(ROWS($N$2:N466),$N$2:$N$1001,0),0), INDEX($U$1004:$AC$1004,1,MATCH(COLUMNS($U$1006:AB1006),$U$1006:$AC$1006,0)))),"Fix")))</f>
        <v>0</v>
      </c>
      <c r="J466" s="3">
        <f>IF(OR(INDEX($O$2:$O$1001,MATCH(ROWS($N$2:N466),$N$2:$N$1001,0),1)&gt;=100000,INDEX($U$1005:$AC$1005,1,MATCH(COLUMNS($U$1006:AC1006),$U$1006:$AC$1006,0))&gt;=100000), " ",IF(INDEX($U$2:$AC$1001,MATCH(ROWS($N$2:N466),$N$2:$N$1001,0),MATCH(COLUMNS($U$1006:AC1006),$U$1006:$AC$1006,0)), HYPERLINK("#",""), HYPERLINK(CONCATENATE("#metadata!", ADDRESS(INDEX($P$2:$P$1001,MATCH(ROWS($N$2:N466),$N$2:$N$1001,0),0), INDEX($U$1004:$AC$1004,1,MATCH(COLUMNS($U$1006:AC1006),$U$1006:$AC$1006,0)))),"Fix")))</f>
        <v>0</v>
      </c>
      <c r="N466">
        <v>0</v>
      </c>
      <c r="O466">
        <v>0</v>
      </c>
      <c r="P466">
        <v>0</v>
      </c>
      <c r="Q466">
        <f>IF(R466,TRUE,AND(U466:AC466))</f>
        <v>0</v>
      </c>
      <c r="R466">
        <f>COUNTBLANK(metadata!B466:J466)=COLUMNS(metadata!B466:J466)</f>
        <v>0</v>
      </c>
      <c r="S466">
        <v>0</v>
      </c>
      <c r="U466">
        <f>AND(IF(metadata!B466="",FALSE,TRUE),COUNTIF(metadata!B:B, metadata!B466) = 1,NOT(ISERROR(SUMPRODUCT(SEARCH(MID(metadata!B466,ROW(INDIRECT("1:"&amp;LEN(metadata!B466))), 1),"0123456789abcdefghijklmnopqrstuvwxyzABCDEFGHIJKLMNOPQRSTUVWXYZ.")))))</f>
        <v>0</v>
      </c>
      <c r="V466">
        <f>AND(IF(metadata!C466="",FALSE,TRUE),exact(metadata!C466,"UBERON:genitourinary"))</f>
        <v>0</v>
      </c>
      <c r="W466">
        <f>AND(IF(metadata!D466="",FALSE,TRUE),exact(metadata!D466,"UBERON:urine"))</f>
        <v>0</v>
      </c>
      <c r="X466">
        <f>AND(IF(metadata!E466="",FALSE,TRUE),exact(metadata!E466,"UBERON:kidney"))</f>
        <v>0</v>
      </c>
      <c r="Y466">
        <f>AND(IF(metadata!F466="",FALSE,TRUE),exact(metadata!F466,"animal corpus"))</f>
        <v>0</v>
      </c>
      <c r="Z466">
        <f>AND(IF(metadata!G466="",FALSE,TRUE),exact(metadata!G466,"urine"))</f>
        <v>0</v>
      </c>
      <c r="AA466">
        <f>AND(IF(metadata!H466="",FALSE,TRUE),exact(metadata!H466,"urine"))</f>
        <v>0</v>
      </c>
      <c r="AB466">
        <f>AND(IF(metadata!I466="",FALSE,TRUE),exact(metadata!I466,"urine metagenome"))</f>
        <v>0</v>
      </c>
      <c r="AC466">
        <f>AND(IF(metadata!J466="",FALSE,TRUE),exact(metadata!J466,"1346744"))</f>
        <v>0</v>
      </c>
    </row>
    <row r="467" spans="1:29">
      <c r="A467" s="4">
        <f>IF(B467=" "," ",HYPERLINK(CONCATENATE("#metadata!",ADDRESS(INDEX($P$2:$P$1001,MATCH(ROWS($N$2:N467),$N$2:$N$1001,0),0),1)),INDEX($S$2:$S$1001,MATCH(ROWS($N$2:N467),$N$2:$N$1001,0),0)))</f>
        <v>0</v>
      </c>
      <c r="B467" s="3">
        <f>IF(OR(INDEX($O$2:$O$1001,MATCH(ROWS($N$2:N467),$N$2:$N$1001,0),1)&gt;=100000,INDEX($U$1005:$AC$1005,1,MATCH(COLUMNS($U$1006:U1006),$U$1006:$AC$1006,0))&gt;=100000), " ",IF(INDEX($U$2:$AC$1001,MATCH(ROWS($N$2:N467),$N$2:$N$1001,0),MATCH(COLUMNS($U$1006:U1006),$U$1006:$AC$1006,0)), HYPERLINK("#",""), HYPERLINK(CONCATENATE("#metadata!", ADDRESS(INDEX($P$2:$P$1001,MATCH(ROWS($N$2:N467),$N$2:$N$1001,0),0), INDEX($U$1004:$AC$1004,1,MATCH(COLUMNS($U$1006:U1006),$U$1006:$AC$1006,0)))),"Fix")))</f>
        <v>0</v>
      </c>
      <c r="C467" s="3">
        <f>IF(OR(INDEX($O$2:$O$1001,MATCH(ROWS($N$2:N467),$N$2:$N$1001,0),1)&gt;=100000,INDEX($U$1005:$AC$1005,1,MATCH(COLUMNS($U$1006:V1006),$U$1006:$AC$1006,0))&gt;=100000), " ",IF(INDEX($U$2:$AC$1001,MATCH(ROWS($N$2:N467),$N$2:$N$1001,0),MATCH(COLUMNS($U$1006:V1006),$U$1006:$AC$1006,0)), HYPERLINK("#",""), HYPERLINK(CONCATENATE("#metadata!", ADDRESS(INDEX($P$2:$P$1001,MATCH(ROWS($N$2:N467),$N$2:$N$1001,0),0), INDEX($U$1004:$AC$1004,1,MATCH(COLUMNS($U$1006:V1006),$U$1006:$AC$1006,0)))),"Fix")))</f>
        <v>0</v>
      </c>
      <c r="D467" s="3">
        <f>IF(OR(INDEX($O$2:$O$1001,MATCH(ROWS($N$2:N467),$N$2:$N$1001,0),1)&gt;=100000,INDEX($U$1005:$AC$1005,1,MATCH(COLUMNS($U$1006:W1006),$U$1006:$AC$1006,0))&gt;=100000), " ",IF(INDEX($U$2:$AC$1001,MATCH(ROWS($N$2:N467),$N$2:$N$1001,0),MATCH(COLUMNS($U$1006:W1006),$U$1006:$AC$1006,0)), HYPERLINK("#",""), HYPERLINK(CONCATENATE("#metadata!", ADDRESS(INDEX($P$2:$P$1001,MATCH(ROWS($N$2:N467),$N$2:$N$1001,0),0), INDEX($U$1004:$AC$1004,1,MATCH(COLUMNS($U$1006:W1006),$U$1006:$AC$1006,0)))),"Fix")))</f>
        <v>0</v>
      </c>
      <c r="E467" s="3">
        <f>IF(OR(INDEX($O$2:$O$1001,MATCH(ROWS($N$2:N467),$N$2:$N$1001,0),1)&gt;=100000,INDEX($U$1005:$AC$1005,1,MATCH(COLUMNS($U$1006:X1006),$U$1006:$AC$1006,0))&gt;=100000), " ",IF(INDEX($U$2:$AC$1001,MATCH(ROWS($N$2:N467),$N$2:$N$1001,0),MATCH(COLUMNS($U$1006:X1006),$U$1006:$AC$1006,0)), HYPERLINK("#",""), HYPERLINK(CONCATENATE("#metadata!", ADDRESS(INDEX($P$2:$P$1001,MATCH(ROWS($N$2:N467),$N$2:$N$1001,0),0), INDEX($U$1004:$AC$1004,1,MATCH(COLUMNS($U$1006:X1006),$U$1006:$AC$1006,0)))),"Fix")))</f>
        <v>0</v>
      </c>
      <c r="F467" s="3">
        <f>IF(OR(INDEX($O$2:$O$1001,MATCH(ROWS($N$2:N467),$N$2:$N$1001,0),1)&gt;=100000,INDEX($U$1005:$AC$1005,1,MATCH(COLUMNS($U$1006:Y1006),$U$1006:$AC$1006,0))&gt;=100000), " ",IF(INDEX($U$2:$AC$1001,MATCH(ROWS($N$2:N467),$N$2:$N$1001,0),MATCH(COLUMNS($U$1006:Y1006),$U$1006:$AC$1006,0)), HYPERLINK("#",""), HYPERLINK(CONCATENATE("#metadata!", ADDRESS(INDEX($P$2:$P$1001,MATCH(ROWS($N$2:N467),$N$2:$N$1001,0),0), INDEX($U$1004:$AC$1004,1,MATCH(COLUMNS($U$1006:Y1006),$U$1006:$AC$1006,0)))),"Fix")))</f>
        <v>0</v>
      </c>
      <c r="G467" s="3">
        <f>IF(OR(INDEX($O$2:$O$1001,MATCH(ROWS($N$2:N467),$N$2:$N$1001,0),1)&gt;=100000,INDEX($U$1005:$AC$1005,1,MATCH(COLUMNS($U$1006:Z1006),$U$1006:$AC$1006,0))&gt;=100000), " ",IF(INDEX($U$2:$AC$1001,MATCH(ROWS($N$2:N467),$N$2:$N$1001,0),MATCH(COLUMNS($U$1006:Z1006),$U$1006:$AC$1006,0)), HYPERLINK("#",""), HYPERLINK(CONCATENATE("#metadata!", ADDRESS(INDEX($P$2:$P$1001,MATCH(ROWS($N$2:N467),$N$2:$N$1001,0),0), INDEX($U$1004:$AC$1004,1,MATCH(COLUMNS($U$1006:Z1006),$U$1006:$AC$1006,0)))),"Fix")))</f>
        <v>0</v>
      </c>
      <c r="H467" s="3">
        <f>IF(OR(INDEX($O$2:$O$1001,MATCH(ROWS($N$2:N467),$N$2:$N$1001,0),1)&gt;=100000,INDEX($U$1005:$AC$1005,1,MATCH(COLUMNS($U$1006:AA1006),$U$1006:$AC$1006,0))&gt;=100000), " ",IF(INDEX($U$2:$AC$1001,MATCH(ROWS($N$2:N467),$N$2:$N$1001,0),MATCH(COLUMNS($U$1006:AA1006),$U$1006:$AC$1006,0)), HYPERLINK("#",""), HYPERLINK(CONCATENATE("#metadata!", ADDRESS(INDEX($P$2:$P$1001,MATCH(ROWS($N$2:N467),$N$2:$N$1001,0),0), INDEX($U$1004:$AC$1004,1,MATCH(COLUMNS($U$1006:AA1006),$U$1006:$AC$1006,0)))),"Fix")))</f>
        <v>0</v>
      </c>
      <c r="I467" s="3">
        <f>IF(OR(INDEX($O$2:$O$1001,MATCH(ROWS($N$2:N467),$N$2:$N$1001,0),1)&gt;=100000,INDEX($U$1005:$AC$1005,1,MATCH(COLUMNS($U$1006:AB1006),$U$1006:$AC$1006,0))&gt;=100000), " ",IF(INDEX($U$2:$AC$1001,MATCH(ROWS($N$2:N467),$N$2:$N$1001,0),MATCH(COLUMNS($U$1006:AB1006),$U$1006:$AC$1006,0)), HYPERLINK("#",""), HYPERLINK(CONCATENATE("#metadata!", ADDRESS(INDEX($P$2:$P$1001,MATCH(ROWS($N$2:N467),$N$2:$N$1001,0),0), INDEX($U$1004:$AC$1004,1,MATCH(COLUMNS($U$1006:AB1006),$U$1006:$AC$1006,0)))),"Fix")))</f>
        <v>0</v>
      </c>
      <c r="J467" s="3">
        <f>IF(OR(INDEX($O$2:$O$1001,MATCH(ROWS($N$2:N467),$N$2:$N$1001,0),1)&gt;=100000,INDEX($U$1005:$AC$1005,1,MATCH(COLUMNS($U$1006:AC1006),$U$1006:$AC$1006,0))&gt;=100000), " ",IF(INDEX($U$2:$AC$1001,MATCH(ROWS($N$2:N467),$N$2:$N$1001,0),MATCH(COLUMNS($U$1006:AC1006),$U$1006:$AC$1006,0)), HYPERLINK("#",""), HYPERLINK(CONCATENATE("#metadata!", ADDRESS(INDEX($P$2:$P$1001,MATCH(ROWS($N$2:N467),$N$2:$N$1001,0),0), INDEX($U$1004:$AC$1004,1,MATCH(COLUMNS($U$1006:AC1006),$U$1006:$AC$1006,0)))),"Fix")))</f>
        <v>0</v>
      </c>
      <c r="N467">
        <v>0</v>
      </c>
      <c r="O467">
        <v>0</v>
      </c>
      <c r="P467">
        <v>0</v>
      </c>
      <c r="Q467">
        <f>IF(R467,TRUE,AND(U467:AC467))</f>
        <v>0</v>
      </c>
      <c r="R467">
        <f>COUNTBLANK(metadata!B467:J467)=COLUMNS(metadata!B467:J467)</f>
        <v>0</v>
      </c>
      <c r="S467">
        <v>0</v>
      </c>
      <c r="U467">
        <f>AND(IF(metadata!B467="",FALSE,TRUE),COUNTIF(metadata!B:B, metadata!B467) = 1,NOT(ISERROR(SUMPRODUCT(SEARCH(MID(metadata!B467,ROW(INDIRECT("1:"&amp;LEN(metadata!B467))), 1),"0123456789abcdefghijklmnopqrstuvwxyzABCDEFGHIJKLMNOPQRSTUVWXYZ.")))))</f>
        <v>0</v>
      </c>
      <c r="V467">
        <f>AND(IF(metadata!C467="",FALSE,TRUE),exact(metadata!C467,"UBERON:genitourinary"))</f>
        <v>0</v>
      </c>
      <c r="W467">
        <f>AND(IF(metadata!D467="",FALSE,TRUE),exact(metadata!D467,"UBERON:urine"))</f>
        <v>0</v>
      </c>
      <c r="X467">
        <f>AND(IF(metadata!E467="",FALSE,TRUE),exact(metadata!E467,"UBERON:kidney"))</f>
        <v>0</v>
      </c>
      <c r="Y467">
        <f>AND(IF(metadata!F467="",FALSE,TRUE),exact(metadata!F467,"animal corpus"))</f>
        <v>0</v>
      </c>
      <c r="Z467">
        <f>AND(IF(metadata!G467="",FALSE,TRUE),exact(metadata!G467,"urine"))</f>
        <v>0</v>
      </c>
      <c r="AA467">
        <f>AND(IF(metadata!H467="",FALSE,TRUE),exact(metadata!H467,"urine"))</f>
        <v>0</v>
      </c>
      <c r="AB467">
        <f>AND(IF(metadata!I467="",FALSE,TRUE),exact(metadata!I467,"urine metagenome"))</f>
        <v>0</v>
      </c>
      <c r="AC467">
        <f>AND(IF(metadata!J467="",FALSE,TRUE),exact(metadata!J467,"1346744"))</f>
        <v>0</v>
      </c>
    </row>
    <row r="468" spans="1:29">
      <c r="A468" s="4">
        <f>IF(B468=" "," ",HYPERLINK(CONCATENATE("#metadata!",ADDRESS(INDEX($P$2:$P$1001,MATCH(ROWS($N$2:N468),$N$2:$N$1001,0),0),1)),INDEX($S$2:$S$1001,MATCH(ROWS($N$2:N468),$N$2:$N$1001,0),0)))</f>
        <v>0</v>
      </c>
      <c r="B468" s="3">
        <f>IF(OR(INDEX($O$2:$O$1001,MATCH(ROWS($N$2:N468),$N$2:$N$1001,0),1)&gt;=100000,INDEX($U$1005:$AC$1005,1,MATCH(COLUMNS($U$1006:U1006),$U$1006:$AC$1006,0))&gt;=100000), " ",IF(INDEX($U$2:$AC$1001,MATCH(ROWS($N$2:N468),$N$2:$N$1001,0),MATCH(COLUMNS($U$1006:U1006),$U$1006:$AC$1006,0)), HYPERLINK("#",""), HYPERLINK(CONCATENATE("#metadata!", ADDRESS(INDEX($P$2:$P$1001,MATCH(ROWS($N$2:N468),$N$2:$N$1001,0),0), INDEX($U$1004:$AC$1004,1,MATCH(COLUMNS($U$1006:U1006),$U$1006:$AC$1006,0)))),"Fix")))</f>
        <v>0</v>
      </c>
      <c r="C468" s="3">
        <f>IF(OR(INDEX($O$2:$O$1001,MATCH(ROWS($N$2:N468),$N$2:$N$1001,0),1)&gt;=100000,INDEX($U$1005:$AC$1005,1,MATCH(COLUMNS($U$1006:V1006),$U$1006:$AC$1006,0))&gt;=100000), " ",IF(INDEX($U$2:$AC$1001,MATCH(ROWS($N$2:N468),$N$2:$N$1001,0),MATCH(COLUMNS($U$1006:V1006),$U$1006:$AC$1006,0)), HYPERLINK("#",""), HYPERLINK(CONCATENATE("#metadata!", ADDRESS(INDEX($P$2:$P$1001,MATCH(ROWS($N$2:N468),$N$2:$N$1001,0),0), INDEX($U$1004:$AC$1004,1,MATCH(COLUMNS($U$1006:V1006),$U$1006:$AC$1006,0)))),"Fix")))</f>
        <v>0</v>
      </c>
      <c r="D468" s="3">
        <f>IF(OR(INDEX($O$2:$O$1001,MATCH(ROWS($N$2:N468),$N$2:$N$1001,0),1)&gt;=100000,INDEX($U$1005:$AC$1005,1,MATCH(COLUMNS($U$1006:W1006),$U$1006:$AC$1006,0))&gt;=100000), " ",IF(INDEX($U$2:$AC$1001,MATCH(ROWS($N$2:N468),$N$2:$N$1001,0),MATCH(COLUMNS($U$1006:W1006),$U$1006:$AC$1006,0)), HYPERLINK("#",""), HYPERLINK(CONCATENATE("#metadata!", ADDRESS(INDEX($P$2:$P$1001,MATCH(ROWS($N$2:N468),$N$2:$N$1001,0),0), INDEX($U$1004:$AC$1004,1,MATCH(COLUMNS($U$1006:W1006),$U$1006:$AC$1006,0)))),"Fix")))</f>
        <v>0</v>
      </c>
      <c r="E468" s="3">
        <f>IF(OR(INDEX($O$2:$O$1001,MATCH(ROWS($N$2:N468),$N$2:$N$1001,0),1)&gt;=100000,INDEX($U$1005:$AC$1005,1,MATCH(COLUMNS($U$1006:X1006),$U$1006:$AC$1006,0))&gt;=100000), " ",IF(INDEX($U$2:$AC$1001,MATCH(ROWS($N$2:N468),$N$2:$N$1001,0),MATCH(COLUMNS($U$1006:X1006),$U$1006:$AC$1006,0)), HYPERLINK("#",""), HYPERLINK(CONCATENATE("#metadata!", ADDRESS(INDEX($P$2:$P$1001,MATCH(ROWS($N$2:N468),$N$2:$N$1001,0),0), INDEX($U$1004:$AC$1004,1,MATCH(COLUMNS($U$1006:X1006),$U$1006:$AC$1006,0)))),"Fix")))</f>
        <v>0</v>
      </c>
      <c r="F468" s="3">
        <f>IF(OR(INDEX($O$2:$O$1001,MATCH(ROWS($N$2:N468),$N$2:$N$1001,0),1)&gt;=100000,INDEX($U$1005:$AC$1005,1,MATCH(COLUMNS($U$1006:Y1006),$U$1006:$AC$1006,0))&gt;=100000), " ",IF(INDEX($U$2:$AC$1001,MATCH(ROWS($N$2:N468),$N$2:$N$1001,0),MATCH(COLUMNS($U$1006:Y1006),$U$1006:$AC$1006,0)), HYPERLINK("#",""), HYPERLINK(CONCATENATE("#metadata!", ADDRESS(INDEX($P$2:$P$1001,MATCH(ROWS($N$2:N468),$N$2:$N$1001,0),0), INDEX($U$1004:$AC$1004,1,MATCH(COLUMNS($U$1006:Y1006),$U$1006:$AC$1006,0)))),"Fix")))</f>
        <v>0</v>
      </c>
      <c r="G468" s="3">
        <f>IF(OR(INDEX($O$2:$O$1001,MATCH(ROWS($N$2:N468),$N$2:$N$1001,0),1)&gt;=100000,INDEX($U$1005:$AC$1005,1,MATCH(COLUMNS($U$1006:Z1006),$U$1006:$AC$1006,0))&gt;=100000), " ",IF(INDEX($U$2:$AC$1001,MATCH(ROWS($N$2:N468),$N$2:$N$1001,0),MATCH(COLUMNS($U$1006:Z1006),$U$1006:$AC$1006,0)), HYPERLINK("#",""), HYPERLINK(CONCATENATE("#metadata!", ADDRESS(INDEX($P$2:$P$1001,MATCH(ROWS($N$2:N468),$N$2:$N$1001,0),0), INDEX($U$1004:$AC$1004,1,MATCH(COLUMNS($U$1006:Z1006),$U$1006:$AC$1006,0)))),"Fix")))</f>
        <v>0</v>
      </c>
      <c r="H468" s="3">
        <f>IF(OR(INDEX($O$2:$O$1001,MATCH(ROWS($N$2:N468),$N$2:$N$1001,0),1)&gt;=100000,INDEX($U$1005:$AC$1005,1,MATCH(COLUMNS($U$1006:AA1006),$U$1006:$AC$1006,0))&gt;=100000), " ",IF(INDEX($U$2:$AC$1001,MATCH(ROWS($N$2:N468),$N$2:$N$1001,0),MATCH(COLUMNS($U$1006:AA1006),$U$1006:$AC$1006,0)), HYPERLINK("#",""), HYPERLINK(CONCATENATE("#metadata!", ADDRESS(INDEX($P$2:$P$1001,MATCH(ROWS($N$2:N468),$N$2:$N$1001,0),0), INDEX($U$1004:$AC$1004,1,MATCH(COLUMNS($U$1006:AA1006),$U$1006:$AC$1006,0)))),"Fix")))</f>
        <v>0</v>
      </c>
      <c r="I468" s="3">
        <f>IF(OR(INDEX($O$2:$O$1001,MATCH(ROWS($N$2:N468),$N$2:$N$1001,0),1)&gt;=100000,INDEX($U$1005:$AC$1005,1,MATCH(COLUMNS($U$1006:AB1006),$U$1006:$AC$1006,0))&gt;=100000), " ",IF(INDEX($U$2:$AC$1001,MATCH(ROWS($N$2:N468),$N$2:$N$1001,0),MATCH(COLUMNS($U$1006:AB1006),$U$1006:$AC$1006,0)), HYPERLINK("#",""), HYPERLINK(CONCATENATE("#metadata!", ADDRESS(INDEX($P$2:$P$1001,MATCH(ROWS($N$2:N468),$N$2:$N$1001,0),0), INDEX($U$1004:$AC$1004,1,MATCH(COLUMNS($U$1006:AB1006),$U$1006:$AC$1006,0)))),"Fix")))</f>
        <v>0</v>
      </c>
      <c r="J468" s="3">
        <f>IF(OR(INDEX($O$2:$O$1001,MATCH(ROWS($N$2:N468),$N$2:$N$1001,0),1)&gt;=100000,INDEX($U$1005:$AC$1005,1,MATCH(COLUMNS($U$1006:AC1006),$U$1006:$AC$1006,0))&gt;=100000), " ",IF(INDEX($U$2:$AC$1001,MATCH(ROWS($N$2:N468),$N$2:$N$1001,0),MATCH(COLUMNS($U$1006:AC1006),$U$1006:$AC$1006,0)), HYPERLINK("#",""), HYPERLINK(CONCATENATE("#metadata!", ADDRESS(INDEX($P$2:$P$1001,MATCH(ROWS($N$2:N468),$N$2:$N$1001,0),0), INDEX($U$1004:$AC$1004,1,MATCH(COLUMNS($U$1006:AC1006),$U$1006:$AC$1006,0)))),"Fix")))</f>
        <v>0</v>
      </c>
      <c r="N468">
        <v>0</v>
      </c>
      <c r="O468">
        <v>0</v>
      </c>
      <c r="P468">
        <v>0</v>
      </c>
      <c r="Q468">
        <f>IF(R468,TRUE,AND(U468:AC468))</f>
        <v>0</v>
      </c>
      <c r="R468">
        <f>COUNTBLANK(metadata!B468:J468)=COLUMNS(metadata!B468:J468)</f>
        <v>0</v>
      </c>
      <c r="S468">
        <v>0</v>
      </c>
      <c r="U468">
        <f>AND(IF(metadata!B468="",FALSE,TRUE),COUNTIF(metadata!B:B, metadata!B468) = 1,NOT(ISERROR(SUMPRODUCT(SEARCH(MID(metadata!B468,ROW(INDIRECT("1:"&amp;LEN(metadata!B468))), 1),"0123456789abcdefghijklmnopqrstuvwxyzABCDEFGHIJKLMNOPQRSTUVWXYZ.")))))</f>
        <v>0</v>
      </c>
      <c r="V468">
        <f>AND(IF(metadata!C468="",FALSE,TRUE),exact(metadata!C468,"UBERON:genitourinary"))</f>
        <v>0</v>
      </c>
      <c r="W468">
        <f>AND(IF(metadata!D468="",FALSE,TRUE),exact(metadata!D468,"UBERON:urine"))</f>
        <v>0</v>
      </c>
      <c r="X468">
        <f>AND(IF(metadata!E468="",FALSE,TRUE),exact(metadata!E468,"UBERON:kidney"))</f>
        <v>0</v>
      </c>
      <c r="Y468">
        <f>AND(IF(metadata!F468="",FALSE,TRUE),exact(metadata!F468,"animal corpus"))</f>
        <v>0</v>
      </c>
      <c r="Z468">
        <f>AND(IF(metadata!G468="",FALSE,TRUE),exact(metadata!G468,"urine"))</f>
        <v>0</v>
      </c>
      <c r="AA468">
        <f>AND(IF(metadata!H468="",FALSE,TRUE),exact(metadata!H468,"urine"))</f>
        <v>0</v>
      </c>
      <c r="AB468">
        <f>AND(IF(metadata!I468="",FALSE,TRUE),exact(metadata!I468,"urine metagenome"))</f>
        <v>0</v>
      </c>
      <c r="AC468">
        <f>AND(IF(metadata!J468="",FALSE,TRUE),exact(metadata!J468,"1346744"))</f>
        <v>0</v>
      </c>
    </row>
    <row r="469" spans="1:29">
      <c r="A469" s="4">
        <f>IF(B469=" "," ",HYPERLINK(CONCATENATE("#metadata!",ADDRESS(INDEX($P$2:$P$1001,MATCH(ROWS($N$2:N469),$N$2:$N$1001,0),0),1)),INDEX($S$2:$S$1001,MATCH(ROWS($N$2:N469),$N$2:$N$1001,0),0)))</f>
        <v>0</v>
      </c>
      <c r="B469" s="3">
        <f>IF(OR(INDEX($O$2:$O$1001,MATCH(ROWS($N$2:N469),$N$2:$N$1001,0),1)&gt;=100000,INDEX($U$1005:$AC$1005,1,MATCH(COLUMNS($U$1006:U1006),$U$1006:$AC$1006,0))&gt;=100000), " ",IF(INDEX($U$2:$AC$1001,MATCH(ROWS($N$2:N469),$N$2:$N$1001,0),MATCH(COLUMNS($U$1006:U1006),$U$1006:$AC$1006,0)), HYPERLINK("#",""), HYPERLINK(CONCATENATE("#metadata!", ADDRESS(INDEX($P$2:$P$1001,MATCH(ROWS($N$2:N469),$N$2:$N$1001,0),0), INDEX($U$1004:$AC$1004,1,MATCH(COLUMNS($U$1006:U1006),$U$1006:$AC$1006,0)))),"Fix")))</f>
        <v>0</v>
      </c>
      <c r="C469" s="3">
        <f>IF(OR(INDEX($O$2:$O$1001,MATCH(ROWS($N$2:N469),$N$2:$N$1001,0),1)&gt;=100000,INDEX($U$1005:$AC$1005,1,MATCH(COLUMNS($U$1006:V1006),$U$1006:$AC$1006,0))&gt;=100000), " ",IF(INDEX($U$2:$AC$1001,MATCH(ROWS($N$2:N469),$N$2:$N$1001,0),MATCH(COLUMNS($U$1006:V1006),$U$1006:$AC$1006,0)), HYPERLINK("#",""), HYPERLINK(CONCATENATE("#metadata!", ADDRESS(INDEX($P$2:$P$1001,MATCH(ROWS($N$2:N469),$N$2:$N$1001,0),0), INDEX($U$1004:$AC$1004,1,MATCH(COLUMNS($U$1006:V1006),$U$1006:$AC$1006,0)))),"Fix")))</f>
        <v>0</v>
      </c>
      <c r="D469" s="3">
        <f>IF(OR(INDEX($O$2:$O$1001,MATCH(ROWS($N$2:N469),$N$2:$N$1001,0),1)&gt;=100000,INDEX($U$1005:$AC$1005,1,MATCH(COLUMNS($U$1006:W1006),$U$1006:$AC$1006,0))&gt;=100000), " ",IF(INDEX($U$2:$AC$1001,MATCH(ROWS($N$2:N469),$N$2:$N$1001,0),MATCH(COLUMNS($U$1006:W1006),$U$1006:$AC$1006,0)), HYPERLINK("#",""), HYPERLINK(CONCATENATE("#metadata!", ADDRESS(INDEX($P$2:$P$1001,MATCH(ROWS($N$2:N469),$N$2:$N$1001,0),0), INDEX($U$1004:$AC$1004,1,MATCH(COLUMNS($U$1006:W1006),$U$1006:$AC$1006,0)))),"Fix")))</f>
        <v>0</v>
      </c>
      <c r="E469" s="3">
        <f>IF(OR(INDEX($O$2:$O$1001,MATCH(ROWS($N$2:N469),$N$2:$N$1001,0),1)&gt;=100000,INDEX($U$1005:$AC$1005,1,MATCH(COLUMNS($U$1006:X1006),$U$1006:$AC$1006,0))&gt;=100000), " ",IF(INDEX($U$2:$AC$1001,MATCH(ROWS($N$2:N469),$N$2:$N$1001,0),MATCH(COLUMNS($U$1006:X1006),$U$1006:$AC$1006,0)), HYPERLINK("#",""), HYPERLINK(CONCATENATE("#metadata!", ADDRESS(INDEX($P$2:$P$1001,MATCH(ROWS($N$2:N469),$N$2:$N$1001,0),0), INDEX($U$1004:$AC$1004,1,MATCH(COLUMNS($U$1006:X1006),$U$1006:$AC$1006,0)))),"Fix")))</f>
        <v>0</v>
      </c>
      <c r="F469" s="3">
        <f>IF(OR(INDEX($O$2:$O$1001,MATCH(ROWS($N$2:N469),$N$2:$N$1001,0),1)&gt;=100000,INDEX($U$1005:$AC$1005,1,MATCH(COLUMNS($U$1006:Y1006),$U$1006:$AC$1006,0))&gt;=100000), " ",IF(INDEX($U$2:$AC$1001,MATCH(ROWS($N$2:N469),$N$2:$N$1001,0),MATCH(COLUMNS($U$1006:Y1006),$U$1006:$AC$1006,0)), HYPERLINK("#",""), HYPERLINK(CONCATENATE("#metadata!", ADDRESS(INDEX($P$2:$P$1001,MATCH(ROWS($N$2:N469),$N$2:$N$1001,0),0), INDEX($U$1004:$AC$1004,1,MATCH(COLUMNS($U$1006:Y1006),$U$1006:$AC$1006,0)))),"Fix")))</f>
        <v>0</v>
      </c>
      <c r="G469" s="3">
        <f>IF(OR(INDEX($O$2:$O$1001,MATCH(ROWS($N$2:N469),$N$2:$N$1001,0),1)&gt;=100000,INDEX($U$1005:$AC$1005,1,MATCH(COLUMNS($U$1006:Z1006),$U$1006:$AC$1006,0))&gt;=100000), " ",IF(INDEX($U$2:$AC$1001,MATCH(ROWS($N$2:N469),$N$2:$N$1001,0),MATCH(COLUMNS($U$1006:Z1006),$U$1006:$AC$1006,0)), HYPERLINK("#",""), HYPERLINK(CONCATENATE("#metadata!", ADDRESS(INDEX($P$2:$P$1001,MATCH(ROWS($N$2:N469),$N$2:$N$1001,0),0), INDEX($U$1004:$AC$1004,1,MATCH(COLUMNS($U$1006:Z1006),$U$1006:$AC$1006,0)))),"Fix")))</f>
        <v>0</v>
      </c>
      <c r="H469" s="3">
        <f>IF(OR(INDEX($O$2:$O$1001,MATCH(ROWS($N$2:N469),$N$2:$N$1001,0),1)&gt;=100000,INDEX($U$1005:$AC$1005,1,MATCH(COLUMNS($U$1006:AA1006),$U$1006:$AC$1006,0))&gt;=100000), " ",IF(INDEX($U$2:$AC$1001,MATCH(ROWS($N$2:N469),$N$2:$N$1001,0),MATCH(COLUMNS($U$1006:AA1006),$U$1006:$AC$1006,0)), HYPERLINK("#",""), HYPERLINK(CONCATENATE("#metadata!", ADDRESS(INDEX($P$2:$P$1001,MATCH(ROWS($N$2:N469),$N$2:$N$1001,0),0), INDEX($U$1004:$AC$1004,1,MATCH(COLUMNS($U$1006:AA1006),$U$1006:$AC$1006,0)))),"Fix")))</f>
        <v>0</v>
      </c>
      <c r="I469" s="3">
        <f>IF(OR(INDEX($O$2:$O$1001,MATCH(ROWS($N$2:N469),$N$2:$N$1001,0),1)&gt;=100000,INDEX($U$1005:$AC$1005,1,MATCH(COLUMNS($U$1006:AB1006),$U$1006:$AC$1006,0))&gt;=100000), " ",IF(INDEX($U$2:$AC$1001,MATCH(ROWS($N$2:N469),$N$2:$N$1001,0),MATCH(COLUMNS($U$1006:AB1006),$U$1006:$AC$1006,0)), HYPERLINK("#",""), HYPERLINK(CONCATENATE("#metadata!", ADDRESS(INDEX($P$2:$P$1001,MATCH(ROWS($N$2:N469),$N$2:$N$1001,0),0), INDEX($U$1004:$AC$1004,1,MATCH(COLUMNS($U$1006:AB1006),$U$1006:$AC$1006,0)))),"Fix")))</f>
        <v>0</v>
      </c>
      <c r="J469" s="3">
        <f>IF(OR(INDEX($O$2:$O$1001,MATCH(ROWS($N$2:N469),$N$2:$N$1001,0),1)&gt;=100000,INDEX($U$1005:$AC$1005,1,MATCH(COLUMNS($U$1006:AC1006),$U$1006:$AC$1006,0))&gt;=100000), " ",IF(INDEX($U$2:$AC$1001,MATCH(ROWS($N$2:N469),$N$2:$N$1001,0),MATCH(COLUMNS($U$1006:AC1006),$U$1006:$AC$1006,0)), HYPERLINK("#",""), HYPERLINK(CONCATENATE("#metadata!", ADDRESS(INDEX($P$2:$P$1001,MATCH(ROWS($N$2:N469),$N$2:$N$1001,0),0), INDEX($U$1004:$AC$1004,1,MATCH(COLUMNS($U$1006:AC1006),$U$1006:$AC$1006,0)))),"Fix")))</f>
        <v>0</v>
      </c>
      <c r="N469">
        <v>0</v>
      </c>
      <c r="O469">
        <v>0</v>
      </c>
      <c r="P469">
        <v>0</v>
      </c>
      <c r="Q469">
        <f>IF(R469,TRUE,AND(U469:AC469))</f>
        <v>0</v>
      </c>
      <c r="R469">
        <f>COUNTBLANK(metadata!B469:J469)=COLUMNS(metadata!B469:J469)</f>
        <v>0</v>
      </c>
      <c r="S469">
        <v>0</v>
      </c>
      <c r="U469">
        <f>AND(IF(metadata!B469="",FALSE,TRUE),COUNTIF(metadata!B:B, metadata!B469) = 1,NOT(ISERROR(SUMPRODUCT(SEARCH(MID(metadata!B469,ROW(INDIRECT("1:"&amp;LEN(metadata!B469))), 1),"0123456789abcdefghijklmnopqrstuvwxyzABCDEFGHIJKLMNOPQRSTUVWXYZ.")))))</f>
        <v>0</v>
      </c>
      <c r="V469">
        <f>AND(IF(metadata!C469="",FALSE,TRUE),exact(metadata!C469,"UBERON:genitourinary"))</f>
        <v>0</v>
      </c>
      <c r="W469">
        <f>AND(IF(metadata!D469="",FALSE,TRUE),exact(metadata!D469,"UBERON:urine"))</f>
        <v>0</v>
      </c>
      <c r="X469">
        <f>AND(IF(metadata!E469="",FALSE,TRUE),exact(metadata!E469,"UBERON:kidney"))</f>
        <v>0</v>
      </c>
      <c r="Y469">
        <f>AND(IF(metadata!F469="",FALSE,TRUE),exact(metadata!F469,"animal corpus"))</f>
        <v>0</v>
      </c>
      <c r="Z469">
        <f>AND(IF(metadata!G469="",FALSE,TRUE),exact(metadata!G469,"urine"))</f>
        <v>0</v>
      </c>
      <c r="AA469">
        <f>AND(IF(metadata!H469="",FALSE,TRUE),exact(metadata!H469,"urine"))</f>
        <v>0</v>
      </c>
      <c r="AB469">
        <f>AND(IF(metadata!I469="",FALSE,TRUE),exact(metadata!I469,"urine metagenome"))</f>
        <v>0</v>
      </c>
      <c r="AC469">
        <f>AND(IF(metadata!J469="",FALSE,TRUE),exact(metadata!J469,"1346744"))</f>
        <v>0</v>
      </c>
    </row>
    <row r="470" spans="1:29">
      <c r="A470" s="4">
        <f>IF(B470=" "," ",HYPERLINK(CONCATENATE("#metadata!",ADDRESS(INDEX($P$2:$P$1001,MATCH(ROWS($N$2:N470),$N$2:$N$1001,0),0),1)),INDEX($S$2:$S$1001,MATCH(ROWS($N$2:N470),$N$2:$N$1001,0),0)))</f>
        <v>0</v>
      </c>
      <c r="B470" s="3">
        <f>IF(OR(INDEX($O$2:$O$1001,MATCH(ROWS($N$2:N470),$N$2:$N$1001,0),1)&gt;=100000,INDEX($U$1005:$AC$1005,1,MATCH(COLUMNS($U$1006:U1006),$U$1006:$AC$1006,0))&gt;=100000), " ",IF(INDEX($U$2:$AC$1001,MATCH(ROWS($N$2:N470),$N$2:$N$1001,0),MATCH(COLUMNS($U$1006:U1006),$U$1006:$AC$1006,0)), HYPERLINK("#",""), HYPERLINK(CONCATENATE("#metadata!", ADDRESS(INDEX($P$2:$P$1001,MATCH(ROWS($N$2:N470),$N$2:$N$1001,0),0), INDEX($U$1004:$AC$1004,1,MATCH(COLUMNS($U$1006:U1006),$U$1006:$AC$1006,0)))),"Fix")))</f>
        <v>0</v>
      </c>
      <c r="C470" s="3">
        <f>IF(OR(INDEX($O$2:$O$1001,MATCH(ROWS($N$2:N470),$N$2:$N$1001,0),1)&gt;=100000,INDEX($U$1005:$AC$1005,1,MATCH(COLUMNS($U$1006:V1006),$U$1006:$AC$1006,0))&gt;=100000), " ",IF(INDEX($U$2:$AC$1001,MATCH(ROWS($N$2:N470),$N$2:$N$1001,0),MATCH(COLUMNS($U$1006:V1006),$U$1006:$AC$1006,0)), HYPERLINK("#",""), HYPERLINK(CONCATENATE("#metadata!", ADDRESS(INDEX($P$2:$P$1001,MATCH(ROWS($N$2:N470),$N$2:$N$1001,0),0), INDEX($U$1004:$AC$1004,1,MATCH(COLUMNS($U$1006:V1006),$U$1006:$AC$1006,0)))),"Fix")))</f>
        <v>0</v>
      </c>
      <c r="D470" s="3">
        <f>IF(OR(INDEX($O$2:$O$1001,MATCH(ROWS($N$2:N470),$N$2:$N$1001,0),1)&gt;=100000,INDEX($U$1005:$AC$1005,1,MATCH(COLUMNS($U$1006:W1006),$U$1006:$AC$1006,0))&gt;=100000), " ",IF(INDEX($U$2:$AC$1001,MATCH(ROWS($N$2:N470),$N$2:$N$1001,0),MATCH(COLUMNS($U$1006:W1006),$U$1006:$AC$1006,0)), HYPERLINK("#",""), HYPERLINK(CONCATENATE("#metadata!", ADDRESS(INDEX($P$2:$P$1001,MATCH(ROWS($N$2:N470),$N$2:$N$1001,0),0), INDEX($U$1004:$AC$1004,1,MATCH(COLUMNS($U$1006:W1006),$U$1006:$AC$1006,0)))),"Fix")))</f>
        <v>0</v>
      </c>
      <c r="E470" s="3">
        <f>IF(OR(INDEX($O$2:$O$1001,MATCH(ROWS($N$2:N470),$N$2:$N$1001,0),1)&gt;=100000,INDEX($U$1005:$AC$1005,1,MATCH(COLUMNS($U$1006:X1006),$U$1006:$AC$1006,0))&gt;=100000), " ",IF(INDEX($U$2:$AC$1001,MATCH(ROWS($N$2:N470),$N$2:$N$1001,0),MATCH(COLUMNS($U$1006:X1006),$U$1006:$AC$1006,0)), HYPERLINK("#",""), HYPERLINK(CONCATENATE("#metadata!", ADDRESS(INDEX($P$2:$P$1001,MATCH(ROWS($N$2:N470),$N$2:$N$1001,0),0), INDEX($U$1004:$AC$1004,1,MATCH(COLUMNS($U$1006:X1006),$U$1006:$AC$1006,0)))),"Fix")))</f>
        <v>0</v>
      </c>
      <c r="F470" s="3">
        <f>IF(OR(INDEX($O$2:$O$1001,MATCH(ROWS($N$2:N470),$N$2:$N$1001,0),1)&gt;=100000,INDEX($U$1005:$AC$1005,1,MATCH(COLUMNS($U$1006:Y1006),$U$1006:$AC$1006,0))&gt;=100000), " ",IF(INDEX($U$2:$AC$1001,MATCH(ROWS($N$2:N470),$N$2:$N$1001,0),MATCH(COLUMNS($U$1006:Y1006),$U$1006:$AC$1006,0)), HYPERLINK("#",""), HYPERLINK(CONCATENATE("#metadata!", ADDRESS(INDEX($P$2:$P$1001,MATCH(ROWS($N$2:N470),$N$2:$N$1001,0),0), INDEX($U$1004:$AC$1004,1,MATCH(COLUMNS($U$1006:Y1006),$U$1006:$AC$1006,0)))),"Fix")))</f>
        <v>0</v>
      </c>
      <c r="G470" s="3">
        <f>IF(OR(INDEX($O$2:$O$1001,MATCH(ROWS($N$2:N470),$N$2:$N$1001,0),1)&gt;=100000,INDEX($U$1005:$AC$1005,1,MATCH(COLUMNS($U$1006:Z1006),$U$1006:$AC$1006,0))&gt;=100000), " ",IF(INDEX($U$2:$AC$1001,MATCH(ROWS($N$2:N470),$N$2:$N$1001,0),MATCH(COLUMNS($U$1006:Z1006),$U$1006:$AC$1006,0)), HYPERLINK("#",""), HYPERLINK(CONCATENATE("#metadata!", ADDRESS(INDEX($P$2:$P$1001,MATCH(ROWS($N$2:N470),$N$2:$N$1001,0),0), INDEX($U$1004:$AC$1004,1,MATCH(COLUMNS($U$1006:Z1006),$U$1006:$AC$1006,0)))),"Fix")))</f>
        <v>0</v>
      </c>
      <c r="H470" s="3">
        <f>IF(OR(INDEX($O$2:$O$1001,MATCH(ROWS($N$2:N470),$N$2:$N$1001,0),1)&gt;=100000,INDEX($U$1005:$AC$1005,1,MATCH(COLUMNS($U$1006:AA1006),$U$1006:$AC$1006,0))&gt;=100000), " ",IF(INDEX($U$2:$AC$1001,MATCH(ROWS($N$2:N470),$N$2:$N$1001,0),MATCH(COLUMNS($U$1006:AA1006),$U$1006:$AC$1006,0)), HYPERLINK("#",""), HYPERLINK(CONCATENATE("#metadata!", ADDRESS(INDEX($P$2:$P$1001,MATCH(ROWS($N$2:N470),$N$2:$N$1001,0),0), INDEX($U$1004:$AC$1004,1,MATCH(COLUMNS($U$1006:AA1006),$U$1006:$AC$1006,0)))),"Fix")))</f>
        <v>0</v>
      </c>
      <c r="I470" s="3">
        <f>IF(OR(INDEX($O$2:$O$1001,MATCH(ROWS($N$2:N470),$N$2:$N$1001,0),1)&gt;=100000,INDEX($U$1005:$AC$1005,1,MATCH(COLUMNS($U$1006:AB1006),$U$1006:$AC$1006,0))&gt;=100000), " ",IF(INDEX($U$2:$AC$1001,MATCH(ROWS($N$2:N470),$N$2:$N$1001,0),MATCH(COLUMNS($U$1006:AB1006),$U$1006:$AC$1006,0)), HYPERLINK("#",""), HYPERLINK(CONCATENATE("#metadata!", ADDRESS(INDEX($P$2:$P$1001,MATCH(ROWS($N$2:N470),$N$2:$N$1001,0),0), INDEX($U$1004:$AC$1004,1,MATCH(COLUMNS($U$1006:AB1006),$U$1006:$AC$1006,0)))),"Fix")))</f>
        <v>0</v>
      </c>
      <c r="J470" s="3">
        <f>IF(OR(INDEX($O$2:$O$1001,MATCH(ROWS($N$2:N470),$N$2:$N$1001,0),1)&gt;=100000,INDEX($U$1005:$AC$1005,1,MATCH(COLUMNS($U$1006:AC1006),$U$1006:$AC$1006,0))&gt;=100000), " ",IF(INDEX($U$2:$AC$1001,MATCH(ROWS($N$2:N470),$N$2:$N$1001,0),MATCH(COLUMNS($U$1006:AC1006),$U$1006:$AC$1006,0)), HYPERLINK("#",""), HYPERLINK(CONCATENATE("#metadata!", ADDRESS(INDEX($P$2:$P$1001,MATCH(ROWS($N$2:N470),$N$2:$N$1001,0),0), INDEX($U$1004:$AC$1004,1,MATCH(COLUMNS($U$1006:AC1006),$U$1006:$AC$1006,0)))),"Fix")))</f>
        <v>0</v>
      </c>
      <c r="N470">
        <v>0</v>
      </c>
      <c r="O470">
        <v>0</v>
      </c>
      <c r="P470">
        <v>0</v>
      </c>
      <c r="Q470">
        <f>IF(R470,TRUE,AND(U470:AC470))</f>
        <v>0</v>
      </c>
      <c r="R470">
        <f>COUNTBLANK(metadata!B470:J470)=COLUMNS(metadata!B470:J470)</f>
        <v>0</v>
      </c>
      <c r="S470">
        <v>0</v>
      </c>
      <c r="U470">
        <f>AND(IF(metadata!B470="",FALSE,TRUE),COUNTIF(metadata!B:B, metadata!B470) = 1,NOT(ISERROR(SUMPRODUCT(SEARCH(MID(metadata!B470,ROW(INDIRECT("1:"&amp;LEN(metadata!B470))), 1),"0123456789abcdefghijklmnopqrstuvwxyzABCDEFGHIJKLMNOPQRSTUVWXYZ.")))))</f>
        <v>0</v>
      </c>
      <c r="V470">
        <f>AND(IF(metadata!C470="",FALSE,TRUE),exact(metadata!C470,"UBERON:genitourinary"))</f>
        <v>0</v>
      </c>
      <c r="W470">
        <f>AND(IF(metadata!D470="",FALSE,TRUE),exact(metadata!D470,"UBERON:urine"))</f>
        <v>0</v>
      </c>
      <c r="X470">
        <f>AND(IF(metadata!E470="",FALSE,TRUE),exact(metadata!E470,"UBERON:kidney"))</f>
        <v>0</v>
      </c>
      <c r="Y470">
        <f>AND(IF(metadata!F470="",FALSE,TRUE),exact(metadata!F470,"animal corpus"))</f>
        <v>0</v>
      </c>
      <c r="Z470">
        <f>AND(IF(metadata!G470="",FALSE,TRUE),exact(metadata!G470,"urine"))</f>
        <v>0</v>
      </c>
      <c r="AA470">
        <f>AND(IF(metadata!H470="",FALSE,TRUE),exact(metadata!H470,"urine"))</f>
        <v>0</v>
      </c>
      <c r="AB470">
        <f>AND(IF(metadata!I470="",FALSE,TRUE),exact(metadata!I470,"urine metagenome"))</f>
        <v>0</v>
      </c>
      <c r="AC470">
        <f>AND(IF(metadata!J470="",FALSE,TRUE),exact(metadata!J470,"1346744"))</f>
        <v>0</v>
      </c>
    </row>
    <row r="471" spans="1:29">
      <c r="A471" s="4">
        <f>IF(B471=" "," ",HYPERLINK(CONCATENATE("#metadata!",ADDRESS(INDEX($P$2:$P$1001,MATCH(ROWS($N$2:N471),$N$2:$N$1001,0),0),1)),INDEX($S$2:$S$1001,MATCH(ROWS($N$2:N471),$N$2:$N$1001,0),0)))</f>
        <v>0</v>
      </c>
      <c r="B471" s="3">
        <f>IF(OR(INDEX($O$2:$O$1001,MATCH(ROWS($N$2:N471),$N$2:$N$1001,0),1)&gt;=100000,INDEX($U$1005:$AC$1005,1,MATCH(COLUMNS($U$1006:U1006),$U$1006:$AC$1006,0))&gt;=100000), " ",IF(INDEX($U$2:$AC$1001,MATCH(ROWS($N$2:N471),$N$2:$N$1001,0),MATCH(COLUMNS($U$1006:U1006),$U$1006:$AC$1006,0)), HYPERLINK("#",""), HYPERLINK(CONCATENATE("#metadata!", ADDRESS(INDEX($P$2:$P$1001,MATCH(ROWS($N$2:N471),$N$2:$N$1001,0),0), INDEX($U$1004:$AC$1004,1,MATCH(COLUMNS($U$1006:U1006),$U$1006:$AC$1006,0)))),"Fix")))</f>
        <v>0</v>
      </c>
      <c r="C471" s="3">
        <f>IF(OR(INDEX($O$2:$O$1001,MATCH(ROWS($N$2:N471),$N$2:$N$1001,0),1)&gt;=100000,INDEX($U$1005:$AC$1005,1,MATCH(COLUMNS($U$1006:V1006),$U$1006:$AC$1006,0))&gt;=100000), " ",IF(INDEX($U$2:$AC$1001,MATCH(ROWS($N$2:N471),$N$2:$N$1001,0),MATCH(COLUMNS($U$1006:V1006),$U$1006:$AC$1006,0)), HYPERLINK("#",""), HYPERLINK(CONCATENATE("#metadata!", ADDRESS(INDEX($P$2:$P$1001,MATCH(ROWS($N$2:N471),$N$2:$N$1001,0),0), INDEX($U$1004:$AC$1004,1,MATCH(COLUMNS($U$1006:V1006),$U$1006:$AC$1006,0)))),"Fix")))</f>
        <v>0</v>
      </c>
      <c r="D471" s="3">
        <f>IF(OR(INDEX($O$2:$O$1001,MATCH(ROWS($N$2:N471),$N$2:$N$1001,0),1)&gt;=100000,INDEX($U$1005:$AC$1005,1,MATCH(COLUMNS($U$1006:W1006),$U$1006:$AC$1006,0))&gt;=100000), " ",IF(INDEX($U$2:$AC$1001,MATCH(ROWS($N$2:N471),$N$2:$N$1001,0),MATCH(COLUMNS($U$1006:W1006),$U$1006:$AC$1006,0)), HYPERLINK("#",""), HYPERLINK(CONCATENATE("#metadata!", ADDRESS(INDEX($P$2:$P$1001,MATCH(ROWS($N$2:N471),$N$2:$N$1001,0),0), INDEX($U$1004:$AC$1004,1,MATCH(COLUMNS($U$1006:W1006),$U$1006:$AC$1006,0)))),"Fix")))</f>
        <v>0</v>
      </c>
      <c r="E471" s="3">
        <f>IF(OR(INDEX($O$2:$O$1001,MATCH(ROWS($N$2:N471),$N$2:$N$1001,0),1)&gt;=100000,INDEX($U$1005:$AC$1005,1,MATCH(COLUMNS($U$1006:X1006),$U$1006:$AC$1006,0))&gt;=100000), " ",IF(INDEX($U$2:$AC$1001,MATCH(ROWS($N$2:N471),$N$2:$N$1001,0),MATCH(COLUMNS($U$1006:X1006),$U$1006:$AC$1006,0)), HYPERLINK("#",""), HYPERLINK(CONCATENATE("#metadata!", ADDRESS(INDEX($P$2:$P$1001,MATCH(ROWS($N$2:N471),$N$2:$N$1001,0),0), INDEX($U$1004:$AC$1004,1,MATCH(COLUMNS($U$1006:X1006),$U$1006:$AC$1006,0)))),"Fix")))</f>
        <v>0</v>
      </c>
      <c r="F471" s="3">
        <f>IF(OR(INDEX($O$2:$O$1001,MATCH(ROWS($N$2:N471),$N$2:$N$1001,0),1)&gt;=100000,INDEX($U$1005:$AC$1005,1,MATCH(COLUMNS($U$1006:Y1006),$U$1006:$AC$1006,0))&gt;=100000), " ",IF(INDEX($U$2:$AC$1001,MATCH(ROWS($N$2:N471),$N$2:$N$1001,0),MATCH(COLUMNS($U$1006:Y1006),$U$1006:$AC$1006,0)), HYPERLINK("#",""), HYPERLINK(CONCATENATE("#metadata!", ADDRESS(INDEX($P$2:$P$1001,MATCH(ROWS($N$2:N471),$N$2:$N$1001,0),0), INDEX($U$1004:$AC$1004,1,MATCH(COLUMNS($U$1006:Y1006),$U$1006:$AC$1006,0)))),"Fix")))</f>
        <v>0</v>
      </c>
      <c r="G471" s="3">
        <f>IF(OR(INDEX($O$2:$O$1001,MATCH(ROWS($N$2:N471),$N$2:$N$1001,0),1)&gt;=100000,INDEX($U$1005:$AC$1005,1,MATCH(COLUMNS($U$1006:Z1006),$U$1006:$AC$1006,0))&gt;=100000), " ",IF(INDEX($U$2:$AC$1001,MATCH(ROWS($N$2:N471),$N$2:$N$1001,0),MATCH(COLUMNS($U$1006:Z1006),$U$1006:$AC$1006,0)), HYPERLINK("#",""), HYPERLINK(CONCATENATE("#metadata!", ADDRESS(INDEX($P$2:$P$1001,MATCH(ROWS($N$2:N471),$N$2:$N$1001,0),0), INDEX($U$1004:$AC$1004,1,MATCH(COLUMNS($U$1006:Z1006),$U$1006:$AC$1006,0)))),"Fix")))</f>
        <v>0</v>
      </c>
      <c r="H471" s="3">
        <f>IF(OR(INDEX($O$2:$O$1001,MATCH(ROWS($N$2:N471),$N$2:$N$1001,0),1)&gt;=100000,INDEX($U$1005:$AC$1005,1,MATCH(COLUMNS($U$1006:AA1006),$U$1006:$AC$1006,0))&gt;=100000), " ",IF(INDEX($U$2:$AC$1001,MATCH(ROWS($N$2:N471),$N$2:$N$1001,0),MATCH(COLUMNS($U$1006:AA1006),$U$1006:$AC$1006,0)), HYPERLINK("#",""), HYPERLINK(CONCATENATE("#metadata!", ADDRESS(INDEX($P$2:$P$1001,MATCH(ROWS($N$2:N471),$N$2:$N$1001,0),0), INDEX($U$1004:$AC$1004,1,MATCH(COLUMNS($U$1006:AA1006),$U$1006:$AC$1006,0)))),"Fix")))</f>
        <v>0</v>
      </c>
      <c r="I471" s="3">
        <f>IF(OR(INDEX($O$2:$O$1001,MATCH(ROWS($N$2:N471),$N$2:$N$1001,0),1)&gt;=100000,INDEX($U$1005:$AC$1005,1,MATCH(COLUMNS($U$1006:AB1006),$U$1006:$AC$1006,0))&gt;=100000), " ",IF(INDEX($U$2:$AC$1001,MATCH(ROWS($N$2:N471),$N$2:$N$1001,0),MATCH(COLUMNS($U$1006:AB1006),$U$1006:$AC$1006,0)), HYPERLINK("#",""), HYPERLINK(CONCATENATE("#metadata!", ADDRESS(INDEX($P$2:$P$1001,MATCH(ROWS($N$2:N471),$N$2:$N$1001,0),0), INDEX($U$1004:$AC$1004,1,MATCH(COLUMNS($U$1006:AB1006),$U$1006:$AC$1006,0)))),"Fix")))</f>
        <v>0</v>
      </c>
      <c r="J471" s="3">
        <f>IF(OR(INDEX($O$2:$O$1001,MATCH(ROWS($N$2:N471),$N$2:$N$1001,0),1)&gt;=100000,INDEX($U$1005:$AC$1005,1,MATCH(COLUMNS($U$1006:AC1006),$U$1006:$AC$1006,0))&gt;=100000), " ",IF(INDEX($U$2:$AC$1001,MATCH(ROWS($N$2:N471),$N$2:$N$1001,0),MATCH(COLUMNS($U$1006:AC1006),$U$1006:$AC$1006,0)), HYPERLINK("#",""), HYPERLINK(CONCATENATE("#metadata!", ADDRESS(INDEX($P$2:$P$1001,MATCH(ROWS($N$2:N471),$N$2:$N$1001,0),0), INDEX($U$1004:$AC$1004,1,MATCH(COLUMNS($U$1006:AC1006),$U$1006:$AC$1006,0)))),"Fix")))</f>
        <v>0</v>
      </c>
      <c r="N471">
        <v>0</v>
      </c>
      <c r="O471">
        <v>0</v>
      </c>
      <c r="P471">
        <v>0</v>
      </c>
      <c r="Q471">
        <f>IF(R471,TRUE,AND(U471:AC471))</f>
        <v>0</v>
      </c>
      <c r="R471">
        <f>COUNTBLANK(metadata!B471:J471)=COLUMNS(metadata!B471:J471)</f>
        <v>0</v>
      </c>
      <c r="S471">
        <v>0</v>
      </c>
      <c r="U471">
        <f>AND(IF(metadata!B471="",FALSE,TRUE),COUNTIF(metadata!B:B, metadata!B471) = 1,NOT(ISERROR(SUMPRODUCT(SEARCH(MID(metadata!B471,ROW(INDIRECT("1:"&amp;LEN(metadata!B471))), 1),"0123456789abcdefghijklmnopqrstuvwxyzABCDEFGHIJKLMNOPQRSTUVWXYZ.")))))</f>
        <v>0</v>
      </c>
      <c r="V471">
        <f>AND(IF(metadata!C471="",FALSE,TRUE),exact(metadata!C471,"UBERON:genitourinary"))</f>
        <v>0</v>
      </c>
      <c r="W471">
        <f>AND(IF(metadata!D471="",FALSE,TRUE),exact(metadata!D471,"UBERON:urine"))</f>
        <v>0</v>
      </c>
      <c r="X471">
        <f>AND(IF(metadata!E471="",FALSE,TRUE),exact(metadata!E471,"UBERON:kidney"))</f>
        <v>0</v>
      </c>
      <c r="Y471">
        <f>AND(IF(metadata!F471="",FALSE,TRUE),exact(metadata!F471,"animal corpus"))</f>
        <v>0</v>
      </c>
      <c r="Z471">
        <f>AND(IF(metadata!G471="",FALSE,TRUE),exact(metadata!G471,"urine"))</f>
        <v>0</v>
      </c>
      <c r="AA471">
        <f>AND(IF(metadata!H471="",FALSE,TRUE),exact(metadata!H471,"urine"))</f>
        <v>0</v>
      </c>
      <c r="AB471">
        <f>AND(IF(metadata!I471="",FALSE,TRUE),exact(metadata!I471,"urine metagenome"))</f>
        <v>0</v>
      </c>
      <c r="AC471">
        <f>AND(IF(metadata!J471="",FALSE,TRUE),exact(metadata!J471,"1346744"))</f>
        <v>0</v>
      </c>
    </row>
    <row r="472" spans="1:29">
      <c r="A472" s="4">
        <f>IF(B472=" "," ",HYPERLINK(CONCATENATE("#metadata!",ADDRESS(INDEX($P$2:$P$1001,MATCH(ROWS($N$2:N472),$N$2:$N$1001,0),0),1)),INDEX($S$2:$S$1001,MATCH(ROWS($N$2:N472),$N$2:$N$1001,0),0)))</f>
        <v>0</v>
      </c>
      <c r="B472" s="3">
        <f>IF(OR(INDEX($O$2:$O$1001,MATCH(ROWS($N$2:N472),$N$2:$N$1001,0),1)&gt;=100000,INDEX($U$1005:$AC$1005,1,MATCH(COLUMNS($U$1006:U1006),$U$1006:$AC$1006,0))&gt;=100000), " ",IF(INDEX($U$2:$AC$1001,MATCH(ROWS($N$2:N472),$N$2:$N$1001,0),MATCH(COLUMNS($U$1006:U1006),$U$1006:$AC$1006,0)), HYPERLINK("#",""), HYPERLINK(CONCATENATE("#metadata!", ADDRESS(INDEX($P$2:$P$1001,MATCH(ROWS($N$2:N472),$N$2:$N$1001,0),0), INDEX($U$1004:$AC$1004,1,MATCH(COLUMNS($U$1006:U1006),$U$1006:$AC$1006,0)))),"Fix")))</f>
        <v>0</v>
      </c>
      <c r="C472" s="3">
        <f>IF(OR(INDEX($O$2:$O$1001,MATCH(ROWS($N$2:N472),$N$2:$N$1001,0),1)&gt;=100000,INDEX($U$1005:$AC$1005,1,MATCH(COLUMNS($U$1006:V1006),$U$1006:$AC$1006,0))&gt;=100000), " ",IF(INDEX($U$2:$AC$1001,MATCH(ROWS($N$2:N472),$N$2:$N$1001,0),MATCH(COLUMNS($U$1006:V1006),$U$1006:$AC$1006,0)), HYPERLINK("#",""), HYPERLINK(CONCATENATE("#metadata!", ADDRESS(INDEX($P$2:$P$1001,MATCH(ROWS($N$2:N472),$N$2:$N$1001,0),0), INDEX($U$1004:$AC$1004,1,MATCH(COLUMNS($U$1006:V1006),$U$1006:$AC$1006,0)))),"Fix")))</f>
        <v>0</v>
      </c>
      <c r="D472" s="3">
        <f>IF(OR(INDEX($O$2:$O$1001,MATCH(ROWS($N$2:N472),$N$2:$N$1001,0),1)&gt;=100000,INDEX($U$1005:$AC$1005,1,MATCH(COLUMNS($U$1006:W1006),$U$1006:$AC$1006,0))&gt;=100000), " ",IF(INDEX($U$2:$AC$1001,MATCH(ROWS($N$2:N472),$N$2:$N$1001,0),MATCH(COLUMNS($U$1006:W1006),$U$1006:$AC$1006,0)), HYPERLINK("#",""), HYPERLINK(CONCATENATE("#metadata!", ADDRESS(INDEX($P$2:$P$1001,MATCH(ROWS($N$2:N472),$N$2:$N$1001,0),0), INDEX($U$1004:$AC$1004,1,MATCH(COLUMNS($U$1006:W1006),$U$1006:$AC$1006,0)))),"Fix")))</f>
        <v>0</v>
      </c>
      <c r="E472" s="3">
        <f>IF(OR(INDEX($O$2:$O$1001,MATCH(ROWS($N$2:N472),$N$2:$N$1001,0),1)&gt;=100000,INDEX($U$1005:$AC$1005,1,MATCH(COLUMNS($U$1006:X1006),$U$1006:$AC$1006,0))&gt;=100000), " ",IF(INDEX($U$2:$AC$1001,MATCH(ROWS($N$2:N472),$N$2:$N$1001,0),MATCH(COLUMNS($U$1006:X1006),$U$1006:$AC$1006,0)), HYPERLINK("#",""), HYPERLINK(CONCATENATE("#metadata!", ADDRESS(INDEX($P$2:$P$1001,MATCH(ROWS($N$2:N472),$N$2:$N$1001,0),0), INDEX($U$1004:$AC$1004,1,MATCH(COLUMNS($U$1006:X1006),$U$1006:$AC$1006,0)))),"Fix")))</f>
        <v>0</v>
      </c>
      <c r="F472" s="3">
        <f>IF(OR(INDEX($O$2:$O$1001,MATCH(ROWS($N$2:N472),$N$2:$N$1001,0),1)&gt;=100000,INDEX($U$1005:$AC$1005,1,MATCH(COLUMNS($U$1006:Y1006),$U$1006:$AC$1006,0))&gt;=100000), " ",IF(INDEX($U$2:$AC$1001,MATCH(ROWS($N$2:N472),$N$2:$N$1001,0),MATCH(COLUMNS($U$1006:Y1006),$U$1006:$AC$1006,0)), HYPERLINK("#",""), HYPERLINK(CONCATENATE("#metadata!", ADDRESS(INDEX($P$2:$P$1001,MATCH(ROWS($N$2:N472),$N$2:$N$1001,0),0), INDEX($U$1004:$AC$1004,1,MATCH(COLUMNS($U$1006:Y1006),$U$1006:$AC$1006,0)))),"Fix")))</f>
        <v>0</v>
      </c>
      <c r="G472" s="3">
        <f>IF(OR(INDEX($O$2:$O$1001,MATCH(ROWS($N$2:N472),$N$2:$N$1001,0),1)&gt;=100000,INDEX($U$1005:$AC$1005,1,MATCH(COLUMNS($U$1006:Z1006),$U$1006:$AC$1006,0))&gt;=100000), " ",IF(INDEX($U$2:$AC$1001,MATCH(ROWS($N$2:N472),$N$2:$N$1001,0),MATCH(COLUMNS($U$1006:Z1006),$U$1006:$AC$1006,0)), HYPERLINK("#",""), HYPERLINK(CONCATENATE("#metadata!", ADDRESS(INDEX($P$2:$P$1001,MATCH(ROWS($N$2:N472),$N$2:$N$1001,0),0), INDEX($U$1004:$AC$1004,1,MATCH(COLUMNS($U$1006:Z1006),$U$1006:$AC$1006,0)))),"Fix")))</f>
        <v>0</v>
      </c>
      <c r="H472" s="3">
        <f>IF(OR(INDEX($O$2:$O$1001,MATCH(ROWS($N$2:N472),$N$2:$N$1001,0),1)&gt;=100000,INDEX($U$1005:$AC$1005,1,MATCH(COLUMNS($U$1006:AA1006),$U$1006:$AC$1006,0))&gt;=100000), " ",IF(INDEX($U$2:$AC$1001,MATCH(ROWS($N$2:N472),$N$2:$N$1001,0),MATCH(COLUMNS($U$1006:AA1006),$U$1006:$AC$1006,0)), HYPERLINK("#",""), HYPERLINK(CONCATENATE("#metadata!", ADDRESS(INDEX($P$2:$P$1001,MATCH(ROWS($N$2:N472),$N$2:$N$1001,0),0), INDEX($U$1004:$AC$1004,1,MATCH(COLUMNS($U$1006:AA1006),$U$1006:$AC$1006,0)))),"Fix")))</f>
        <v>0</v>
      </c>
      <c r="I472" s="3">
        <f>IF(OR(INDEX($O$2:$O$1001,MATCH(ROWS($N$2:N472),$N$2:$N$1001,0),1)&gt;=100000,INDEX($U$1005:$AC$1005,1,MATCH(COLUMNS($U$1006:AB1006),$U$1006:$AC$1006,0))&gt;=100000), " ",IF(INDEX($U$2:$AC$1001,MATCH(ROWS($N$2:N472),$N$2:$N$1001,0),MATCH(COLUMNS($U$1006:AB1006),$U$1006:$AC$1006,0)), HYPERLINK("#",""), HYPERLINK(CONCATENATE("#metadata!", ADDRESS(INDEX($P$2:$P$1001,MATCH(ROWS($N$2:N472),$N$2:$N$1001,0),0), INDEX($U$1004:$AC$1004,1,MATCH(COLUMNS($U$1006:AB1006),$U$1006:$AC$1006,0)))),"Fix")))</f>
        <v>0</v>
      </c>
      <c r="J472" s="3">
        <f>IF(OR(INDEX($O$2:$O$1001,MATCH(ROWS($N$2:N472),$N$2:$N$1001,0),1)&gt;=100000,INDEX($U$1005:$AC$1005,1,MATCH(COLUMNS($U$1006:AC1006),$U$1006:$AC$1006,0))&gt;=100000), " ",IF(INDEX($U$2:$AC$1001,MATCH(ROWS($N$2:N472),$N$2:$N$1001,0),MATCH(COLUMNS($U$1006:AC1006),$U$1006:$AC$1006,0)), HYPERLINK("#",""), HYPERLINK(CONCATENATE("#metadata!", ADDRESS(INDEX($P$2:$P$1001,MATCH(ROWS($N$2:N472),$N$2:$N$1001,0),0), INDEX($U$1004:$AC$1004,1,MATCH(COLUMNS($U$1006:AC1006),$U$1006:$AC$1006,0)))),"Fix")))</f>
        <v>0</v>
      </c>
      <c r="N472">
        <v>0</v>
      </c>
      <c r="O472">
        <v>0</v>
      </c>
      <c r="P472">
        <v>0</v>
      </c>
      <c r="Q472">
        <f>IF(R472,TRUE,AND(U472:AC472))</f>
        <v>0</v>
      </c>
      <c r="R472">
        <f>COUNTBLANK(metadata!B472:J472)=COLUMNS(metadata!B472:J472)</f>
        <v>0</v>
      </c>
      <c r="S472">
        <v>0</v>
      </c>
      <c r="U472">
        <f>AND(IF(metadata!B472="",FALSE,TRUE),COUNTIF(metadata!B:B, metadata!B472) = 1,NOT(ISERROR(SUMPRODUCT(SEARCH(MID(metadata!B472,ROW(INDIRECT("1:"&amp;LEN(metadata!B472))), 1),"0123456789abcdefghijklmnopqrstuvwxyzABCDEFGHIJKLMNOPQRSTUVWXYZ.")))))</f>
        <v>0</v>
      </c>
      <c r="V472">
        <f>AND(IF(metadata!C472="",FALSE,TRUE),exact(metadata!C472,"UBERON:genitourinary"))</f>
        <v>0</v>
      </c>
      <c r="W472">
        <f>AND(IF(metadata!D472="",FALSE,TRUE),exact(metadata!D472,"UBERON:urine"))</f>
        <v>0</v>
      </c>
      <c r="X472">
        <f>AND(IF(metadata!E472="",FALSE,TRUE),exact(metadata!E472,"UBERON:kidney"))</f>
        <v>0</v>
      </c>
      <c r="Y472">
        <f>AND(IF(metadata!F472="",FALSE,TRUE),exact(metadata!F472,"animal corpus"))</f>
        <v>0</v>
      </c>
      <c r="Z472">
        <f>AND(IF(metadata!G472="",FALSE,TRUE),exact(metadata!G472,"urine"))</f>
        <v>0</v>
      </c>
      <c r="AA472">
        <f>AND(IF(metadata!H472="",FALSE,TRUE),exact(metadata!H472,"urine"))</f>
        <v>0</v>
      </c>
      <c r="AB472">
        <f>AND(IF(metadata!I472="",FALSE,TRUE),exact(metadata!I472,"urine metagenome"))</f>
        <v>0</v>
      </c>
      <c r="AC472">
        <f>AND(IF(metadata!J472="",FALSE,TRUE),exact(metadata!J472,"1346744"))</f>
        <v>0</v>
      </c>
    </row>
    <row r="473" spans="1:29">
      <c r="A473" s="4">
        <f>IF(B473=" "," ",HYPERLINK(CONCATENATE("#metadata!",ADDRESS(INDEX($P$2:$P$1001,MATCH(ROWS($N$2:N473),$N$2:$N$1001,0),0),1)),INDEX($S$2:$S$1001,MATCH(ROWS($N$2:N473),$N$2:$N$1001,0),0)))</f>
        <v>0</v>
      </c>
      <c r="B473" s="3">
        <f>IF(OR(INDEX($O$2:$O$1001,MATCH(ROWS($N$2:N473),$N$2:$N$1001,0),1)&gt;=100000,INDEX($U$1005:$AC$1005,1,MATCH(COLUMNS($U$1006:U1006),$U$1006:$AC$1006,0))&gt;=100000), " ",IF(INDEX($U$2:$AC$1001,MATCH(ROWS($N$2:N473),$N$2:$N$1001,0),MATCH(COLUMNS($U$1006:U1006),$U$1006:$AC$1006,0)), HYPERLINK("#",""), HYPERLINK(CONCATENATE("#metadata!", ADDRESS(INDEX($P$2:$P$1001,MATCH(ROWS($N$2:N473),$N$2:$N$1001,0),0), INDEX($U$1004:$AC$1004,1,MATCH(COLUMNS($U$1006:U1006),$U$1006:$AC$1006,0)))),"Fix")))</f>
        <v>0</v>
      </c>
      <c r="C473" s="3">
        <f>IF(OR(INDEX($O$2:$O$1001,MATCH(ROWS($N$2:N473),$N$2:$N$1001,0),1)&gt;=100000,INDEX($U$1005:$AC$1005,1,MATCH(COLUMNS($U$1006:V1006),$U$1006:$AC$1006,0))&gt;=100000), " ",IF(INDEX($U$2:$AC$1001,MATCH(ROWS($N$2:N473),$N$2:$N$1001,0),MATCH(COLUMNS($U$1006:V1006),$U$1006:$AC$1006,0)), HYPERLINK("#",""), HYPERLINK(CONCATENATE("#metadata!", ADDRESS(INDEX($P$2:$P$1001,MATCH(ROWS($N$2:N473),$N$2:$N$1001,0),0), INDEX($U$1004:$AC$1004,1,MATCH(COLUMNS($U$1006:V1006),$U$1006:$AC$1006,0)))),"Fix")))</f>
        <v>0</v>
      </c>
      <c r="D473" s="3">
        <f>IF(OR(INDEX($O$2:$O$1001,MATCH(ROWS($N$2:N473),$N$2:$N$1001,0),1)&gt;=100000,INDEX($U$1005:$AC$1005,1,MATCH(COLUMNS($U$1006:W1006),$U$1006:$AC$1006,0))&gt;=100000), " ",IF(INDEX($U$2:$AC$1001,MATCH(ROWS($N$2:N473),$N$2:$N$1001,0),MATCH(COLUMNS($U$1006:W1006),$U$1006:$AC$1006,0)), HYPERLINK("#",""), HYPERLINK(CONCATENATE("#metadata!", ADDRESS(INDEX($P$2:$P$1001,MATCH(ROWS($N$2:N473),$N$2:$N$1001,0),0), INDEX($U$1004:$AC$1004,1,MATCH(COLUMNS($U$1006:W1006),$U$1006:$AC$1006,0)))),"Fix")))</f>
        <v>0</v>
      </c>
      <c r="E473" s="3">
        <f>IF(OR(INDEX($O$2:$O$1001,MATCH(ROWS($N$2:N473),$N$2:$N$1001,0),1)&gt;=100000,INDEX($U$1005:$AC$1005,1,MATCH(COLUMNS($U$1006:X1006),$U$1006:$AC$1006,0))&gt;=100000), " ",IF(INDEX($U$2:$AC$1001,MATCH(ROWS($N$2:N473),$N$2:$N$1001,0),MATCH(COLUMNS($U$1006:X1006),$U$1006:$AC$1006,0)), HYPERLINK("#",""), HYPERLINK(CONCATENATE("#metadata!", ADDRESS(INDEX($P$2:$P$1001,MATCH(ROWS($N$2:N473),$N$2:$N$1001,0),0), INDEX($U$1004:$AC$1004,1,MATCH(COLUMNS($U$1006:X1006),$U$1006:$AC$1006,0)))),"Fix")))</f>
        <v>0</v>
      </c>
      <c r="F473" s="3">
        <f>IF(OR(INDEX($O$2:$O$1001,MATCH(ROWS($N$2:N473),$N$2:$N$1001,0),1)&gt;=100000,INDEX($U$1005:$AC$1005,1,MATCH(COLUMNS($U$1006:Y1006),$U$1006:$AC$1006,0))&gt;=100000), " ",IF(INDEX($U$2:$AC$1001,MATCH(ROWS($N$2:N473),$N$2:$N$1001,0),MATCH(COLUMNS($U$1006:Y1006),$U$1006:$AC$1006,0)), HYPERLINK("#",""), HYPERLINK(CONCATENATE("#metadata!", ADDRESS(INDEX($P$2:$P$1001,MATCH(ROWS($N$2:N473),$N$2:$N$1001,0),0), INDEX($U$1004:$AC$1004,1,MATCH(COLUMNS($U$1006:Y1006),$U$1006:$AC$1006,0)))),"Fix")))</f>
        <v>0</v>
      </c>
      <c r="G473" s="3">
        <f>IF(OR(INDEX($O$2:$O$1001,MATCH(ROWS($N$2:N473),$N$2:$N$1001,0),1)&gt;=100000,INDEX($U$1005:$AC$1005,1,MATCH(COLUMNS($U$1006:Z1006),$U$1006:$AC$1006,0))&gt;=100000), " ",IF(INDEX($U$2:$AC$1001,MATCH(ROWS($N$2:N473),$N$2:$N$1001,0),MATCH(COLUMNS($U$1006:Z1006),$U$1006:$AC$1006,0)), HYPERLINK("#",""), HYPERLINK(CONCATENATE("#metadata!", ADDRESS(INDEX($P$2:$P$1001,MATCH(ROWS($N$2:N473),$N$2:$N$1001,0),0), INDEX($U$1004:$AC$1004,1,MATCH(COLUMNS($U$1006:Z1006),$U$1006:$AC$1006,0)))),"Fix")))</f>
        <v>0</v>
      </c>
      <c r="H473" s="3">
        <f>IF(OR(INDEX($O$2:$O$1001,MATCH(ROWS($N$2:N473),$N$2:$N$1001,0),1)&gt;=100000,INDEX($U$1005:$AC$1005,1,MATCH(COLUMNS($U$1006:AA1006),$U$1006:$AC$1006,0))&gt;=100000), " ",IF(INDEX($U$2:$AC$1001,MATCH(ROWS($N$2:N473),$N$2:$N$1001,0),MATCH(COLUMNS($U$1006:AA1006),$U$1006:$AC$1006,0)), HYPERLINK("#",""), HYPERLINK(CONCATENATE("#metadata!", ADDRESS(INDEX($P$2:$P$1001,MATCH(ROWS($N$2:N473),$N$2:$N$1001,0),0), INDEX($U$1004:$AC$1004,1,MATCH(COLUMNS($U$1006:AA1006),$U$1006:$AC$1006,0)))),"Fix")))</f>
        <v>0</v>
      </c>
      <c r="I473" s="3">
        <f>IF(OR(INDEX($O$2:$O$1001,MATCH(ROWS($N$2:N473),$N$2:$N$1001,0),1)&gt;=100000,INDEX($U$1005:$AC$1005,1,MATCH(COLUMNS($U$1006:AB1006),$U$1006:$AC$1006,0))&gt;=100000), " ",IF(INDEX($U$2:$AC$1001,MATCH(ROWS($N$2:N473),$N$2:$N$1001,0),MATCH(COLUMNS($U$1006:AB1006),$U$1006:$AC$1006,0)), HYPERLINK("#",""), HYPERLINK(CONCATENATE("#metadata!", ADDRESS(INDEX($P$2:$P$1001,MATCH(ROWS($N$2:N473),$N$2:$N$1001,0),0), INDEX($U$1004:$AC$1004,1,MATCH(COLUMNS($U$1006:AB1006),$U$1006:$AC$1006,0)))),"Fix")))</f>
        <v>0</v>
      </c>
      <c r="J473" s="3">
        <f>IF(OR(INDEX($O$2:$O$1001,MATCH(ROWS($N$2:N473),$N$2:$N$1001,0),1)&gt;=100000,INDEX($U$1005:$AC$1005,1,MATCH(COLUMNS($U$1006:AC1006),$U$1006:$AC$1006,0))&gt;=100000), " ",IF(INDEX($U$2:$AC$1001,MATCH(ROWS($N$2:N473),$N$2:$N$1001,0),MATCH(COLUMNS($U$1006:AC1006),$U$1006:$AC$1006,0)), HYPERLINK("#",""), HYPERLINK(CONCATENATE("#metadata!", ADDRESS(INDEX($P$2:$P$1001,MATCH(ROWS($N$2:N473),$N$2:$N$1001,0),0), INDEX($U$1004:$AC$1004,1,MATCH(COLUMNS($U$1006:AC1006),$U$1006:$AC$1006,0)))),"Fix")))</f>
        <v>0</v>
      </c>
      <c r="N473">
        <v>0</v>
      </c>
      <c r="O473">
        <v>0</v>
      </c>
      <c r="P473">
        <v>0</v>
      </c>
      <c r="Q473">
        <f>IF(R473,TRUE,AND(U473:AC473))</f>
        <v>0</v>
      </c>
      <c r="R473">
        <f>COUNTBLANK(metadata!B473:J473)=COLUMNS(metadata!B473:J473)</f>
        <v>0</v>
      </c>
      <c r="S473">
        <v>0</v>
      </c>
      <c r="U473">
        <f>AND(IF(metadata!B473="",FALSE,TRUE),COUNTIF(metadata!B:B, metadata!B473) = 1,NOT(ISERROR(SUMPRODUCT(SEARCH(MID(metadata!B473,ROW(INDIRECT("1:"&amp;LEN(metadata!B473))), 1),"0123456789abcdefghijklmnopqrstuvwxyzABCDEFGHIJKLMNOPQRSTUVWXYZ.")))))</f>
        <v>0</v>
      </c>
      <c r="V473">
        <f>AND(IF(metadata!C473="",FALSE,TRUE),exact(metadata!C473,"UBERON:genitourinary"))</f>
        <v>0</v>
      </c>
      <c r="W473">
        <f>AND(IF(metadata!D473="",FALSE,TRUE),exact(metadata!D473,"UBERON:urine"))</f>
        <v>0</v>
      </c>
      <c r="X473">
        <f>AND(IF(metadata!E473="",FALSE,TRUE),exact(metadata!E473,"UBERON:kidney"))</f>
        <v>0</v>
      </c>
      <c r="Y473">
        <f>AND(IF(metadata!F473="",FALSE,TRUE),exact(metadata!F473,"animal corpus"))</f>
        <v>0</v>
      </c>
      <c r="Z473">
        <f>AND(IF(metadata!G473="",FALSE,TRUE),exact(metadata!G473,"urine"))</f>
        <v>0</v>
      </c>
      <c r="AA473">
        <f>AND(IF(metadata!H473="",FALSE,TRUE),exact(metadata!H473,"urine"))</f>
        <v>0</v>
      </c>
      <c r="AB473">
        <f>AND(IF(metadata!I473="",FALSE,TRUE),exact(metadata!I473,"urine metagenome"))</f>
        <v>0</v>
      </c>
      <c r="AC473">
        <f>AND(IF(metadata!J473="",FALSE,TRUE),exact(metadata!J473,"1346744"))</f>
        <v>0</v>
      </c>
    </row>
    <row r="474" spans="1:29">
      <c r="A474" s="4">
        <f>IF(B474=" "," ",HYPERLINK(CONCATENATE("#metadata!",ADDRESS(INDEX($P$2:$P$1001,MATCH(ROWS($N$2:N474),$N$2:$N$1001,0),0),1)),INDEX($S$2:$S$1001,MATCH(ROWS($N$2:N474),$N$2:$N$1001,0),0)))</f>
        <v>0</v>
      </c>
      <c r="B474" s="3">
        <f>IF(OR(INDEX($O$2:$O$1001,MATCH(ROWS($N$2:N474),$N$2:$N$1001,0),1)&gt;=100000,INDEX($U$1005:$AC$1005,1,MATCH(COLUMNS($U$1006:U1006),$U$1006:$AC$1006,0))&gt;=100000), " ",IF(INDEX($U$2:$AC$1001,MATCH(ROWS($N$2:N474),$N$2:$N$1001,0),MATCH(COLUMNS($U$1006:U1006),$U$1006:$AC$1006,0)), HYPERLINK("#",""), HYPERLINK(CONCATENATE("#metadata!", ADDRESS(INDEX($P$2:$P$1001,MATCH(ROWS($N$2:N474),$N$2:$N$1001,0),0), INDEX($U$1004:$AC$1004,1,MATCH(COLUMNS($U$1006:U1006),$U$1006:$AC$1006,0)))),"Fix")))</f>
        <v>0</v>
      </c>
      <c r="C474" s="3">
        <f>IF(OR(INDEX($O$2:$O$1001,MATCH(ROWS($N$2:N474),$N$2:$N$1001,0),1)&gt;=100000,INDEX($U$1005:$AC$1005,1,MATCH(COLUMNS($U$1006:V1006),$U$1006:$AC$1006,0))&gt;=100000), " ",IF(INDEX($U$2:$AC$1001,MATCH(ROWS($N$2:N474),$N$2:$N$1001,0),MATCH(COLUMNS($U$1006:V1006),$U$1006:$AC$1006,0)), HYPERLINK("#",""), HYPERLINK(CONCATENATE("#metadata!", ADDRESS(INDEX($P$2:$P$1001,MATCH(ROWS($N$2:N474),$N$2:$N$1001,0),0), INDEX($U$1004:$AC$1004,1,MATCH(COLUMNS($U$1006:V1006),$U$1006:$AC$1006,0)))),"Fix")))</f>
        <v>0</v>
      </c>
      <c r="D474" s="3">
        <f>IF(OR(INDEX($O$2:$O$1001,MATCH(ROWS($N$2:N474),$N$2:$N$1001,0),1)&gt;=100000,INDEX($U$1005:$AC$1005,1,MATCH(COLUMNS($U$1006:W1006),$U$1006:$AC$1006,0))&gt;=100000), " ",IF(INDEX($U$2:$AC$1001,MATCH(ROWS($N$2:N474),$N$2:$N$1001,0),MATCH(COLUMNS($U$1006:W1006),$U$1006:$AC$1006,0)), HYPERLINK("#",""), HYPERLINK(CONCATENATE("#metadata!", ADDRESS(INDEX($P$2:$P$1001,MATCH(ROWS($N$2:N474),$N$2:$N$1001,0),0), INDEX($U$1004:$AC$1004,1,MATCH(COLUMNS($U$1006:W1006),$U$1006:$AC$1006,0)))),"Fix")))</f>
        <v>0</v>
      </c>
      <c r="E474" s="3">
        <f>IF(OR(INDEX($O$2:$O$1001,MATCH(ROWS($N$2:N474),$N$2:$N$1001,0),1)&gt;=100000,INDEX($U$1005:$AC$1005,1,MATCH(COLUMNS($U$1006:X1006),$U$1006:$AC$1006,0))&gt;=100000), " ",IF(INDEX($U$2:$AC$1001,MATCH(ROWS($N$2:N474),$N$2:$N$1001,0),MATCH(COLUMNS($U$1006:X1006),$U$1006:$AC$1006,0)), HYPERLINK("#",""), HYPERLINK(CONCATENATE("#metadata!", ADDRESS(INDEX($P$2:$P$1001,MATCH(ROWS($N$2:N474),$N$2:$N$1001,0),0), INDEX($U$1004:$AC$1004,1,MATCH(COLUMNS($U$1006:X1006),$U$1006:$AC$1006,0)))),"Fix")))</f>
        <v>0</v>
      </c>
      <c r="F474" s="3">
        <f>IF(OR(INDEX($O$2:$O$1001,MATCH(ROWS($N$2:N474),$N$2:$N$1001,0),1)&gt;=100000,INDEX($U$1005:$AC$1005,1,MATCH(COLUMNS($U$1006:Y1006),$U$1006:$AC$1006,0))&gt;=100000), " ",IF(INDEX($U$2:$AC$1001,MATCH(ROWS($N$2:N474),$N$2:$N$1001,0),MATCH(COLUMNS($U$1006:Y1006),$U$1006:$AC$1006,0)), HYPERLINK("#",""), HYPERLINK(CONCATENATE("#metadata!", ADDRESS(INDEX($P$2:$P$1001,MATCH(ROWS($N$2:N474),$N$2:$N$1001,0),0), INDEX($U$1004:$AC$1004,1,MATCH(COLUMNS($U$1006:Y1006),$U$1006:$AC$1006,0)))),"Fix")))</f>
        <v>0</v>
      </c>
      <c r="G474" s="3">
        <f>IF(OR(INDEX($O$2:$O$1001,MATCH(ROWS($N$2:N474),$N$2:$N$1001,0),1)&gt;=100000,INDEX($U$1005:$AC$1005,1,MATCH(COLUMNS($U$1006:Z1006),$U$1006:$AC$1006,0))&gt;=100000), " ",IF(INDEX($U$2:$AC$1001,MATCH(ROWS($N$2:N474),$N$2:$N$1001,0),MATCH(COLUMNS($U$1006:Z1006),$U$1006:$AC$1006,0)), HYPERLINK("#",""), HYPERLINK(CONCATENATE("#metadata!", ADDRESS(INDEX($P$2:$P$1001,MATCH(ROWS($N$2:N474),$N$2:$N$1001,0),0), INDEX($U$1004:$AC$1004,1,MATCH(COLUMNS($U$1006:Z1006),$U$1006:$AC$1006,0)))),"Fix")))</f>
        <v>0</v>
      </c>
      <c r="H474" s="3">
        <f>IF(OR(INDEX($O$2:$O$1001,MATCH(ROWS($N$2:N474),$N$2:$N$1001,0),1)&gt;=100000,INDEX($U$1005:$AC$1005,1,MATCH(COLUMNS($U$1006:AA1006),$U$1006:$AC$1006,0))&gt;=100000), " ",IF(INDEX($U$2:$AC$1001,MATCH(ROWS($N$2:N474),$N$2:$N$1001,0),MATCH(COLUMNS($U$1006:AA1006),$U$1006:$AC$1006,0)), HYPERLINK("#",""), HYPERLINK(CONCATENATE("#metadata!", ADDRESS(INDEX($P$2:$P$1001,MATCH(ROWS($N$2:N474),$N$2:$N$1001,0),0), INDEX($U$1004:$AC$1004,1,MATCH(COLUMNS($U$1006:AA1006),$U$1006:$AC$1006,0)))),"Fix")))</f>
        <v>0</v>
      </c>
      <c r="I474" s="3">
        <f>IF(OR(INDEX($O$2:$O$1001,MATCH(ROWS($N$2:N474),$N$2:$N$1001,0),1)&gt;=100000,INDEX($U$1005:$AC$1005,1,MATCH(COLUMNS($U$1006:AB1006),$U$1006:$AC$1006,0))&gt;=100000), " ",IF(INDEX($U$2:$AC$1001,MATCH(ROWS($N$2:N474),$N$2:$N$1001,0),MATCH(COLUMNS($U$1006:AB1006),$U$1006:$AC$1006,0)), HYPERLINK("#",""), HYPERLINK(CONCATENATE("#metadata!", ADDRESS(INDEX($P$2:$P$1001,MATCH(ROWS($N$2:N474),$N$2:$N$1001,0),0), INDEX($U$1004:$AC$1004,1,MATCH(COLUMNS($U$1006:AB1006),$U$1006:$AC$1006,0)))),"Fix")))</f>
        <v>0</v>
      </c>
      <c r="J474" s="3">
        <f>IF(OR(INDEX($O$2:$O$1001,MATCH(ROWS($N$2:N474),$N$2:$N$1001,0),1)&gt;=100000,INDEX($U$1005:$AC$1005,1,MATCH(COLUMNS($U$1006:AC1006),$U$1006:$AC$1006,0))&gt;=100000), " ",IF(INDEX($U$2:$AC$1001,MATCH(ROWS($N$2:N474),$N$2:$N$1001,0),MATCH(COLUMNS($U$1006:AC1006),$U$1006:$AC$1006,0)), HYPERLINK("#",""), HYPERLINK(CONCATENATE("#metadata!", ADDRESS(INDEX($P$2:$P$1001,MATCH(ROWS($N$2:N474),$N$2:$N$1001,0),0), INDEX($U$1004:$AC$1004,1,MATCH(COLUMNS($U$1006:AC1006),$U$1006:$AC$1006,0)))),"Fix")))</f>
        <v>0</v>
      </c>
      <c r="N474">
        <v>0</v>
      </c>
      <c r="O474">
        <v>0</v>
      </c>
      <c r="P474">
        <v>0</v>
      </c>
      <c r="Q474">
        <f>IF(R474,TRUE,AND(U474:AC474))</f>
        <v>0</v>
      </c>
      <c r="R474">
        <f>COUNTBLANK(metadata!B474:J474)=COLUMNS(metadata!B474:J474)</f>
        <v>0</v>
      </c>
      <c r="S474">
        <v>0</v>
      </c>
      <c r="U474">
        <f>AND(IF(metadata!B474="",FALSE,TRUE),COUNTIF(metadata!B:B, metadata!B474) = 1,NOT(ISERROR(SUMPRODUCT(SEARCH(MID(metadata!B474,ROW(INDIRECT("1:"&amp;LEN(metadata!B474))), 1),"0123456789abcdefghijklmnopqrstuvwxyzABCDEFGHIJKLMNOPQRSTUVWXYZ.")))))</f>
        <v>0</v>
      </c>
      <c r="V474">
        <f>AND(IF(metadata!C474="",FALSE,TRUE),exact(metadata!C474,"UBERON:genitourinary"))</f>
        <v>0</v>
      </c>
      <c r="W474">
        <f>AND(IF(metadata!D474="",FALSE,TRUE),exact(metadata!D474,"UBERON:urine"))</f>
        <v>0</v>
      </c>
      <c r="X474">
        <f>AND(IF(metadata!E474="",FALSE,TRUE),exact(metadata!E474,"UBERON:kidney"))</f>
        <v>0</v>
      </c>
      <c r="Y474">
        <f>AND(IF(metadata!F474="",FALSE,TRUE),exact(metadata!F474,"animal corpus"))</f>
        <v>0</v>
      </c>
      <c r="Z474">
        <f>AND(IF(metadata!G474="",FALSE,TRUE),exact(metadata!G474,"urine"))</f>
        <v>0</v>
      </c>
      <c r="AA474">
        <f>AND(IF(metadata!H474="",FALSE,TRUE),exact(metadata!H474,"urine"))</f>
        <v>0</v>
      </c>
      <c r="AB474">
        <f>AND(IF(metadata!I474="",FALSE,TRUE),exact(metadata!I474,"urine metagenome"))</f>
        <v>0</v>
      </c>
      <c r="AC474">
        <f>AND(IF(metadata!J474="",FALSE,TRUE),exact(metadata!J474,"1346744"))</f>
        <v>0</v>
      </c>
    </row>
    <row r="475" spans="1:29">
      <c r="A475" s="4">
        <f>IF(B475=" "," ",HYPERLINK(CONCATENATE("#metadata!",ADDRESS(INDEX($P$2:$P$1001,MATCH(ROWS($N$2:N475),$N$2:$N$1001,0),0),1)),INDEX($S$2:$S$1001,MATCH(ROWS($N$2:N475),$N$2:$N$1001,0),0)))</f>
        <v>0</v>
      </c>
      <c r="B475" s="3">
        <f>IF(OR(INDEX($O$2:$O$1001,MATCH(ROWS($N$2:N475),$N$2:$N$1001,0),1)&gt;=100000,INDEX($U$1005:$AC$1005,1,MATCH(COLUMNS($U$1006:U1006),$U$1006:$AC$1006,0))&gt;=100000), " ",IF(INDEX($U$2:$AC$1001,MATCH(ROWS($N$2:N475),$N$2:$N$1001,0),MATCH(COLUMNS($U$1006:U1006),$U$1006:$AC$1006,0)), HYPERLINK("#",""), HYPERLINK(CONCATENATE("#metadata!", ADDRESS(INDEX($P$2:$P$1001,MATCH(ROWS($N$2:N475),$N$2:$N$1001,0),0), INDEX($U$1004:$AC$1004,1,MATCH(COLUMNS($U$1006:U1006),$U$1006:$AC$1006,0)))),"Fix")))</f>
        <v>0</v>
      </c>
      <c r="C475" s="3">
        <f>IF(OR(INDEX($O$2:$O$1001,MATCH(ROWS($N$2:N475),$N$2:$N$1001,0),1)&gt;=100000,INDEX($U$1005:$AC$1005,1,MATCH(COLUMNS($U$1006:V1006),$U$1006:$AC$1006,0))&gt;=100000), " ",IF(INDEX($U$2:$AC$1001,MATCH(ROWS($N$2:N475),$N$2:$N$1001,0),MATCH(COLUMNS($U$1006:V1006),$U$1006:$AC$1006,0)), HYPERLINK("#",""), HYPERLINK(CONCATENATE("#metadata!", ADDRESS(INDEX($P$2:$P$1001,MATCH(ROWS($N$2:N475),$N$2:$N$1001,0),0), INDEX($U$1004:$AC$1004,1,MATCH(COLUMNS($U$1006:V1006),$U$1006:$AC$1006,0)))),"Fix")))</f>
        <v>0</v>
      </c>
      <c r="D475" s="3">
        <f>IF(OR(INDEX($O$2:$O$1001,MATCH(ROWS($N$2:N475),$N$2:$N$1001,0),1)&gt;=100000,INDEX($U$1005:$AC$1005,1,MATCH(COLUMNS($U$1006:W1006),$U$1006:$AC$1006,0))&gt;=100000), " ",IF(INDEX($U$2:$AC$1001,MATCH(ROWS($N$2:N475),$N$2:$N$1001,0),MATCH(COLUMNS($U$1006:W1006),$U$1006:$AC$1006,0)), HYPERLINK("#",""), HYPERLINK(CONCATENATE("#metadata!", ADDRESS(INDEX($P$2:$P$1001,MATCH(ROWS($N$2:N475),$N$2:$N$1001,0),0), INDEX($U$1004:$AC$1004,1,MATCH(COLUMNS($U$1006:W1006),$U$1006:$AC$1006,0)))),"Fix")))</f>
        <v>0</v>
      </c>
      <c r="E475" s="3">
        <f>IF(OR(INDEX($O$2:$O$1001,MATCH(ROWS($N$2:N475),$N$2:$N$1001,0),1)&gt;=100000,INDEX($U$1005:$AC$1005,1,MATCH(COLUMNS($U$1006:X1006),$U$1006:$AC$1006,0))&gt;=100000), " ",IF(INDEX($U$2:$AC$1001,MATCH(ROWS($N$2:N475),$N$2:$N$1001,0),MATCH(COLUMNS($U$1006:X1006),$U$1006:$AC$1006,0)), HYPERLINK("#",""), HYPERLINK(CONCATENATE("#metadata!", ADDRESS(INDEX($P$2:$P$1001,MATCH(ROWS($N$2:N475),$N$2:$N$1001,0),0), INDEX($U$1004:$AC$1004,1,MATCH(COLUMNS($U$1006:X1006),$U$1006:$AC$1006,0)))),"Fix")))</f>
        <v>0</v>
      </c>
      <c r="F475" s="3">
        <f>IF(OR(INDEX($O$2:$O$1001,MATCH(ROWS($N$2:N475),$N$2:$N$1001,0),1)&gt;=100000,INDEX($U$1005:$AC$1005,1,MATCH(COLUMNS($U$1006:Y1006),$U$1006:$AC$1006,0))&gt;=100000), " ",IF(INDEX($U$2:$AC$1001,MATCH(ROWS($N$2:N475),$N$2:$N$1001,0),MATCH(COLUMNS($U$1006:Y1006),$U$1006:$AC$1006,0)), HYPERLINK("#",""), HYPERLINK(CONCATENATE("#metadata!", ADDRESS(INDEX($P$2:$P$1001,MATCH(ROWS($N$2:N475),$N$2:$N$1001,0),0), INDEX($U$1004:$AC$1004,1,MATCH(COLUMNS($U$1006:Y1006),$U$1006:$AC$1006,0)))),"Fix")))</f>
        <v>0</v>
      </c>
      <c r="G475" s="3">
        <f>IF(OR(INDEX($O$2:$O$1001,MATCH(ROWS($N$2:N475),$N$2:$N$1001,0),1)&gt;=100000,INDEX($U$1005:$AC$1005,1,MATCH(COLUMNS($U$1006:Z1006),$U$1006:$AC$1006,0))&gt;=100000), " ",IF(INDEX($U$2:$AC$1001,MATCH(ROWS($N$2:N475),$N$2:$N$1001,0),MATCH(COLUMNS($U$1006:Z1006),$U$1006:$AC$1006,0)), HYPERLINK("#",""), HYPERLINK(CONCATENATE("#metadata!", ADDRESS(INDEX($P$2:$P$1001,MATCH(ROWS($N$2:N475),$N$2:$N$1001,0),0), INDEX($U$1004:$AC$1004,1,MATCH(COLUMNS($U$1006:Z1006),$U$1006:$AC$1006,0)))),"Fix")))</f>
        <v>0</v>
      </c>
      <c r="H475" s="3">
        <f>IF(OR(INDEX($O$2:$O$1001,MATCH(ROWS($N$2:N475),$N$2:$N$1001,0),1)&gt;=100000,INDEX($U$1005:$AC$1005,1,MATCH(COLUMNS($U$1006:AA1006),$U$1006:$AC$1006,0))&gt;=100000), " ",IF(INDEX($U$2:$AC$1001,MATCH(ROWS($N$2:N475),$N$2:$N$1001,0),MATCH(COLUMNS($U$1006:AA1006),$U$1006:$AC$1006,0)), HYPERLINK("#",""), HYPERLINK(CONCATENATE("#metadata!", ADDRESS(INDEX($P$2:$P$1001,MATCH(ROWS($N$2:N475),$N$2:$N$1001,0),0), INDEX($U$1004:$AC$1004,1,MATCH(COLUMNS($U$1006:AA1006),$U$1006:$AC$1006,0)))),"Fix")))</f>
        <v>0</v>
      </c>
      <c r="I475" s="3">
        <f>IF(OR(INDEX($O$2:$O$1001,MATCH(ROWS($N$2:N475),$N$2:$N$1001,0),1)&gt;=100000,INDEX($U$1005:$AC$1005,1,MATCH(COLUMNS($U$1006:AB1006),$U$1006:$AC$1006,0))&gt;=100000), " ",IF(INDEX($U$2:$AC$1001,MATCH(ROWS($N$2:N475),$N$2:$N$1001,0),MATCH(COLUMNS($U$1006:AB1006),$U$1006:$AC$1006,0)), HYPERLINK("#",""), HYPERLINK(CONCATENATE("#metadata!", ADDRESS(INDEX($P$2:$P$1001,MATCH(ROWS($N$2:N475),$N$2:$N$1001,0),0), INDEX($U$1004:$AC$1004,1,MATCH(COLUMNS($U$1006:AB1006),$U$1006:$AC$1006,0)))),"Fix")))</f>
        <v>0</v>
      </c>
      <c r="J475" s="3">
        <f>IF(OR(INDEX($O$2:$O$1001,MATCH(ROWS($N$2:N475),$N$2:$N$1001,0),1)&gt;=100000,INDEX($U$1005:$AC$1005,1,MATCH(COLUMNS($U$1006:AC1006),$U$1006:$AC$1006,0))&gt;=100000), " ",IF(INDEX($U$2:$AC$1001,MATCH(ROWS($N$2:N475),$N$2:$N$1001,0),MATCH(COLUMNS($U$1006:AC1006),$U$1006:$AC$1006,0)), HYPERLINK("#",""), HYPERLINK(CONCATENATE("#metadata!", ADDRESS(INDEX($P$2:$P$1001,MATCH(ROWS($N$2:N475),$N$2:$N$1001,0),0), INDEX($U$1004:$AC$1004,1,MATCH(COLUMNS($U$1006:AC1006),$U$1006:$AC$1006,0)))),"Fix")))</f>
        <v>0</v>
      </c>
      <c r="N475">
        <v>0</v>
      </c>
      <c r="O475">
        <v>0</v>
      </c>
      <c r="P475">
        <v>0</v>
      </c>
      <c r="Q475">
        <f>IF(R475,TRUE,AND(U475:AC475))</f>
        <v>0</v>
      </c>
      <c r="R475">
        <f>COUNTBLANK(metadata!B475:J475)=COLUMNS(metadata!B475:J475)</f>
        <v>0</v>
      </c>
      <c r="S475">
        <v>0</v>
      </c>
      <c r="U475">
        <f>AND(IF(metadata!B475="",FALSE,TRUE),COUNTIF(metadata!B:B, metadata!B475) = 1,NOT(ISERROR(SUMPRODUCT(SEARCH(MID(metadata!B475,ROW(INDIRECT("1:"&amp;LEN(metadata!B475))), 1),"0123456789abcdefghijklmnopqrstuvwxyzABCDEFGHIJKLMNOPQRSTUVWXYZ.")))))</f>
        <v>0</v>
      </c>
      <c r="V475">
        <f>AND(IF(metadata!C475="",FALSE,TRUE),exact(metadata!C475,"UBERON:genitourinary"))</f>
        <v>0</v>
      </c>
      <c r="W475">
        <f>AND(IF(metadata!D475="",FALSE,TRUE),exact(metadata!D475,"UBERON:urine"))</f>
        <v>0</v>
      </c>
      <c r="X475">
        <f>AND(IF(metadata!E475="",FALSE,TRUE),exact(metadata!E475,"UBERON:kidney"))</f>
        <v>0</v>
      </c>
      <c r="Y475">
        <f>AND(IF(metadata!F475="",FALSE,TRUE),exact(metadata!F475,"animal corpus"))</f>
        <v>0</v>
      </c>
      <c r="Z475">
        <f>AND(IF(metadata!G475="",FALSE,TRUE),exact(metadata!G475,"urine"))</f>
        <v>0</v>
      </c>
      <c r="AA475">
        <f>AND(IF(metadata!H475="",FALSE,TRUE),exact(metadata!H475,"urine"))</f>
        <v>0</v>
      </c>
      <c r="AB475">
        <f>AND(IF(metadata!I475="",FALSE,TRUE),exact(metadata!I475,"urine metagenome"))</f>
        <v>0</v>
      </c>
      <c r="AC475">
        <f>AND(IF(metadata!J475="",FALSE,TRUE),exact(metadata!J475,"1346744"))</f>
        <v>0</v>
      </c>
    </row>
    <row r="476" spans="1:29">
      <c r="A476" s="4">
        <f>IF(B476=" "," ",HYPERLINK(CONCATENATE("#metadata!",ADDRESS(INDEX($P$2:$P$1001,MATCH(ROWS($N$2:N476),$N$2:$N$1001,0),0),1)),INDEX($S$2:$S$1001,MATCH(ROWS($N$2:N476),$N$2:$N$1001,0),0)))</f>
        <v>0</v>
      </c>
      <c r="B476" s="3">
        <f>IF(OR(INDEX($O$2:$O$1001,MATCH(ROWS($N$2:N476),$N$2:$N$1001,0),1)&gt;=100000,INDEX($U$1005:$AC$1005,1,MATCH(COLUMNS($U$1006:U1006),$U$1006:$AC$1006,0))&gt;=100000), " ",IF(INDEX($U$2:$AC$1001,MATCH(ROWS($N$2:N476),$N$2:$N$1001,0),MATCH(COLUMNS($U$1006:U1006),$U$1006:$AC$1006,0)), HYPERLINK("#",""), HYPERLINK(CONCATENATE("#metadata!", ADDRESS(INDEX($P$2:$P$1001,MATCH(ROWS($N$2:N476),$N$2:$N$1001,0),0), INDEX($U$1004:$AC$1004,1,MATCH(COLUMNS($U$1006:U1006),$U$1006:$AC$1006,0)))),"Fix")))</f>
        <v>0</v>
      </c>
      <c r="C476" s="3">
        <f>IF(OR(INDEX($O$2:$O$1001,MATCH(ROWS($N$2:N476),$N$2:$N$1001,0),1)&gt;=100000,INDEX($U$1005:$AC$1005,1,MATCH(COLUMNS($U$1006:V1006),$U$1006:$AC$1006,0))&gt;=100000), " ",IF(INDEX($U$2:$AC$1001,MATCH(ROWS($N$2:N476),$N$2:$N$1001,0),MATCH(COLUMNS($U$1006:V1006),$U$1006:$AC$1006,0)), HYPERLINK("#",""), HYPERLINK(CONCATENATE("#metadata!", ADDRESS(INDEX($P$2:$P$1001,MATCH(ROWS($N$2:N476),$N$2:$N$1001,0),0), INDEX($U$1004:$AC$1004,1,MATCH(COLUMNS($U$1006:V1006),$U$1006:$AC$1006,0)))),"Fix")))</f>
        <v>0</v>
      </c>
      <c r="D476" s="3">
        <f>IF(OR(INDEX($O$2:$O$1001,MATCH(ROWS($N$2:N476),$N$2:$N$1001,0),1)&gt;=100000,INDEX($U$1005:$AC$1005,1,MATCH(COLUMNS($U$1006:W1006),$U$1006:$AC$1006,0))&gt;=100000), " ",IF(INDEX($U$2:$AC$1001,MATCH(ROWS($N$2:N476),$N$2:$N$1001,0),MATCH(COLUMNS($U$1006:W1006),$U$1006:$AC$1006,0)), HYPERLINK("#",""), HYPERLINK(CONCATENATE("#metadata!", ADDRESS(INDEX($P$2:$P$1001,MATCH(ROWS($N$2:N476),$N$2:$N$1001,0),0), INDEX($U$1004:$AC$1004,1,MATCH(COLUMNS($U$1006:W1006),$U$1006:$AC$1006,0)))),"Fix")))</f>
        <v>0</v>
      </c>
      <c r="E476" s="3">
        <f>IF(OR(INDEX($O$2:$O$1001,MATCH(ROWS($N$2:N476),$N$2:$N$1001,0),1)&gt;=100000,INDEX($U$1005:$AC$1005,1,MATCH(COLUMNS($U$1006:X1006),$U$1006:$AC$1006,0))&gt;=100000), " ",IF(INDEX($U$2:$AC$1001,MATCH(ROWS($N$2:N476),$N$2:$N$1001,0),MATCH(COLUMNS($U$1006:X1006),$U$1006:$AC$1006,0)), HYPERLINK("#",""), HYPERLINK(CONCATENATE("#metadata!", ADDRESS(INDEX($P$2:$P$1001,MATCH(ROWS($N$2:N476),$N$2:$N$1001,0),0), INDEX($U$1004:$AC$1004,1,MATCH(COLUMNS($U$1006:X1006),$U$1006:$AC$1006,0)))),"Fix")))</f>
        <v>0</v>
      </c>
      <c r="F476" s="3">
        <f>IF(OR(INDEX($O$2:$O$1001,MATCH(ROWS($N$2:N476),$N$2:$N$1001,0),1)&gt;=100000,INDEX($U$1005:$AC$1005,1,MATCH(COLUMNS($U$1006:Y1006),$U$1006:$AC$1006,0))&gt;=100000), " ",IF(INDEX($U$2:$AC$1001,MATCH(ROWS($N$2:N476),$N$2:$N$1001,0),MATCH(COLUMNS($U$1006:Y1006),$U$1006:$AC$1006,0)), HYPERLINK("#",""), HYPERLINK(CONCATENATE("#metadata!", ADDRESS(INDEX($P$2:$P$1001,MATCH(ROWS($N$2:N476),$N$2:$N$1001,0),0), INDEX($U$1004:$AC$1004,1,MATCH(COLUMNS($U$1006:Y1006),$U$1006:$AC$1006,0)))),"Fix")))</f>
        <v>0</v>
      </c>
      <c r="G476" s="3">
        <f>IF(OR(INDEX($O$2:$O$1001,MATCH(ROWS($N$2:N476),$N$2:$N$1001,0),1)&gt;=100000,INDEX($U$1005:$AC$1005,1,MATCH(COLUMNS($U$1006:Z1006),$U$1006:$AC$1006,0))&gt;=100000), " ",IF(INDEX($U$2:$AC$1001,MATCH(ROWS($N$2:N476),$N$2:$N$1001,0),MATCH(COLUMNS($U$1006:Z1006),$U$1006:$AC$1006,0)), HYPERLINK("#",""), HYPERLINK(CONCATENATE("#metadata!", ADDRESS(INDEX($P$2:$P$1001,MATCH(ROWS($N$2:N476),$N$2:$N$1001,0),0), INDEX($U$1004:$AC$1004,1,MATCH(COLUMNS($U$1006:Z1006),$U$1006:$AC$1006,0)))),"Fix")))</f>
        <v>0</v>
      </c>
      <c r="H476" s="3">
        <f>IF(OR(INDEX($O$2:$O$1001,MATCH(ROWS($N$2:N476),$N$2:$N$1001,0),1)&gt;=100000,INDEX($U$1005:$AC$1005,1,MATCH(COLUMNS($U$1006:AA1006),$U$1006:$AC$1006,0))&gt;=100000), " ",IF(INDEX($U$2:$AC$1001,MATCH(ROWS($N$2:N476),$N$2:$N$1001,0),MATCH(COLUMNS($U$1006:AA1006),$U$1006:$AC$1006,0)), HYPERLINK("#",""), HYPERLINK(CONCATENATE("#metadata!", ADDRESS(INDEX($P$2:$P$1001,MATCH(ROWS($N$2:N476),$N$2:$N$1001,0),0), INDEX($U$1004:$AC$1004,1,MATCH(COLUMNS($U$1006:AA1006),$U$1006:$AC$1006,0)))),"Fix")))</f>
        <v>0</v>
      </c>
      <c r="I476" s="3">
        <f>IF(OR(INDEX($O$2:$O$1001,MATCH(ROWS($N$2:N476),$N$2:$N$1001,0),1)&gt;=100000,INDEX($U$1005:$AC$1005,1,MATCH(COLUMNS($U$1006:AB1006),$U$1006:$AC$1006,0))&gt;=100000), " ",IF(INDEX($U$2:$AC$1001,MATCH(ROWS($N$2:N476),$N$2:$N$1001,0),MATCH(COLUMNS($U$1006:AB1006),$U$1006:$AC$1006,0)), HYPERLINK("#",""), HYPERLINK(CONCATENATE("#metadata!", ADDRESS(INDEX($P$2:$P$1001,MATCH(ROWS($N$2:N476),$N$2:$N$1001,0),0), INDEX($U$1004:$AC$1004,1,MATCH(COLUMNS($U$1006:AB1006),$U$1006:$AC$1006,0)))),"Fix")))</f>
        <v>0</v>
      </c>
      <c r="J476" s="3">
        <f>IF(OR(INDEX($O$2:$O$1001,MATCH(ROWS($N$2:N476),$N$2:$N$1001,0),1)&gt;=100000,INDEX($U$1005:$AC$1005,1,MATCH(COLUMNS($U$1006:AC1006),$U$1006:$AC$1006,0))&gt;=100000), " ",IF(INDEX($U$2:$AC$1001,MATCH(ROWS($N$2:N476),$N$2:$N$1001,0),MATCH(COLUMNS($U$1006:AC1006),$U$1006:$AC$1006,0)), HYPERLINK("#",""), HYPERLINK(CONCATENATE("#metadata!", ADDRESS(INDEX($P$2:$P$1001,MATCH(ROWS($N$2:N476),$N$2:$N$1001,0),0), INDEX($U$1004:$AC$1004,1,MATCH(COLUMNS($U$1006:AC1006),$U$1006:$AC$1006,0)))),"Fix")))</f>
        <v>0</v>
      </c>
      <c r="N476">
        <v>0</v>
      </c>
      <c r="O476">
        <v>0</v>
      </c>
      <c r="P476">
        <v>0</v>
      </c>
      <c r="Q476">
        <f>IF(R476,TRUE,AND(U476:AC476))</f>
        <v>0</v>
      </c>
      <c r="R476">
        <f>COUNTBLANK(metadata!B476:J476)=COLUMNS(metadata!B476:J476)</f>
        <v>0</v>
      </c>
      <c r="S476">
        <v>0</v>
      </c>
      <c r="U476">
        <f>AND(IF(metadata!B476="",FALSE,TRUE),COUNTIF(metadata!B:B, metadata!B476) = 1,NOT(ISERROR(SUMPRODUCT(SEARCH(MID(metadata!B476,ROW(INDIRECT("1:"&amp;LEN(metadata!B476))), 1),"0123456789abcdefghijklmnopqrstuvwxyzABCDEFGHIJKLMNOPQRSTUVWXYZ.")))))</f>
        <v>0</v>
      </c>
      <c r="V476">
        <f>AND(IF(metadata!C476="",FALSE,TRUE),exact(metadata!C476,"UBERON:genitourinary"))</f>
        <v>0</v>
      </c>
      <c r="W476">
        <f>AND(IF(metadata!D476="",FALSE,TRUE),exact(metadata!D476,"UBERON:urine"))</f>
        <v>0</v>
      </c>
      <c r="X476">
        <f>AND(IF(metadata!E476="",FALSE,TRUE),exact(metadata!E476,"UBERON:kidney"))</f>
        <v>0</v>
      </c>
      <c r="Y476">
        <f>AND(IF(metadata!F476="",FALSE,TRUE),exact(metadata!F476,"animal corpus"))</f>
        <v>0</v>
      </c>
      <c r="Z476">
        <f>AND(IF(metadata!G476="",FALSE,TRUE),exact(metadata!G476,"urine"))</f>
        <v>0</v>
      </c>
      <c r="AA476">
        <f>AND(IF(metadata!H476="",FALSE,TRUE),exact(metadata!H476,"urine"))</f>
        <v>0</v>
      </c>
      <c r="AB476">
        <f>AND(IF(metadata!I476="",FALSE,TRUE),exact(metadata!I476,"urine metagenome"))</f>
        <v>0</v>
      </c>
      <c r="AC476">
        <f>AND(IF(metadata!J476="",FALSE,TRUE),exact(metadata!J476,"1346744"))</f>
        <v>0</v>
      </c>
    </row>
    <row r="477" spans="1:29">
      <c r="A477" s="4">
        <f>IF(B477=" "," ",HYPERLINK(CONCATENATE("#metadata!",ADDRESS(INDEX($P$2:$P$1001,MATCH(ROWS($N$2:N477),$N$2:$N$1001,0),0),1)),INDEX($S$2:$S$1001,MATCH(ROWS($N$2:N477),$N$2:$N$1001,0),0)))</f>
        <v>0</v>
      </c>
      <c r="B477" s="3">
        <f>IF(OR(INDEX($O$2:$O$1001,MATCH(ROWS($N$2:N477),$N$2:$N$1001,0),1)&gt;=100000,INDEX($U$1005:$AC$1005,1,MATCH(COLUMNS($U$1006:U1006),$U$1006:$AC$1006,0))&gt;=100000), " ",IF(INDEX($U$2:$AC$1001,MATCH(ROWS($N$2:N477),$N$2:$N$1001,0),MATCH(COLUMNS($U$1006:U1006),$U$1006:$AC$1006,0)), HYPERLINK("#",""), HYPERLINK(CONCATENATE("#metadata!", ADDRESS(INDEX($P$2:$P$1001,MATCH(ROWS($N$2:N477),$N$2:$N$1001,0),0), INDEX($U$1004:$AC$1004,1,MATCH(COLUMNS($U$1006:U1006),$U$1006:$AC$1006,0)))),"Fix")))</f>
        <v>0</v>
      </c>
      <c r="C477" s="3">
        <f>IF(OR(INDEX($O$2:$O$1001,MATCH(ROWS($N$2:N477),$N$2:$N$1001,0),1)&gt;=100000,INDEX($U$1005:$AC$1005,1,MATCH(COLUMNS($U$1006:V1006),$U$1006:$AC$1006,0))&gt;=100000), " ",IF(INDEX($U$2:$AC$1001,MATCH(ROWS($N$2:N477),$N$2:$N$1001,0),MATCH(COLUMNS($U$1006:V1006),$U$1006:$AC$1006,0)), HYPERLINK("#",""), HYPERLINK(CONCATENATE("#metadata!", ADDRESS(INDEX($P$2:$P$1001,MATCH(ROWS($N$2:N477),$N$2:$N$1001,0),0), INDEX($U$1004:$AC$1004,1,MATCH(COLUMNS($U$1006:V1006),$U$1006:$AC$1006,0)))),"Fix")))</f>
        <v>0</v>
      </c>
      <c r="D477" s="3">
        <f>IF(OR(INDEX($O$2:$O$1001,MATCH(ROWS($N$2:N477),$N$2:$N$1001,0),1)&gt;=100000,INDEX($U$1005:$AC$1005,1,MATCH(COLUMNS($U$1006:W1006),$U$1006:$AC$1006,0))&gt;=100000), " ",IF(INDEX($U$2:$AC$1001,MATCH(ROWS($N$2:N477),$N$2:$N$1001,0),MATCH(COLUMNS($U$1006:W1006),$U$1006:$AC$1006,0)), HYPERLINK("#",""), HYPERLINK(CONCATENATE("#metadata!", ADDRESS(INDEX($P$2:$P$1001,MATCH(ROWS($N$2:N477),$N$2:$N$1001,0),0), INDEX($U$1004:$AC$1004,1,MATCH(COLUMNS($U$1006:W1006),$U$1006:$AC$1006,0)))),"Fix")))</f>
        <v>0</v>
      </c>
      <c r="E477" s="3">
        <f>IF(OR(INDEX($O$2:$O$1001,MATCH(ROWS($N$2:N477),$N$2:$N$1001,0),1)&gt;=100000,INDEX($U$1005:$AC$1005,1,MATCH(COLUMNS($U$1006:X1006),$U$1006:$AC$1006,0))&gt;=100000), " ",IF(INDEX($U$2:$AC$1001,MATCH(ROWS($N$2:N477),$N$2:$N$1001,0),MATCH(COLUMNS($U$1006:X1006),$U$1006:$AC$1006,0)), HYPERLINK("#",""), HYPERLINK(CONCATENATE("#metadata!", ADDRESS(INDEX($P$2:$P$1001,MATCH(ROWS($N$2:N477),$N$2:$N$1001,0),0), INDEX($U$1004:$AC$1004,1,MATCH(COLUMNS($U$1006:X1006),$U$1006:$AC$1006,0)))),"Fix")))</f>
        <v>0</v>
      </c>
      <c r="F477" s="3">
        <f>IF(OR(INDEX($O$2:$O$1001,MATCH(ROWS($N$2:N477),$N$2:$N$1001,0),1)&gt;=100000,INDEX($U$1005:$AC$1005,1,MATCH(COLUMNS($U$1006:Y1006),$U$1006:$AC$1006,0))&gt;=100000), " ",IF(INDEX($U$2:$AC$1001,MATCH(ROWS($N$2:N477),$N$2:$N$1001,0),MATCH(COLUMNS($U$1006:Y1006),$U$1006:$AC$1006,0)), HYPERLINK("#",""), HYPERLINK(CONCATENATE("#metadata!", ADDRESS(INDEX($P$2:$P$1001,MATCH(ROWS($N$2:N477),$N$2:$N$1001,0),0), INDEX($U$1004:$AC$1004,1,MATCH(COLUMNS($U$1006:Y1006),$U$1006:$AC$1006,0)))),"Fix")))</f>
        <v>0</v>
      </c>
      <c r="G477" s="3">
        <f>IF(OR(INDEX($O$2:$O$1001,MATCH(ROWS($N$2:N477),$N$2:$N$1001,0),1)&gt;=100000,INDEX($U$1005:$AC$1005,1,MATCH(COLUMNS($U$1006:Z1006),$U$1006:$AC$1006,0))&gt;=100000), " ",IF(INDEX($U$2:$AC$1001,MATCH(ROWS($N$2:N477),$N$2:$N$1001,0),MATCH(COLUMNS($U$1006:Z1006),$U$1006:$AC$1006,0)), HYPERLINK("#",""), HYPERLINK(CONCATENATE("#metadata!", ADDRESS(INDEX($P$2:$P$1001,MATCH(ROWS($N$2:N477),$N$2:$N$1001,0),0), INDEX($U$1004:$AC$1004,1,MATCH(COLUMNS($U$1006:Z1006),$U$1006:$AC$1006,0)))),"Fix")))</f>
        <v>0</v>
      </c>
      <c r="H477" s="3">
        <f>IF(OR(INDEX($O$2:$O$1001,MATCH(ROWS($N$2:N477),$N$2:$N$1001,0),1)&gt;=100000,INDEX($U$1005:$AC$1005,1,MATCH(COLUMNS($U$1006:AA1006),$U$1006:$AC$1006,0))&gt;=100000), " ",IF(INDEX($U$2:$AC$1001,MATCH(ROWS($N$2:N477),$N$2:$N$1001,0),MATCH(COLUMNS($U$1006:AA1006),$U$1006:$AC$1006,0)), HYPERLINK("#",""), HYPERLINK(CONCATENATE("#metadata!", ADDRESS(INDEX($P$2:$P$1001,MATCH(ROWS($N$2:N477),$N$2:$N$1001,0),0), INDEX($U$1004:$AC$1004,1,MATCH(COLUMNS($U$1006:AA1006),$U$1006:$AC$1006,0)))),"Fix")))</f>
        <v>0</v>
      </c>
      <c r="I477" s="3">
        <f>IF(OR(INDEX($O$2:$O$1001,MATCH(ROWS($N$2:N477),$N$2:$N$1001,0),1)&gt;=100000,INDEX($U$1005:$AC$1005,1,MATCH(COLUMNS($U$1006:AB1006),$U$1006:$AC$1006,0))&gt;=100000), " ",IF(INDEX($U$2:$AC$1001,MATCH(ROWS($N$2:N477),$N$2:$N$1001,0),MATCH(COLUMNS($U$1006:AB1006),$U$1006:$AC$1006,0)), HYPERLINK("#",""), HYPERLINK(CONCATENATE("#metadata!", ADDRESS(INDEX($P$2:$P$1001,MATCH(ROWS($N$2:N477),$N$2:$N$1001,0),0), INDEX($U$1004:$AC$1004,1,MATCH(COLUMNS($U$1006:AB1006),$U$1006:$AC$1006,0)))),"Fix")))</f>
        <v>0</v>
      </c>
      <c r="J477" s="3">
        <f>IF(OR(INDEX($O$2:$O$1001,MATCH(ROWS($N$2:N477),$N$2:$N$1001,0),1)&gt;=100000,INDEX($U$1005:$AC$1005,1,MATCH(COLUMNS($U$1006:AC1006),$U$1006:$AC$1006,0))&gt;=100000), " ",IF(INDEX($U$2:$AC$1001,MATCH(ROWS($N$2:N477),$N$2:$N$1001,0),MATCH(COLUMNS($U$1006:AC1006),$U$1006:$AC$1006,0)), HYPERLINK("#",""), HYPERLINK(CONCATENATE("#metadata!", ADDRESS(INDEX($P$2:$P$1001,MATCH(ROWS($N$2:N477),$N$2:$N$1001,0),0), INDEX($U$1004:$AC$1004,1,MATCH(COLUMNS($U$1006:AC1006),$U$1006:$AC$1006,0)))),"Fix")))</f>
        <v>0</v>
      </c>
      <c r="N477">
        <v>0</v>
      </c>
      <c r="O477">
        <v>0</v>
      </c>
      <c r="P477">
        <v>0</v>
      </c>
      <c r="Q477">
        <f>IF(R477,TRUE,AND(U477:AC477))</f>
        <v>0</v>
      </c>
      <c r="R477">
        <f>COUNTBLANK(metadata!B477:J477)=COLUMNS(metadata!B477:J477)</f>
        <v>0</v>
      </c>
      <c r="S477">
        <v>0</v>
      </c>
      <c r="U477">
        <f>AND(IF(metadata!B477="",FALSE,TRUE),COUNTIF(metadata!B:B, metadata!B477) = 1,NOT(ISERROR(SUMPRODUCT(SEARCH(MID(metadata!B477,ROW(INDIRECT("1:"&amp;LEN(metadata!B477))), 1),"0123456789abcdefghijklmnopqrstuvwxyzABCDEFGHIJKLMNOPQRSTUVWXYZ.")))))</f>
        <v>0</v>
      </c>
      <c r="V477">
        <f>AND(IF(metadata!C477="",FALSE,TRUE),exact(metadata!C477,"UBERON:genitourinary"))</f>
        <v>0</v>
      </c>
      <c r="W477">
        <f>AND(IF(metadata!D477="",FALSE,TRUE),exact(metadata!D477,"UBERON:urine"))</f>
        <v>0</v>
      </c>
      <c r="X477">
        <f>AND(IF(metadata!E477="",FALSE,TRUE),exact(metadata!E477,"UBERON:kidney"))</f>
        <v>0</v>
      </c>
      <c r="Y477">
        <f>AND(IF(metadata!F477="",FALSE,TRUE),exact(metadata!F477,"animal corpus"))</f>
        <v>0</v>
      </c>
      <c r="Z477">
        <f>AND(IF(metadata!G477="",FALSE,TRUE),exact(metadata!G477,"urine"))</f>
        <v>0</v>
      </c>
      <c r="AA477">
        <f>AND(IF(metadata!H477="",FALSE,TRUE),exact(metadata!H477,"urine"))</f>
        <v>0</v>
      </c>
      <c r="AB477">
        <f>AND(IF(metadata!I477="",FALSE,TRUE),exact(metadata!I477,"urine metagenome"))</f>
        <v>0</v>
      </c>
      <c r="AC477">
        <f>AND(IF(metadata!J477="",FALSE,TRUE),exact(metadata!J477,"1346744"))</f>
        <v>0</v>
      </c>
    </row>
    <row r="478" spans="1:29">
      <c r="A478" s="4">
        <f>IF(B478=" "," ",HYPERLINK(CONCATENATE("#metadata!",ADDRESS(INDEX($P$2:$P$1001,MATCH(ROWS($N$2:N478),$N$2:$N$1001,0),0),1)),INDEX($S$2:$S$1001,MATCH(ROWS($N$2:N478),$N$2:$N$1001,0),0)))</f>
        <v>0</v>
      </c>
      <c r="B478" s="3">
        <f>IF(OR(INDEX($O$2:$O$1001,MATCH(ROWS($N$2:N478),$N$2:$N$1001,0),1)&gt;=100000,INDEX($U$1005:$AC$1005,1,MATCH(COLUMNS($U$1006:U1006),$U$1006:$AC$1006,0))&gt;=100000), " ",IF(INDEX($U$2:$AC$1001,MATCH(ROWS($N$2:N478),$N$2:$N$1001,0),MATCH(COLUMNS($U$1006:U1006),$U$1006:$AC$1006,0)), HYPERLINK("#",""), HYPERLINK(CONCATENATE("#metadata!", ADDRESS(INDEX($P$2:$P$1001,MATCH(ROWS($N$2:N478),$N$2:$N$1001,0),0), INDEX($U$1004:$AC$1004,1,MATCH(COLUMNS($U$1006:U1006),$U$1006:$AC$1006,0)))),"Fix")))</f>
        <v>0</v>
      </c>
      <c r="C478" s="3">
        <f>IF(OR(INDEX($O$2:$O$1001,MATCH(ROWS($N$2:N478),$N$2:$N$1001,0),1)&gt;=100000,INDEX($U$1005:$AC$1005,1,MATCH(COLUMNS($U$1006:V1006),$U$1006:$AC$1006,0))&gt;=100000), " ",IF(INDEX($U$2:$AC$1001,MATCH(ROWS($N$2:N478),$N$2:$N$1001,0),MATCH(COLUMNS($U$1006:V1006),$U$1006:$AC$1006,0)), HYPERLINK("#",""), HYPERLINK(CONCATENATE("#metadata!", ADDRESS(INDEX($P$2:$P$1001,MATCH(ROWS($N$2:N478),$N$2:$N$1001,0),0), INDEX($U$1004:$AC$1004,1,MATCH(COLUMNS($U$1006:V1006),$U$1006:$AC$1006,0)))),"Fix")))</f>
        <v>0</v>
      </c>
      <c r="D478" s="3">
        <f>IF(OR(INDEX($O$2:$O$1001,MATCH(ROWS($N$2:N478),$N$2:$N$1001,0),1)&gt;=100000,INDEX($U$1005:$AC$1005,1,MATCH(COLUMNS($U$1006:W1006),$U$1006:$AC$1006,0))&gt;=100000), " ",IF(INDEX($U$2:$AC$1001,MATCH(ROWS($N$2:N478),$N$2:$N$1001,0),MATCH(COLUMNS($U$1006:W1006),$U$1006:$AC$1006,0)), HYPERLINK("#",""), HYPERLINK(CONCATENATE("#metadata!", ADDRESS(INDEX($P$2:$P$1001,MATCH(ROWS($N$2:N478),$N$2:$N$1001,0),0), INDEX($U$1004:$AC$1004,1,MATCH(COLUMNS($U$1006:W1006),$U$1006:$AC$1006,0)))),"Fix")))</f>
        <v>0</v>
      </c>
      <c r="E478" s="3">
        <f>IF(OR(INDEX($O$2:$O$1001,MATCH(ROWS($N$2:N478),$N$2:$N$1001,0),1)&gt;=100000,INDEX($U$1005:$AC$1005,1,MATCH(COLUMNS($U$1006:X1006),$U$1006:$AC$1006,0))&gt;=100000), " ",IF(INDEX($U$2:$AC$1001,MATCH(ROWS($N$2:N478),$N$2:$N$1001,0),MATCH(COLUMNS($U$1006:X1006),$U$1006:$AC$1006,0)), HYPERLINK("#",""), HYPERLINK(CONCATENATE("#metadata!", ADDRESS(INDEX($P$2:$P$1001,MATCH(ROWS($N$2:N478),$N$2:$N$1001,0),0), INDEX($U$1004:$AC$1004,1,MATCH(COLUMNS($U$1006:X1006),$U$1006:$AC$1006,0)))),"Fix")))</f>
        <v>0</v>
      </c>
      <c r="F478" s="3">
        <f>IF(OR(INDEX($O$2:$O$1001,MATCH(ROWS($N$2:N478),$N$2:$N$1001,0),1)&gt;=100000,INDEX($U$1005:$AC$1005,1,MATCH(COLUMNS($U$1006:Y1006),$U$1006:$AC$1006,0))&gt;=100000), " ",IF(INDEX($U$2:$AC$1001,MATCH(ROWS($N$2:N478),$N$2:$N$1001,0),MATCH(COLUMNS($U$1006:Y1006),$U$1006:$AC$1006,0)), HYPERLINK("#",""), HYPERLINK(CONCATENATE("#metadata!", ADDRESS(INDEX($P$2:$P$1001,MATCH(ROWS($N$2:N478),$N$2:$N$1001,0),0), INDEX($U$1004:$AC$1004,1,MATCH(COLUMNS($U$1006:Y1006),$U$1006:$AC$1006,0)))),"Fix")))</f>
        <v>0</v>
      </c>
      <c r="G478" s="3">
        <f>IF(OR(INDEX($O$2:$O$1001,MATCH(ROWS($N$2:N478),$N$2:$N$1001,0),1)&gt;=100000,INDEX($U$1005:$AC$1005,1,MATCH(COLUMNS($U$1006:Z1006),$U$1006:$AC$1006,0))&gt;=100000), " ",IF(INDEX($U$2:$AC$1001,MATCH(ROWS($N$2:N478),$N$2:$N$1001,0),MATCH(COLUMNS($U$1006:Z1006),$U$1006:$AC$1006,0)), HYPERLINK("#",""), HYPERLINK(CONCATENATE("#metadata!", ADDRESS(INDEX($P$2:$P$1001,MATCH(ROWS($N$2:N478),$N$2:$N$1001,0),0), INDEX($U$1004:$AC$1004,1,MATCH(COLUMNS($U$1006:Z1006),$U$1006:$AC$1006,0)))),"Fix")))</f>
        <v>0</v>
      </c>
      <c r="H478" s="3">
        <f>IF(OR(INDEX($O$2:$O$1001,MATCH(ROWS($N$2:N478),$N$2:$N$1001,0),1)&gt;=100000,INDEX($U$1005:$AC$1005,1,MATCH(COLUMNS($U$1006:AA1006),$U$1006:$AC$1006,0))&gt;=100000), " ",IF(INDEX($U$2:$AC$1001,MATCH(ROWS($N$2:N478),$N$2:$N$1001,0),MATCH(COLUMNS($U$1006:AA1006),$U$1006:$AC$1006,0)), HYPERLINK("#",""), HYPERLINK(CONCATENATE("#metadata!", ADDRESS(INDEX($P$2:$P$1001,MATCH(ROWS($N$2:N478),$N$2:$N$1001,0),0), INDEX($U$1004:$AC$1004,1,MATCH(COLUMNS($U$1006:AA1006),$U$1006:$AC$1006,0)))),"Fix")))</f>
        <v>0</v>
      </c>
      <c r="I478" s="3">
        <f>IF(OR(INDEX($O$2:$O$1001,MATCH(ROWS($N$2:N478),$N$2:$N$1001,0),1)&gt;=100000,INDEX($U$1005:$AC$1005,1,MATCH(COLUMNS($U$1006:AB1006),$U$1006:$AC$1006,0))&gt;=100000), " ",IF(INDEX($U$2:$AC$1001,MATCH(ROWS($N$2:N478),$N$2:$N$1001,0),MATCH(COLUMNS($U$1006:AB1006),$U$1006:$AC$1006,0)), HYPERLINK("#",""), HYPERLINK(CONCATENATE("#metadata!", ADDRESS(INDEX($P$2:$P$1001,MATCH(ROWS($N$2:N478),$N$2:$N$1001,0),0), INDEX($U$1004:$AC$1004,1,MATCH(COLUMNS($U$1006:AB1006),$U$1006:$AC$1006,0)))),"Fix")))</f>
        <v>0</v>
      </c>
      <c r="J478" s="3">
        <f>IF(OR(INDEX($O$2:$O$1001,MATCH(ROWS($N$2:N478),$N$2:$N$1001,0),1)&gt;=100000,INDEX($U$1005:$AC$1005,1,MATCH(COLUMNS($U$1006:AC1006),$U$1006:$AC$1006,0))&gt;=100000), " ",IF(INDEX($U$2:$AC$1001,MATCH(ROWS($N$2:N478),$N$2:$N$1001,0),MATCH(COLUMNS($U$1006:AC1006),$U$1006:$AC$1006,0)), HYPERLINK("#",""), HYPERLINK(CONCATENATE("#metadata!", ADDRESS(INDEX($P$2:$P$1001,MATCH(ROWS($N$2:N478),$N$2:$N$1001,0),0), INDEX($U$1004:$AC$1004,1,MATCH(COLUMNS($U$1006:AC1006),$U$1006:$AC$1006,0)))),"Fix")))</f>
        <v>0</v>
      </c>
      <c r="N478">
        <v>0</v>
      </c>
      <c r="O478">
        <v>0</v>
      </c>
      <c r="P478">
        <v>0</v>
      </c>
      <c r="Q478">
        <f>IF(R478,TRUE,AND(U478:AC478))</f>
        <v>0</v>
      </c>
      <c r="R478">
        <f>COUNTBLANK(metadata!B478:J478)=COLUMNS(metadata!B478:J478)</f>
        <v>0</v>
      </c>
      <c r="S478">
        <v>0</v>
      </c>
      <c r="U478">
        <f>AND(IF(metadata!B478="",FALSE,TRUE),COUNTIF(metadata!B:B, metadata!B478) = 1,NOT(ISERROR(SUMPRODUCT(SEARCH(MID(metadata!B478,ROW(INDIRECT("1:"&amp;LEN(metadata!B478))), 1),"0123456789abcdefghijklmnopqrstuvwxyzABCDEFGHIJKLMNOPQRSTUVWXYZ.")))))</f>
        <v>0</v>
      </c>
      <c r="V478">
        <f>AND(IF(metadata!C478="",FALSE,TRUE),exact(metadata!C478,"UBERON:genitourinary"))</f>
        <v>0</v>
      </c>
      <c r="W478">
        <f>AND(IF(metadata!D478="",FALSE,TRUE),exact(metadata!D478,"UBERON:urine"))</f>
        <v>0</v>
      </c>
      <c r="X478">
        <f>AND(IF(metadata!E478="",FALSE,TRUE),exact(metadata!E478,"UBERON:kidney"))</f>
        <v>0</v>
      </c>
      <c r="Y478">
        <f>AND(IF(metadata!F478="",FALSE,TRUE),exact(metadata!F478,"animal corpus"))</f>
        <v>0</v>
      </c>
      <c r="Z478">
        <f>AND(IF(metadata!G478="",FALSE,TRUE),exact(metadata!G478,"urine"))</f>
        <v>0</v>
      </c>
      <c r="AA478">
        <f>AND(IF(metadata!H478="",FALSE,TRUE),exact(metadata!H478,"urine"))</f>
        <v>0</v>
      </c>
      <c r="AB478">
        <f>AND(IF(metadata!I478="",FALSE,TRUE),exact(metadata!I478,"urine metagenome"))</f>
        <v>0</v>
      </c>
      <c r="AC478">
        <f>AND(IF(metadata!J478="",FALSE,TRUE),exact(metadata!J478,"1346744"))</f>
        <v>0</v>
      </c>
    </row>
    <row r="479" spans="1:29">
      <c r="A479" s="4">
        <f>IF(B479=" "," ",HYPERLINK(CONCATENATE("#metadata!",ADDRESS(INDEX($P$2:$P$1001,MATCH(ROWS($N$2:N479),$N$2:$N$1001,0),0),1)),INDEX($S$2:$S$1001,MATCH(ROWS($N$2:N479),$N$2:$N$1001,0),0)))</f>
        <v>0</v>
      </c>
      <c r="B479" s="3">
        <f>IF(OR(INDEX($O$2:$O$1001,MATCH(ROWS($N$2:N479),$N$2:$N$1001,0),1)&gt;=100000,INDEX($U$1005:$AC$1005,1,MATCH(COLUMNS($U$1006:U1006),$U$1006:$AC$1006,0))&gt;=100000), " ",IF(INDEX($U$2:$AC$1001,MATCH(ROWS($N$2:N479),$N$2:$N$1001,0),MATCH(COLUMNS($U$1006:U1006),$U$1006:$AC$1006,0)), HYPERLINK("#",""), HYPERLINK(CONCATENATE("#metadata!", ADDRESS(INDEX($P$2:$P$1001,MATCH(ROWS($N$2:N479),$N$2:$N$1001,0),0), INDEX($U$1004:$AC$1004,1,MATCH(COLUMNS($U$1006:U1006),$U$1006:$AC$1006,0)))),"Fix")))</f>
        <v>0</v>
      </c>
      <c r="C479" s="3">
        <f>IF(OR(INDEX($O$2:$O$1001,MATCH(ROWS($N$2:N479),$N$2:$N$1001,0),1)&gt;=100000,INDEX($U$1005:$AC$1005,1,MATCH(COLUMNS($U$1006:V1006),$U$1006:$AC$1006,0))&gt;=100000), " ",IF(INDEX($U$2:$AC$1001,MATCH(ROWS($N$2:N479),$N$2:$N$1001,0),MATCH(COLUMNS($U$1006:V1006),$U$1006:$AC$1006,0)), HYPERLINK("#",""), HYPERLINK(CONCATENATE("#metadata!", ADDRESS(INDEX($P$2:$P$1001,MATCH(ROWS($N$2:N479),$N$2:$N$1001,0),0), INDEX($U$1004:$AC$1004,1,MATCH(COLUMNS($U$1006:V1006),$U$1006:$AC$1006,0)))),"Fix")))</f>
        <v>0</v>
      </c>
      <c r="D479" s="3">
        <f>IF(OR(INDEX($O$2:$O$1001,MATCH(ROWS($N$2:N479),$N$2:$N$1001,0),1)&gt;=100000,INDEX($U$1005:$AC$1005,1,MATCH(COLUMNS($U$1006:W1006),$U$1006:$AC$1006,0))&gt;=100000), " ",IF(INDEX($U$2:$AC$1001,MATCH(ROWS($N$2:N479),$N$2:$N$1001,0),MATCH(COLUMNS($U$1006:W1006),$U$1006:$AC$1006,0)), HYPERLINK("#",""), HYPERLINK(CONCATENATE("#metadata!", ADDRESS(INDEX($P$2:$P$1001,MATCH(ROWS($N$2:N479),$N$2:$N$1001,0),0), INDEX($U$1004:$AC$1004,1,MATCH(COLUMNS($U$1006:W1006),$U$1006:$AC$1006,0)))),"Fix")))</f>
        <v>0</v>
      </c>
      <c r="E479" s="3">
        <f>IF(OR(INDEX($O$2:$O$1001,MATCH(ROWS($N$2:N479),$N$2:$N$1001,0),1)&gt;=100000,INDEX($U$1005:$AC$1005,1,MATCH(COLUMNS($U$1006:X1006),$U$1006:$AC$1006,0))&gt;=100000), " ",IF(INDEX($U$2:$AC$1001,MATCH(ROWS($N$2:N479),$N$2:$N$1001,0),MATCH(COLUMNS($U$1006:X1006),$U$1006:$AC$1006,0)), HYPERLINK("#",""), HYPERLINK(CONCATENATE("#metadata!", ADDRESS(INDEX($P$2:$P$1001,MATCH(ROWS($N$2:N479),$N$2:$N$1001,0),0), INDEX($U$1004:$AC$1004,1,MATCH(COLUMNS($U$1006:X1006),$U$1006:$AC$1006,0)))),"Fix")))</f>
        <v>0</v>
      </c>
      <c r="F479" s="3">
        <f>IF(OR(INDEX($O$2:$O$1001,MATCH(ROWS($N$2:N479),$N$2:$N$1001,0),1)&gt;=100000,INDEX($U$1005:$AC$1005,1,MATCH(COLUMNS($U$1006:Y1006),$U$1006:$AC$1006,0))&gt;=100000), " ",IF(INDEX($U$2:$AC$1001,MATCH(ROWS($N$2:N479),$N$2:$N$1001,0),MATCH(COLUMNS($U$1006:Y1006),$U$1006:$AC$1006,0)), HYPERLINK("#",""), HYPERLINK(CONCATENATE("#metadata!", ADDRESS(INDEX($P$2:$P$1001,MATCH(ROWS($N$2:N479),$N$2:$N$1001,0),0), INDEX($U$1004:$AC$1004,1,MATCH(COLUMNS($U$1006:Y1006),$U$1006:$AC$1006,0)))),"Fix")))</f>
        <v>0</v>
      </c>
      <c r="G479" s="3">
        <f>IF(OR(INDEX($O$2:$O$1001,MATCH(ROWS($N$2:N479),$N$2:$N$1001,0),1)&gt;=100000,INDEX($U$1005:$AC$1005,1,MATCH(COLUMNS($U$1006:Z1006),$U$1006:$AC$1006,0))&gt;=100000), " ",IF(INDEX($U$2:$AC$1001,MATCH(ROWS($N$2:N479),$N$2:$N$1001,0),MATCH(COLUMNS($U$1006:Z1006),$U$1006:$AC$1006,0)), HYPERLINK("#",""), HYPERLINK(CONCATENATE("#metadata!", ADDRESS(INDEX($P$2:$P$1001,MATCH(ROWS($N$2:N479),$N$2:$N$1001,0),0), INDEX($U$1004:$AC$1004,1,MATCH(COLUMNS($U$1006:Z1006),$U$1006:$AC$1006,0)))),"Fix")))</f>
        <v>0</v>
      </c>
      <c r="H479" s="3">
        <f>IF(OR(INDEX($O$2:$O$1001,MATCH(ROWS($N$2:N479),$N$2:$N$1001,0),1)&gt;=100000,INDEX($U$1005:$AC$1005,1,MATCH(COLUMNS($U$1006:AA1006),$U$1006:$AC$1006,0))&gt;=100000), " ",IF(INDEX($U$2:$AC$1001,MATCH(ROWS($N$2:N479),$N$2:$N$1001,0),MATCH(COLUMNS($U$1006:AA1006),$U$1006:$AC$1006,0)), HYPERLINK("#",""), HYPERLINK(CONCATENATE("#metadata!", ADDRESS(INDEX($P$2:$P$1001,MATCH(ROWS($N$2:N479),$N$2:$N$1001,0),0), INDEX($U$1004:$AC$1004,1,MATCH(COLUMNS($U$1006:AA1006),$U$1006:$AC$1006,0)))),"Fix")))</f>
        <v>0</v>
      </c>
      <c r="I479" s="3">
        <f>IF(OR(INDEX($O$2:$O$1001,MATCH(ROWS($N$2:N479),$N$2:$N$1001,0),1)&gt;=100000,INDEX($U$1005:$AC$1005,1,MATCH(COLUMNS($U$1006:AB1006),$U$1006:$AC$1006,0))&gt;=100000), " ",IF(INDEX($U$2:$AC$1001,MATCH(ROWS($N$2:N479),$N$2:$N$1001,0),MATCH(COLUMNS($U$1006:AB1006),$U$1006:$AC$1006,0)), HYPERLINK("#",""), HYPERLINK(CONCATENATE("#metadata!", ADDRESS(INDEX($P$2:$P$1001,MATCH(ROWS($N$2:N479),$N$2:$N$1001,0),0), INDEX($U$1004:$AC$1004,1,MATCH(COLUMNS($U$1006:AB1006),$U$1006:$AC$1006,0)))),"Fix")))</f>
        <v>0</v>
      </c>
      <c r="J479" s="3">
        <f>IF(OR(INDEX($O$2:$O$1001,MATCH(ROWS($N$2:N479),$N$2:$N$1001,0),1)&gt;=100000,INDEX($U$1005:$AC$1005,1,MATCH(COLUMNS($U$1006:AC1006),$U$1006:$AC$1006,0))&gt;=100000), " ",IF(INDEX($U$2:$AC$1001,MATCH(ROWS($N$2:N479),$N$2:$N$1001,0),MATCH(COLUMNS($U$1006:AC1006),$U$1006:$AC$1006,0)), HYPERLINK("#",""), HYPERLINK(CONCATENATE("#metadata!", ADDRESS(INDEX($P$2:$P$1001,MATCH(ROWS($N$2:N479),$N$2:$N$1001,0),0), INDEX($U$1004:$AC$1004,1,MATCH(COLUMNS($U$1006:AC1006),$U$1006:$AC$1006,0)))),"Fix")))</f>
        <v>0</v>
      </c>
      <c r="N479">
        <v>0</v>
      </c>
      <c r="O479">
        <v>0</v>
      </c>
      <c r="P479">
        <v>0</v>
      </c>
      <c r="Q479">
        <f>IF(R479,TRUE,AND(U479:AC479))</f>
        <v>0</v>
      </c>
      <c r="R479">
        <f>COUNTBLANK(metadata!B479:J479)=COLUMNS(metadata!B479:J479)</f>
        <v>0</v>
      </c>
      <c r="S479">
        <v>0</v>
      </c>
      <c r="U479">
        <f>AND(IF(metadata!B479="",FALSE,TRUE),COUNTIF(metadata!B:B, metadata!B479) = 1,NOT(ISERROR(SUMPRODUCT(SEARCH(MID(metadata!B479,ROW(INDIRECT("1:"&amp;LEN(metadata!B479))), 1),"0123456789abcdefghijklmnopqrstuvwxyzABCDEFGHIJKLMNOPQRSTUVWXYZ.")))))</f>
        <v>0</v>
      </c>
      <c r="V479">
        <f>AND(IF(metadata!C479="",FALSE,TRUE),exact(metadata!C479,"UBERON:genitourinary"))</f>
        <v>0</v>
      </c>
      <c r="W479">
        <f>AND(IF(metadata!D479="",FALSE,TRUE),exact(metadata!D479,"UBERON:urine"))</f>
        <v>0</v>
      </c>
      <c r="X479">
        <f>AND(IF(metadata!E479="",FALSE,TRUE),exact(metadata!E479,"UBERON:kidney"))</f>
        <v>0</v>
      </c>
      <c r="Y479">
        <f>AND(IF(metadata!F479="",FALSE,TRUE),exact(metadata!F479,"animal corpus"))</f>
        <v>0</v>
      </c>
      <c r="Z479">
        <f>AND(IF(metadata!G479="",FALSE,TRUE),exact(metadata!G479,"urine"))</f>
        <v>0</v>
      </c>
      <c r="AA479">
        <f>AND(IF(metadata!H479="",FALSE,TRUE),exact(metadata!H479,"urine"))</f>
        <v>0</v>
      </c>
      <c r="AB479">
        <f>AND(IF(metadata!I479="",FALSE,TRUE),exact(metadata!I479,"urine metagenome"))</f>
        <v>0</v>
      </c>
      <c r="AC479">
        <f>AND(IF(metadata!J479="",FALSE,TRUE),exact(metadata!J479,"1346744"))</f>
        <v>0</v>
      </c>
    </row>
    <row r="480" spans="1:29">
      <c r="A480" s="4">
        <f>IF(B480=" "," ",HYPERLINK(CONCATENATE("#metadata!",ADDRESS(INDEX($P$2:$P$1001,MATCH(ROWS($N$2:N480),$N$2:$N$1001,0),0),1)),INDEX($S$2:$S$1001,MATCH(ROWS($N$2:N480),$N$2:$N$1001,0),0)))</f>
        <v>0</v>
      </c>
      <c r="B480" s="3">
        <f>IF(OR(INDEX($O$2:$O$1001,MATCH(ROWS($N$2:N480),$N$2:$N$1001,0),1)&gt;=100000,INDEX($U$1005:$AC$1005,1,MATCH(COLUMNS($U$1006:U1006),$U$1006:$AC$1006,0))&gt;=100000), " ",IF(INDEX($U$2:$AC$1001,MATCH(ROWS($N$2:N480),$N$2:$N$1001,0),MATCH(COLUMNS($U$1006:U1006),$U$1006:$AC$1006,0)), HYPERLINK("#",""), HYPERLINK(CONCATENATE("#metadata!", ADDRESS(INDEX($P$2:$P$1001,MATCH(ROWS($N$2:N480),$N$2:$N$1001,0),0), INDEX($U$1004:$AC$1004,1,MATCH(COLUMNS($U$1006:U1006),$U$1006:$AC$1006,0)))),"Fix")))</f>
        <v>0</v>
      </c>
      <c r="C480" s="3">
        <f>IF(OR(INDEX($O$2:$O$1001,MATCH(ROWS($N$2:N480),$N$2:$N$1001,0),1)&gt;=100000,INDEX($U$1005:$AC$1005,1,MATCH(COLUMNS($U$1006:V1006),$U$1006:$AC$1006,0))&gt;=100000), " ",IF(INDEX($U$2:$AC$1001,MATCH(ROWS($N$2:N480),$N$2:$N$1001,0),MATCH(COLUMNS($U$1006:V1006),$U$1006:$AC$1006,0)), HYPERLINK("#",""), HYPERLINK(CONCATENATE("#metadata!", ADDRESS(INDEX($P$2:$P$1001,MATCH(ROWS($N$2:N480),$N$2:$N$1001,0),0), INDEX($U$1004:$AC$1004,1,MATCH(COLUMNS($U$1006:V1006),$U$1006:$AC$1006,0)))),"Fix")))</f>
        <v>0</v>
      </c>
      <c r="D480" s="3">
        <f>IF(OR(INDEX($O$2:$O$1001,MATCH(ROWS($N$2:N480),$N$2:$N$1001,0),1)&gt;=100000,INDEX($U$1005:$AC$1005,1,MATCH(COLUMNS($U$1006:W1006),$U$1006:$AC$1006,0))&gt;=100000), " ",IF(INDEX($U$2:$AC$1001,MATCH(ROWS($N$2:N480),$N$2:$N$1001,0),MATCH(COLUMNS($U$1006:W1006),$U$1006:$AC$1006,0)), HYPERLINK("#",""), HYPERLINK(CONCATENATE("#metadata!", ADDRESS(INDEX($P$2:$P$1001,MATCH(ROWS($N$2:N480),$N$2:$N$1001,0),0), INDEX($U$1004:$AC$1004,1,MATCH(COLUMNS($U$1006:W1006),$U$1006:$AC$1006,0)))),"Fix")))</f>
        <v>0</v>
      </c>
      <c r="E480" s="3">
        <f>IF(OR(INDEX($O$2:$O$1001,MATCH(ROWS($N$2:N480),$N$2:$N$1001,0),1)&gt;=100000,INDEX($U$1005:$AC$1005,1,MATCH(COLUMNS($U$1006:X1006),$U$1006:$AC$1006,0))&gt;=100000), " ",IF(INDEX($U$2:$AC$1001,MATCH(ROWS($N$2:N480),$N$2:$N$1001,0),MATCH(COLUMNS($U$1006:X1006),$U$1006:$AC$1006,0)), HYPERLINK("#",""), HYPERLINK(CONCATENATE("#metadata!", ADDRESS(INDEX($P$2:$P$1001,MATCH(ROWS($N$2:N480),$N$2:$N$1001,0),0), INDEX($U$1004:$AC$1004,1,MATCH(COLUMNS($U$1006:X1006),$U$1006:$AC$1006,0)))),"Fix")))</f>
        <v>0</v>
      </c>
      <c r="F480" s="3">
        <f>IF(OR(INDEX($O$2:$O$1001,MATCH(ROWS($N$2:N480),$N$2:$N$1001,0),1)&gt;=100000,INDEX($U$1005:$AC$1005,1,MATCH(COLUMNS($U$1006:Y1006),$U$1006:$AC$1006,0))&gt;=100000), " ",IF(INDEX($U$2:$AC$1001,MATCH(ROWS($N$2:N480),$N$2:$N$1001,0),MATCH(COLUMNS($U$1006:Y1006),$U$1006:$AC$1006,0)), HYPERLINK("#",""), HYPERLINK(CONCATENATE("#metadata!", ADDRESS(INDEX($P$2:$P$1001,MATCH(ROWS($N$2:N480),$N$2:$N$1001,0),0), INDEX($U$1004:$AC$1004,1,MATCH(COLUMNS($U$1006:Y1006),$U$1006:$AC$1006,0)))),"Fix")))</f>
        <v>0</v>
      </c>
      <c r="G480" s="3">
        <f>IF(OR(INDEX($O$2:$O$1001,MATCH(ROWS($N$2:N480),$N$2:$N$1001,0),1)&gt;=100000,INDEX($U$1005:$AC$1005,1,MATCH(COLUMNS($U$1006:Z1006),$U$1006:$AC$1006,0))&gt;=100000), " ",IF(INDEX($U$2:$AC$1001,MATCH(ROWS($N$2:N480),$N$2:$N$1001,0),MATCH(COLUMNS($U$1006:Z1006),$U$1006:$AC$1006,0)), HYPERLINK("#",""), HYPERLINK(CONCATENATE("#metadata!", ADDRESS(INDEX($P$2:$P$1001,MATCH(ROWS($N$2:N480),$N$2:$N$1001,0),0), INDEX($U$1004:$AC$1004,1,MATCH(COLUMNS($U$1006:Z1006),$U$1006:$AC$1006,0)))),"Fix")))</f>
        <v>0</v>
      </c>
      <c r="H480" s="3">
        <f>IF(OR(INDEX($O$2:$O$1001,MATCH(ROWS($N$2:N480),$N$2:$N$1001,0),1)&gt;=100000,INDEX($U$1005:$AC$1005,1,MATCH(COLUMNS($U$1006:AA1006),$U$1006:$AC$1006,0))&gt;=100000), " ",IF(INDEX($U$2:$AC$1001,MATCH(ROWS($N$2:N480),$N$2:$N$1001,0),MATCH(COLUMNS($U$1006:AA1006),$U$1006:$AC$1006,0)), HYPERLINK("#",""), HYPERLINK(CONCATENATE("#metadata!", ADDRESS(INDEX($P$2:$P$1001,MATCH(ROWS($N$2:N480),$N$2:$N$1001,0),0), INDEX($U$1004:$AC$1004,1,MATCH(COLUMNS($U$1006:AA1006),$U$1006:$AC$1006,0)))),"Fix")))</f>
        <v>0</v>
      </c>
      <c r="I480" s="3">
        <f>IF(OR(INDEX($O$2:$O$1001,MATCH(ROWS($N$2:N480),$N$2:$N$1001,0),1)&gt;=100000,INDEX($U$1005:$AC$1005,1,MATCH(COLUMNS($U$1006:AB1006),$U$1006:$AC$1006,0))&gt;=100000), " ",IF(INDEX($U$2:$AC$1001,MATCH(ROWS($N$2:N480),$N$2:$N$1001,0),MATCH(COLUMNS($U$1006:AB1006),$U$1006:$AC$1006,0)), HYPERLINK("#",""), HYPERLINK(CONCATENATE("#metadata!", ADDRESS(INDEX($P$2:$P$1001,MATCH(ROWS($N$2:N480),$N$2:$N$1001,0),0), INDEX($U$1004:$AC$1004,1,MATCH(COLUMNS($U$1006:AB1006),$U$1006:$AC$1006,0)))),"Fix")))</f>
        <v>0</v>
      </c>
      <c r="J480" s="3">
        <f>IF(OR(INDEX($O$2:$O$1001,MATCH(ROWS($N$2:N480),$N$2:$N$1001,0),1)&gt;=100000,INDEX($U$1005:$AC$1005,1,MATCH(COLUMNS($U$1006:AC1006),$U$1006:$AC$1006,0))&gt;=100000), " ",IF(INDEX($U$2:$AC$1001,MATCH(ROWS($N$2:N480),$N$2:$N$1001,0),MATCH(COLUMNS($U$1006:AC1006),$U$1006:$AC$1006,0)), HYPERLINK("#",""), HYPERLINK(CONCATENATE("#metadata!", ADDRESS(INDEX($P$2:$P$1001,MATCH(ROWS($N$2:N480),$N$2:$N$1001,0),0), INDEX($U$1004:$AC$1004,1,MATCH(COLUMNS($U$1006:AC1006),$U$1006:$AC$1006,0)))),"Fix")))</f>
        <v>0</v>
      </c>
      <c r="N480">
        <v>0</v>
      </c>
      <c r="O480">
        <v>0</v>
      </c>
      <c r="P480">
        <v>0</v>
      </c>
      <c r="Q480">
        <f>IF(R480,TRUE,AND(U480:AC480))</f>
        <v>0</v>
      </c>
      <c r="R480">
        <f>COUNTBLANK(metadata!B480:J480)=COLUMNS(metadata!B480:J480)</f>
        <v>0</v>
      </c>
      <c r="S480">
        <v>0</v>
      </c>
      <c r="U480">
        <f>AND(IF(metadata!B480="",FALSE,TRUE),COUNTIF(metadata!B:B, metadata!B480) = 1,NOT(ISERROR(SUMPRODUCT(SEARCH(MID(metadata!B480,ROW(INDIRECT("1:"&amp;LEN(metadata!B480))), 1),"0123456789abcdefghijklmnopqrstuvwxyzABCDEFGHIJKLMNOPQRSTUVWXYZ.")))))</f>
        <v>0</v>
      </c>
      <c r="V480">
        <f>AND(IF(metadata!C480="",FALSE,TRUE),exact(metadata!C480,"UBERON:genitourinary"))</f>
        <v>0</v>
      </c>
      <c r="W480">
        <f>AND(IF(metadata!D480="",FALSE,TRUE),exact(metadata!D480,"UBERON:urine"))</f>
        <v>0</v>
      </c>
      <c r="X480">
        <f>AND(IF(metadata!E480="",FALSE,TRUE),exact(metadata!E480,"UBERON:kidney"))</f>
        <v>0</v>
      </c>
      <c r="Y480">
        <f>AND(IF(metadata!F480="",FALSE,TRUE),exact(metadata!F480,"animal corpus"))</f>
        <v>0</v>
      </c>
      <c r="Z480">
        <f>AND(IF(metadata!G480="",FALSE,TRUE),exact(metadata!G480,"urine"))</f>
        <v>0</v>
      </c>
      <c r="AA480">
        <f>AND(IF(metadata!H480="",FALSE,TRUE),exact(metadata!H480,"urine"))</f>
        <v>0</v>
      </c>
      <c r="AB480">
        <f>AND(IF(metadata!I480="",FALSE,TRUE),exact(metadata!I480,"urine metagenome"))</f>
        <v>0</v>
      </c>
      <c r="AC480">
        <f>AND(IF(metadata!J480="",FALSE,TRUE),exact(metadata!J480,"1346744"))</f>
        <v>0</v>
      </c>
    </row>
    <row r="481" spans="1:29">
      <c r="A481" s="4">
        <f>IF(B481=" "," ",HYPERLINK(CONCATENATE("#metadata!",ADDRESS(INDEX($P$2:$P$1001,MATCH(ROWS($N$2:N481),$N$2:$N$1001,0),0),1)),INDEX($S$2:$S$1001,MATCH(ROWS($N$2:N481),$N$2:$N$1001,0),0)))</f>
        <v>0</v>
      </c>
      <c r="B481" s="3">
        <f>IF(OR(INDEX($O$2:$O$1001,MATCH(ROWS($N$2:N481),$N$2:$N$1001,0),1)&gt;=100000,INDEX($U$1005:$AC$1005,1,MATCH(COLUMNS($U$1006:U1006),$U$1006:$AC$1006,0))&gt;=100000), " ",IF(INDEX($U$2:$AC$1001,MATCH(ROWS($N$2:N481),$N$2:$N$1001,0),MATCH(COLUMNS($U$1006:U1006),$U$1006:$AC$1006,0)), HYPERLINK("#",""), HYPERLINK(CONCATENATE("#metadata!", ADDRESS(INDEX($P$2:$P$1001,MATCH(ROWS($N$2:N481),$N$2:$N$1001,0),0), INDEX($U$1004:$AC$1004,1,MATCH(COLUMNS($U$1006:U1006),$U$1006:$AC$1006,0)))),"Fix")))</f>
        <v>0</v>
      </c>
      <c r="C481" s="3">
        <f>IF(OR(INDEX($O$2:$O$1001,MATCH(ROWS($N$2:N481),$N$2:$N$1001,0),1)&gt;=100000,INDEX($U$1005:$AC$1005,1,MATCH(COLUMNS($U$1006:V1006),$U$1006:$AC$1006,0))&gt;=100000), " ",IF(INDEX($U$2:$AC$1001,MATCH(ROWS($N$2:N481),$N$2:$N$1001,0),MATCH(COLUMNS($U$1006:V1006),$U$1006:$AC$1006,0)), HYPERLINK("#",""), HYPERLINK(CONCATENATE("#metadata!", ADDRESS(INDEX($P$2:$P$1001,MATCH(ROWS($N$2:N481),$N$2:$N$1001,0),0), INDEX($U$1004:$AC$1004,1,MATCH(COLUMNS($U$1006:V1006),$U$1006:$AC$1006,0)))),"Fix")))</f>
        <v>0</v>
      </c>
      <c r="D481" s="3">
        <f>IF(OR(INDEX($O$2:$O$1001,MATCH(ROWS($N$2:N481),$N$2:$N$1001,0),1)&gt;=100000,INDEX($U$1005:$AC$1005,1,MATCH(COLUMNS($U$1006:W1006),$U$1006:$AC$1006,0))&gt;=100000), " ",IF(INDEX($U$2:$AC$1001,MATCH(ROWS($N$2:N481),$N$2:$N$1001,0),MATCH(COLUMNS($U$1006:W1006),$U$1006:$AC$1006,0)), HYPERLINK("#",""), HYPERLINK(CONCATENATE("#metadata!", ADDRESS(INDEX($P$2:$P$1001,MATCH(ROWS($N$2:N481),$N$2:$N$1001,0),0), INDEX($U$1004:$AC$1004,1,MATCH(COLUMNS($U$1006:W1006),$U$1006:$AC$1006,0)))),"Fix")))</f>
        <v>0</v>
      </c>
      <c r="E481" s="3">
        <f>IF(OR(INDEX($O$2:$O$1001,MATCH(ROWS($N$2:N481),$N$2:$N$1001,0),1)&gt;=100000,INDEX($U$1005:$AC$1005,1,MATCH(COLUMNS($U$1006:X1006),$U$1006:$AC$1006,0))&gt;=100000), " ",IF(INDEX($U$2:$AC$1001,MATCH(ROWS($N$2:N481),$N$2:$N$1001,0),MATCH(COLUMNS($U$1006:X1006),$U$1006:$AC$1006,0)), HYPERLINK("#",""), HYPERLINK(CONCATENATE("#metadata!", ADDRESS(INDEX($P$2:$P$1001,MATCH(ROWS($N$2:N481),$N$2:$N$1001,0),0), INDEX($U$1004:$AC$1004,1,MATCH(COLUMNS($U$1006:X1006),$U$1006:$AC$1006,0)))),"Fix")))</f>
        <v>0</v>
      </c>
      <c r="F481" s="3">
        <f>IF(OR(INDEX($O$2:$O$1001,MATCH(ROWS($N$2:N481),$N$2:$N$1001,0),1)&gt;=100000,INDEX($U$1005:$AC$1005,1,MATCH(COLUMNS($U$1006:Y1006),$U$1006:$AC$1006,0))&gt;=100000), " ",IF(INDEX($U$2:$AC$1001,MATCH(ROWS($N$2:N481),$N$2:$N$1001,0),MATCH(COLUMNS($U$1006:Y1006),$U$1006:$AC$1006,0)), HYPERLINK("#",""), HYPERLINK(CONCATENATE("#metadata!", ADDRESS(INDEX($P$2:$P$1001,MATCH(ROWS($N$2:N481),$N$2:$N$1001,0),0), INDEX($U$1004:$AC$1004,1,MATCH(COLUMNS($U$1006:Y1006),$U$1006:$AC$1006,0)))),"Fix")))</f>
        <v>0</v>
      </c>
      <c r="G481" s="3">
        <f>IF(OR(INDEX($O$2:$O$1001,MATCH(ROWS($N$2:N481),$N$2:$N$1001,0),1)&gt;=100000,INDEX($U$1005:$AC$1005,1,MATCH(COLUMNS($U$1006:Z1006),$U$1006:$AC$1006,0))&gt;=100000), " ",IF(INDEX($U$2:$AC$1001,MATCH(ROWS($N$2:N481),$N$2:$N$1001,0),MATCH(COLUMNS($U$1006:Z1006),$U$1006:$AC$1006,0)), HYPERLINK("#",""), HYPERLINK(CONCATENATE("#metadata!", ADDRESS(INDEX($P$2:$P$1001,MATCH(ROWS($N$2:N481),$N$2:$N$1001,0),0), INDEX($U$1004:$AC$1004,1,MATCH(COLUMNS($U$1006:Z1006),$U$1006:$AC$1006,0)))),"Fix")))</f>
        <v>0</v>
      </c>
      <c r="H481" s="3">
        <f>IF(OR(INDEX($O$2:$O$1001,MATCH(ROWS($N$2:N481),$N$2:$N$1001,0),1)&gt;=100000,INDEX($U$1005:$AC$1005,1,MATCH(COLUMNS($U$1006:AA1006),$U$1006:$AC$1006,0))&gt;=100000), " ",IF(INDEX($U$2:$AC$1001,MATCH(ROWS($N$2:N481),$N$2:$N$1001,0),MATCH(COLUMNS($U$1006:AA1006),$U$1006:$AC$1006,0)), HYPERLINK("#",""), HYPERLINK(CONCATENATE("#metadata!", ADDRESS(INDEX($P$2:$P$1001,MATCH(ROWS($N$2:N481),$N$2:$N$1001,0),0), INDEX($U$1004:$AC$1004,1,MATCH(COLUMNS($U$1006:AA1006),$U$1006:$AC$1006,0)))),"Fix")))</f>
        <v>0</v>
      </c>
      <c r="I481" s="3">
        <f>IF(OR(INDEX($O$2:$O$1001,MATCH(ROWS($N$2:N481),$N$2:$N$1001,0),1)&gt;=100000,INDEX($U$1005:$AC$1005,1,MATCH(COLUMNS($U$1006:AB1006),$U$1006:$AC$1006,0))&gt;=100000), " ",IF(INDEX($U$2:$AC$1001,MATCH(ROWS($N$2:N481),$N$2:$N$1001,0),MATCH(COLUMNS($U$1006:AB1006),$U$1006:$AC$1006,0)), HYPERLINK("#",""), HYPERLINK(CONCATENATE("#metadata!", ADDRESS(INDEX($P$2:$P$1001,MATCH(ROWS($N$2:N481),$N$2:$N$1001,0),0), INDEX($U$1004:$AC$1004,1,MATCH(COLUMNS($U$1006:AB1006),$U$1006:$AC$1006,0)))),"Fix")))</f>
        <v>0</v>
      </c>
      <c r="J481" s="3">
        <f>IF(OR(INDEX($O$2:$O$1001,MATCH(ROWS($N$2:N481),$N$2:$N$1001,0),1)&gt;=100000,INDEX($U$1005:$AC$1005,1,MATCH(COLUMNS($U$1006:AC1006),$U$1006:$AC$1006,0))&gt;=100000), " ",IF(INDEX($U$2:$AC$1001,MATCH(ROWS($N$2:N481),$N$2:$N$1001,0),MATCH(COLUMNS($U$1006:AC1006),$U$1006:$AC$1006,0)), HYPERLINK("#",""), HYPERLINK(CONCATENATE("#metadata!", ADDRESS(INDEX($P$2:$P$1001,MATCH(ROWS($N$2:N481),$N$2:$N$1001,0),0), INDEX($U$1004:$AC$1004,1,MATCH(COLUMNS($U$1006:AC1006),$U$1006:$AC$1006,0)))),"Fix")))</f>
        <v>0</v>
      </c>
      <c r="N481">
        <v>0</v>
      </c>
      <c r="O481">
        <v>0</v>
      </c>
      <c r="P481">
        <v>0</v>
      </c>
      <c r="Q481">
        <f>IF(R481,TRUE,AND(U481:AC481))</f>
        <v>0</v>
      </c>
      <c r="R481">
        <f>COUNTBLANK(metadata!B481:J481)=COLUMNS(metadata!B481:J481)</f>
        <v>0</v>
      </c>
      <c r="S481">
        <v>0</v>
      </c>
      <c r="U481">
        <f>AND(IF(metadata!B481="",FALSE,TRUE),COUNTIF(metadata!B:B, metadata!B481) = 1,NOT(ISERROR(SUMPRODUCT(SEARCH(MID(metadata!B481,ROW(INDIRECT("1:"&amp;LEN(metadata!B481))), 1),"0123456789abcdefghijklmnopqrstuvwxyzABCDEFGHIJKLMNOPQRSTUVWXYZ.")))))</f>
        <v>0</v>
      </c>
      <c r="V481">
        <f>AND(IF(metadata!C481="",FALSE,TRUE),exact(metadata!C481,"UBERON:genitourinary"))</f>
        <v>0</v>
      </c>
      <c r="W481">
        <f>AND(IF(metadata!D481="",FALSE,TRUE),exact(metadata!D481,"UBERON:urine"))</f>
        <v>0</v>
      </c>
      <c r="X481">
        <f>AND(IF(metadata!E481="",FALSE,TRUE),exact(metadata!E481,"UBERON:kidney"))</f>
        <v>0</v>
      </c>
      <c r="Y481">
        <f>AND(IF(metadata!F481="",FALSE,TRUE),exact(metadata!F481,"animal corpus"))</f>
        <v>0</v>
      </c>
      <c r="Z481">
        <f>AND(IF(metadata!G481="",FALSE,TRUE),exact(metadata!G481,"urine"))</f>
        <v>0</v>
      </c>
      <c r="AA481">
        <f>AND(IF(metadata!H481="",FALSE,TRUE),exact(metadata!H481,"urine"))</f>
        <v>0</v>
      </c>
      <c r="AB481">
        <f>AND(IF(metadata!I481="",FALSE,TRUE),exact(metadata!I481,"urine metagenome"))</f>
        <v>0</v>
      </c>
      <c r="AC481">
        <f>AND(IF(metadata!J481="",FALSE,TRUE),exact(metadata!J481,"1346744"))</f>
        <v>0</v>
      </c>
    </row>
    <row r="482" spans="1:29">
      <c r="A482" s="4">
        <f>IF(B482=" "," ",HYPERLINK(CONCATENATE("#metadata!",ADDRESS(INDEX($P$2:$P$1001,MATCH(ROWS($N$2:N482),$N$2:$N$1001,0),0),1)),INDEX($S$2:$S$1001,MATCH(ROWS($N$2:N482),$N$2:$N$1001,0),0)))</f>
        <v>0</v>
      </c>
      <c r="B482" s="3">
        <f>IF(OR(INDEX($O$2:$O$1001,MATCH(ROWS($N$2:N482),$N$2:$N$1001,0),1)&gt;=100000,INDEX($U$1005:$AC$1005,1,MATCH(COLUMNS($U$1006:U1006),$U$1006:$AC$1006,0))&gt;=100000), " ",IF(INDEX($U$2:$AC$1001,MATCH(ROWS($N$2:N482),$N$2:$N$1001,0),MATCH(COLUMNS($U$1006:U1006),$U$1006:$AC$1006,0)), HYPERLINK("#",""), HYPERLINK(CONCATENATE("#metadata!", ADDRESS(INDEX($P$2:$P$1001,MATCH(ROWS($N$2:N482),$N$2:$N$1001,0),0), INDEX($U$1004:$AC$1004,1,MATCH(COLUMNS($U$1006:U1006),$U$1006:$AC$1006,0)))),"Fix")))</f>
        <v>0</v>
      </c>
      <c r="C482" s="3">
        <f>IF(OR(INDEX($O$2:$O$1001,MATCH(ROWS($N$2:N482),$N$2:$N$1001,0),1)&gt;=100000,INDEX($U$1005:$AC$1005,1,MATCH(COLUMNS($U$1006:V1006),$U$1006:$AC$1006,0))&gt;=100000), " ",IF(INDEX($U$2:$AC$1001,MATCH(ROWS($N$2:N482),$N$2:$N$1001,0),MATCH(COLUMNS($U$1006:V1006),$U$1006:$AC$1006,0)), HYPERLINK("#",""), HYPERLINK(CONCATENATE("#metadata!", ADDRESS(INDEX($P$2:$P$1001,MATCH(ROWS($N$2:N482),$N$2:$N$1001,0),0), INDEX($U$1004:$AC$1004,1,MATCH(COLUMNS($U$1006:V1006),$U$1006:$AC$1006,0)))),"Fix")))</f>
        <v>0</v>
      </c>
      <c r="D482" s="3">
        <f>IF(OR(INDEX($O$2:$O$1001,MATCH(ROWS($N$2:N482),$N$2:$N$1001,0),1)&gt;=100000,INDEX($U$1005:$AC$1005,1,MATCH(COLUMNS($U$1006:W1006),$U$1006:$AC$1006,0))&gt;=100000), " ",IF(INDEX($U$2:$AC$1001,MATCH(ROWS($N$2:N482),$N$2:$N$1001,0),MATCH(COLUMNS($U$1006:W1006),$U$1006:$AC$1006,0)), HYPERLINK("#",""), HYPERLINK(CONCATENATE("#metadata!", ADDRESS(INDEX($P$2:$P$1001,MATCH(ROWS($N$2:N482),$N$2:$N$1001,0),0), INDEX($U$1004:$AC$1004,1,MATCH(COLUMNS($U$1006:W1006),$U$1006:$AC$1006,0)))),"Fix")))</f>
        <v>0</v>
      </c>
      <c r="E482" s="3">
        <f>IF(OR(INDEX($O$2:$O$1001,MATCH(ROWS($N$2:N482),$N$2:$N$1001,0),1)&gt;=100000,INDEX($U$1005:$AC$1005,1,MATCH(COLUMNS($U$1006:X1006),$U$1006:$AC$1006,0))&gt;=100000), " ",IF(INDEX($U$2:$AC$1001,MATCH(ROWS($N$2:N482),$N$2:$N$1001,0),MATCH(COLUMNS($U$1006:X1006),$U$1006:$AC$1006,0)), HYPERLINK("#",""), HYPERLINK(CONCATENATE("#metadata!", ADDRESS(INDEX($P$2:$P$1001,MATCH(ROWS($N$2:N482),$N$2:$N$1001,0),0), INDEX($U$1004:$AC$1004,1,MATCH(COLUMNS($U$1006:X1006),$U$1006:$AC$1006,0)))),"Fix")))</f>
        <v>0</v>
      </c>
      <c r="F482" s="3">
        <f>IF(OR(INDEX($O$2:$O$1001,MATCH(ROWS($N$2:N482),$N$2:$N$1001,0),1)&gt;=100000,INDEX($U$1005:$AC$1005,1,MATCH(COLUMNS($U$1006:Y1006),$U$1006:$AC$1006,0))&gt;=100000), " ",IF(INDEX($U$2:$AC$1001,MATCH(ROWS($N$2:N482),$N$2:$N$1001,0),MATCH(COLUMNS($U$1006:Y1006),$U$1006:$AC$1006,0)), HYPERLINK("#",""), HYPERLINK(CONCATENATE("#metadata!", ADDRESS(INDEX($P$2:$P$1001,MATCH(ROWS($N$2:N482),$N$2:$N$1001,0),0), INDEX($U$1004:$AC$1004,1,MATCH(COLUMNS($U$1006:Y1006),$U$1006:$AC$1006,0)))),"Fix")))</f>
        <v>0</v>
      </c>
      <c r="G482" s="3">
        <f>IF(OR(INDEX($O$2:$O$1001,MATCH(ROWS($N$2:N482),$N$2:$N$1001,0),1)&gt;=100000,INDEX($U$1005:$AC$1005,1,MATCH(COLUMNS($U$1006:Z1006),$U$1006:$AC$1006,0))&gt;=100000), " ",IF(INDEX($U$2:$AC$1001,MATCH(ROWS($N$2:N482),$N$2:$N$1001,0),MATCH(COLUMNS($U$1006:Z1006),$U$1006:$AC$1006,0)), HYPERLINK("#",""), HYPERLINK(CONCATENATE("#metadata!", ADDRESS(INDEX($P$2:$P$1001,MATCH(ROWS($N$2:N482),$N$2:$N$1001,0),0), INDEX($U$1004:$AC$1004,1,MATCH(COLUMNS($U$1006:Z1006),$U$1006:$AC$1006,0)))),"Fix")))</f>
        <v>0</v>
      </c>
      <c r="H482" s="3">
        <f>IF(OR(INDEX($O$2:$O$1001,MATCH(ROWS($N$2:N482),$N$2:$N$1001,0),1)&gt;=100000,INDEX($U$1005:$AC$1005,1,MATCH(COLUMNS($U$1006:AA1006),$U$1006:$AC$1006,0))&gt;=100000), " ",IF(INDEX($U$2:$AC$1001,MATCH(ROWS($N$2:N482),$N$2:$N$1001,0),MATCH(COLUMNS($U$1006:AA1006),$U$1006:$AC$1006,0)), HYPERLINK("#",""), HYPERLINK(CONCATENATE("#metadata!", ADDRESS(INDEX($P$2:$P$1001,MATCH(ROWS($N$2:N482),$N$2:$N$1001,0),0), INDEX($U$1004:$AC$1004,1,MATCH(COLUMNS($U$1006:AA1006),$U$1006:$AC$1006,0)))),"Fix")))</f>
        <v>0</v>
      </c>
      <c r="I482" s="3">
        <f>IF(OR(INDEX($O$2:$O$1001,MATCH(ROWS($N$2:N482),$N$2:$N$1001,0),1)&gt;=100000,INDEX($U$1005:$AC$1005,1,MATCH(COLUMNS($U$1006:AB1006),$U$1006:$AC$1006,0))&gt;=100000), " ",IF(INDEX($U$2:$AC$1001,MATCH(ROWS($N$2:N482),$N$2:$N$1001,0),MATCH(COLUMNS($U$1006:AB1006),$U$1006:$AC$1006,0)), HYPERLINK("#",""), HYPERLINK(CONCATENATE("#metadata!", ADDRESS(INDEX($P$2:$P$1001,MATCH(ROWS($N$2:N482),$N$2:$N$1001,0),0), INDEX($U$1004:$AC$1004,1,MATCH(COLUMNS($U$1006:AB1006),$U$1006:$AC$1006,0)))),"Fix")))</f>
        <v>0</v>
      </c>
      <c r="J482" s="3">
        <f>IF(OR(INDEX($O$2:$O$1001,MATCH(ROWS($N$2:N482),$N$2:$N$1001,0),1)&gt;=100000,INDEX($U$1005:$AC$1005,1,MATCH(COLUMNS($U$1006:AC1006),$U$1006:$AC$1006,0))&gt;=100000), " ",IF(INDEX($U$2:$AC$1001,MATCH(ROWS($N$2:N482),$N$2:$N$1001,0),MATCH(COLUMNS($U$1006:AC1006),$U$1006:$AC$1006,0)), HYPERLINK("#",""), HYPERLINK(CONCATENATE("#metadata!", ADDRESS(INDEX($P$2:$P$1001,MATCH(ROWS($N$2:N482),$N$2:$N$1001,0),0), INDEX($U$1004:$AC$1004,1,MATCH(COLUMNS($U$1006:AC1006),$U$1006:$AC$1006,0)))),"Fix")))</f>
        <v>0</v>
      </c>
      <c r="N482">
        <v>0</v>
      </c>
      <c r="O482">
        <v>0</v>
      </c>
      <c r="P482">
        <v>0</v>
      </c>
      <c r="Q482">
        <f>IF(R482,TRUE,AND(U482:AC482))</f>
        <v>0</v>
      </c>
      <c r="R482">
        <f>COUNTBLANK(metadata!B482:J482)=COLUMNS(metadata!B482:J482)</f>
        <v>0</v>
      </c>
      <c r="S482">
        <v>0</v>
      </c>
      <c r="U482">
        <f>AND(IF(metadata!B482="",FALSE,TRUE),COUNTIF(metadata!B:B, metadata!B482) = 1,NOT(ISERROR(SUMPRODUCT(SEARCH(MID(metadata!B482,ROW(INDIRECT("1:"&amp;LEN(metadata!B482))), 1),"0123456789abcdefghijklmnopqrstuvwxyzABCDEFGHIJKLMNOPQRSTUVWXYZ.")))))</f>
        <v>0</v>
      </c>
      <c r="V482">
        <f>AND(IF(metadata!C482="",FALSE,TRUE),exact(metadata!C482,"UBERON:genitourinary"))</f>
        <v>0</v>
      </c>
      <c r="W482">
        <f>AND(IF(metadata!D482="",FALSE,TRUE),exact(metadata!D482,"UBERON:urine"))</f>
        <v>0</v>
      </c>
      <c r="X482">
        <f>AND(IF(metadata!E482="",FALSE,TRUE),exact(metadata!E482,"UBERON:kidney"))</f>
        <v>0</v>
      </c>
      <c r="Y482">
        <f>AND(IF(metadata!F482="",FALSE,TRUE),exact(metadata!F482,"animal corpus"))</f>
        <v>0</v>
      </c>
      <c r="Z482">
        <f>AND(IF(metadata!G482="",FALSE,TRUE),exact(metadata!G482,"urine"))</f>
        <v>0</v>
      </c>
      <c r="AA482">
        <f>AND(IF(metadata!H482="",FALSE,TRUE),exact(metadata!H482,"urine"))</f>
        <v>0</v>
      </c>
      <c r="AB482">
        <f>AND(IF(metadata!I482="",FALSE,TRUE),exact(metadata!I482,"urine metagenome"))</f>
        <v>0</v>
      </c>
      <c r="AC482">
        <f>AND(IF(metadata!J482="",FALSE,TRUE),exact(metadata!J482,"1346744"))</f>
        <v>0</v>
      </c>
    </row>
    <row r="483" spans="1:29">
      <c r="A483" s="4">
        <f>IF(B483=" "," ",HYPERLINK(CONCATENATE("#metadata!",ADDRESS(INDEX($P$2:$P$1001,MATCH(ROWS($N$2:N483),$N$2:$N$1001,0),0),1)),INDEX($S$2:$S$1001,MATCH(ROWS($N$2:N483),$N$2:$N$1001,0),0)))</f>
        <v>0</v>
      </c>
      <c r="B483" s="3">
        <f>IF(OR(INDEX($O$2:$O$1001,MATCH(ROWS($N$2:N483),$N$2:$N$1001,0),1)&gt;=100000,INDEX($U$1005:$AC$1005,1,MATCH(COLUMNS($U$1006:U1006),$U$1006:$AC$1006,0))&gt;=100000), " ",IF(INDEX($U$2:$AC$1001,MATCH(ROWS($N$2:N483),$N$2:$N$1001,0),MATCH(COLUMNS($U$1006:U1006),$U$1006:$AC$1006,0)), HYPERLINK("#",""), HYPERLINK(CONCATENATE("#metadata!", ADDRESS(INDEX($P$2:$P$1001,MATCH(ROWS($N$2:N483),$N$2:$N$1001,0),0), INDEX($U$1004:$AC$1004,1,MATCH(COLUMNS($U$1006:U1006),$U$1006:$AC$1006,0)))),"Fix")))</f>
        <v>0</v>
      </c>
      <c r="C483" s="3">
        <f>IF(OR(INDEX($O$2:$O$1001,MATCH(ROWS($N$2:N483),$N$2:$N$1001,0),1)&gt;=100000,INDEX($U$1005:$AC$1005,1,MATCH(COLUMNS($U$1006:V1006),$U$1006:$AC$1006,0))&gt;=100000), " ",IF(INDEX($U$2:$AC$1001,MATCH(ROWS($N$2:N483),$N$2:$N$1001,0),MATCH(COLUMNS($U$1006:V1006),$U$1006:$AC$1006,0)), HYPERLINK("#",""), HYPERLINK(CONCATENATE("#metadata!", ADDRESS(INDEX($P$2:$P$1001,MATCH(ROWS($N$2:N483),$N$2:$N$1001,0),0), INDEX($U$1004:$AC$1004,1,MATCH(COLUMNS($U$1006:V1006),$U$1006:$AC$1006,0)))),"Fix")))</f>
        <v>0</v>
      </c>
      <c r="D483" s="3">
        <f>IF(OR(INDEX($O$2:$O$1001,MATCH(ROWS($N$2:N483),$N$2:$N$1001,0),1)&gt;=100000,INDEX($U$1005:$AC$1005,1,MATCH(COLUMNS($U$1006:W1006),$U$1006:$AC$1006,0))&gt;=100000), " ",IF(INDEX($U$2:$AC$1001,MATCH(ROWS($N$2:N483),$N$2:$N$1001,0),MATCH(COLUMNS($U$1006:W1006),$U$1006:$AC$1006,0)), HYPERLINK("#",""), HYPERLINK(CONCATENATE("#metadata!", ADDRESS(INDEX($P$2:$P$1001,MATCH(ROWS($N$2:N483),$N$2:$N$1001,0),0), INDEX($U$1004:$AC$1004,1,MATCH(COLUMNS($U$1006:W1006),$U$1006:$AC$1006,0)))),"Fix")))</f>
        <v>0</v>
      </c>
      <c r="E483" s="3">
        <f>IF(OR(INDEX($O$2:$O$1001,MATCH(ROWS($N$2:N483),$N$2:$N$1001,0),1)&gt;=100000,INDEX($U$1005:$AC$1005,1,MATCH(COLUMNS($U$1006:X1006),$U$1006:$AC$1006,0))&gt;=100000), " ",IF(INDEX($U$2:$AC$1001,MATCH(ROWS($N$2:N483),$N$2:$N$1001,0),MATCH(COLUMNS($U$1006:X1006),$U$1006:$AC$1006,0)), HYPERLINK("#",""), HYPERLINK(CONCATENATE("#metadata!", ADDRESS(INDEX($P$2:$P$1001,MATCH(ROWS($N$2:N483),$N$2:$N$1001,0),0), INDEX($U$1004:$AC$1004,1,MATCH(COLUMNS($U$1006:X1006),$U$1006:$AC$1006,0)))),"Fix")))</f>
        <v>0</v>
      </c>
      <c r="F483" s="3">
        <f>IF(OR(INDEX($O$2:$O$1001,MATCH(ROWS($N$2:N483),$N$2:$N$1001,0),1)&gt;=100000,INDEX($U$1005:$AC$1005,1,MATCH(COLUMNS($U$1006:Y1006),$U$1006:$AC$1006,0))&gt;=100000), " ",IF(INDEX($U$2:$AC$1001,MATCH(ROWS($N$2:N483),$N$2:$N$1001,0),MATCH(COLUMNS($U$1006:Y1006),$U$1006:$AC$1006,0)), HYPERLINK("#",""), HYPERLINK(CONCATENATE("#metadata!", ADDRESS(INDEX($P$2:$P$1001,MATCH(ROWS($N$2:N483),$N$2:$N$1001,0),0), INDEX($U$1004:$AC$1004,1,MATCH(COLUMNS($U$1006:Y1006),$U$1006:$AC$1006,0)))),"Fix")))</f>
        <v>0</v>
      </c>
      <c r="G483" s="3">
        <f>IF(OR(INDEX($O$2:$O$1001,MATCH(ROWS($N$2:N483),$N$2:$N$1001,0),1)&gt;=100000,INDEX($U$1005:$AC$1005,1,MATCH(COLUMNS($U$1006:Z1006),$U$1006:$AC$1006,0))&gt;=100000), " ",IF(INDEX($U$2:$AC$1001,MATCH(ROWS($N$2:N483),$N$2:$N$1001,0),MATCH(COLUMNS($U$1006:Z1006),$U$1006:$AC$1006,0)), HYPERLINK("#",""), HYPERLINK(CONCATENATE("#metadata!", ADDRESS(INDEX($P$2:$P$1001,MATCH(ROWS($N$2:N483),$N$2:$N$1001,0),0), INDEX($U$1004:$AC$1004,1,MATCH(COLUMNS($U$1006:Z1006),$U$1006:$AC$1006,0)))),"Fix")))</f>
        <v>0</v>
      </c>
      <c r="H483" s="3">
        <f>IF(OR(INDEX($O$2:$O$1001,MATCH(ROWS($N$2:N483),$N$2:$N$1001,0),1)&gt;=100000,INDEX($U$1005:$AC$1005,1,MATCH(COLUMNS($U$1006:AA1006),$U$1006:$AC$1006,0))&gt;=100000), " ",IF(INDEX($U$2:$AC$1001,MATCH(ROWS($N$2:N483),$N$2:$N$1001,0),MATCH(COLUMNS($U$1006:AA1006),$U$1006:$AC$1006,0)), HYPERLINK("#",""), HYPERLINK(CONCATENATE("#metadata!", ADDRESS(INDEX($P$2:$P$1001,MATCH(ROWS($N$2:N483),$N$2:$N$1001,0),0), INDEX($U$1004:$AC$1004,1,MATCH(COLUMNS($U$1006:AA1006),$U$1006:$AC$1006,0)))),"Fix")))</f>
        <v>0</v>
      </c>
      <c r="I483" s="3">
        <f>IF(OR(INDEX($O$2:$O$1001,MATCH(ROWS($N$2:N483),$N$2:$N$1001,0),1)&gt;=100000,INDEX($U$1005:$AC$1005,1,MATCH(COLUMNS($U$1006:AB1006),$U$1006:$AC$1006,0))&gt;=100000), " ",IF(INDEX($U$2:$AC$1001,MATCH(ROWS($N$2:N483),$N$2:$N$1001,0),MATCH(COLUMNS($U$1006:AB1006),$U$1006:$AC$1006,0)), HYPERLINK("#",""), HYPERLINK(CONCATENATE("#metadata!", ADDRESS(INDEX($P$2:$P$1001,MATCH(ROWS($N$2:N483),$N$2:$N$1001,0),0), INDEX($U$1004:$AC$1004,1,MATCH(COLUMNS($U$1006:AB1006),$U$1006:$AC$1006,0)))),"Fix")))</f>
        <v>0</v>
      </c>
      <c r="J483" s="3">
        <f>IF(OR(INDEX($O$2:$O$1001,MATCH(ROWS($N$2:N483),$N$2:$N$1001,0),1)&gt;=100000,INDEX($U$1005:$AC$1005,1,MATCH(COLUMNS($U$1006:AC1006),$U$1006:$AC$1006,0))&gt;=100000), " ",IF(INDEX($U$2:$AC$1001,MATCH(ROWS($N$2:N483),$N$2:$N$1001,0),MATCH(COLUMNS($U$1006:AC1006),$U$1006:$AC$1006,0)), HYPERLINK("#",""), HYPERLINK(CONCATENATE("#metadata!", ADDRESS(INDEX($P$2:$P$1001,MATCH(ROWS($N$2:N483),$N$2:$N$1001,0),0), INDEX($U$1004:$AC$1004,1,MATCH(COLUMNS($U$1006:AC1006),$U$1006:$AC$1006,0)))),"Fix")))</f>
        <v>0</v>
      </c>
      <c r="N483">
        <v>0</v>
      </c>
      <c r="O483">
        <v>0</v>
      </c>
      <c r="P483">
        <v>0</v>
      </c>
      <c r="Q483">
        <f>IF(R483,TRUE,AND(U483:AC483))</f>
        <v>0</v>
      </c>
      <c r="R483">
        <f>COUNTBLANK(metadata!B483:J483)=COLUMNS(metadata!B483:J483)</f>
        <v>0</v>
      </c>
      <c r="S483">
        <v>0</v>
      </c>
      <c r="U483">
        <f>AND(IF(metadata!B483="",FALSE,TRUE),COUNTIF(metadata!B:B, metadata!B483) = 1,NOT(ISERROR(SUMPRODUCT(SEARCH(MID(metadata!B483,ROW(INDIRECT("1:"&amp;LEN(metadata!B483))), 1),"0123456789abcdefghijklmnopqrstuvwxyzABCDEFGHIJKLMNOPQRSTUVWXYZ.")))))</f>
        <v>0</v>
      </c>
      <c r="V483">
        <f>AND(IF(metadata!C483="",FALSE,TRUE),exact(metadata!C483,"UBERON:genitourinary"))</f>
        <v>0</v>
      </c>
      <c r="W483">
        <f>AND(IF(metadata!D483="",FALSE,TRUE),exact(metadata!D483,"UBERON:urine"))</f>
        <v>0</v>
      </c>
      <c r="X483">
        <f>AND(IF(metadata!E483="",FALSE,TRUE),exact(metadata!E483,"UBERON:kidney"))</f>
        <v>0</v>
      </c>
      <c r="Y483">
        <f>AND(IF(metadata!F483="",FALSE,TRUE),exact(metadata!F483,"animal corpus"))</f>
        <v>0</v>
      </c>
      <c r="Z483">
        <f>AND(IF(metadata!G483="",FALSE,TRUE),exact(metadata!G483,"urine"))</f>
        <v>0</v>
      </c>
      <c r="AA483">
        <f>AND(IF(metadata!H483="",FALSE,TRUE),exact(metadata!H483,"urine"))</f>
        <v>0</v>
      </c>
      <c r="AB483">
        <f>AND(IF(metadata!I483="",FALSE,TRUE),exact(metadata!I483,"urine metagenome"))</f>
        <v>0</v>
      </c>
      <c r="AC483">
        <f>AND(IF(metadata!J483="",FALSE,TRUE),exact(metadata!J483,"1346744"))</f>
        <v>0</v>
      </c>
    </row>
    <row r="484" spans="1:29">
      <c r="A484" s="4">
        <f>IF(B484=" "," ",HYPERLINK(CONCATENATE("#metadata!",ADDRESS(INDEX($P$2:$P$1001,MATCH(ROWS($N$2:N484),$N$2:$N$1001,0),0),1)),INDEX($S$2:$S$1001,MATCH(ROWS($N$2:N484),$N$2:$N$1001,0),0)))</f>
        <v>0</v>
      </c>
      <c r="B484" s="3">
        <f>IF(OR(INDEX($O$2:$O$1001,MATCH(ROWS($N$2:N484),$N$2:$N$1001,0),1)&gt;=100000,INDEX($U$1005:$AC$1005,1,MATCH(COLUMNS($U$1006:U1006),$U$1006:$AC$1006,0))&gt;=100000), " ",IF(INDEX($U$2:$AC$1001,MATCH(ROWS($N$2:N484),$N$2:$N$1001,0),MATCH(COLUMNS($U$1006:U1006),$U$1006:$AC$1006,0)), HYPERLINK("#",""), HYPERLINK(CONCATENATE("#metadata!", ADDRESS(INDEX($P$2:$P$1001,MATCH(ROWS($N$2:N484),$N$2:$N$1001,0),0), INDEX($U$1004:$AC$1004,1,MATCH(COLUMNS($U$1006:U1006),$U$1006:$AC$1006,0)))),"Fix")))</f>
        <v>0</v>
      </c>
      <c r="C484" s="3">
        <f>IF(OR(INDEX($O$2:$O$1001,MATCH(ROWS($N$2:N484),$N$2:$N$1001,0),1)&gt;=100000,INDEX($U$1005:$AC$1005,1,MATCH(COLUMNS($U$1006:V1006),$U$1006:$AC$1006,0))&gt;=100000), " ",IF(INDEX($U$2:$AC$1001,MATCH(ROWS($N$2:N484),$N$2:$N$1001,0),MATCH(COLUMNS($U$1006:V1006),$U$1006:$AC$1006,0)), HYPERLINK("#",""), HYPERLINK(CONCATENATE("#metadata!", ADDRESS(INDEX($P$2:$P$1001,MATCH(ROWS($N$2:N484),$N$2:$N$1001,0),0), INDEX($U$1004:$AC$1004,1,MATCH(COLUMNS($U$1006:V1006),$U$1006:$AC$1006,0)))),"Fix")))</f>
        <v>0</v>
      </c>
      <c r="D484" s="3">
        <f>IF(OR(INDEX($O$2:$O$1001,MATCH(ROWS($N$2:N484),$N$2:$N$1001,0),1)&gt;=100000,INDEX($U$1005:$AC$1005,1,MATCH(COLUMNS($U$1006:W1006),$U$1006:$AC$1006,0))&gt;=100000), " ",IF(INDEX($U$2:$AC$1001,MATCH(ROWS($N$2:N484),$N$2:$N$1001,0),MATCH(COLUMNS($U$1006:W1006),$U$1006:$AC$1006,0)), HYPERLINK("#",""), HYPERLINK(CONCATENATE("#metadata!", ADDRESS(INDEX($P$2:$P$1001,MATCH(ROWS($N$2:N484),$N$2:$N$1001,0),0), INDEX($U$1004:$AC$1004,1,MATCH(COLUMNS($U$1006:W1006),$U$1006:$AC$1006,0)))),"Fix")))</f>
        <v>0</v>
      </c>
      <c r="E484" s="3">
        <f>IF(OR(INDEX($O$2:$O$1001,MATCH(ROWS($N$2:N484),$N$2:$N$1001,0),1)&gt;=100000,INDEX($U$1005:$AC$1005,1,MATCH(COLUMNS($U$1006:X1006),$U$1006:$AC$1006,0))&gt;=100000), " ",IF(INDEX($U$2:$AC$1001,MATCH(ROWS($N$2:N484),$N$2:$N$1001,0),MATCH(COLUMNS($U$1006:X1006),$U$1006:$AC$1006,0)), HYPERLINK("#",""), HYPERLINK(CONCATENATE("#metadata!", ADDRESS(INDEX($P$2:$P$1001,MATCH(ROWS($N$2:N484),$N$2:$N$1001,0),0), INDEX($U$1004:$AC$1004,1,MATCH(COLUMNS($U$1006:X1006),$U$1006:$AC$1006,0)))),"Fix")))</f>
        <v>0</v>
      </c>
      <c r="F484" s="3">
        <f>IF(OR(INDEX($O$2:$O$1001,MATCH(ROWS($N$2:N484),$N$2:$N$1001,0),1)&gt;=100000,INDEX($U$1005:$AC$1005,1,MATCH(COLUMNS($U$1006:Y1006),$U$1006:$AC$1006,0))&gt;=100000), " ",IF(INDEX($U$2:$AC$1001,MATCH(ROWS($N$2:N484),$N$2:$N$1001,0),MATCH(COLUMNS($U$1006:Y1006),$U$1006:$AC$1006,0)), HYPERLINK("#",""), HYPERLINK(CONCATENATE("#metadata!", ADDRESS(INDEX($P$2:$P$1001,MATCH(ROWS($N$2:N484),$N$2:$N$1001,0),0), INDEX($U$1004:$AC$1004,1,MATCH(COLUMNS($U$1006:Y1006),$U$1006:$AC$1006,0)))),"Fix")))</f>
        <v>0</v>
      </c>
      <c r="G484" s="3">
        <f>IF(OR(INDEX($O$2:$O$1001,MATCH(ROWS($N$2:N484),$N$2:$N$1001,0),1)&gt;=100000,INDEX($U$1005:$AC$1005,1,MATCH(COLUMNS($U$1006:Z1006),$U$1006:$AC$1006,0))&gt;=100000), " ",IF(INDEX($U$2:$AC$1001,MATCH(ROWS($N$2:N484),$N$2:$N$1001,0),MATCH(COLUMNS($U$1006:Z1006),$U$1006:$AC$1006,0)), HYPERLINK("#",""), HYPERLINK(CONCATENATE("#metadata!", ADDRESS(INDEX($P$2:$P$1001,MATCH(ROWS($N$2:N484),$N$2:$N$1001,0),0), INDEX($U$1004:$AC$1004,1,MATCH(COLUMNS($U$1006:Z1006),$U$1006:$AC$1006,0)))),"Fix")))</f>
        <v>0</v>
      </c>
      <c r="H484" s="3">
        <f>IF(OR(INDEX($O$2:$O$1001,MATCH(ROWS($N$2:N484),$N$2:$N$1001,0),1)&gt;=100000,INDEX($U$1005:$AC$1005,1,MATCH(COLUMNS($U$1006:AA1006),$U$1006:$AC$1006,0))&gt;=100000), " ",IF(INDEX($U$2:$AC$1001,MATCH(ROWS($N$2:N484),$N$2:$N$1001,0),MATCH(COLUMNS($U$1006:AA1006),$U$1006:$AC$1006,0)), HYPERLINK("#",""), HYPERLINK(CONCATENATE("#metadata!", ADDRESS(INDEX($P$2:$P$1001,MATCH(ROWS($N$2:N484),$N$2:$N$1001,0),0), INDEX($U$1004:$AC$1004,1,MATCH(COLUMNS($U$1006:AA1006),$U$1006:$AC$1006,0)))),"Fix")))</f>
        <v>0</v>
      </c>
      <c r="I484" s="3">
        <f>IF(OR(INDEX($O$2:$O$1001,MATCH(ROWS($N$2:N484),$N$2:$N$1001,0),1)&gt;=100000,INDEX($U$1005:$AC$1005,1,MATCH(COLUMNS($U$1006:AB1006),$U$1006:$AC$1006,0))&gt;=100000), " ",IF(INDEX($U$2:$AC$1001,MATCH(ROWS($N$2:N484),$N$2:$N$1001,0),MATCH(COLUMNS($U$1006:AB1006),$U$1006:$AC$1006,0)), HYPERLINK("#",""), HYPERLINK(CONCATENATE("#metadata!", ADDRESS(INDEX($P$2:$P$1001,MATCH(ROWS($N$2:N484),$N$2:$N$1001,0),0), INDEX($U$1004:$AC$1004,1,MATCH(COLUMNS($U$1006:AB1006),$U$1006:$AC$1006,0)))),"Fix")))</f>
        <v>0</v>
      </c>
      <c r="J484" s="3">
        <f>IF(OR(INDEX($O$2:$O$1001,MATCH(ROWS($N$2:N484),$N$2:$N$1001,0),1)&gt;=100000,INDEX($U$1005:$AC$1005,1,MATCH(COLUMNS($U$1006:AC1006),$U$1006:$AC$1006,0))&gt;=100000), " ",IF(INDEX($U$2:$AC$1001,MATCH(ROWS($N$2:N484),$N$2:$N$1001,0),MATCH(COLUMNS($U$1006:AC1006),$U$1006:$AC$1006,0)), HYPERLINK("#",""), HYPERLINK(CONCATENATE("#metadata!", ADDRESS(INDEX($P$2:$P$1001,MATCH(ROWS($N$2:N484),$N$2:$N$1001,0),0), INDEX($U$1004:$AC$1004,1,MATCH(COLUMNS($U$1006:AC1006),$U$1006:$AC$1006,0)))),"Fix")))</f>
        <v>0</v>
      </c>
      <c r="N484">
        <v>0</v>
      </c>
      <c r="O484">
        <v>0</v>
      </c>
      <c r="P484">
        <v>0</v>
      </c>
      <c r="Q484">
        <f>IF(R484,TRUE,AND(U484:AC484))</f>
        <v>0</v>
      </c>
      <c r="R484">
        <f>COUNTBLANK(metadata!B484:J484)=COLUMNS(metadata!B484:J484)</f>
        <v>0</v>
      </c>
      <c r="S484">
        <v>0</v>
      </c>
      <c r="U484">
        <f>AND(IF(metadata!B484="",FALSE,TRUE),COUNTIF(metadata!B:B, metadata!B484) = 1,NOT(ISERROR(SUMPRODUCT(SEARCH(MID(metadata!B484,ROW(INDIRECT("1:"&amp;LEN(metadata!B484))), 1),"0123456789abcdefghijklmnopqrstuvwxyzABCDEFGHIJKLMNOPQRSTUVWXYZ.")))))</f>
        <v>0</v>
      </c>
      <c r="V484">
        <f>AND(IF(metadata!C484="",FALSE,TRUE),exact(metadata!C484,"UBERON:genitourinary"))</f>
        <v>0</v>
      </c>
      <c r="W484">
        <f>AND(IF(metadata!D484="",FALSE,TRUE),exact(metadata!D484,"UBERON:urine"))</f>
        <v>0</v>
      </c>
      <c r="X484">
        <f>AND(IF(metadata!E484="",FALSE,TRUE),exact(metadata!E484,"UBERON:kidney"))</f>
        <v>0</v>
      </c>
      <c r="Y484">
        <f>AND(IF(metadata!F484="",FALSE,TRUE),exact(metadata!F484,"animal corpus"))</f>
        <v>0</v>
      </c>
      <c r="Z484">
        <f>AND(IF(metadata!G484="",FALSE,TRUE),exact(metadata!G484,"urine"))</f>
        <v>0</v>
      </c>
      <c r="AA484">
        <f>AND(IF(metadata!H484="",FALSE,TRUE),exact(metadata!H484,"urine"))</f>
        <v>0</v>
      </c>
      <c r="AB484">
        <f>AND(IF(metadata!I484="",FALSE,TRUE),exact(metadata!I484,"urine metagenome"))</f>
        <v>0</v>
      </c>
      <c r="AC484">
        <f>AND(IF(metadata!J484="",FALSE,TRUE),exact(metadata!J484,"1346744"))</f>
        <v>0</v>
      </c>
    </row>
    <row r="485" spans="1:29">
      <c r="A485" s="4">
        <f>IF(B485=" "," ",HYPERLINK(CONCATENATE("#metadata!",ADDRESS(INDEX($P$2:$P$1001,MATCH(ROWS($N$2:N485),$N$2:$N$1001,0),0),1)),INDEX($S$2:$S$1001,MATCH(ROWS($N$2:N485),$N$2:$N$1001,0),0)))</f>
        <v>0</v>
      </c>
      <c r="B485" s="3">
        <f>IF(OR(INDEX($O$2:$O$1001,MATCH(ROWS($N$2:N485),$N$2:$N$1001,0),1)&gt;=100000,INDEX($U$1005:$AC$1005,1,MATCH(COLUMNS($U$1006:U1006),$U$1006:$AC$1006,0))&gt;=100000), " ",IF(INDEX($U$2:$AC$1001,MATCH(ROWS($N$2:N485),$N$2:$N$1001,0),MATCH(COLUMNS($U$1006:U1006),$U$1006:$AC$1006,0)), HYPERLINK("#",""), HYPERLINK(CONCATENATE("#metadata!", ADDRESS(INDEX($P$2:$P$1001,MATCH(ROWS($N$2:N485),$N$2:$N$1001,0),0), INDEX($U$1004:$AC$1004,1,MATCH(COLUMNS($U$1006:U1006),$U$1006:$AC$1006,0)))),"Fix")))</f>
        <v>0</v>
      </c>
      <c r="C485" s="3">
        <f>IF(OR(INDEX($O$2:$O$1001,MATCH(ROWS($N$2:N485),$N$2:$N$1001,0),1)&gt;=100000,INDEX($U$1005:$AC$1005,1,MATCH(COLUMNS($U$1006:V1006),$U$1006:$AC$1006,0))&gt;=100000), " ",IF(INDEX($U$2:$AC$1001,MATCH(ROWS($N$2:N485),$N$2:$N$1001,0),MATCH(COLUMNS($U$1006:V1006),$U$1006:$AC$1006,0)), HYPERLINK("#",""), HYPERLINK(CONCATENATE("#metadata!", ADDRESS(INDEX($P$2:$P$1001,MATCH(ROWS($N$2:N485),$N$2:$N$1001,0),0), INDEX($U$1004:$AC$1004,1,MATCH(COLUMNS($U$1006:V1006),$U$1006:$AC$1006,0)))),"Fix")))</f>
        <v>0</v>
      </c>
      <c r="D485" s="3">
        <f>IF(OR(INDEX($O$2:$O$1001,MATCH(ROWS($N$2:N485),$N$2:$N$1001,0),1)&gt;=100000,INDEX($U$1005:$AC$1005,1,MATCH(COLUMNS($U$1006:W1006),$U$1006:$AC$1006,0))&gt;=100000), " ",IF(INDEX($U$2:$AC$1001,MATCH(ROWS($N$2:N485),$N$2:$N$1001,0),MATCH(COLUMNS($U$1006:W1006),$U$1006:$AC$1006,0)), HYPERLINK("#",""), HYPERLINK(CONCATENATE("#metadata!", ADDRESS(INDEX($P$2:$P$1001,MATCH(ROWS($N$2:N485),$N$2:$N$1001,0),0), INDEX($U$1004:$AC$1004,1,MATCH(COLUMNS($U$1006:W1006),$U$1006:$AC$1006,0)))),"Fix")))</f>
        <v>0</v>
      </c>
      <c r="E485" s="3">
        <f>IF(OR(INDEX($O$2:$O$1001,MATCH(ROWS($N$2:N485),$N$2:$N$1001,0),1)&gt;=100000,INDEX($U$1005:$AC$1005,1,MATCH(COLUMNS($U$1006:X1006),$U$1006:$AC$1006,0))&gt;=100000), " ",IF(INDEX($U$2:$AC$1001,MATCH(ROWS($N$2:N485),$N$2:$N$1001,0),MATCH(COLUMNS($U$1006:X1006),$U$1006:$AC$1006,0)), HYPERLINK("#",""), HYPERLINK(CONCATENATE("#metadata!", ADDRESS(INDEX($P$2:$P$1001,MATCH(ROWS($N$2:N485),$N$2:$N$1001,0),0), INDEX($U$1004:$AC$1004,1,MATCH(COLUMNS($U$1006:X1006),$U$1006:$AC$1006,0)))),"Fix")))</f>
        <v>0</v>
      </c>
      <c r="F485" s="3">
        <f>IF(OR(INDEX($O$2:$O$1001,MATCH(ROWS($N$2:N485),$N$2:$N$1001,0),1)&gt;=100000,INDEX($U$1005:$AC$1005,1,MATCH(COLUMNS($U$1006:Y1006),$U$1006:$AC$1006,0))&gt;=100000), " ",IF(INDEX($U$2:$AC$1001,MATCH(ROWS($N$2:N485),$N$2:$N$1001,0),MATCH(COLUMNS($U$1006:Y1006),$U$1006:$AC$1006,0)), HYPERLINK("#",""), HYPERLINK(CONCATENATE("#metadata!", ADDRESS(INDEX($P$2:$P$1001,MATCH(ROWS($N$2:N485),$N$2:$N$1001,0),0), INDEX($U$1004:$AC$1004,1,MATCH(COLUMNS($U$1006:Y1006),$U$1006:$AC$1006,0)))),"Fix")))</f>
        <v>0</v>
      </c>
      <c r="G485" s="3">
        <f>IF(OR(INDEX($O$2:$O$1001,MATCH(ROWS($N$2:N485),$N$2:$N$1001,0),1)&gt;=100000,INDEX($U$1005:$AC$1005,1,MATCH(COLUMNS($U$1006:Z1006),$U$1006:$AC$1006,0))&gt;=100000), " ",IF(INDEX($U$2:$AC$1001,MATCH(ROWS($N$2:N485),$N$2:$N$1001,0),MATCH(COLUMNS($U$1006:Z1006),$U$1006:$AC$1006,0)), HYPERLINK("#",""), HYPERLINK(CONCATENATE("#metadata!", ADDRESS(INDEX($P$2:$P$1001,MATCH(ROWS($N$2:N485),$N$2:$N$1001,0),0), INDEX($U$1004:$AC$1004,1,MATCH(COLUMNS($U$1006:Z1006),$U$1006:$AC$1006,0)))),"Fix")))</f>
        <v>0</v>
      </c>
      <c r="H485" s="3">
        <f>IF(OR(INDEX($O$2:$O$1001,MATCH(ROWS($N$2:N485),$N$2:$N$1001,0),1)&gt;=100000,INDEX($U$1005:$AC$1005,1,MATCH(COLUMNS($U$1006:AA1006),$U$1006:$AC$1006,0))&gt;=100000), " ",IF(INDEX($U$2:$AC$1001,MATCH(ROWS($N$2:N485),$N$2:$N$1001,0),MATCH(COLUMNS($U$1006:AA1006),$U$1006:$AC$1006,0)), HYPERLINK("#",""), HYPERLINK(CONCATENATE("#metadata!", ADDRESS(INDEX($P$2:$P$1001,MATCH(ROWS($N$2:N485),$N$2:$N$1001,0),0), INDEX($U$1004:$AC$1004,1,MATCH(COLUMNS($U$1006:AA1006),$U$1006:$AC$1006,0)))),"Fix")))</f>
        <v>0</v>
      </c>
      <c r="I485" s="3">
        <f>IF(OR(INDEX($O$2:$O$1001,MATCH(ROWS($N$2:N485),$N$2:$N$1001,0),1)&gt;=100000,INDEX($U$1005:$AC$1005,1,MATCH(COLUMNS($U$1006:AB1006),$U$1006:$AC$1006,0))&gt;=100000), " ",IF(INDEX($U$2:$AC$1001,MATCH(ROWS($N$2:N485),$N$2:$N$1001,0),MATCH(COLUMNS($U$1006:AB1006),$U$1006:$AC$1006,0)), HYPERLINK("#",""), HYPERLINK(CONCATENATE("#metadata!", ADDRESS(INDEX($P$2:$P$1001,MATCH(ROWS($N$2:N485),$N$2:$N$1001,0),0), INDEX($U$1004:$AC$1004,1,MATCH(COLUMNS($U$1006:AB1006),$U$1006:$AC$1006,0)))),"Fix")))</f>
        <v>0</v>
      </c>
      <c r="J485" s="3">
        <f>IF(OR(INDEX($O$2:$O$1001,MATCH(ROWS($N$2:N485),$N$2:$N$1001,0),1)&gt;=100000,INDEX($U$1005:$AC$1005,1,MATCH(COLUMNS($U$1006:AC1006),$U$1006:$AC$1006,0))&gt;=100000), " ",IF(INDEX($U$2:$AC$1001,MATCH(ROWS($N$2:N485),$N$2:$N$1001,0),MATCH(COLUMNS($U$1006:AC1006),$U$1006:$AC$1006,0)), HYPERLINK("#",""), HYPERLINK(CONCATENATE("#metadata!", ADDRESS(INDEX($P$2:$P$1001,MATCH(ROWS($N$2:N485),$N$2:$N$1001,0),0), INDEX($U$1004:$AC$1004,1,MATCH(COLUMNS($U$1006:AC1006),$U$1006:$AC$1006,0)))),"Fix")))</f>
        <v>0</v>
      </c>
      <c r="N485">
        <v>0</v>
      </c>
      <c r="O485">
        <v>0</v>
      </c>
      <c r="P485">
        <v>0</v>
      </c>
      <c r="Q485">
        <f>IF(R485,TRUE,AND(U485:AC485))</f>
        <v>0</v>
      </c>
      <c r="R485">
        <f>COUNTBLANK(metadata!B485:J485)=COLUMNS(metadata!B485:J485)</f>
        <v>0</v>
      </c>
      <c r="S485">
        <v>0</v>
      </c>
      <c r="U485">
        <f>AND(IF(metadata!B485="",FALSE,TRUE),COUNTIF(metadata!B:B, metadata!B485) = 1,NOT(ISERROR(SUMPRODUCT(SEARCH(MID(metadata!B485,ROW(INDIRECT("1:"&amp;LEN(metadata!B485))), 1),"0123456789abcdefghijklmnopqrstuvwxyzABCDEFGHIJKLMNOPQRSTUVWXYZ.")))))</f>
        <v>0</v>
      </c>
      <c r="V485">
        <f>AND(IF(metadata!C485="",FALSE,TRUE),exact(metadata!C485,"UBERON:genitourinary"))</f>
        <v>0</v>
      </c>
      <c r="W485">
        <f>AND(IF(metadata!D485="",FALSE,TRUE),exact(metadata!D485,"UBERON:urine"))</f>
        <v>0</v>
      </c>
      <c r="X485">
        <f>AND(IF(metadata!E485="",FALSE,TRUE),exact(metadata!E485,"UBERON:kidney"))</f>
        <v>0</v>
      </c>
      <c r="Y485">
        <f>AND(IF(metadata!F485="",FALSE,TRUE),exact(metadata!F485,"animal corpus"))</f>
        <v>0</v>
      </c>
      <c r="Z485">
        <f>AND(IF(metadata!G485="",FALSE,TRUE),exact(metadata!G485,"urine"))</f>
        <v>0</v>
      </c>
      <c r="AA485">
        <f>AND(IF(metadata!H485="",FALSE,TRUE),exact(metadata!H485,"urine"))</f>
        <v>0</v>
      </c>
      <c r="AB485">
        <f>AND(IF(metadata!I485="",FALSE,TRUE),exact(metadata!I485,"urine metagenome"))</f>
        <v>0</v>
      </c>
      <c r="AC485">
        <f>AND(IF(metadata!J485="",FALSE,TRUE),exact(metadata!J485,"1346744"))</f>
        <v>0</v>
      </c>
    </row>
    <row r="486" spans="1:29">
      <c r="A486" s="4">
        <f>IF(B486=" "," ",HYPERLINK(CONCATENATE("#metadata!",ADDRESS(INDEX($P$2:$P$1001,MATCH(ROWS($N$2:N486),$N$2:$N$1001,0),0),1)),INDEX($S$2:$S$1001,MATCH(ROWS($N$2:N486),$N$2:$N$1001,0),0)))</f>
        <v>0</v>
      </c>
      <c r="B486" s="3">
        <f>IF(OR(INDEX($O$2:$O$1001,MATCH(ROWS($N$2:N486),$N$2:$N$1001,0),1)&gt;=100000,INDEX($U$1005:$AC$1005,1,MATCH(COLUMNS($U$1006:U1006),$U$1006:$AC$1006,0))&gt;=100000), " ",IF(INDEX($U$2:$AC$1001,MATCH(ROWS($N$2:N486),$N$2:$N$1001,0),MATCH(COLUMNS($U$1006:U1006),$U$1006:$AC$1006,0)), HYPERLINK("#",""), HYPERLINK(CONCATENATE("#metadata!", ADDRESS(INDEX($P$2:$P$1001,MATCH(ROWS($N$2:N486),$N$2:$N$1001,0),0), INDEX($U$1004:$AC$1004,1,MATCH(COLUMNS($U$1006:U1006),$U$1006:$AC$1006,0)))),"Fix")))</f>
        <v>0</v>
      </c>
      <c r="C486" s="3">
        <f>IF(OR(INDEX($O$2:$O$1001,MATCH(ROWS($N$2:N486),$N$2:$N$1001,0),1)&gt;=100000,INDEX($U$1005:$AC$1005,1,MATCH(COLUMNS($U$1006:V1006),$U$1006:$AC$1006,0))&gt;=100000), " ",IF(INDEX($U$2:$AC$1001,MATCH(ROWS($N$2:N486),$N$2:$N$1001,0),MATCH(COLUMNS($U$1006:V1006),$U$1006:$AC$1006,0)), HYPERLINK("#",""), HYPERLINK(CONCATENATE("#metadata!", ADDRESS(INDEX($P$2:$P$1001,MATCH(ROWS($N$2:N486),$N$2:$N$1001,0),0), INDEX($U$1004:$AC$1004,1,MATCH(COLUMNS($U$1006:V1006),$U$1006:$AC$1006,0)))),"Fix")))</f>
        <v>0</v>
      </c>
      <c r="D486" s="3">
        <f>IF(OR(INDEX($O$2:$O$1001,MATCH(ROWS($N$2:N486),$N$2:$N$1001,0),1)&gt;=100000,INDEX($U$1005:$AC$1005,1,MATCH(COLUMNS($U$1006:W1006),$U$1006:$AC$1006,0))&gt;=100000), " ",IF(INDEX($U$2:$AC$1001,MATCH(ROWS($N$2:N486),$N$2:$N$1001,0),MATCH(COLUMNS($U$1006:W1006),$U$1006:$AC$1006,0)), HYPERLINK("#",""), HYPERLINK(CONCATENATE("#metadata!", ADDRESS(INDEX($P$2:$P$1001,MATCH(ROWS($N$2:N486),$N$2:$N$1001,0),0), INDEX($U$1004:$AC$1004,1,MATCH(COLUMNS($U$1006:W1006),$U$1006:$AC$1006,0)))),"Fix")))</f>
        <v>0</v>
      </c>
      <c r="E486" s="3">
        <f>IF(OR(INDEX($O$2:$O$1001,MATCH(ROWS($N$2:N486),$N$2:$N$1001,0),1)&gt;=100000,INDEX($U$1005:$AC$1005,1,MATCH(COLUMNS($U$1006:X1006),$U$1006:$AC$1006,0))&gt;=100000), " ",IF(INDEX($U$2:$AC$1001,MATCH(ROWS($N$2:N486),$N$2:$N$1001,0),MATCH(COLUMNS($U$1006:X1006),$U$1006:$AC$1006,0)), HYPERLINK("#",""), HYPERLINK(CONCATENATE("#metadata!", ADDRESS(INDEX($P$2:$P$1001,MATCH(ROWS($N$2:N486),$N$2:$N$1001,0),0), INDEX($U$1004:$AC$1004,1,MATCH(COLUMNS($U$1006:X1006),$U$1006:$AC$1006,0)))),"Fix")))</f>
        <v>0</v>
      </c>
      <c r="F486" s="3">
        <f>IF(OR(INDEX($O$2:$O$1001,MATCH(ROWS($N$2:N486),$N$2:$N$1001,0),1)&gt;=100000,INDEX($U$1005:$AC$1005,1,MATCH(COLUMNS($U$1006:Y1006),$U$1006:$AC$1006,0))&gt;=100000), " ",IF(INDEX($U$2:$AC$1001,MATCH(ROWS($N$2:N486),$N$2:$N$1001,0),MATCH(COLUMNS($U$1006:Y1006),$U$1006:$AC$1006,0)), HYPERLINK("#",""), HYPERLINK(CONCATENATE("#metadata!", ADDRESS(INDEX($P$2:$P$1001,MATCH(ROWS($N$2:N486),$N$2:$N$1001,0),0), INDEX($U$1004:$AC$1004,1,MATCH(COLUMNS($U$1006:Y1006),$U$1006:$AC$1006,0)))),"Fix")))</f>
        <v>0</v>
      </c>
      <c r="G486" s="3">
        <f>IF(OR(INDEX($O$2:$O$1001,MATCH(ROWS($N$2:N486),$N$2:$N$1001,0),1)&gt;=100000,INDEX($U$1005:$AC$1005,1,MATCH(COLUMNS($U$1006:Z1006),$U$1006:$AC$1006,0))&gt;=100000), " ",IF(INDEX($U$2:$AC$1001,MATCH(ROWS($N$2:N486),$N$2:$N$1001,0),MATCH(COLUMNS($U$1006:Z1006),$U$1006:$AC$1006,0)), HYPERLINK("#",""), HYPERLINK(CONCATENATE("#metadata!", ADDRESS(INDEX($P$2:$P$1001,MATCH(ROWS($N$2:N486),$N$2:$N$1001,0),0), INDEX($U$1004:$AC$1004,1,MATCH(COLUMNS($U$1006:Z1006),$U$1006:$AC$1006,0)))),"Fix")))</f>
        <v>0</v>
      </c>
      <c r="H486" s="3">
        <f>IF(OR(INDEX($O$2:$O$1001,MATCH(ROWS($N$2:N486),$N$2:$N$1001,0),1)&gt;=100000,INDEX($U$1005:$AC$1005,1,MATCH(COLUMNS($U$1006:AA1006),$U$1006:$AC$1006,0))&gt;=100000), " ",IF(INDEX($U$2:$AC$1001,MATCH(ROWS($N$2:N486),$N$2:$N$1001,0),MATCH(COLUMNS($U$1006:AA1006),$U$1006:$AC$1006,0)), HYPERLINK("#",""), HYPERLINK(CONCATENATE("#metadata!", ADDRESS(INDEX($P$2:$P$1001,MATCH(ROWS($N$2:N486),$N$2:$N$1001,0),0), INDEX($U$1004:$AC$1004,1,MATCH(COLUMNS($U$1006:AA1006),$U$1006:$AC$1006,0)))),"Fix")))</f>
        <v>0</v>
      </c>
      <c r="I486" s="3">
        <f>IF(OR(INDEX($O$2:$O$1001,MATCH(ROWS($N$2:N486),$N$2:$N$1001,0),1)&gt;=100000,INDEX($U$1005:$AC$1005,1,MATCH(COLUMNS($U$1006:AB1006),$U$1006:$AC$1006,0))&gt;=100000), " ",IF(INDEX($U$2:$AC$1001,MATCH(ROWS($N$2:N486),$N$2:$N$1001,0),MATCH(COLUMNS($U$1006:AB1006),$U$1006:$AC$1006,0)), HYPERLINK("#",""), HYPERLINK(CONCATENATE("#metadata!", ADDRESS(INDEX($P$2:$P$1001,MATCH(ROWS($N$2:N486),$N$2:$N$1001,0),0), INDEX($U$1004:$AC$1004,1,MATCH(COLUMNS($U$1006:AB1006),$U$1006:$AC$1006,0)))),"Fix")))</f>
        <v>0</v>
      </c>
      <c r="J486" s="3">
        <f>IF(OR(INDEX($O$2:$O$1001,MATCH(ROWS($N$2:N486),$N$2:$N$1001,0),1)&gt;=100000,INDEX($U$1005:$AC$1005,1,MATCH(COLUMNS($U$1006:AC1006),$U$1006:$AC$1006,0))&gt;=100000), " ",IF(INDEX($U$2:$AC$1001,MATCH(ROWS($N$2:N486),$N$2:$N$1001,0),MATCH(COLUMNS($U$1006:AC1006),$U$1006:$AC$1006,0)), HYPERLINK("#",""), HYPERLINK(CONCATENATE("#metadata!", ADDRESS(INDEX($P$2:$P$1001,MATCH(ROWS($N$2:N486),$N$2:$N$1001,0),0), INDEX($U$1004:$AC$1004,1,MATCH(COLUMNS($U$1006:AC1006),$U$1006:$AC$1006,0)))),"Fix")))</f>
        <v>0</v>
      </c>
      <c r="N486">
        <v>0</v>
      </c>
      <c r="O486">
        <v>0</v>
      </c>
      <c r="P486">
        <v>0</v>
      </c>
      <c r="Q486">
        <f>IF(R486,TRUE,AND(U486:AC486))</f>
        <v>0</v>
      </c>
      <c r="R486">
        <f>COUNTBLANK(metadata!B486:J486)=COLUMNS(metadata!B486:J486)</f>
        <v>0</v>
      </c>
      <c r="S486">
        <v>0</v>
      </c>
      <c r="U486">
        <f>AND(IF(metadata!B486="",FALSE,TRUE),COUNTIF(metadata!B:B, metadata!B486) = 1,NOT(ISERROR(SUMPRODUCT(SEARCH(MID(metadata!B486,ROW(INDIRECT("1:"&amp;LEN(metadata!B486))), 1),"0123456789abcdefghijklmnopqrstuvwxyzABCDEFGHIJKLMNOPQRSTUVWXYZ.")))))</f>
        <v>0</v>
      </c>
      <c r="V486">
        <f>AND(IF(metadata!C486="",FALSE,TRUE),exact(metadata!C486,"UBERON:genitourinary"))</f>
        <v>0</v>
      </c>
      <c r="W486">
        <f>AND(IF(metadata!D486="",FALSE,TRUE),exact(metadata!D486,"UBERON:urine"))</f>
        <v>0</v>
      </c>
      <c r="X486">
        <f>AND(IF(metadata!E486="",FALSE,TRUE),exact(metadata!E486,"UBERON:kidney"))</f>
        <v>0</v>
      </c>
      <c r="Y486">
        <f>AND(IF(metadata!F486="",FALSE,TRUE),exact(metadata!F486,"animal corpus"))</f>
        <v>0</v>
      </c>
      <c r="Z486">
        <f>AND(IF(metadata!G486="",FALSE,TRUE),exact(metadata!G486,"urine"))</f>
        <v>0</v>
      </c>
      <c r="AA486">
        <f>AND(IF(metadata!H486="",FALSE,TRUE),exact(metadata!H486,"urine"))</f>
        <v>0</v>
      </c>
      <c r="AB486">
        <f>AND(IF(metadata!I486="",FALSE,TRUE),exact(metadata!I486,"urine metagenome"))</f>
        <v>0</v>
      </c>
      <c r="AC486">
        <f>AND(IF(metadata!J486="",FALSE,TRUE),exact(metadata!J486,"1346744"))</f>
        <v>0</v>
      </c>
    </row>
    <row r="487" spans="1:29">
      <c r="A487" s="4">
        <f>IF(B487=" "," ",HYPERLINK(CONCATENATE("#metadata!",ADDRESS(INDEX($P$2:$P$1001,MATCH(ROWS($N$2:N487),$N$2:$N$1001,0),0),1)),INDEX($S$2:$S$1001,MATCH(ROWS($N$2:N487),$N$2:$N$1001,0),0)))</f>
        <v>0</v>
      </c>
      <c r="B487" s="3">
        <f>IF(OR(INDEX($O$2:$O$1001,MATCH(ROWS($N$2:N487),$N$2:$N$1001,0),1)&gt;=100000,INDEX($U$1005:$AC$1005,1,MATCH(COLUMNS($U$1006:U1006),$U$1006:$AC$1006,0))&gt;=100000), " ",IF(INDEX($U$2:$AC$1001,MATCH(ROWS($N$2:N487),$N$2:$N$1001,0),MATCH(COLUMNS($U$1006:U1006),$U$1006:$AC$1006,0)), HYPERLINK("#",""), HYPERLINK(CONCATENATE("#metadata!", ADDRESS(INDEX($P$2:$P$1001,MATCH(ROWS($N$2:N487),$N$2:$N$1001,0),0), INDEX($U$1004:$AC$1004,1,MATCH(COLUMNS($U$1006:U1006),$U$1006:$AC$1006,0)))),"Fix")))</f>
        <v>0</v>
      </c>
      <c r="C487" s="3">
        <f>IF(OR(INDEX($O$2:$O$1001,MATCH(ROWS($N$2:N487),$N$2:$N$1001,0),1)&gt;=100000,INDEX($U$1005:$AC$1005,1,MATCH(COLUMNS($U$1006:V1006),$U$1006:$AC$1006,0))&gt;=100000), " ",IF(INDEX($U$2:$AC$1001,MATCH(ROWS($N$2:N487),$N$2:$N$1001,0),MATCH(COLUMNS($U$1006:V1006),$U$1006:$AC$1006,0)), HYPERLINK("#",""), HYPERLINK(CONCATENATE("#metadata!", ADDRESS(INDEX($P$2:$P$1001,MATCH(ROWS($N$2:N487),$N$2:$N$1001,0),0), INDEX($U$1004:$AC$1004,1,MATCH(COLUMNS($U$1006:V1006),$U$1006:$AC$1006,0)))),"Fix")))</f>
        <v>0</v>
      </c>
      <c r="D487" s="3">
        <f>IF(OR(INDEX($O$2:$O$1001,MATCH(ROWS($N$2:N487),$N$2:$N$1001,0),1)&gt;=100000,INDEX($U$1005:$AC$1005,1,MATCH(COLUMNS($U$1006:W1006),$U$1006:$AC$1006,0))&gt;=100000), " ",IF(INDEX($U$2:$AC$1001,MATCH(ROWS($N$2:N487),$N$2:$N$1001,0),MATCH(COLUMNS($U$1006:W1006),$U$1006:$AC$1006,0)), HYPERLINK("#",""), HYPERLINK(CONCATENATE("#metadata!", ADDRESS(INDEX($P$2:$P$1001,MATCH(ROWS($N$2:N487),$N$2:$N$1001,0),0), INDEX($U$1004:$AC$1004,1,MATCH(COLUMNS($U$1006:W1006),$U$1006:$AC$1006,0)))),"Fix")))</f>
        <v>0</v>
      </c>
      <c r="E487" s="3">
        <f>IF(OR(INDEX($O$2:$O$1001,MATCH(ROWS($N$2:N487),$N$2:$N$1001,0),1)&gt;=100000,INDEX($U$1005:$AC$1005,1,MATCH(COLUMNS($U$1006:X1006),$U$1006:$AC$1006,0))&gt;=100000), " ",IF(INDEX($U$2:$AC$1001,MATCH(ROWS($N$2:N487),$N$2:$N$1001,0),MATCH(COLUMNS($U$1006:X1006),$U$1006:$AC$1006,0)), HYPERLINK("#",""), HYPERLINK(CONCATENATE("#metadata!", ADDRESS(INDEX($P$2:$P$1001,MATCH(ROWS($N$2:N487),$N$2:$N$1001,0),0), INDEX($U$1004:$AC$1004,1,MATCH(COLUMNS($U$1006:X1006),$U$1006:$AC$1006,0)))),"Fix")))</f>
        <v>0</v>
      </c>
      <c r="F487" s="3">
        <f>IF(OR(INDEX($O$2:$O$1001,MATCH(ROWS($N$2:N487),$N$2:$N$1001,0),1)&gt;=100000,INDEX($U$1005:$AC$1005,1,MATCH(COLUMNS($U$1006:Y1006),$U$1006:$AC$1006,0))&gt;=100000), " ",IF(INDEX($U$2:$AC$1001,MATCH(ROWS($N$2:N487),$N$2:$N$1001,0),MATCH(COLUMNS($U$1006:Y1006),$U$1006:$AC$1006,0)), HYPERLINK("#",""), HYPERLINK(CONCATENATE("#metadata!", ADDRESS(INDEX($P$2:$P$1001,MATCH(ROWS($N$2:N487),$N$2:$N$1001,0),0), INDEX($U$1004:$AC$1004,1,MATCH(COLUMNS($U$1006:Y1006),$U$1006:$AC$1006,0)))),"Fix")))</f>
        <v>0</v>
      </c>
      <c r="G487" s="3">
        <f>IF(OR(INDEX($O$2:$O$1001,MATCH(ROWS($N$2:N487),$N$2:$N$1001,0),1)&gt;=100000,INDEX($U$1005:$AC$1005,1,MATCH(COLUMNS($U$1006:Z1006),$U$1006:$AC$1006,0))&gt;=100000), " ",IF(INDEX($U$2:$AC$1001,MATCH(ROWS($N$2:N487),$N$2:$N$1001,0),MATCH(COLUMNS($U$1006:Z1006),$U$1006:$AC$1006,0)), HYPERLINK("#",""), HYPERLINK(CONCATENATE("#metadata!", ADDRESS(INDEX($P$2:$P$1001,MATCH(ROWS($N$2:N487),$N$2:$N$1001,0),0), INDEX($U$1004:$AC$1004,1,MATCH(COLUMNS($U$1006:Z1006),$U$1006:$AC$1006,0)))),"Fix")))</f>
        <v>0</v>
      </c>
      <c r="H487" s="3">
        <f>IF(OR(INDEX($O$2:$O$1001,MATCH(ROWS($N$2:N487),$N$2:$N$1001,0),1)&gt;=100000,INDEX($U$1005:$AC$1005,1,MATCH(COLUMNS($U$1006:AA1006),$U$1006:$AC$1006,0))&gt;=100000), " ",IF(INDEX($U$2:$AC$1001,MATCH(ROWS($N$2:N487),$N$2:$N$1001,0),MATCH(COLUMNS($U$1006:AA1006),$U$1006:$AC$1006,0)), HYPERLINK("#",""), HYPERLINK(CONCATENATE("#metadata!", ADDRESS(INDEX($P$2:$P$1001,MATCH(ROWS($N$2:N487),$N$2:$N$1001,0),0), INDEX($U$1004:$AC$1004,1,MATCH(COLUMNS($U$1006:AA1006),$U$1006:$AC$1006,0)))),"Fix")))</f>
        <v>0</v>
      </c>
      <c r="I487" s="3">
        <f>IF(OR(INDEX($O$2:$O$1001,MATCH(ROWS($N$2:N487),$N$2:$N$1001,0),1)&gt;=100000,INDEX($U$1005:$AC$1005,1,MATCH(COLUMNS($U$1006:AB1006),$U$1006:$AC$1006,0))&gt;=100000), " ",IF(INDEX($U$2:$AC$1001,MATCH(ROWS($N$2:N487),$N$2:$N$1001,0),MATCH(COLUMNS($U$1006:AB1006),$U$1006:$AC$1006,0)), HYPERLINK("#",""), HYPERLINK(CONCATENATE("#metadata!", ADDRESS(INDEX($P$2:$P$1001,MATCH(ROWS($N$2:N487),$N$2:$N$1001,0),0), INDEX($U$1004:$AC$1004,1,MATCH(COLUMNS($U$1006:AB1006),$U$1006:$AC$1006,0)))),"Fix")))</f>
        <v>0</v>
      </c>
      <c r="J487" s="3">
        <f>IF(OR(INDEX($O$2:$O$1001,MATCH(ROWS($N$2:N487),$N$2:$N$1001,0),1)&gt;=100000,INDEX($U$1005:$AC$1005,1,MATCH(COLUMNS($U$1006:AC1006),$U$1006:$AC$1006,0))&gt;=100000), " ",IF(INDEX($U$2:$AC$1001,MATCH(ROWS($N$2:N487),$N$2:$N$1001,0),MATCH(COLUMNS($U$1006:AC1006),$U$1006:$AC$1006,0)), HYPERLINK("#",""), HYPERLINK(CONCATENATE("#metadata!", ADDRESS(INDEX($P$2:$P$1001,MATCH(ROWS($N$2:N487),$N$2:$N$1001,0),0), INDEX($U$1004:$AC$1004,1,MATCH(COLUMNS($U$1006:AC1006),$U$1006:$AC$1006,0)))),"Fix")))</f>
        <v>0</v>
      </c>
      <c r="N487">
        <v>0</v>
      </c>
      <c r="O487">
        <v>0</v>
      </c>
      <c r="P487">
        <v>0</v>
      </c>
      <c r="Q487">
        <f>IF(R487,TRUE,AND(U487:AC487))</f>
        <v>0</v>
      </c>
      <c r="R487">
        <f>COUNTBLANK(metadata!B487:J487)=COLUMNS(metadata!B487:J487)</f>
        <v>0</v>
      </c>
      <c r="S487">
        <v>0</v>
      </c>
      <c r="U487">
        <f>AND(IF(metadata!B487="",FALSE,TRUE),COUNTIF(metadata!B:B, metadata!B487) = 1,NOT(ISERROR(SUMPRODUCT(SEARCH(MID(metadata!B487,ROW(INDIRECT("1:"&amp;LEN(metadata!B487))), 1),"0123456789abcdefghijklmnopqrstuvwxyzABCDEFGHIJKLMNOPQRSTUVWXYZ.")))))</f>
        <v>0</v>
      </c>
      <c r="V487">
        <f>AND(IF(metadata!C487="",FALSE,TRUE),exact(metadata!C487,"UBERON:genitourinary"))</f>
        <v>0</v>
      </c>
      <c r="W487">
        <f>AND(IF(metadata!D487="",FALSE,TRUE),exact(metadata!D487,"UBERON:urine"))</f>
        <v>0</v>
      </c>
      <c r="X487">
        <f>AND(IF(metadata!E487="",FALSE,TRUE),exact(metadata!E487,"UBERON:kidney"))</f>
        <v>0</v>
      </c>
      <c r="Y487">
        <f>AND(IF(metadata!F487="",FALSE,TRUE),exact(metadata!F487,"animal corpus"))</f>
        <v>0</v>
      </c>
      <c r="Z487">
        <f>AND(IF(metadata!G487="",FALSE,TRUE),exact(metadata!G487,"urine"))</f>
        <v>0</v>
      </c>
      <c r="AA487">
        <f>AND(IF(metadata!H487="",FALSE,TRUE),exact(metadata!H487,"urine"))</f>
        <v>0</v>
      </c>
      <c r="AB487">
        <f>AND(IF(metadata!I487="",FALSE,TRUE),exact(metadata!I487,"urine metagenome"))</f>
        <v>0</v>
      </c>
      <c r="AC487">
        <f>AND(IF(metadata!J487="",FALSE,TRUE),exact(metadata!J487,"1346744"))</f>
        <v>0</v>
      </c>
    </row>
    <row r="488" spans="1:29">
      <c r="A488" s="4">
        <f>IF(B488=" "," ",HYPERLINK(CONCATENATE("#metadata!",ADDRESS(INDEX($P$2:$P$1001,MATCH(ROWS($N$2:N488),$N$2:$N$1001,0),0),1)),INDEX($S$2:$S$1001,MATCH(ROWS($N$2:N488),$N$2:$N$1001,0),0)))</f>
        <v>0</v>
      </c>
      <c r="B488" s="3">
        <f>IF(OR(INDEX($O$2:$O$1001,MATCH(ROWS($N$2:N488),$N$2:$N$1001,0),1)&gt;=100000,INDEX($U$1005:$AC$1005,1,MATCH(COLUMNS($U$1006:U1006),$U$1006:$AC$1006,0))&gt;=100000), " ",IF(INDEX($U$2:$AC$1001,MATCH(ROWS($N$2:N488),$N$2:$N$1001,0),MATCH(COLUMNS($U$1006:U1006),$U$1006:$AC$1006,0)), HYPERLINK("#",""), HYPERLINK(CONCATENATE("#metadata!", ADDRESS(INDEX($P$2:$P$1001,MATCH(ROWS($N$2:N488),$N$2:$N$1001,0),0), INDEX($U$1004:$AC$1004,1,MATCH(COLUMNS($U$1006:U1006),$U$1006:$AC$1006,0)))),"Fix")))</f>
        <v>0</v>
      </c>
      <c r="C488" s="3">
        <f>IF(OR(INDEX($O$2:$O$1001,MATCH(ROWS($N$2:N488),$N$2:$N$1001,0),1)&gt;=100000,INDEX($U$1005:$AC$1005,1,MATCH(COLUMNS($U$1006:V1006),$U$1006:$AC$1006,0))&gt;=100000), " ",IF(INDEX($U$2:$AC$1001,MATCH(ROWS($N$2:N488),$N$2:$N$1001,0),MATCH(COLUMNS($U$1006:V1006),$U$1006:$AC$1006,0)), HYPERLINK("#",""), HYPERLINK(CONCATENATE("#metadata!", ADDRESS(INDEX($P$2:$P$1001,MATCH(ROWS($N$2:N488),$N$2:$N$1001,0),0), INDEX($U$1004:$AC$1004,1,MATCH(COLUMNS($U$1006:V1006),$U$1006:$AC$1006,0)))),"Fix")))</f>
        <v>0</v>
      </c>
      <c r="D488" s="3">
        <f>IF(OR(INDEX($O$2:$O$1001,MATCH(ROWS($N$2:N488),$N$2:$N$1001,0),1)&gt;=100000,INDEX($U$1005:$AC$1005,1,MATCH(COLUMNS($U$1006:W1006),$U$1006:$AC$1006,0))&gt;=100000), " ",IF(INDEX($U$2:$AC$1001,MATCH(ROWS($N$2:N488),$N$2:$N$1001,0),MATCH(COLUMNS($U$1006:W1006),$U$1006:$AC$1006,0)), HYPERLINK("#",""), HYPERLINK(CONCATENATE("#metadata!", ADDRESS(INDEX($P$2:$P$1001,MATCH(ROWS($N$2:N488),$N$2:$N$1001,0),0), INDEX($U$1004:$AC$1004,1,MATCH(COLUMNS($U$1006:W1006),$U$1006:$AC$1006,0)))),"Fix")))</f>
        <v>0</v>
      </c>
      <c r="E488" s="3">
        <f>IF(OR(INDEX($O$2:$O$1001,MATCH(ROWS($N$2:N488),$N$2:$N$1001,0),1)&gt;=100000,INDEX($U$1005:$AC$1005,1,MATCH(COLUMNS($U$1006:X1006),$U$1006:$AC$1006,0))&gt;=100000), " ",IF(INDEX($U$2:$AC$1001,MATCH(ROWS($N$2:N488),$N$2:$N$1001,0),MATCH(COLUMNS($U$1006:X1006),$U$1006:$AC$1006,0)), HYPERLINK("#",""), HYPERLINK(CONCATENATE("#metadata!", ADDRESS(INDEX($P$2:$P$1001,MATCH(ROWS($N$2:N488),$N$2:$N$1001,0),0), INDEX($U$1004:$AC$1004,1,MATCH(COLUMNS($U$1006:X1006),$U$1006:$AC$1006,0)))),"Fix")))</f>
        <v>0</v>
      </c>
      <c r="F488" s="3">
        <f>IF(OR(INDEX($O$2:$O$1001,MATCH(ROWS($N$2:N488),$N$2:$N$1001,0),1)&gt;=100000,INDEX($U$1005:$AC$1005,1,MATCH(COLUMNS($U$1006:Y1006),$U$1006:$AC$1006,0))&gt;=100000), " ",IF(INDEX($U$2:$AC$1001,MATCH(ROWS($N$2:N488),$N$2:$N$1001,0),MATCH(COLUMNS($U$1006:Y1006),$U$1006:$AC$1006,0)), HYPERLINK("#",""), HYPERLINK(CONCATENATE("#metadata!", ADDRESS(INDEX($P$2:$P$1001,MATCH(ROWS($N$2:N488),$N$2:$N$1001,0),0), INDEX($U$1004:$AC$1004,1,MATCH(COLUMNS($U$1006:Y1006),$U$1006:$AC$1006,0)))),"Fix")))</f>
        <v>0</v>
      </c>
      <c r="G488" s="3">
        <f>IF(OR(INDEX($O$2:$O$1001,MATCH(ROWS($N$2:N488),$N$2:$N$1001,0),1)&gt;=100000,INDEX($U$1005:$AC$1005,1,MATCH(COLUMNS($U$1006:Z1006),$U$1006:$AC$1006,0))&gt;=100000), " ",IF(INDEX($U$2:$AC$1001,MATCH(ROWS($N$2:N488),$N$2:$N$1001,0),MATCH(COLUMNS($U$1006:Z1006),$U$1006:$AC$1006,0)), HYPERLINK("#",""), HYPERLINK(CONCATENATE("#metadata!", ADDRESS(INDEX($P$2:$P$1001,MATCH(ROWS($N$2:N488),$N$2:$N$1001,0),0), INDEX($U$1004:$AC$1004,1,MATCH(COLUMNS($U$1006:Z1006),$U$1006:$AC$1006,0)))),"Fix")))</f>
        <v>0</v>
      </c>
      <c r="H488" s="3">
        <f>IF(OR(INDEX($O$2:$O$1001,MATCH(ROWS($N$2:N488),$N$2:$N$1001,0),1)&gt;=100000,INDEX($U$1005:$AC$1005,1,MATCH(COLUMNS($U$1006:AA1006),$U$1006:$AC$1006,0))&gt;=100000), " ",IF(INDEX($U$2:$AC$1001,MATCH(ROWS($N$2:N488),$N$2:$N$1001,0),MATCH(COLUMNS($U$1006:AA1006),$U$1006:$AC$1006,0)), HYPERLINK("#",""), HYPERLINK(CONCATENATE("#metadata!", ADDRESS(INDEX($P$2:$P$1001,MATCH(ROWS($N$2:N488),$N$2:$N$1001,0),0), INDEX($U$1004:$AC$1004,1,MATCH(COLUMNS($U$1006:AA1006),$U$1006:$AC$1006,0)))),"Fix")))</f>
        <v>0</v>
      </c>
      <c r="I488" s="3">
        <f>IF(OR(INDEX($O$2:$O$1001,MATCH(ROWS($N$2:N488),$N$2:$N$1001,0),1)&gt;=100000,INDEX($U$1005:$AC$1005,1,MATCH(COLUMNS($U$1006:AB1006),$U$1006:$AC$1006,0))&gt;=100000), " ",IF(INDEX($U$2:$AC$1001,MATCH(ROWS($N$2:N488),$N$2:$N$1001,0),MATCH(COLUMNS($U$1006:AB1006),$U$1006:$AC$1006,0)), HYPERLINK("#",""), HYPERLINK(CONCATENATE("#metadata!", ADDRESS(INDEX($P$2:$P$1001,MATCH(ROWS($N$2:N488),$N$2:$N$1001,0),0), INDEX($U$1004:$AC$1004,1,MATCH(COLUMNS($U$1006:AB1006),$U$1006:$AC$1006,0)))),"Fix")))</f>
        <v>0</v>
      </c>
      <c r="J488" s="3">
        <f>IF(OR(INDEX($O$2:$O$1001,MATCH(ROWS($N$2:N488),$N$2:$N$1001,0),1)&gt;=100000,INDEX($U$1005:$AC$1005,1,MATCH(COLUMNS($U$1006:AC1006),$U$1006:$AC$1006,0))&gt;=100000), " ",IF(INDEX($U$2:$AC$1001,MATCH(ROWS($N$2:N488),$N$2:$N$1001,0),MATCH(COLUMNS($U$1006:AC1006),$U$1006:$AC$1006,0)), HYPERLINK("#",""), HYPERLINK(CONCATENATE("#metadata!", ADDRESS(INDEX($P$2:$P$1001,MATCH(ROWS($N$2:N488),$N$2:$N$1001,0),0), INDEX($U$1004:$AC$1004,1,MATCH(COLUMNS($U$1006:AC1006),$U$1006:$AC$1006,0)))),"Fix")))</f>
        <v>0</v>
      </c>
      <c r="N488">
        <v>0</v>
      </c>
      <c r="O488">
        <v>0</v>
      </c>
      <c r="P488">
        <v>0</v>
      </c>
      <c r="Q488">
        <f>IF(R488,TRUE,AND(U488:AC488))</f>
        <v>0</v>
      </c>
      <c r="R488">
        <f>COUNTBLANK(metadata!B488:J488)=COLUMNS(metadata!B488:J488)</f>
        <v>0</v>
      </c>
      <c r="S488">
        <v>0</v>
      </c>
      <c r="U488">
        <f>AND(IF(metadata!B488="",FALSE,TRUE),COUNTIF(metadata!B:B, metadata!B488) = 1,NOT(ISERROR(SUMPRODUCT(SEARCH(MID(metadata!B488,ROW(INDIRECT("1:"&amp;LEN(metadata!B488))), 1),"0123456789abcdefghijklmnopqrstuvwxyzABCDEFGHIJKLMNOPQRSTUVWXYZ.")))))</f>
        <v>0</v>
      </c>
      <c r="V488">
        <f>AND(IF(metadata!C488="",FALSE,TRUE),exact(metadata!C488,"UBERON:genitourinary"))</f>
        <v>0</v>
      </c>
      <c r="W488">
        <f>AND(IF(metadata!D488="",FALSE,TRUE),exact(metadata!D488,"UBERON:urine"))</f>
        <v>0</v>
      </c>
      <c r="X488">
        <f>AND(IF(metadata!E488="",FALSE,TRUE),exact(metadata!E488,"UBERON:kidney"))</f>
        <v>0</v>
      </c>
      <c r="Y488">
        <f>AND(IF(metadata!F488="",FALSE,TRUE),exact(metadata!F488,"animal corpus"))</f>
        <v>0</v>
      </c>
      <c r="Z488">
        <f>AND(IF(metadata!G488="",FALSE,TRUE),exact(metadata!G488,"urine"))</f>
        <v>0</v>
      </c>
      <c r="AA488">
        <f>AND(IF(metadata!H488="",FALSE,TRUE),exact(metadata!H488,"urine"))</f>
        <v>0</v>
      </c>
      <c r="AB488">
        <f>AND(IF(metadata!I488="",FALSE,TRUE),exact(metadata!I488,"urine metagenome"))</f>
        <v>0</v>
      </c>
      <c r="AC488">
        <f>AND(IF(metadata!J488="",FALSE,TRUE),exact(metadata!J488,"1346744"))</f>
        <v>0</v>
      </c>
    </row>
    <row r="489" spans="1:29">
      <c r="A489" s="4">
        <f>IF(B489=" "," ",HYPERLINK(CONCATENATE("#metadata!",ADDRESS(INDEX($P$2:$P$1001,MATCH(ROWS($N$2:N489),$N$2:$N$1001,0),0),1)),INDEX($S$2:$S$1001,MATCH(ROWS($N$2:N489),$N$2:$N$1001,0),0)))</f>
        <v>0</v>
      </c>
      <c r="B489" s="3">
        <f>IF(OR(INDEX($O$2:$O$1001,MATCH(ROWS($N$2:N489),$N$2:$N$1001,0),1)&gt;=100000,INDEX($U$1005:$AC$1005,1,MATCH(COLUMNS($U$1006:U1006),$U$1006:$AC$1006,0))&gt;=100000), " ",IF(INDEX($U$2:$AC$1001,MATCH(ROWS($N$2:N489),$N$2:$N$1001,0),MATCH(COLUMNS($U$1006:U1006),$U$1006:$AC$1006,0)), HYPERLINK("#",""), HYPERLINK(CONCATENATE("#metadata!", ADDRESS(INDEX($P$2:$P$1001,MATCH(ROWS($N$2:N489),$N$2:$N$1001,0),0), INDEX($U$1004:$AC$1004,1,MATCH(COLUMNS($U$1006:U1006),$U$1006:$AC$1006,0)))),"Fix")))</f>
        <v>0</v>
      </c>
      <c r="C489" s="3">
        <f>IF(OR(INDEX($O$2:$O$1001,MATCH(ROWS($N$2:N489),$N$2:$N$1001,0),1)&gt;=100000,INDEX($U$1005:$AC$1005,1,MATCH(COLUMNS($U$1006:V1006),$U$1006:$AC$1006,0))&gt;=100000), " ",IF(INDEX($U$2:$AC$1001,MATCH(ROWS($N$2:N489),$N$2:$N$1001,0),MATCH(COLUMNS($U$1006:V1006),$U$1006:$AC$1006,0)), HYPERLINK("#",""), HYPERLINK(CONCATENATE("#metadata!", ADDRESS(INDEX($P$2:$P$1001,MATCH(ROWS($N$2:N489),$N$2:$N$1001,0),0), INDEX($U$1004:$AC$1004,1,MATCH(COLUMNS($U$1006:V1006),$U$1006:$AC$1006,0)))),"Fix")))</f>
        <v>0</v>
      </c>
      <c r="D489" s="3">
        <f>IF(OR(INDEX($O$2:$O$1001,MATCH(ROWS($N$2:N489),$N$2:$N$1001,0),1)&gt;=100000,INDEX($U$1005:$AC$1005,1,MATCH(COLUMNS($U$1006:W1006),$U$1006:$AC$1006,0))&gt;=100000), " ",IF(INDEX($U$2:$AC$1001,MATCH(ROWS($N$2:N489),$N$2:$N$1001,0),MATCH(COLUMNS($U$1006:W1006),$U$1006:$AC$1006,0)), HYPERLINK("#",""), HYPERLINK(CONCATENATE("#metadata!", ADDRESS(INDEX($P$2:$P$1001,MATCH(ROWS($N$2:N489),$N$2:$N$1001,0),0), INDEX($U$1004:$AC$1004,1,MATCH(COLUMNS($U$1006:W1006),$U$1006:$AC$1006,0)))),"Fix")))</f>
        <v>0</v>
      </c>
      <c r="E489" s="3">
        <f>IF(OR(INDEX($O$2:$O$1001,MATCH(ROWS($N$2:N489),$N$2:$N$1001,0),1)&gt;=100000,INDEX($U$1005:$AC$1005,1,MATCH(COLUMNS($U$1006:X1006),$U$1006:$AC$1006,0))&gt;=100000), " ",IF(INDEX($U$2:$AC$1001,MATCH(ROWS($N$2:N489),$N$2:$N$1001,0),MATCH(COLUMNS($U$1006:X1006),$U$1006:$AC$1006,0)), HYPERLINK("#",""), HYPERLINK(CONCATENATE("#metadata!", ADDRESS(INDEX($P$2:$P$1001,MATCH(ROWS($N$2:N489),$N$2:$N$1001,0),0), INDEX($U$1004:$AC$1004,1,MATCH(COLUMNS($U$1006:X1006),$U$1006:$AC$1006,0)))),"Fix")))</f>
        <v>0</v>
      </c>
      <c r="F489" s="3">
        <f>IF(OR(INDEX($O$2:$O$1001,MATCH(ROWS($N$2:N489),$N$2:$N$1001,0),1)&gt;=100000,INDEX($U$1005:$AC$1005,1,MATCH(COLUMNS($U$1006:Y1006),$U$1006:$AC$1006,0))&gt;=100000), " ",IF(INDEX($U$2:$AC$1001,MATCH(ROWS($N$2:N489),$N$2:$N$1001,0),MATCH(COLUMNS($U$1006:Y1006),$U$1006:$AC$1006,0)), HYPERLINK("#",""), HYPERLINK(CONCATENATE("#metadata!", ADDRESS(INDEX($P$2:$P$1001,MATCH(ROWS($N$2:N489),$N$2:$N$1001,0),0), INDEX($U$1004:$AC$1004,1,MATCH(COLUMNS($U$1006:Y1006),$U$1006:$AC$1006,0)))),"Fix")))</f>
        <v>0</v>
      </c>
      <c r="G489" s="3">
        <f>IF(OR(INDEX($O$2:$O$1001,MATCH(ROWS($N$2:N489),$N$2:$N$1001,0),1)&gt;=100000,INDEX($U$1005:$AC$1005,1,MATCH(COLUMNS($U$1006:Z1006),$U$1006:$AC$1006,0))&gt;=100000), " ",IF(INDEX($U$2:$AC$1001,MATCH(ROWS($N$2:N489),$N$2:$N$1001,0),MATCH(COLUMNS($U$1006:Z1006),$U$1006:$AC$1006,0)), HYPERLINK("#",""), HYPERLINK(CONCATENATE("#metadata!", ADDRESS(INDEX($P$2:$P$1001,MATCH(ROWS($N$2:N489),$N$2:$N$1001,0),0), INDEX($U$1004:$AC$1004,1,MATCH(COLUMNS($U$1006:Z1006),$U$1006:$AC$1006,0)))),"Fix")))</f>
        <v>0</v>
      </c>
      <c r="H489" s="3">
        <f>IF(OR(INDEX($O$2:$O$1001,MATCH(ROWS($N$2:N489),$N$2:$N$1001,0),1)&gt;=100000,INDEX($U$1005:$AC$1005,1,MATCH(COLUMNS($U$1006:AA1006),$U$1006:$AC$1006,0))&gt;=100000), " ",IF(INDEX($U$2:$AC$1001,MATCH(ROWS($N$2:N489),$N$2:$N$1001,0),MATCH(COLUMNS($U$1006:AA1006),$U$1006:$AC$1006,0)), HYPERLINK("#",""), HYPERLINK(CONCATENATE("#metadata!", ADDRESS(INDEX($P$2:$P$1001,MATCH(ROWS($N$2:N489),$N$2:$N$1001,0),0), INDEX($U$1004:$AC$1004,1,MATCH(COLUMNS($U$1006:AA1006),$U$1006:$AC$1006,0)))),"Fix")))</f>
        <v>0</v>
      </c>
      <c r="I489" s="3">
        <f>IF(OR(INDEX($O$2:$O$1001,MATCH(ROWS($N$2:N489),$N$2:$N$1001,0),1)&gt;=100000,INDEX($U$1005:$AC$1005,1,MATCH(COLUMNS($U$1006:AB1006),$U$1006:$AC$1006,0))&gt;=100000), " ",IF(INDEX($U$2:$AC$1001,MATCH(ROWS($N$2:N489),$N$2:$N$1001,0),MATCH(COLUMNS($U$1006:AB1006),$U$1006:$AC$1006,0)), HYPERLINK("#",""), HYPERLINK(CONCATENATE("#metadata!", ADDRESS(INDEX($P$2:$P$1001,MATCH(ROWS($N$2:N489),$N$2:$N$1001,0),0), INDEX($U$1004:$AC$1004,1,MATCH(COLUMNS($U$1006:AB1006),$U$1006:$AC$1006,0)))),"Fix")))</f>
        <v>0</v>
      </c>
      <c r="J489" s="3">
        <f>IF(OR(INDEX($O$2:$O$1001,MATCH(ROWS($N$2:N489),$N$2:$N$1001,0),1)&gt;=100000,INDEX($U$1005:$AC$1005,1,MATCH(COLUMNS($U$1006:AC1006),$U$1006:$AC$1006,0))&gt;=100000), " ",IF(INDEX($U$2:$AC$1001,MATCH(ROWS($N$2:N489),$N$2:$N$1001,0),MATCH(COLUMNS($U$1006:AC1006),$U$1006:$AC$1006,0)), HYPERLINK("#",""), HYPERLINK(CONCATENATE("#metadata!", ADDRESS(INDEX($P$2:$P$1001,MATCH(ROWS($N$2:N489),$N$2:$N$1001,0),0), INDEX($U$1004:$AC$1004,1,MATCH(COLUMNS($U$1006:AC1006),$U$1006:$AC$1006,0)))),"Fix")))</f>
        <v>0</v>
      </c>
      <c r="N489">
        <v>0</v>
      </c>
      <c r="O489">
        <v>0</v>
      </c>
      <c r="P489">
        <v>0</v>
      </c>
      <c r="Q489">
        <f>IF(R489,TRUE,AND(U489:AC489))</f>
        <v>0</v>
      </c>
      <c r="R489">
        <f>COUNTBLANK(metadata!B489:J489)=COLUMNS(metadata!B489:J489)</f>
        <v>0</v>
      </c>
      <c r="S489">
        <v>0</v>
      </c>
      <c r="U489">
        <f>AND(IF(metadata!B489="",FALSE,TRUE),COUNTIF(metadata!B:B, metadata!B489) = 1,NOT(ISERROR(SUMPRODUCT(SEARCH(MID(metadata!B489,ROW(INDIRECT("1:"&amp;LEN(metadata!B489))), 1),"0123456789abcdefghijklmnopqrstuvwxyzABCDEFGHIJKLMNOPQRSTUVWXYZ.")))))</f>
        <v>0</v>
      </c>
      <c r="V489">
        <f>AND(IF(metadata!C489="",FALSE,TRUE),exact(metadata!C489,"UBERON:genitourinary"))</f>
        <v>0</v>
      </c>
      <c r="W489">
        <f>AND(IF(metadata!D489="",FALSE,TRUE),exact(metadata!D489,"UBERON:urine"))</f>
        <v>0</v>
      </c>
      <c r="X489">
        <f>AND(IF(metadata!E489="",FALSE,TRUE),exact(metadata!E489,"UBERON:kidney"))</f>
        <v>0</v>
      </c>
      <c r="Y489">
        <f>AND(IF(metadata!F489="",FALSE,TRUE),exact(metadata!F489,"animal corpus"))</f>
        <v>0</v>
      </c>
      <c r="Z489">
        <f>AND(IF(metadata!G489="",FALSE,TRUE),exact(metadata!G489,"urine"))</f>
        <v>0</v>
      </c>
      <c r="AA489">
        <f>AND(IF(metadata!H489="",FALSE,TRUE),exact(metadata!H489,"urine"))</f>
        <v>0</v>
      </c>
      <c r="AB489">
        <f>AND(IF(metadata!I489="",FALSE,TRUE),exact(metadata!I489,"urine metagenome"))</f>
        <v>0</v>
      </c>
      <c r="AC489">
        <f>AND(IF(metadata!J489="",FALSE,TRUE),exact(metadata!J489,"1346744"))</f>
        <v>0</v>
      </c>
    </row>
    <row r="490" spans="1:29">
      <c r="A490" s="4">
        <f>IF(B490=" "," ",HYPERLINK(CONCATENATE("#metadata!",ADDRESS(INDEX($P$2:$P$1001,MATCH(ROWS($N$2:N490),$N$2:$N$1001,0),0),1)),INDEX($S$2:$S$1001,MATCH(ROWS($N$2:N490),$N$2:$N$1001,0),0)))</f>
        <v>0</v>
      </c>
      <c r="B490" s="3">
        <f>IF(OR(INDEX($O$2:$O$1001,MATCH(ROWS($N$2:N490),$N$2:$N$1001,0),1)&gt;=100000,INDEX($U$1005:$AC$1005,1,MATCH(COLUMNS($U$1006:U1006),$U$1006:$AC$1006,0))&gt;=100000), " ",IF(INDEX($U$2:$AC$1001,MATCH(ROWS($N$2:N490),$N$2:$N$1001,0),MATCH(COLUMNS($U$1006:U1006),$U$1006:$AC$1006,0)), HYPERLINK("#",""), HYPERLINK(CONCATENATE("#metadata!", ADDRESS(INDEX($P$2:$P$1001,MATCH(ROWS($N$2:N490),$N$2:$N$1001,0),0), INDEX($U$1004:$AC$1004,1,MATCH(COLUMNS($U$1006:U1006),$U$1006:$AC$1006,0)))),"Fix")))</f>
        <v>0</v>
      </c>
      <c r="C490" s="3">
        <f>IF(OR(INDEX($O$2:$O$1001,MATCH(ROWS($N$2:N490),$N$2:$N$1001,0),1)&gt;=100000,INDEX($U$1005:$AC$1005,1,MATCH(COLUMNS($U$1006:V1006),$U$1006:$AC$1006,0))&gt;=100000), " ",IF(INDEX($U$2:$AC$1001,MATCH(ROWS($N$2:N490),$N$2:$N$1001,0),MATCH(COLUMNS($U$1006:V1006),$U$1006:$AC$1006,0)), HYPERLINK("#",""), HYPERLINK(CONCATENATE("#metadata!", ADDRESS(INDEX($P$2:$P$1001,MATCH(ROWS($N$2:N490),$N$2:$N$1001,0),0), INDEX($U$1004:$AC$1004,1,MATCH(COLUMNS($U$1006:V1006),$U$1006:$AC$1006,0)))),"Fix")))</f>
        <v>0</v>
      </c>
      <c r="D490" s="3">
        <f>IF(OR(INDEX($O$2:$O$1001,MATCH(ROWS($N$2:N490),$N$2:$N$1001,0),1)&gt;=100000,INDEX($U$1005:$AC$1005,1,MATCH(COLUMNS($U$1006:W1006),$U$1006:$AC$1006,0))&gt;=100000), " ",IF(INDEX($U$2:$AC$1001,MATCH(ROWS($N$2:N490),$N$2:$N$1001,0),MATCH(COLUMNS($U$1006:W1006),$U$1006:$AC$1006,0)), HYPERLINK("#",""), HYPERLINK(CONCATENATE("#metadata!", ADDRESS(INDEX($P$2:$P$1001,MATCH(ROWS($N$2:N490),$N$2:$N$1001,0),0), INDEX($U$1004:$AC$1004,1,MATCH(COLUMNS($U$1006:W1006),$U$1006:$AC$1006,0)))),"Fix")))</f>
        <v>0</v>
      </c>
      <c r="E490" s="3">
        <f>IF(OR(INDEX($O$2:$O$1001,MATCH(ROWS($N$2:N490),$N$2:$N$1001,0),1)&gt;=100000,INDEX($U$1005:$AC$1005,1,MATCH(COLUMNS($U$1006:X1006),$U$1006:$AC$1006,0))&gt;=100000), " ",IF(INDEX($U$2:$AC$1001,MATCH(ROWS($N$2:N490),$N$2:$N$1001,0),MATCH(COLUMNS($U$1006:X1006),$U$1006:$AC$1006,0)), HYPERLINK("#",""), HYPERLINK(CONCATENATE("#metadata!", ADDRESS(INDEX($P$2:$P$1001,MATCH(ROWS($N$2:N490),$N$2:$N$1001,0),0), INDEX($U$1004:$AC$1004,1,MATCH(COLUMNS($U$1006:X1006),$U$1006:$AC$1006,0)))),"Fix")))</f>
        <v>0</v>
      </c>
      <c r="F490" s="3">
        <f>IF(OR(INDEX($O$2:$O$1001,MATCH(ROWS($N$2:N490),$N$2:$N$1001,0),1)&gt;=100000,INDEX($U$1005:$AC$1005,1,MATCH(COLUMNS($U$1006:Y1006),$U$1006:$AC$1006,0))&gt;=100000), " ",IF(INDEX($U$2:$AC$1001,MATCH(ROWS($N$2:N490),$N$2:$N$1001,0),MATCH(COLUMNS($U$1006:Y1006),$U$1006:$AC$1006,0)), HYPERLINK("#",""), HYPERLINK(CONCATENATE("#metadata!", ADDRESS(INDEX($P$2:$P$1001,MATCH(ROWS($N$2:N490),$N$2:$N$1001,0),0), INDEX($U$1004:$AC$1004,1,MATCH(COLUMNS($U$1006:Y1006),$U$1006:$AC$1006,0)))),"Fix")))</f>
        <v>0</v>
      </c>
      <c r="G490" s="3">
        <f>IF(OR(INDEX($O$2:$O$1001,MATCH(ROWS($N$2:N490),$N$2:$N$1001,0),1)&gt;=100000,INDEX($U$1005:$AC$1005,1,MATCH(COLUMNS($U$1006:Z1006),$U$1006:$AC$1006,0))&gt;=100000), " ",IF(INDEX($U$2:$AC$1001,MATCH(ROWS($N$2:N490),$N$2:$N$1001,0),MATCH(COLUMNS($U$1006:Z1006),$U$1006:$AC$1006,0)), HYPERLINK("#",""), HYPERLINK(CONCATENATE("#metadata!", ADDRESS(INDEX($P$2:$P$1001,MATCH(ROWS($N$2:N490),$N$2:$N$1001,0),0), INDEX($U$1004:$AC$1004,1,MATCH(COLUMNS($U$1006:Z1006),$U$1006:$AC$1006,0)))),"Fix")))</f>
        <v>0</v>
      </c>
      <c r="H490" s="3">
        <f>IF(OR(INDEX($O$2:$O$1001,MATCH(ROWS($N$2:N490),$N$2:$N$1001,0),1)&gt;=100000,INDEX($U$1005:$AC$1005,1,MATCH(COLUMNS($U$1006:AA1006),$U$1006:$AC$1006,0))&gt;=100000), " ",IF(INDEX($U$2:$AC$1001,MATCH(ROWS($N$2:N490),$N$2:$N$1001,0),MATCH(COLUMNS($U$1006:AA1006),$U$1006:$AC$1006,0)), HYPERLINK("#",""), HYPERLINK(CONCATENATE("#metadata!", ADDRESS(INDEX($P$2:$P$1001,MATCH(ROWS($N$2:N490),$N$2:$N$1001,0),0), INDEX($U$1004:$AC$1004,1,MATCH(COLUMNS($U$1006:AA1006),$U$1006:$AC$1006,0)))),"Fix")))</f>
        <v>0</v>
      </c>
      <c r="I490" s="3">
        <f>IF(OR(INDEX($O$2:$O$1001,MATCH(ROWS($N$2:N490),$N$2:$N$1001,0),1)&gt;=100000,INDEX($U$1005:$AC$1005,1,MATCH(COLUMNS($U$1006:AB1006),$U$1006:$AC$1006,0))&gt;=100000), " ",IF(INDEX($U$2:$AC$1001,MATCH(ROWS($N$2:N490),$N$2:$N$1001,0),MATCH(COLUMNS($U$1006:AB1006),$U$1006:$AC$1006,0)), HYPERLINK("#",""), HYPERLINK(CONCATENATE("#metadata!", ADDRESS(INDEX($P$2:$P$1001,MATCH(ROWS($N$2:N490),$N$2:$N$1001,0),0), INDEX($U$1004:$AC$1004,1,MATCH(COLUMNS($U$1006:AB1006),$U$1006:$AC$1006,0)))),"Fix")))</f>
        <v>0</v>
      </c>
      <c r="J490" s="3">
        <f>IF(OR(INDEX($O$2:$O$1001,MATCH(ROWS($N$2:N490),$N$2:$N$1001,0),1)&gt;=100000,INDEX($U$1005:$AC$1005,1,MATCH(COLUMNS($U$1006:AC1006),$U$1006:$AC$1006,0))&gt;=100000), " ",IF(INDEX($U$2:$AC$1001,MATCH(ROWS($N$2:N490),$N$2:$N$1001,0),MATCH(COLUMNS($U$1006:AC1006),$U$1006:$AC$1006,0)), HYPERLINK("#",""), HYPERLINK(CONCATENATE("#metadata!", ADDRESS(INDEX($P$2:$P$1001,MATCH(ROWS($N$2:N490),$N$2:$N$1001,0),0), INDEX($U$1004:$AC$1004,1,MATCH(COLUMNS($U$1006:AC1006),$U$1006:$AC$1006,0)))),"Fix")))</f>
        <v>0</v>
      </c>
      <c r="N490">
        <v>0</v>
      </c>
      <c r="O490">
        <v>0</v>
      </c>
      <c r="P490">
        <v>0</v>
      </c>
      <c r="Q490">
        <f>IF(R490,TRUE,AND(U490:AC490))</f>
        <v>0</v>
      </c>
      <c r="R490">
        <f>COUNTBLANK(metadata!B490:J490)=COLUMNS(metadata!B490:J490)</f>
        <v>0</v>
      </c>
      <c r="S490">
        <v>0</v>
      </c>
      <c r="U490">
        <f>AND(IF(metadata!B490="",FALSE,TRUE),COUNTIF(metadata!B:B, metadata!B490) = 1,NOT(ISERROR(SUMPRODUCT(SEARCH(MID(metadata!B490,ROW(INDIRECT("1:"&amp;LEN(metadata!B490))), 1),"0123456789abcdefghijklmnopqrstuvwxyzABCDEFGHIJKLMNOPQRSTUVWXYZ.")))))</f>
        <v>0</v>
      </c>
      <c r="V490">
        <f>AND(IF(metadata!C490="",FALSE,TRUE),exact(metadata!C490,"UBERON:genitourinary"))</f>
        <v>0</v>
      </c>
      <c r="W490">
        <f>AND(IF(metadata!D490="",FALSE,TRUE),exact(metadata!D490,"UBERON:urine"))</f>
        <v>0</v>
      </c>
      <c r="X490">
        <f>AND(IF(metadata!E490="",FALSE,TRUE),exact(metadata!E490,"UBERON:kidney"))</f>
        <v>0</v>
      </c>
      <c r="Y490">
        <f>AND(IF(metadata!F490="",FALSE,TRUE),exact(metadata!F490,"animal corpus"))</f>
        <v>0</v>
      </c>
      <c r="Z490">
        <f>AND(IF(metadata!G490="",FALSE,TRUE),exact(metadata!G490,"urine"))</f>
        <v>0</v>
      </c>
      <c r="AA490">
        <f>AND(IF(metadata!H490="",FALSE,TRUE),exact(metadata!H490,"urine"))</f>
        <v>0</v>
      </c>
      <c r="AB490">
        <f>AND(IF(metadata!I490="",FALSE,TRUE),exact(metadata!I490,"urine metagenome"))</f>
        <v>0</v>
      </c>
      <c r="AC490">
        <f>AND(IF(metadata!J490="",FALSE,TRUE),exact(metadata!J490,"1346744"))</f>
        <v>0</v>
      </c>
    </row>
    <row r="491" spans="1:29">
      <c r="A491" s="4">
        <f>IF(B491=" "," ",HYPERLINK(CONCATENATE("#metadata!",ADDRESS(INDEX($P$2:$P$1001,MATCH(ROWS($N$2:N491),$N$2:$N$1001,0),0),1)),INDEX($S$2:$S$1001,MATCH(ROWS($N$2:N491),$N$2:$N$1001,0),0)))</f>
        <v>0</v>
      </c>
      <c r="B491" s="3">
        <f>IF(OR(INDEX($O$2:$O$1001,MATCH(ROWS($N$2:N491),$N$2:$N$1001,0),1)&gt;=100000,INDEX($U$1005:$AC$1005,1,MATCH(COLUMNS($U$1006:U1006),$U$1006:$AC$1006,0))&gt;=100000), " ",IF(INDEX($U$2:$AC$1001,MATCH(ROWS($N$2:N491),$N$2:$N$1001,0),MATCH(COLUMNS($U$1006:U1006),$U$1006:$AC$1006,0)), HYPERLINK("#",""), HYPERLINK(CONCATENATE("#metadata!", ADDRESS(INDEX($P$2:$P$1001,MATCH(ROWS($N$2:N491),$N$2:$N$1001,0),0), INDEX($U$1004:$AC$1004,1,MATCH(COLUMNS($U$1006:U1006),$U$1006:$AC$1006,0)))),"Fix")))</f>
        <v>0</v>
      </c>
      <c r="C491" s="3">
        <f>IF(OR(INDEX($O$2:$O$1001,MATCH(ROWS($N$2:N491),$N$2:$N$1001,0),1)&gt;=100000,INDEX($U$1005:$AC$1005,1,MATCH(COLUMNS($U$1006:V1006),$U$1006:$AC$1006,0))&gt;=100000), " ",IF(INDEX($U$2:$AC$1001,MATCH(ROWS($N$2:N491),$N$2:$N$1001,0),MATCH(COLUMNS($U$1006:V1006),$U$1006:$AC$1006,0)), HYPERLINK("#",""), HYPERLINK(CONCATENATE("#metadata!", ADDRESS(INDEX($P$2:$P$1001,MATCH(ROWS($N$2:N491),$N$2:$N$1001,0),0), INDEX($U$1004:$AC$1004,1,MATCH(COLUMNS($U$1006:V1006),$U$1006:$AC$1006,0)))),"Fix")))</f>
        <v>0</v>
      </c>
      <c r="D491" s="3">
        <f>IF(OR(INDEX($O$2:$O$1001,MATCH(ROWS($N$2:N491),$N$2:$N$1001,0),1)&gt;=100000,INDEX($U$1005:$AC$1005,1,MATCH(COLUMNS($U$1006:W1006),$U$1006:$AC$1006,0))&gt;=100000), " ",IF(INDEX($U$2:$AC$1001,MATCH(ROWS($N$2:N491),$N$2:$N$1001,0),MATCH(COLUMNS($U$1006:W1006),$U$1006:$AC$1006,0)), HYPERLINK("#",""), HYPERLINK(CONCATENATE("#metadata!", ADDRESS(INDEX($P$2:$P$1001,MATCH(ROWS($N$2:N491),$N$2:$N$1001,0),0), INDEX($U$1004:$AC$1004,1,MATCH(COLUMNS($U$1006:W1006),$U$1006:$AC$1006,0)))),"Fix")))</f>
        <v>0</v>
      </c>
      <c r="E491" s="3">
        <f>IF(OR(INDEX($O$2:$O$1001,MATCH(ROWS($N$2:N491),$N$2:$N$1001,0),1)&gt;=100000,INDEX($U$1005:$AC$1005,1,MATCH(COLUMNS($U$1006:X1006),$U$1006:$AC$1006,0))&gt;=100000), " ",IF(INDEX($U$2:$AC$1001,MATCH(ROWS($N$2:N491),$N$2:$N$1001,0),MATCH(COLUMNS($U$1006:X1006),$U$1006:$AC$1006,0)), HYPERLINK("#",""), HYPERLINK(CONCATENATE("#metadata!", ADDRESS(INDEX($P$2:$P$1001,MATCH(ROWS($N$2:N491),$N$2:$N$1001,0),0), INDEX($U$1004:$AC$1004,1,MATCH(COLUMNS($U$1006:X1006),$U$1006:$AC$1006,0)))),"Fix")))</f>
        <v>0</v>
      </c>
      <c r="F491" s="3">
        <f>IF(OR(INDEX($O$2:$O$1001,MATCH(ROWS($N$2:N491),$N$2:$N$1001,0),1)&gt;=100000,INDEX($U$1005:$AC$1005,1,MATCH(COLUMNS($U$1006:Y1006),$U$1006:$AC$1006,0))&gt;=100000), " ",IF(INDEX($U$2:$AC$1001,MATCH(ROWS($N$2:N491),$N$2:$N$1001,0),MATCH(COLUMNS($U$1006:Y1006),$U$1006:$AC$1006,0)), HYPERLINK("#",""), HYPERLINK(CONCATENATE("#metadata!", ADDRESS(INDEX($P$2:$P$1001,MATCH(ROWS($N$2:N491),$N$2:$N$1001,0),0), INDEX($U$1004:$AC$1004,1,MATCH(COLUMNS($U$1006:Y1006),$U$1006:$AC$1006,0)))),"Fix")))</f>
        <v>0</v>
      </c>
      <c r="G491" s="3">
        <f>IF(OR(INDEX($O$2:$O$1001,MATCH(ROWS($N$2:N491),$N$2:$N$1001,0),1)&gt;=100000,INDEX($U$1005:$AC$1005,1,MATCH(COLUMNS($U$1006:Z1006),$U$1006:$AC$1006,0))&gt;=100000), " ",IF(INDEX($U$2:$AC$1001,MATCH(ROWS($N$2:N491),$N$2:$N$1001,0),MATCH(COLUMNS($U$1006:Z1006),$U$1006:$AC$1006,0)), HYPERLINK("#",""), HYPERLINK(CONCATENATE("#metadata!", ADDRESS(INDEX($P$2:$P$1001,MATCH(ROWS($N$2:N491),$N$2:$N$1001,0),0), INDEX($U$1004:$AC$1004,1,MATCH(COLUMNS($U$1006:Z1006),$U$1006:$AC$1006,0)))),"Fix")))</f>
        <v>0</v>
      </c>
      <c r="H491" s="3">
        <f>IF(OR(INDEX($O$2:$O$1001,MATCH(ROWS($N$2:N491),$N$2:$N$1001,0),1)&gt;=100000,INDEX($U$1005:$AC$1005,1,MATCH(COLUMNS($U$1006:AA1006),$U$1006:$AC$1006,0))&gt;=100000), " ",IF(INDEX($U$2:$AC$1001,MATCH(ROWS($N$2:N491),$N$2:$N$1001,0),MATCH(COLUMNS($U$1006:AA1006),$U$1006:$AC$1006,0)), HYPERLINK("#",""), HYPERLINK(CONCATENATE("#metadata!", ADDRESS(INDEX($P$2:$P$1001,MATCH(ROWS($N$2:N491),$N$2:$N$1001,0),0), INDEX($U$1004:$AC$1004,1,MATCH(COLUMNS($U$1006:AA1006),$U$1006:$AC$1006,0)))),"Fix")))</f>
        <v>0</v>
      </c>
      <c r="I491" s="3">
        <f>IF(OR(INDEX($O$2:$O$1001,MATCH(ROWS($N$2:N491),$N$2:$N$1001,0),1)&gt;=100000,INDEX($U$1005:$AC$1005,1,MATCH(COLUMNS($U$1006:AB1006),$U$1006:$AC$1006,0))&gt;=100000), " ",IF(INDEX($U$2:$AC$1001,MATCH(ROWS($N$2:N491),$N$2:$N$1001,0),MATCH(COLUMNS($U$1006:AB1006),$U$1006:$AC$1006,0)), HYPERLINK("#",""), HYPERLINK(CONCATENATE("#metadata!", ADDRESS(INDEX($P$2:$P$1001,MATCH(ROWS($N$2:N491),$N$2:$N$1001,0),0), INDEX($U$1004:$AC$1004,1,MATCH(COLUMNS($U$1006:AB1006),$U$1006:$AC$1006,0)))),"Fix")))</f>
        <v>0</v>
      </c>
      <c r="J491" s="3">
        <f>IF(OR(INDEX($O$2:$O$1001,MATCH(ROWS($N$2:N491),$N$2:$N$1001,0),1)&gt;=100000,INDEX($U$1005:$AC$1005,1,MATCH(COLUMNS($U$1006:AC1006),$U$1006:$AC$1006,0))&gt;=100000), " ",IF(INDEX($U$2:$AC$1001,MATCH(ROWS($N$2:N491),$N$2:$N$1001,0),MATCH(COLUMNS($U$1006:AC1006),$U$1006:$AC$1006,0)), HYPERLINK("#",""), HYPERLINK(CONCATENATE("#metadata!", ADDRESS(INDEX($P$2:$P$1001,MATCH(ROWS($N$2:N491),$N$2:$N$1001,0),0), INDEX($U$1004:$AC$1004,1,MATCH(COLUMNS($U$1006:AC1006),$U$1006:$AC$1006,0)))),"Fix")))</f>
        <v>0</v>
      </c>
      <c r="N491">
        <v>0</v>
      </c>
      <c r="O491">
        <v>0</v>
      </c>
      <c r="P491">
        <v>0</v>
      </c>
      <c r="Q491">
        <f>IF(R491,TRUE,AND(U491:AC491))</f>
        <v>0</v>
      </c>
      <c r="R491">
        <f>COUNTBLANK(metadata!B491:J491)=COLUMNS(metadata!B491:J491)</f>
        <v>0</v>
      </c>
      <c r="S491">
        <v>0</v>
      </c>
      <c r="U491">
        <f>AND(IF(metadata!B491="",FALSE,TRUE),COUNTIF(metadata!B:B, metadata!B491) = 1,NOT(ISERROR(SUMPRODUCT(SEARCH(MID(metadata!B491,ROW(INDIRECT("1:"&amp;LEN(metadata!B491))), 1),"0123456789abcdefghijklmnopqrstuvwxyzABCDEFGHIJKLMNOPQRSTUVWXYZ.")))))</f>
        <v>0</v>
      </c>
      <c r="V491">
        <f>AND(IF(metadata!C491="",FALSE,TRUE),exact(metadata!C491,"UBERON:genitourinary"))</f>
        <v>0</v>
      </c>
      <c r="W491">
        <f>AND(IF(metadata!D491="",FALSE,TRUE),exact(metadata!D491,"UBERON:urine"))</f>
        <v>0</v>
      </c>
      <c r="X491">
        <f>AND(IF(metadata!E491="",FALSE,TRUE),exact(metadata!E491,"UBERON:kidney"))</f>
        <v>0</v>
      </c>
      <c r="Y491">
        <f>AND(IF(metadata!F491="",FALSE,TRUE),exact(metadata!F491,"animal corpus"))</f>
        <v>0</v>
      </c>
      <c r="Z491">
        <f>AND(IF(metadata!G491="",FALSE,TRUE),exact(metadata!G491,"urine"))</f>
        <v>0</v>
      </c>
      <c r="AA491">
        <f>AND(IF(metadata!H491="",FALSE,TRUE),exact(metadata!H491,"urine"))</f>
        <v>0</v>
      </c>
      <c r="AB491">
        <f>AND(IF(metadata!I491="",FALSE,TRUE),exact(metadata!I491,"urine metagenome"))</f>
        <v>0</v>
      </c>
      <c r="AC491">
        <f>AND(IF(metadata!J491="",FALSE,TRUE),exact(metadata!J491,"1346744"))</f>
        <v>0</v>
      </c>
    </row>
    <row r="492" spans="1:29">
      <c r="A492" s="4">
        <f>IF(B492=" "," ",HYPERLINK(CONCATENATE("#metadata!",ADDRESS(INDEX($P$2:$P$1001,MATCH(ROWS($N$2:N492),$N$2:$N$1001,0),0),1)),INDEX($S$2:$S$1001,MATCH(ROWS($N$2:N492),$N$2:$N$1001,0),0)))</f>
        <v>0</v>
      </c>
      <c r="B492" s="3">
        <f>IF(OR(INDEX($O$2:$O$1001,MATCH(ROWS($N$2:N492),$N$2:$N$1001,0),1)&gt;=100000,INDEX($U$1005:$AC$1005,1,MATCH(COLUMNS($U$1006:U1006),$U$1006:$AC$1006,0))&gt;=100000), " ",IF(INDEX($U$2:$AC$1001,MATCH(ROWS($N$2:N492),$N$2:$N$1001,0),MATCH(COLUMNS($U$1006:U1006),$U$1006:$AC$1006,0)), HYPERLINK("#",""), HYPERLINK(CONCATENATE("#metadata!", ADDRESS(INDEX($P$2:$P$1001,MATCH(ROWS($N$2:N492),$N$2:$N$1001,0),0), INDEX($U$1004:$AC$1004,1,MATCH(COLUMNS($U$1006:U1006),$U$1006:$AC$1006,0)))),"Fix")))</f>
        <v>0</v>
      </c>
      <c r="C492" s="3">
        <f>IF(OR(INDEX($O$2:$O$1001,MATCH(ROWS($N$2:N492),$N$2:$N$1001,0),1)&gt;=100000,INDEX($U$1005:$AC$1005,1,MATCH(COLUMNS($U$1006:V1006),$U$1006:$AC$1006,0))&gt;=100000), " ",IF(INDEX($U$2:$AC$1001,MATCH(ROWS($N$2:N492),$N$2:$N$1001,0),MATCH(COLUMNS($U$1006:V1006),$U$1006:$AC$1006,0)), HYPERLINK("#",""), HYPERLINK(CONCATENATE("#metadata!", ADDRESS(INDEX($P$2:$P$1001,MATCH(ROWS($N$2:N492),$N$2:$N$1001,0),0), INDEX($U$1004:$AC$1004,1,MATCH(COLUMNS($U$1006:V1006),$U$1006:$AC$1006,0)))),"Fix")))</f>
        <v>0</v>
      </c>
      <c r="D492" s="3">
        <f>IF(OR(INDEX($O$2:$O$1001,MATCH(ROWS($N$2:N492),$N$2:$N$1001,0),1)&gt;=100000,INDEX($U$1005:$AC$1005,1,MATCH(COLUMNS($U$1006:W1006),$U$1006:$AC$1006,0))&gt;=100000), " ",IF(INDEX($U$2:$AC$1001,MATCH(ROWS($N$2:N492),$N$2:$N$1001,0),MATCH(COLUMNS($U$1006:W1006),$U$1006:$AC$1006,0)), HYPERLINK("#",""), HYPERLINK(CONCATENATE("#metadata!", ADDRESS(INDEX($P$2:$P$1001,MATCH(ROWS($N$2:N492),$N$2:$N$1001,0),0), INDEX($U$1004:$AC$1004,1,MATCH(COLUMNS($U$1006:W1006),$U$1006:$AC$1006,0)))),"Fix")))</f>
        <v>0</v>
      </c>
      <c r="E492" s="3">
        <f>IF(OR(INDEX($O$2:$O$1001,MATCH(ROWS($N$2:N492),$N$2:$N$1001,0),1)&gt;=100000,INDEX($U$1005:$AC$1005,1,MATCH(COLUMNS($U$1006:X1006),$U$1006:$AC$1006,0))&gt;=100000), " ",IF(INDEX($U$2:$AC$1001,MATCH(ROWS($N$2:N492),$N$2:$N$1001,0),MATCH(COLUMNS($U$1006:X1006),$U$1006:$AC$1006,0)), HYPERLINK("#",""), HYPERLINK(CONCATENATE("#metadata!", ADDRESS(INDEX($P$2:$P$1001,MATCH(ROWS($N$2:N492),$N$2:$N$1001,0),0), INDEX($U$1004:$AC$1004,1,MATCH(COLUMNS($U$1006:X1006),$U$1006:$AC$1006,0)))),"Fix")))</f>
        <v>0</v>
      </c>
      <c r="F492" s="3">
        <f>IF(OR(INDEX($O$2:$O$1001,MATCH(ROWS($N$2:N492),$N$2:$N$1001,0),1)&gt;=100000,INDEX($U$1005:$AC$1005,1,MATCH(COLUMNS($U$1006:Y1006),$U$1006:$AC$1006,0))&gt;=100000), " ",IF(INDEX($U$2:$AC$1001,MATCH(ROWS($N$2:N492),$N$2:$N$1001,0),MATCH(COLUMNS($U$1006:Y1006),$U$1006:$AC$1006,0)), HYPERLINK("#",""), HYPERLINK(CONCATENATE("#metadata!", ADDRESS(INDEX($P$2:$P$1001,MATCH(ROWS($N$2:N492),$N$2:$N$1001,0),0), INDEX($U$1004:$AC$1004,1,MATCH(COLUMNS($U$1006:Y1006),$U$1006:$AC$1006,0)))),"Fix")))</f>
        <v>0</v>
      </c>
      <c r="G492" s="3">
        <f>IF(OR(INDEX($O$2:$O$1001,MATCH(ROWS($N$2:N492),$N$2:$N$1001,0),1)&gt;=100000,INDEX($U$1005:$AC$1005,1,MATCH(COLUMNS($U$1006:Z1006),$U$1006:$AC$1006,0))&gt;=100000), " ",IF(INDEX($U$2:$AC$1001,MATCH(ROWS($N$2:N492),$N$2:$N$1001,0),MATCH(COLUMNS($U$1006:Z1006),$U$1006:$AC$1006,0)), HYPERLINK("#",""), HYPERLINK(CONCATENATE("#metadata!", ADDRESS(INDEX($P$2:$P$1001,MATCH(ROWS($N$2:N492),$N$2:$N$1001,0),0), INDEX($U$1004:$AC$1004,1,MATCH(COLUMNS($U$1006:Z1006),$U$1006:$AC$1006,0)))),"Fix")))</f>
        <v>0</v>
      </c>
      <c r="H492" s="3">
        <f>IF(OR(INDEX($O$2:$O$1001,MATCH(ROWS($N$2:N492),$N$2:$N$1001,0),1)&gt;=100000,INDEX($U$1005:$AC$1005,1,MATCH(COLUMNS($U$1006:AA1006),$U$1006:$AC$1006,0))&gt;=100000), " ",IF(INDEX($U$2:$AC$1001,MATCH(ROWS($N$2:N492),$N$2:$N$1001,0),MATCH(COLUMNS($U$1006:AA1006),$U$1006:$AC$1006,0)), HYPERLINK("#",""), HYPERLINK(CONCATENATE("#metadata!", ADDRESS(INDEX($P$2:$P$1001,MATCH(ROWS($N$2:N492),$N$2:$N$1001,0),0), INDEX($U$1004:$AC$1004,1,MATCH(COLUMNS($U$1006:AA1006),$U$1006:$AC$1006,0)))),"Fix")))</f>
        <v>0</v>
      </c>
      <c r="I492" s="3">
        <f>IF(OR(INDEX($O$2:$O$1001,MATCH(ROWS($N$2:N492),$N$2:$N$1001,0),1)&gt;=100000,INDEX($U$1005:$AC$1005,1,MATCH(COLUMNS($U$1006:AB1006),$U$1006:$AC$1006,0))&gt;=100000), " ",IF(INDEX($U$2:$AC$1001,MATCH(ROWS($N$2:N492),$N$2:$N$1001,0),MATCH(COLUMNS($U$1006:AB1006),$U$1006:$AC$1006,0)), HYPERLINK("#",""), HYPERLINK(CONCATENATE("#metadata!", ADDRESS(INDEX($P$2:$P$1001,MATCH(ROWS($N$2:N492),$N$2:$N$1001,0),0), INDEX($U$1004:$AC$1004,1,MATCH(COLUMNS($U$1006:AB1006),$U$1006:$AC$1006,0)))),"Fix")))</f>
        <v>0</v>
      </c>
      <c r="J492" s="3">
        <f>IF(OR(INDEX($O$2:$O$1001,MATCH(ROWS($N$2:N492),$N$2:$N$1001,0),1)&gt;=100000,INDEX($U$1005:$AC$1005,1,MATCH(COLUMNS($U$1006:AC1006),$U$1006:$AC$1006,0))&gt;=100000), " ",IF(INDEX($U$2:$AC$1001,MATCH(ROWS($N$2:N492),$N$2:$N$1001,0),MATCH(COLUMNS($U$1006:AC1006),$U$1006:$AC$1006,0)), HYPERLINK("#",""), HYPERLINK(CONCATENATE("#metadata!", ADDRESS(INDEX($P$2:$P$1001,MATCH(ROWS($N$2:N492),$N$2:$N$1001,0),0), INDEX($U$1004:$AC$1004,1,MATCH(COLUMNS($U$1006:AC1006),$U$1006:$AC$1006,0)))),"Fix")))</f>
        <v>0</v>
      </c>
      <c r="N492">
        <v>0</v>
      </c>
      <c r="O492">
        <v>0</v>
      </c>
      <c r="P492">
        <v>0</v>
      </c>
      <c r="Q492">
        <f>IF(R492,TRUE,AND(U492:AC492))</f>
        <v>0</v>
      </c>
      <c r="R492">
        <f>COUNTBLANK(metadata!B492:J492)=COLUMNS(metadata!B492:J492)</f>
        <v>0</v>
      </c>
      <c r="S492">
        <v>0</v>
      </c>
      <c r="U492">
        <f>AND(IF(metadata!B492="",FALSE,TRUE),COUNTIF(metadata!B:B, metadata!B492) = 1,NOT(ISERROR(SUMPRODUCT(SEARCH(MID(metadata!B492,ROW(INDIRECT("1:"&amp;LEN(metadata!B492))), 1),"0123456789abcdefghijklmnopqrstuvwxyzABCDEFGHIJKLMNOPQRSTUVWXYZ.")))))</f>
        <v>0</v>
      </c>
      <c r="V492">
        <f>AND(IF(metadata!C492="",FALSE,TRUE),exact(metadata!C492,"UBERON:genitourinary"))</f>
        <v>0</v>
      </c>
      <c r="W492">
        <f>AND(IF(metadata!D492="",FALSE,TRUE),exact(metadata!D492,"UBERON:urine"))</f>
        <v>0</v>
      </c>
      <c r="X492">
        <f>AND(IF(metadata!E492="",FALSE,TRUE),exact(metadata!E492,"UBERON:kidney"))</f>
        <v>0</v>
      </c>
      <c r="Y492">
        <f>AND(IF(metadata!F492="",FALSE,TRUE),exact(metadata!F492,"animal corpus"))</f>
        <v>0</v>
      </c>
      <c r="Z492">
        <f>AND(IF(metadata!G492="",FALSE,TRUE),exact(metadata!G492,"urine"))</f>
        <v>0</v>
      </c>
      <c r="AA492">
        <f>AND(IF(metadata!H492="",FALSE,TRUE),exact(metadata!H492,"urine"))</f>
        <v>0</v>
      </c>
      <c r="AB492">
        <f>AND(IF(metadata!I492="",FALSE,TRUE),exact(metadata!I492,"urine metagenome"))</f>
        <v>0</v>
      </c>
      <c r="AC492">
        <f>AND(IF(metadata!J492="",FALSE,TRUE),exact(metadata!J492,"1346744"))</f>
        <v>0</v>
      </c>
    </row>
    <row r="493" spans="1:29">
      <c r="A493" s="4">
        <f>IF(B493=" "," ",HYPERLINK(CONCATENATE("#metadata!",ADDRESS(INDEX($P$2:$P$1001,MATCH(ROWS($N$2:N493),$N$2:$N$1001,0),0),1)),INDEX($S$2:$S$1001,MATCH(ROWS($N$2:N493),$N$2:$N$1001,0),0)))</f>
        <v>0</v>
      </c>
      <c r="B493" s="3">
        <f>IF(OR(INDEX($O$2:$O$1001,MATCH(ROWS($N$2:N493),$N$2:$N$1001,0),1)&gt;=100000,INDEX($U$1005:$AC$1005,1,MATCH(COLUMNS($U$1006:U1006),$U$1006:$AC$1006,0))&gt;=100000), " ",IF(INDEX($U$2:$AC$1001,MATCH(ROWS($N$2:N493),$N$2:$N$1001,0),MATCH(COLUMNS($U$1006:U1006),$U$1006:$AC$1006,0)), HYPERLINK("#",""), HYPERLINK(CONCATENATE("#metadata!", ADDRESS(INDEX($P$2:$P$1001,MATCH(ROWS($N$2:N493),$N$2:$N$1001,0),0), INDEX($U$1004:$AC$1004,1,MATCH(COLUMNS($U$1006:U1006),$U$1006:$AC$1006,0)))),"Fix")))</f>
        <v>0</v>
      </c>
      <c r="C493" s="3">
        <f>IF(OR(INDEX($O$2:$O$1001,MATCH(ROWS($N$2:N493),$N$2:$N$1001,0),1)&gt;=100000,INDEX($U$1005:$AC$1005,1,MATCH(COLUMNS($U$1006:V1006),$U$1006:$AC$1006,0))&gt;=100000), " ",IF(INDEX($U$2:$AC$1001,MATCH(ROWS($N$2:N493),$N$2:$N$1001,0),MATCH(COLUMNS($U$1006:V1006),$U$1006:$AC$1006,0)), HYPERLINK("#",""), HYPERLINK(CONCATENATE("#metadata!", ADDRESS(INDEX($P$2:$P$1001,MATCH(ROWS($N$2:N493),$N$2:$N$1001,0),0), INDEX($U$1004:$AC$1004,1,MATCH(COLUMNS($U$1006:V1006),$U$1006:$AC$1006,0)))),"Fix")))</f>
        <v>0</v>
      </c>
      <c r="D493" s="3">
        <f>IF(OR(INDEX($O$2:$O$1001,MATCH(ROWS($N$2:N493),$N$2:$N$1001,0),1)&gt;=100000,INDEX($U$1005:$AC$1005,1,MATCH(COLUMNS($U$1006:W1006),$U$1006:$AC$1006,0))&gt;=100000), " ",IF(INDEX($U$2:$AC$1001,MATCH(ROWS($N$2:N493),$N$2:$N$1001,0),MATCH(COLUMNS($U$1006:W1006),$U$1006:$AC$1006,0)), HYPERLINK("#",""), HYPERLINK(CONCATENATE("#metadata!", ADDRESS(INDEX($P$2:$P$1001,MATCH(ROWS($N$2:N493),$N$2:$N$1001,0),0), INDEX($U$1004:$AC$1004,1,MATCH(COLUMNS($U$1006:W1006),$U$1006:$AC$1006,0)))),"Fix")))</f>
        <v>0</v>
      </c>
      <c r="E493" s="3">
        <f>IF(OR(INDEX($O$2:$O$1001,MATCH(ROWS($N$2:N493),$N$2:$N$1001,0),1)&gt;=100000,INDEX($U$1005:$AC$1005,1,MATCH(COLUMNS($U$1006:X1006),$U$1006:$AC$1006,0))&gt;=100000), " ",IF(INDEX($U$2:$AC$1001,MATCH(ROWS($N$2:N493),$N$2:$N$1001,0),MATCH(COLUMNS($U$1006:X1006),$U$1006:$AC$1006,0)), HYPERLINK("#",""), HYPERLINK(CONCATENATE("#metadata!", ADDRESS(INDEX($P$2:$P$1001,MATCH(ROWS($N$2:N493),$N$2:$N$1001,0),0), INDEX($U$1004:$AC$1004,1,MATCH(COLUMNS($U$1006:X1006),$U$1006:$AC$1006,0)))),"Fix")))</f>
        <v>0</v>
      </c>
      <c r="F493" s="3">
        <f>IF(OR(INDEX($O$2:$O$1001,MATCH(ROWS($N$2:N493),$N$2:$N$1001,0),1)&gt;=100000,INDEX($U$1005:$AC$1005,1,MATCH(COLUMNS($U$1006:Y1006),$U$1006:$AC$1006,0))&gt;=100000), " ",IF(INDEX($U$2:$AC$1001,MATCH(ROWS($N$2:N493),$N$2:$N$1001,0),MATCH(COLUMNS($U$1006:Y1006),$U$1006:$AC$1006,0)), HYPERLINK("#",""), HYPERLINK(CONCATENATE("#metadata!", ADDRESS(INDEX($P$2:$P$1001,MATCH(ROWS($N$2:N493),$N$2:$N$1001,0),0), INDEX($U$1004:$AC$1004,1,MATCH(COLUMNS($U$1006:Y1006),$U$1006:$AC$1006,0)))),"Fix")))</f>
        <v>0</v>
      </c>
      <c r="G493" s="3">
        <f>IF(OR(INDEX($O$2:$O$1001,MATCH(ROWS($N$2:N493),$N$2:$N$1001,0),1)&gt;=100000,INDEX($U$1005:$AC$1005,1,MATCH(COLUMNS($U$1006:Z1006),$U$1006:$AC$1006,0))&gt;=100000), " ",IF(INDEX($U$2:$AC$1001,MATCH(ROWS($N$2:N493),$N$2:$N$1001,0),MATCH(COLUMNS($U$1006:Z1006),$U$1006:$AC$1006,0)), HYPERLINK("#",""), HYPERLINK(CONCATENATE("#metadata!", ADDRESS(INDEX($P$2:$P$1001,MATCH(ROWS($N$2:N493),$N$2:$N$1001,0),0), INDEX($U$1004:$AC$1004,1,MATCH(COLUMNS($U$1006:Z1006),$U$1006:$AC$1006,0)))),"Fix")))</f>
        <v>0</v>
      </c>
      <c r="H493" s="3">
        <f>IF(OR(INDEX($O$2:$O$1001,MATCH(ROWS($N$2:N493),$N$2:$N$1001,0),1)&gt;=100000,INDEX($U$1005:$AC$1005,1,MATCH(COLUMNS($U$1006:AA1006),$U$1006:$AC$1006,0))&gt;=100000), " ",IF(INDEX($U$2:$AC$1001,MATCH(ROWS($N$2:N493),$N$2:$N$1001,0),MATCH(COLUMNS($U$1006:AA1006),$U$1006:$AC$1006,0)), HYPERLINK("#",""), HYPERLINK(CONCATENATE("#metadata!", ADDRESS(INDEX($P$2:$P$1001,MATCH(ROWS($N$2:N493),$N$2:$N$1001,0),0), INDEX($U$1004:$AC$1004,1,MATCH(COLUMNS($U$1006:AA1006),$U$1006:$AC$1006,0)))),"Fix")))</f>
        <v>0</v>
      </c>
      <c r="I493" s="3">
        <f>IF(OR(INDEX($O$2:$O$1001,MATCH(ROWS($N$2:N493),$N$2:$N$1001,0),1)&gt;=100000,INDEX($U$1005:$AC$1005,1,MATCH(COLUMNS($U$1006:AB1006),$U$1006:$AC$1006,0))&gt;=100000), " ",IF(INDEX($U$2:$AC$1001,MATCH(ROWS($N$2:N493),$N$2:$N$1001,0),MATCH(COLUMNS($U$1006:AB1006),$U$1006:$AC$1006,0)), HYPERLINK("#",""), HYPERLINK(CONCATENATE("#metadata!", ADDRESS(INDEX($P$2:$P$1001,MATCH(ROWS($N$2:N493),$N$2:$N$1001,0),0), INDEX($U$1004:$AC$1004,1,MATCH(COLUMNS($U$1006:AB1006),$U$1006:$AC$1006,0)))),"Fix")))</f>
        <v>0</v>
      </c>
      <c r="J493" s="3">
        <f>IF(OR(INDEX($O$2:$O$1001,MATCH(ROWS($N$2:N493),$N$2:$N$1001,0),1)&gt;=100000,INDEX($U$1005:$AC$1005,1,MATCH(COLUMNS($U$1006:AC1006),$U$1006:$AC$1006,0))&gt;=100000), " ",IF(INDEX($U$2:$AC$1001,MATCH(ROWS($N$2:N493),$N$2:$N$1001,0),MATCH(COLUMNS($U$1006:AC1006),$U$1006:$AC$1006,0)), HYPERLINK("#",""), HYPERLINK(CONCATENATE("#metadata!", ADDRESS(INDEX($P$2:$P$1001,MATCH(ROWS($N$2:N493),$N$2:$N$1001,0),0), INDEX($U$1004:$AC$1004,1,MATCH(COLUMNS($U$1006:AC1006),$U$1006:$AC$1006,0)))),"Fix")))</f>
        <v>0</v>
      </c>
      <c r="N493">
        <v>0</v>
      </c>
      <c r="O493">
        <v>0</v>
      </c>
      <c r="P493">
        <v>0</v>
      </c>
      <c r="Q493">
        <f>IF(R493,TRUE,AND(U493:AC493))</f>
        <v>0</v>
      </c>
      <c r="R493">
        <f>COUNTBLANK(metadata!B493:J493)=COLUMNS(metadata!B493:J493)</f>
        <v>0</v>
      </c>
      <c r="S493">
        <v>0</v>
      </c>
      <c r="U493">
        <f>AND(IF(metadata!B493="",FALSE,TRUE),COUNTIF(metadata!B:B, metadata!B493) = 1,NOT(ISERROR(SUMPRODUCT(SEARCH(MID(metadata!B493,ROW(INDIRECT("1:"&amp;LEN(metadata!B493))), 1),"0123456789abcdefghijklmnopqrstuvwxyzABCDEFGHIJKLMNOPQRSTUVWXYZ.")))))</f>
        <v>0</v>
      </c>
      <c r="V493">
        <f>AND(IF(metadata!C493="",FALSE,TRUE),exact(metadata!C493,"UBERON:genitourinary"))</f>
        <v>0</v>
      </c>
      <c r="W493">
        <f>AND(IF(metadata!D493="",FALSE,TRUE),exact(metadata!D493,"UBERON:urine"))</f>
        <v>0</v>
      </c>
      <c r="X493">
        <f>AND(IF(metadata!E493="",FALSE,TRUE),exact(metadata!E493,"UBERON:kidney"))</f>
        <v>0</v>
      </c>
      <c r="Y493">
        <f>AND(IF(metadata!F493="",FALSE,TRUE),exact(metadata!F493,"animal corpus"))</f>
        <v>0</v>
      </c>
      <c r="Z493">
        <f>AND(IF(metadata!G493="",FALSE,TRUE),exact(metadata!G493,"urine"))</f>
        <v>0</v>
      </c>
      <c r="AA493">
        <f>AND(IF(metadata!H493="",FALSE,TRUE),exact(metadata!H493,"urine"))</f>
        <v>0</v>
      </c>
      <c r="AB493">
        <f>AND(IF(metadata!I493="",FALSE,TRUE),exact(metadata!I493,"urine metagenome"))</f>
        <v>0</v>
      </c>
      <c r="AC493">
        <f>AND(IF(metadata!J493="",FALSE,TRUE),exact(metadata!J493,"1346744"))</f>
        <v>0</v>
      </c>
    </row>
    <row r="494" spans="1:29">
      <c r="A494" s="4">
        <f>IF(B494=" "," ",HYPERLINK(CONCATENATE("#metadata!",ADDRESS(INDEX($P$2:$P$1001,MATCH(ROWS($N$2:N494),$N$2:$N$1001,0),0),1)),INDEX($S$2:$S$1001,MATCH(ROWS($N$2:N494),$N$2:$N$1001,0),0)))</f>
        <v>0</v>
      </c>
      <c r="B494" s="3">
        <f>IF(OR(INDEX($O$2:$O$1001,MATCH(ROWS($N$2:N494),$N$2:$N$1001,0),1)&gt;=100000,INDEX($U$1005:$AC$1005,1,MATCH(COLUMNS($U$1006:U1006),$U$1006:$AC$1006,0))&gt;=100000), " ",IF(INDEX($U$2:$AC$1001,MATCH(ROWS($N$2:N494),$N$2:$N$1001,0),MATCH(COLUMNS($U$1006:U1006),$U$1006:$AC$1006,0)), HYPERLINK("#",""), HYPERLINK(CONCATENATE("#metadata!", ADDRESS(INDEX($P$2:$P$1001,MATCH(ROWS($N$2:N494),$N$2:$N$1001,0),0), INDEX($U$1004:$AC$1004,1,MATCH(COLUMNS($U$1006:U1006),$U$1006:$AC$1006,0)))),"Fix")))</f>
        <v>0</v>
      </c>
      <c r="C494" s="3">
        <f>IF(OR(INDEX($O$2:$O$1001,MATCH(ROWS($N$2:N494),$N$2:$N$1001,0),1)&gt;=100000,INDEX($U$1005:$AC$1005,1,MATCH(COLUMNS($U$1006:V1006),$U$1006:$AC$1006,0))&gt;=100000), " ",IF(INDEX($U$2:$AC$1001,MATCH(ROWS($N$2:N494),$N$2:$N$1001,0),MATCH(COLUMNS($U$1006:V1006),$U$1006:$AC$1006,0)), HYPERLINK("#",""), HYPERLINK(CONCATENATE("#metadata!", ADDRESS(INDEX($P$2:$P$1001,MATCH(ROWS($N$2:N494),$N$2:$N$1001,0),0), INDEX($U$1004:$AC$1004,1,MATCH(COLUMNS($U$1006:V1006),$U$1006:$AC$1006,0)))),"Fix")))</f>
        <v>0</v>
      </c>
      <c r="D494" s="3">
        <f>IF(OR(INDEX($O$2:$O$1001,MATCH(ROWS($N$2:N494),$N$2:$N$1001,0),1)&gt;=100000,INDEX($U$1005:$AC$1005,1,MATCH(COLUMNS($U$1006:W1006),$U$1006:$AC$1006,0))&gt;=100000), " ",IF(INDEX($U$2:$AC$1001,MATCH(ROWS($N$2:N494),$N$2:$N$1001,0),MATCH(COLUMNS($U$1006:W1006),$U$1006:$AC$1006,0)), HYPERLINK("#",""), HYPERLINK(CONCATENATE("#metadata!", ADDRESS(INDEX($P$2:$P$1001,MATCH(ROWS($N$2:N494),$N$2:$N$1001,0),0), INDEX($U$1004:$AC$1004,1,MATCH(COLUMNS($U$1006:W1006),$U$1006:$AC$1006,0)))),"Fix")))</f>
        <v>0</v>
      </c>
      <c r="E494" s="3">
        <f>IF(OR(INDEX($O$2:$O$1001,MATCH(ROWS($N$2:N494),$N$2:$N$1001,0),1)&gt;=100000,INDEX($U$1005:$AC$1005,1,MATCH(COLUMNS($U$1006:X1006),$U$1006:$AC$1006,0))&gt;=100000), " ",IF(INDEX($U$2:$AC$1001,MATCH(ROWS($N$2:N494),$N$2:$N$1001,0),MATCH(COLUMNS($U$1006:X1006),$U$1006:$AC$1006,0)), HYPERLINK("#",""), HYPERLINK(CONCATENATE("#metadata!", ADDRESS(INDEX($P$2:$P$1001,MATCH(ROWS($N$2:N494),$N$2:$N$1001,0),0), INDEX($U$1004:$AC$1004,1,MATCH(COLUMNS($U$1006:X1006),$U$1006:$AC$1006,0)))),"Fix")))</f>
        <v>0</v>
      </c>
      <c r="F494" s="3">
        <f>IF(OR(INDEX($O$2:$O$1001,MATCH(ROWS($N$2:N494),$N$2:$N$1001,0),1)&gt;=100000,INDEX($U$1005:$AC$1005,1,MATCH(COLUMNS($U$1006:Y1006),$U$1006:$AC$1006,0))&gt;=100000), " ",IF(INDEX($U$2:$AC$1001,MATCH(ROWS($N$2:N494),$N$2:$N$1001,0),MATCH(COLUMNS($U$1006:Y1006),$U$1006:$AC$1006,0)), HYPERLINK("#",""), HYPERLINK(CONCATENATE("#metadata!", ADDRESS(INDEX($P$2:$P$1001,MATCH(ROWS($N$2:N494),$N$2:$N$1001,0),0), INDEX($U$1004:$AC$1004,1,MATCH(COLUMNS($U$1006:Y1006),$U$1006:$AC$1006,0)))),"Fix")))</f>
        <v>0</v>
      </c>
      <c r="G494" s="3">
        <f>IF(OR(INDEX($O$2:$O$1001,MATCH(ROWS($N$2:N494),$N$2:$N$1001,0),1)&gt;=100000,INDEX($U$1005:$AC$1005,1,MATCH(COLUMNS($U$1006:Z1006),$U$1006:$AC$1006,0))&gt;=100000), " ",IF(INDEX($U$2:$AC$1001,MATCH(ROWS($N$2:N494),$N$2:$N$1001,0),MATCH(COLUMNS($U$1006:Z1006),$U$1006:$AC$1006,0)), HYPERLINK("#",""), HYPERLINK(CONCATENATE("#metadata!", ADDRESS(INDEX($P$2:$P$1001,MATCH(ROWS($N$2:N494),$N$2:$N$1001,0),0), INDEX($U$1004:$AC$1004,1,MATCH(COLUMNS($U$1006:Z1006),$U$1006:$AC$1006,0)))),"Fix")))</f>
        <v>0</v>
      </c>
      <c r="H494" s="3">
        <f>IF(OR(INDEX($O$2:$O$1001,MATCH(ROWS($N$2:N494),$N$2:$N$1001,0),1)&gt;=100000,INDEX($U$1005:$AC$1005,1,MATCH(COLUMNS($U$1006:AA1006),$U$1006:$AC$1006,0))&gt;=100000), " ",IF(INDEX($U$2:$AC$1001,MATCH(ROWS($N$2:N494),$N$2:$N$1001,0),MATCH(COLUMNS($U$1006:AA1006),$U$1006:$AC$1006,0)), HYPERLINK("#",""), HYPERLINK(CONCATENATE("#metadata!", ADDRESS(INDEX($P$2:$P$1001,MATCH(ROWS($N$2:N494),$N$2:$N$1001,0),0), INDEX($U$1004:$AC$1004,1,MATCH(COLUMNS($U$1006:AA1006),$U$1006:$AC$1006,0)))),"Fix")))</f>
        <v>0</v>
      </c>
      <c r="I494" s="3">
        <f>IF(OR(INDEX($O$2:$O$1001,MATCH(ROWS($N$2:N494),$N$2:$N$1001,0),1)&gt;=100000,INDEX($U$1005:$AC$1005,1,MATCH(COLUMNS($U$1006:AB1006),$U$1006:$AC$1006,0))&gt;=100000), " ",IF(INDEX($U$2:$AC$1001,MATCH(ROWS($N$2:N494),$N$2:$N$1001,0),MATCH(COLUMNS($U$1006:AB1006),$U$1006:$AC$1006,0)), HYPERLINK("#",""), HYPERLINK(CONCATENATE("#metadata!", ADDRESS(INDEX($P$2:$P$1001,MATCH(ROWS($N$2:N494),$N$2:$N$1001,0),0), INDEX($U$1004:$AC$1004,1,MATCH(COLUMNS($U$1006:AB1006),$U$1006:$AC$1006,0)))),"Fix")))</f>
        <v>0</v>
      </c>
      <c r="J494" s="3">
        <f>IF(OR(INDEX($O$2:$O$1001,MATCH(ROWS($N$2:N494),$N$2:$N$1001,0),1)&gt;=100000,INDEX($U$1005:$AC$1005,1,MATCH(COLUMNS($U$1006:AC1006),$U$1006:$AC$1006,0))&gt;=100000), " ",IF(INDEX($U$2:$AC$1001,MATCH(ROWS($N$2:N494),$N$2:$N$1001,0),MATCH(COLUMNS($U$1006:AC1006),$U$1006:$AC$1006,0)), HYPERLINK("#",""), HYPERLINK(CONCATENATE("#metadata!", ADDRESS(INDEX($P$2:$P$1001,MATCH(ROWS($N$2:N494),$N$2:$N$1001,0),0), INDEX($U$1004:$AC$1004,1,MATCH(COLUMNS($U$1006:AC1006),$U$1006:$AC$1006,0)))),"Fix")))</f>
        <v>0</v>
      </c>
      <c r="N494">
        <v>0</v>
      </c>
      <c r="O494">
        <v>0</v>
      </c>
      <c r="P494">
        <v>0</v>
      </c>
      <c r="Q494">
        <f>IF(R494,TRUE,AND(U494:AC494))</f>
        <v>0</v>
      </c>
      <c r="R494">
        <f>COUNTBLANK(metadata!B494:J494)=COLUMNS(metadata!B494:J494)</f>
        <v>0</v>
      </c>
      <c r="S494">
        <v>0</v>
      </c>
      <c r="U494">
        <f>AND(IF(metadata!B494="",FALSE,TRUE),COUNTIF(metadata!B:B, metadata!B494) = 1,NOT(ISERROR(SUMPRODUCT(SEARCH(MID(metadata!B494,ROW(INDIRECT("1:"&amp;LEN(metadata!B494))), 1),"0123456789abcdefghijklmnopqrstuvwxyzABCDEFGHIJKLMNOPQRSTUVWXYZ.")))))</f>
        <v>0</v>
      </c>
      <c r="V494">
        <f>AND(IF(metadata!C494="",FALSE,TRUE),exact(metadata!C494,"UBERON:genitourinary"))</f>
        <v>0</v>
      </c>
      <c r="W494">
        <f>AND(IF(metadata!D494="",FALSE,TRUE),exact(metadata!D494,"UBERON:urine"))</f>
        <v>0</v>
      </c>
      <c r="X494">
        <f>AND(IF(metadata!E494="",FALSE,TRUE),exact(metadata!E494,"UBERON:kidney"))</f>
        <v>0</v>
      </c>
      <c r="Y494">
        <f>AND(IF(metadata!F494="",FALSE,TRUE),exact(metadata!F494,"animal corpus"))</f>
        <v>0</v>
      </c>
      <c r="Z494">
        <f>AND(IF(metadata!G494="",FALSE,TRUE),exact(metadata!G494,"urine"))</f>
        <v>0</v>
      </c>
      <c r="AA494">
        <f>AND(IF(metadata!H494="",FALSE,TRUE),exact(metadata!H494,"urine"))</f>
        <v>0</v>
      </c>
      <c r="AB494">
        <f>AND(IF(metadata!I494="",FALSE,TRUE),exact(metadata!I494,"urine metagenome"))</f>
        <v>0</v>
      </c>
      <c r="AC494">
        <f>AND(IF(metadata!J494="",FALSE,TRUE),exact(metadata!J494,"1346744"))</f>
        <v>0</v>
      </c>
    </row>
    <row r="495" spans="1:29">
      <c r="A495" s="4">
        <f>IF(B495=" "," ",HYPERLINK(CONCATENATE("#metadata!",ADDRESS(INDEX($P$2:$P$1001,MATCH(ROWS($N$2:N495),$N$2:$N$1001,0),0),1)),INDEX($S$2:$S$1001,MATCH(ROWS($N$2:N495),$N$2:$N$1001,0),0)))</f>
        <v>0</v>
      </c>
      <c r="B495" s="3">
        <f>IF(OR(INDEX($O$2:$O$1001,MATCH(ROWS($N$2:N495),$N$2:$N$1001,0),1)&gt;=100000,INDEX($U$1005:$AC$1005,1,MATCH(COLUMNS($U$1006:U1006),$U$1006:$AC$1006,0))&gt;=100000), " ",IF(INDEX($U$2:$AC$1001,MATCH(ROWS($N$2:N495),$N$2:$N$1001,0),MATCH(COLUMNS($U$1006:U1006),$U$1006:$AC$1006,0)), HYPERLINK("#",""), HYPERLINK(CONCATENATE("#metadata!", ADDRESS(INDEX($P$2:$P$1001,MATCH(ROWS($N$2:N495),$N$2:$N$1001,0),0), INDEX($U$1004:$AC$1004,1,MATCH(COLUMNS($U$1006:U1006),$U$1006:$AC$1006,0)))),"Fix")))</f>
        <v>0</v>
      </c>
      <c r="C495" s="3">
        <f>IF(OR(INDEX($O$2:$O$1001,MATCH(ROWS($N$2:N495),$N$2:$N$1001,0),1)&gt;=100000,INDEX($U$1005:$AC$1005,1,MATCH(COLUMNS($U$1006:V1006),$U$1006:$AC$1006,0))&gt;=100000), " ",IF(INDEX($U$2:$AC$1001,MATCH(ROWS($N$2:N495),$N$2:$N$1001,0),MATCH(COLUMNS($U$1006:V1006),$U$1006:$AC$1006,0)), HYPERLINK("#",""), HYPERLINK(CONCATENATE("#metadata!", ADDRESS(INDEX($P$2:$P$1001,MATCH(ROWS($N$2:N495),$N$2:$N$1001,0),0), INDEX($U$1004:$AC$1004,1,MATCH(COLUMNS($U$1006:V1006),$U$1006:$AC$1006,0)))),"Fix")))</f>
        <v>0</v>
      </c>
      <c r="D495" s="3">
        <f>IF(OR(INDEX($O$2:$O$1001,MATCH(ROWS($N$2:N495),$N$2:$N$1001,0),1)&gt;=100000,INDEX($U$1005:$AC$1005,1,MATCH(COLUMNS($U$1006:W1006),$U$1006:$AC$1006,0))&gt;=100000), " ",IF(INDEX($U$2:$AC$1001,MATCH(ROWS($N$2:N495),$N$2:$N$1001,0),MATCH(COLUMNS($U$1006:W1006),$U$1006:$AC$1006,0)), HYPERLINK("#",""), HYPERLINK(CONCATENATE("#metadata!", ADDRESS(INDEX($P$2:$P$1001,MATCH(ROWS($N$2:N495),$N$2:$N$1001,0),0), INDEX($U$1004:$AC$1004,1,MATCH(COLUMNS($U$1006:W1006),$U$1006:$AC$1006,0)))),"Fix")))</f>
        <v>0</v>
      </c>
      <c r="E495" s="3">
        <f>IF(OR(INDEX($O$2:$O$1001,MATCH(ROWS($N$2:N495),$N$2:$N$1001,0),1)&gt;=100000,INDEX($U$1005:$AC$1005,1,MATCH(COLUMNS($U$1006:X1006),$U$1006:$AC$1006,0))&gt;=100000), " ",IF(INDEX($U$2:$AC$1001,MATCH(ROWS($N$2:N495),$N$2:$N$1001,0),MATCH(COLUMNS($U$1006:X1006),$U$1006:$AC$1006,0)), HYPERLINK("#",""), HYPERLINK(CONCATENATE("#metadata!", ADDRESS(INDEX($P$2:$P$1001,MATCH(ROWS($N$2:N495),$N$2:$N$1001,0),0), INDEX($U$1004:$AC$1004,1,MATCH(COLUMNS($U$1006:X1006),$U$1006:$AC$1006,0)))),"Fix")))</f>
        <v>0</v>
      </c>
      <c r="F495" s="3">
        <f>IF(OR(INDEX($O$2:$O$1001,MATCH(ROWS($N$2:N495),$N$2:$N$1001,0),1)&gt;=100000,INDEX($U$1005:$AC$1005,1,MATCH(COLUMNS($U$1006:Y1006),$U$1006:$AC$1006,0))&gt;=100000), " ",IF(INDEX($U$2:$AC$1001,MATCH(ROWS($N$2:N495),$N$2:$N$1001,0),MATCH(COLUMNS($U$1006:Y1006),$U$1006:$AC$1006,0)), HYPERLINK("#",""), HYPERLINK(CONCATENATE("#metadata!", ADDRESS(INDEX($P$2:$P$1001,MATCH(ROWS($N$2:N495),$N$2:$N$1001,0),0), INDEX($U$1004:$AC$1004,1,MATCH(COLUMNS($U$1006:Y1006),$U$1006:$AC$1006,0)))),"Fix")))</f>
        <v>0</v>
      </c>
      <c r="G495" s="3">
        <f>IF(OR(INDEX($O$2:$O$1001,MATCH(ROWS($N$2:N495),$N$2:$N$1001,0),1)&gt;=100000,INDEX($U$1005:$AC$1005,1,MATCH(COLUMNS($U$1006:Z1006),$U$1006:$AC$1006,0))&gt;=100000), " ",IF(INDEX($U$2:$AC$1001,MATCH(ROWS($N$2:N495),$N$2:$N$1001,0),MATCH(COLUMNS($U$1006:Z1006),$U$1006:$AC$1006,0)), HYPERLINK("#",""), HYPERLINK(CONCATENATE("#metadata!", ADDRESS(INDEX($P$2:$P$1001,MATCH(ROWS($N$2:N495),$N$2:$N$1001,0),0), INDEX($U$1004:$AC$1004,1,MATCH(COLUMNS($U$1006:Z1006),$U$1006:$AC$1006,0)))),"Fix")))</f>
        <v>0</v>
      </c>
      <c r="H495" s="3">
        <f>IF(OR(INDEX($O$2:$O$1001,MATCH(ROWS($N$2:N495),$N$2:$N$1001,0),1)&gt;=100000,INDEX($U$1005:$AC$1005,1,MATCH(COLUMNS($U$1006:AA1006),$U$1006:$AC$1006,0))&gt;=100000), " ",IF(INDEX($U$2:$AC$1001,MATCH(ROWS($N$2:N495),$N$2:$N$1001,0),MATCH(COLUMNS($U$1006:AA1006),$U$1006:$AC$1006,0)), HYPERLINK("#",""), HYPERLINK(CONCATENATE("#metadata!", ADDRESS(INDEX($P$2:$P$1001,MATCH(ROWS($N$2:N495),$N$2:$N$1001,0),0), INDEX($U$1004:$AC$1004,1,MATCH(COLUMNS($U$1006:AA1006),$U$1006:$AC$1006,0)))),"Fix")))</f>
        <v>0</v>
      </c>
      <c r="I495" s="3">
        <f>IF(OR(INDEX($O$2:$O$1001,MATCH(ROWS($N$2:N495),$N$2:$N$1001,0),1)&gt;=100000,INDEX($U$1005:$AC$1005,1,MATCH(COLUMNS($U$1006:AB1006),$U$1006:$AC$1006,0))&gt;=100000), " ",IF(INDEX($U$2:$AC$1001,MATCH(ROWS($N$2:N495),$N$2:$N$1001,0),MATCH(COLUMNS($U$1006:AB1006),$U$1006:$AC$1006,0)), HYPERLINK("#",""), HYPERLINK(CONCATENATE("#metadata!", ADDRESS(INDEX($P$2:$P$1001,MATCH(ROWS($N$2:N495),$N$2:$N$1001,0),0), INDEX($U$1004:$AC$1004,1,MATCH(COLUMNS($U$1006:AB1006),$U$1006:$AC$1006,0)))),"Fix")))</f>
        <v>0</v>
      </c>
      <c r="J495" s="3">
        <f>IF(OR(INDEX($O$2:$O$1001,MATCH(ROWS($N$2:N495),$N$2:$N$1001,0),1)&gt;=100000,INDEX($U$1005:$AC$1005,1,MATCH(COLUMNS($U$1006:AC1006),$U$1006:$AC$1006,0))&gt;=100000), " ",IF(INDEX($U$2:$AC$1001,MATCH(ROWS($N$2:N495),$N$2:$N$1001,0),MATCH(COLUMNS($U$1006:AC1006),$U$1006:$AC$1006,0)), HYPERLINK("#",""), HYPERLINK(CONCATENATE("#metadata!", ADDRESS(INDEX($P$2:$P$1001,MATCH(ROWS($N$2:N495),$N$2:$N$1001,0),0), INDEX($U$1004:$AC$1004,1,MATCH(COLUMNS($U$1006:AC1006),$U$1006:$AC$1006,0)))),"Fix")))</f>
        <v>0</v>
      </c>
      <c r="N495">
        <v>0</v>
      </c>
      <c r="O495">
        <v>0</v>
      </c>
      <c r="P495">
        <v>0</v>
      </c>
      <c r="Q495">
        <f>IF(R495,TRUE,AND(U495:AC495))</f>
        <v>0</v>
      </c>
      <c r="R495">
        <f>COUNTBLANK(metadata!B495:J495)=COLUMNS(metadata!B495:J495)</f>
        <v>0</v>
      </c>
      <c r="S495">
        <v>0</v>
      </c>
      <c r="U495">
        <f>AND(IF(metadata!B495="",FALSE,TRUE),COUNTIF(metadata!B:B, metadata!B495) = 1,NOT(ISERROR(SUMPRODUCT(SEARCH(MID(metadata!B495,ROW(INDIRECT("1:"&amp;LEN(metadata!B495))), 1),"0123456789abcdefghijklmnopqrstuvwxyzABCDEFGHIJKLMNOPQRSTUVWXYZ.")))))</f>
        <v>0</v>
      </c>
      <c r="V495">
        <f>AND(IF(metadata!C495="",FALSE,TRUE),exact(metadata!C495,"UBERON:genitourinary"))</f>
        <v>0</v>
      </c>
      <c r="W495">
        <f>AND(IF(metadata!D495="",FALSE,TRUE),exact(metadata!D495,"UBERON:urine"))</f>
        <v>0</v>
      </c>
      <c r="X495">
        <f>AND(IF(metadata!E495="",FALSE,TRUE),exact(metadata!E495,"UBERON:kidney"))</f>
        <v>0</v>
      </c>
      <c r="Y495">
        <f>AND(IF(metadata!F495="",FALSE,TRUE),exact(metadata!F495,"animal corpus"))</f>
        <v>0</v>
      </c>
      <c r="Z495">
        <f>AND(IF(metadata!G495="",FALSE,TRUE),exact(metadata!G495,"urine"))</f>
        <v>0</v>
      </c>
      <c r="AA495">
        <f>AND(IF(metadata!H495="",FALSE,TRUE),exact(metadata!H495,"urine"))</f>
        <v>0</v>
      </c>
      <c r="AB495">
        <f>AND(IF(metadata!I495="",FALSE,TRUE),exact(metadata!I495,"urine metagenome"))</f>
        <v>0</v>
      </c>
      <c r="AC495">
        <f>AND(IF(metadata!J495="",FALSE,TRUE),exact(metadata!J495,"1346744"))</f>
        <v>0</v>
      </c>
    </row>
    <row r="496" spans="1:29">
      <c r="A496" s="4">
        <f>IF(B496=" "," ",HYPERLINK(CONCATENATE("#metadata!",ADDRESS(INDEX($P$2:$P$1001,MATCH(ROWS($N$2:N496),$N$2:$N$1001,0),0),1)),INDEX($S$2:$S$1001,MATCH(ROWS($N$2:N496),$N$2:$N$1001,0),0)))</f>
        <v>0</v>
      </c>
      <c r="B496" s="3">
        <f>IF(OR(INDEX($O$2:$O$1001,MATCH(ROWS($N$2:N496),$N$2:$N$1001,0),1)&gt;=100000,INDEX($U$1005:$AC$1005,1,MATCH(COLUMNS($U$1006:U1006),$U$1006:$AC$1006,0))&gt;=100000), " ",IF(INDEX($U$2:$AC$1001,MATCH(ROWS($N$2:N496),$N$2:$N$1001,0),MATCH(COLUMNS($U$1006:U1006),$U$1006:$AC$1006,0)), HYPERLINK("#",""), HYPERLINK(CONCATENATE("#metadata!", ADDRESS(INDEX($P$2:$P$1001,MATCH(ROWS($N$2:N496),$N$2:$N$1001,0),0), INDEX($U$1004:$AC$1004,1,MATCH(COLUMNS($U$1006:U1006),$U$1006:$AC$1006,0)))),"Fix")))</f>
        <v>0</v>
      </c>
      <c r="C496" s="3">
        <f>IF(OR(INDEX($O$2:$O$1001,MATCH(ROWS($N$2:N496),$N$2:$N$1001,0),1)&gt;=100000,INDEX($U$1005:$AC$1005,1,MATCH(COLUMNS($U$1006:V1006),$U$1006:$AC$1006,0))&gt;=100000), " ",IF(INDEX($U$2:$AC$1001,MATCH(ROWS($N$2:N496),$N$2:$N$1001,0),MATCH(COLUMNS($U$1006:V1006),$U$1006:$AC$1006,0)), HYPERLINK("#",""), HYPERLINK(CONCATENATE("#metadata!", ADDRESS(INDEX($P$2:$P$1001,MATCH(ROWS($N$2:N496),$N$2:$N$1001,0),0), INDEX($U$1004:$AC$1004,1,MATCH(COLUMNS($U$1006:V1006),$U$1006:$AC$1006,0)))),"Fix")))</f>
        <v>0</v>
      </c>
      <c r="D496" s="3">
        <f>IF(OR(INDEX($O$2:$O$1001,MATCH(ROWS($N$2:N496),$N$2:$N$1001,0),1)&gt;=100000,INDEX($U$1005:$AC$1005,1,MATCH(COLUMNS($U$1006:W1006),$U$1006:$AC$1006,0))&gt;=100000), " ",IF(INDEX($U$2:$AC$1001,MATCH(ROWS($N$2:N496),$N$2:$N$1001,0),MATCH(COLUMNS($U$1006:W1006),$U$1006:$AC$1006,0)), HYPERLINK("#",""), HYPERLINK(CONCATENATE("#metadata!", ADDRESS(INDEX($P$2:$P$1001,MATCH(ROWS($N$2:N496),$N$2:$N$1001,0),0), INDEX($U$1004:$AC$1004,1,MATCH(COLUMNS($U$1006:W1006),$U$1006:$AC$1006,0)))),"Fix")))</f>
        <v>0</v>
      </c>
      <c r="E496" s="3">
        <f>IF(OR(INDEX($O$2:$O$1001,MATCH(ROWS($N$2:N496),$N$2:$N$1001,0),1)&gt;=100000,INDEX($U$1005:$AC$1005,1,MATCH(COLUMNS($U$1006:X1006),$U$1006:$AC$1006,0))&gt;=100000), " ",IF(INDEX($U$2:$AC$1001,MATCH(ROWS($N$2:N496),$N$2:$N$1001,0),MATCH(COLUMNS($U$1006:X1006),$U$1006:$AC$1006,0)), HYPERLINK("#",""), HYPERLINK(CONCATENATE("#metadata!", ADDRESS(INDEX($P$2:$P$1001,MATCH(ROWS($N$2:N496),$N$2:$N$1001,0),0), INDEX($U$1004:$AC$1004,1,MATCH(COLUMNS($U$1006:X1006),$U$1006:$AC$1006,0)))),"Fix")))</f>
        <v>0</v>
      </c>
      <c r="F496" s="3">
        <f>IF(OR(INDEX($O$2:$O$1001,MATCH(ROWS($N$2:N496),$N$2:$N$1001,0),1)&gt;=100000,INDEX($U$1005:$AC$1005,1,MATCH(COLUMNS($U$1006:Y1006),$U$1006:$AC$1006,0))&gt;=100000), " ",IF(INDEX($U$2:$AC$1001,MATCH(ROWS($N$2:N496),$N$2:$N$1001,0),MATCH(COLUMNS($U$1006:Y1006),$U$1006:$AC$1006,0)), HYPERLINK("#",""), HYPERLINK(CONCATENATE("#metadata!", ADDRESS(INDEX($P$2:$P$1001,MATCH(ROWS($N$2:N496),$N$2:$N$1001,0),0), INDEX($U$1004:$AC$1004,1,MATCH(COLUMNS($U$1006:Y1006),$U$1006:$AC$1006,0)))),"Fix")))</f>
        <v>0</v>
      </c>
      <c r="G496" s="3">
        <f>IF(OR(INDEX($O$2:$O$1001,MATCH(ROWS($N$2:N496),$N$2:$N$1001,0),1)&gt;=100000,INDEX($U$1005:$AC$1005,1,MATCH(COLUMNS($U$1006:Z1006),$U$1006:$AC$1006,0))&gt;=100000), " ",IF(INDEX($U$2:$AC$1001,MATCH(ROWS($N$2:N496),$N$2:$N$1001,0),MATCH(COLUMNS($U$1006:Z1006),$U$1006:$AC$1006,0)), HYPERLINK("#",""), HYPERLINK(CONCATENATE("#metadata!", ADDRESS(INDEX($P$2:$P$1001,MATCH(ROWS($N$2:N496),$N$2:$N$1001,0),0), INDEX($U$1004:$AC$1004,1,MATCH(COLUMNS($U$1006:Z1006),$U$1006:$AC$1006,0)))),"Fix")))</f>
        <v>0</v>
      </c>
      <c r="H496" s="3">
        <f>IF(OR(INDEX($O$2:$O$1001,MATCH(ROWS($N$2:N496),$N$2:$N$1001,0),1)&gt;=100000,INDEX($U$1005:$AC$1005,1,MATCH(COLUMNS($U$1006:AA1006),$U$1006:$AC$1006,0))&gt;=100000), " ",IF(INDEX($U$2:$AC$1001,MATCH(ROWS($N$2:N496),$N$2:$N$1001,0),MATCH(COLUMNS($U$1006:AA1006),$U$1006:$AC$1006,0)), HYPERLINK("#",""), HYPERLINK(CONCATENATE("#metadata!", ADDRESS(INDEX($P$2:$P$1001,MATCH(ROWS($N$2:N496),$N$2:$N$1001,0),0), INDEX($U$1004:$AC$1004,1,MATCH(COLUMNS($U$1006:AA1006),$U$1006:$AC$1006,0)))),"Fix")))</f>
        <v>0</v>
      </c>
      <c r="I496" s="3">
        <f>IF(OR(INDEX($O$2:$O$1001,MATCH(ROWS($N$2:N496),$N$2:$N$1001,0),1)&gt;=100000,INDEX($U$1005:$AC$1005,1,MATCH(COLUMNS($U$1006:AB1006),$U$1006:$AC$1006,0))&gt;=100000), " ",IF(INDEX($U$2:$AC$1001,MATCH(ROWS($N$2:N496),$N$2:$N$1001,0),MATCH(COLUMNS($U$1006:AB1006),$U$1006:$AC$1006,0)), HYPERLINK("#",""), HYPERLINK(CONCATENATE("#metadata!", ADDRESS(INDEX($P$2:$P$1001,MATCH(ROWS($N$2:N496),$N$2:$N$1001,0),0), INDEX($U$1004:$AC$1004,1,MATCH(COLUMNS($U$1006:AB1006),$U$1006:$AC$1006,0)))),"Fix")))</f>
        <v>0</v>
      </c>
      <c r="J496" s="3">
        <f>IF(OR(INDEX($O$2:$O$1001,MATCH(ROWS($N$2:N496),$N$2:$N$1001,0),1)&gt;=100000,INDEX($U$1005:$AC$1005,1,MATCH(COLUMNS($U$1006:AC1006),$U$1006:$AC$1006,0))&gt;=100000), " ",IF(INDEX($U$2:$AC$1001,MATCH(ROWS($N$2:N496),$N$2:$N$1001,0),MATCH(COLUMNS($U$1006:AC1006),$U$1006:$AC$1006,0)), HYPERLINK("#",""), HYPERLINK(CONCATENATE("#metadata!", ADDRESS(INDEX($P$2:$P$1001,MATCH(ROWS($N$2:N496),$N$2:$N$1001,0),0), INDEX($U$1004:$AC$1004,1,MATCH(COLUMNS($U$1006:AC1006),$U$1006:$AC$1006,0)))),"Fix")))</f>
        <v>0</v>
      </c>
      <c r="N496">
        <v>0</v>
      </c>
      <c r="O496">
        <v>0</v>
      </c>
      <c r="P496">
        <v>0</v>
      </c>
      <c r="Q496">
        <f>IF(R496,TRUE,AND(U496:AC496))</f>
        <v>0</v>
      </c>
      <c r="R496">
        <f>COUNTBLANK(metadata!B496:J496)=COLUMNS(metadata!B496:J496)</f>
        <v>0</v>
      </c>
      <c r="S496">
        <v>0</v>
      </c>
      <c r="U496">
        <f>AND(IF(metadata!B496="",FALSE,TRUE),COUNTIF(metadata!B:B, metadata!B496) = 1,NOT(ISERROR(SUMPRODUCT(SEARCH(MID(metadata!B496,ROW(INDIRECT("1:"&amp;LEN(metadata!B496))), 1),"0123456789abcdefghijklmnopqrstuvwxyzABCDEFGHIJKLMNOPQRSTUVWXYZ.")))))</f>
        <v>0</v>
      </c>
      <c r="V496">
        <f>AND(IF(metadata!C496="",FALSE,TRUE),exact(metadata!C496,"UBERON:genitourinary"))</f>
        <v>0</v>
      </c>
      <c r="W496">
        <f>AND(IF(metadata!D496="",FALSE,TRUE),exact(metadata!D496,"UBERON:urine"))</f>
        <v>0</v>
      </c>
      <c r="X496">
        <f>AND(IF(metadata!E496="",FALSE,TRUE),exact(metadata!E496,"UBERON:kidney"))</f>
        <v>0</v>
      </c>
      <c r="Y496">
        <f>AND(IF(metadata!F496="",FALSE,TRUE),exact(metadata!F496,"animal corpus"))</f>
        <v>0</v>
      </c>
      <c r="Z496">
        <f>AND(IF(metadata!G496="",FALSE,TRUE),exact(metadata!G496,"urine"))</f>
        <v>0</v>
      </c>
      <c r="AA496">
        <f>AND(IF(metadata!H496="",FALSE,TRUE),exact(metadata!H496,"urine"))</f>
        <v>0</v>
      </c>
      <c r="AB496">
        <f>AND(IF(metadata!I496="",FALSE,TRUE),exact(metadata!I496,"urine metagenome"))</f>
        <v>0</v>
      </c>
      <c r="AC496">
        <f>AND(IF(metadata!J496="",FALSE,TRUE),exact(metadata!J496,"1346744"))</f>
        <v>0</v>
      </c>
    </row>
    <row r="497" spans="1:29">
      <c r="A497" s="4">
        <f>IF(B497=" "," ",HYPERLINK(CONCATENATE("#metadata!",ADDRESS(INDEX($P$2:$P$1001,MATCH(ROWS($N$2:N497),$N$2:$N$1001,0),0),1)),INDEX($S$2:$S$1001,MATCH(ROWS($N$2:N497),$N$2:$N$1001,0),0)))</f>
        <v>0</v>
      </c>
      <c r="B497" s="3">
        <f>IF(OR(INDEX($O$2:$O$1001,MATCH(ROWS($N$2:N497),$N$2:$N$1001,0),1)&gt;=100000,INDEX($U$1005:$AC$1005,1,MATCH(COLUMNS($U$1006:U1006),$U$1006:$AC$1006,0))&gt;=100000), " ",IF(INDEX($U$2:$AC$1001,MATCH(ROWS($N$2:N497),$N$2:$N$1001,0),MATCH(COLUMNS($U$1006:U1006),$U$1006:$AC$1006,0)), HYPERLINK("#",""), HYPERLINK(CONCATENATE("#metadata!", ADDRESS(INDEX($P$2:$P$1001,MATCH(ROWS($N$2:N497),$N$2:$N$1001,0),0), INDEX($U$1004:$AC$1004,1,MATCH(COLUMNS($U$1006:U1006),$U$1006:$AC$1006,0)))),"Fix")))</f>
        <v>0</v>
      </c>
      <c r="C497" s="3">
        <f>IF(OR(INDEX($O$2:$O$1001,MATCH(ROWS($N$2:N497),$N$2:$N$1001,0),1)&gt;=100000,INDEX($U$1005:$AC$1005,1,MATCH(COLUMNS($U$1006:V1006),$U$1006:$AC$1006,0))&gt;=100000), " ",IF(INDEX($U$2:$AC$1001,MATCH(ROWS($N$2:N497),$N$2:$N$1001,0),MATCH(COLUMNS($U$1006:V1006),$U$1006:$AC$1006,0)), HYPERLINK("#",""), HYPERLINK(CONCATENATE("#metadata!", ADDRESS(INDEX($P$2:$P$1001,MATCH(ROWS($N$2:N497),$N$2:$N$1001,0),0), INDEX($U$1004:$AC$1004,1,MATCH(COLUMNS($U$1006:V1006),$U$1006:$AC$1006,0)))),"Fix")))</f>
        <v>0</v>
      </c>
      <c r="D497" s="3">
        <f>IF(OR(INDEX($O$2:$O$1001,MATCH(ROWS($N$2:N497),$N$2:$N$1001,0),1)&gt;=100000,INDEX($U$1005:$AC$1005,1,MATCH(COLUMNS($U$1006:W1006),$U$1006:$AC$1006,0))&gt;=100000), " ",IF(INDEX($U$2:$AC$1001,MATCH(ROWS($N$2:N497),$N$2:$N$1001,0),MATCH(COLUMNS($U$1006:W1006),$U$1006:$AC$1006,0)), HYPERLINK("#",""), HYPERLINK(CONCATENATE("#metadata!", ADDRESS(INDEX($P$2:$P$1001,MATCH(ROWS($N$2:N497),$N$2:$N$1001,0),0), INDEX($U$1004:$AC$1004,1,MATCH(COLUMNS($U$1006:W1006),$U$1006:$AC$1006,0)))),"Fix")))</f>
        <v>0</v>
      </c>
      <c r="E497" s="3">
        <f>IF(OR(INDEX($O$2:$O$1001,MATCH(ROWS($N$2:N497),$N$2:$N$1001,0),1)&gt;=100000,INDEX($U$1005:$AC$1005,1,MATCH(COLUMNS($U$1006:X1006),$U$1006:$AC$1006,0))&gt;=100000), " ",IF(INDEX($U$2:$AC$1001,MATCH(ROWS($N$2:N497),$N$2:$N$1001,0),MATCH(COLUMNS($U$1006:X1006),$U$1006:$AC$1006,0)), HYPERLINK("#",""), HYPERLINK(CONCATENATE("#metadata!", ADDRESS(INDEX($P$2:$P$1001,MATCH(ROWS($N$2:N497),$N$2:$N$1001,0),0), INDEX($U$1004:$AC$1004,1,MATCH(COLUMNS($U$1006:X1006),$U$1006:$AC$1006,0)))),"Fix")))</f>
        <v>0</v>
      </c>
      <c r="F497" s="3">
        <f>IF(OR(INDEX($O$2:$O$1001,MATCH(ROWS($N$2:N497),$N$2:$N$1001,0),1)&gt;=100000,INDEX($U$1005:$AC$1005,1,MATCH(COLUMNS($U$1006:Y1006),$U$1006:$AC$1006,0))&gt;=100000), " ",IF(INDEX($U$2:$AC$1001,MATCH(ROWS($N$2:N497),$N$2:$N$1001,0),MATCH(COLUMNS($U$1006:Y1006),$U$1006:$AC$1006,0)), HYPERLINK("#",""), HYPERLINK(CONCATENATE("#metadata!", ADDRESS(INDEX($P$2:$P$1001,MATCH(ROWS($N$2:N497),$N$2:$N$1001,0),0), INDEX($U$1004:$AC$1004,1,MATCH(COLUMNS($U$1006:Y1006),$U$1006:$AC$1006,0)))),"Fix")))</f>
        <v>0</v>
      </c>
      <c r="G497" s="3">
        <f>IF(OR(INDEX($O$2:$O$1001,MATCH(ROWS($N$2:N497),$N$2:$N$1001,0),1)&gt;=100000,INDEX($U$1005:$AC$1005,1,MATCH(COLUMNS($U$1006:Z1006),$U$1006:$AC$1006,0))&gt;=100000), " ",IF(INDEX($U$2:$AC$1001,MATCH(ROWS($N$2:N497),$N$2:$N$1001,0),MATCH(COLUMNS($U$1006:Z1006),$U$1006:$AC$1006,0)), HYPERLINK("#",""), HYPERLINK(CONCATENATE("#metadata!", ADDRESS(INDEX($P$2:$P$1001,MATCH(ROWS($N$2:N497),$N$2:$N$1001,0),0), INDEX($U$1004:$AC$1004,1,MATCH(COLUMNS($U$1006:Z1006),$U$1006:$AC$1006,0)))),"Fix")))</f>
        <v>0</v>
      </c>
      <c r="H497" s="3">
        <f>IF(OR(INDEX($O$2:$O$1001,MATCH(ROWS($N$2:N497),$N$2:$N$1001,0),1)&gt;=100000,INDEX($U$1005:$AC$1005,1,MATCH(COLUMNS($U$1006:AA1006),$U$1006:$AC$1006,0))&gt;=100000), " ",IF(INDEX($U$2:$AC$1001,MATCH(ROWS($N$2:N497),$N$2:$N$1001,0),MATCH(COLUMNS($U$1006:AA1006),$U$1006:$AC$1006,0)), HYPERLINK("#",""), HYPERLINK(CONCATENATE("#metadata!", ADDRESS(INDEX($P$2:$P$1001,MATCH(ROWS($N$2:N497),$N$2:$N$1001,0),0), INDEX($U$1004:$AC$1004,1,MATCH(COLUMNS($U$1006:AA1006),$U$1006:$AC$1006,0)))),"Fix")))</f>
        <v>0</v>
      </c>
      <c r="I497" s="3">
        <f>IF(OR(INDEX($O$2:$O$1001,MATCH(ROWS($N$2:N497),$N$2:$N$1001,0),1)&gt;=100000,INDEX($U$1005:$AC$1005,1,MATCH(COLUMNS($U$1006:AB1006),$U$1006:$AC$1006,0))&gt;=100000), " ",IF(INDEX($U$2:$AC$1001,MATCH(ROWS($N$2:N497),$N$2:$N$1001,0),MATCH(COLUMNS($U$1006:AB1006),$U$1006:$AC$1006,0)), HYPERLINK("#",""), HYPERLINK(CONCATENATE("#metadata!", ADDRESS(INDEX($P$2:$P$1001,MATCH(ROWS($N$2:N497),$N$2:$N$1001,0),0), INDEX($U$1004:$AC$1004,1,MATCH(COLUMNS($U$1006:AB1006),$U$1006:$AC$1006,0)))),"Fix")))</f>
        <v>0</v>
      </c>
      <c r="J497" s="3">
        <f>IF(OR(INDEX($O$2:$O$1001,MATCH(ROWS($N$2:N497),$N$2:$N$1001,0),1)&gt;=100000,INDEX($U$1005:$AC$1005,1,MATCH(COLUMNS($U$1006:AC1006),$U$1006:$AC$1006,0))&gt;=100000), " ",IF(INDEX($U$2:$AC$1001,MATCH(ROWS($N$2:N497),$N$2:$N$1001,0),MATCH(COLUMNS($U$1006:AC1006),$U$1006:$AC$1006,0)), HYPERLINK("#",""), HYPERLINK(CONCATENATE("#metadata!", ADDRESS(INDEX($P$2:$P$1001,MATCH(ROWS($N$2:N497),$N$2:$N$1001,0),0), INDEX($U$1004:$AC$1004,1,MATCH(COLUMNS($U$1006:AC1006),$U$1006:$AC$1006,0)))),"Fix")))</f>
        <v>0</v>
      </c>
      <c r="N497">
        <v>0</v>
      </c>
      <c r="O497">
        <v>0</v>
      </c>
      <c r="P497">
        <v>0</v>
      </c>
      <c r="Q497">
        <f>IF(R497,TRUE,AND(U497:AC497))</f>
        <v>0</v>
      </c>
      <c r="R497">
        <f>COUNTBLANK(metadata!B497:J497)=COLUMNS(metadata!B497:J497)</f>
        <v>0</v>
      </c>
      <c r="S497">
        <v>0</v>
      </c>
      <c r="U497">
        <f>AND(IF(metadata!B497="",FALSE,TRUE),COUNTIF(metadata!B:B, metadata!B497) = 1,NOT(ISERROR(SUMPRODUCT(SEARCH(MID(metadata!B497,ROW(INDIRECT("1:"&amp;LEN(metadata!B497))), 1),"0123456789abcdefghijklmnopqrstuvwxyzABCDEFGHIJKLMNOPQRSTUVWXYZ.")))))</f>
        <v>0</v>
      </c>
      <c r="V497">
        <f>AND(IF(metadata!C497="",FALSE,TRUE),exact(metadata!C497,"UBERON:genitourinary"))</f>
        <v>0</v>
      </c>
      <c r="W497">
        <f>AND(IF(metadata!D497="",FALSE,TRUE),exact(metadata!D497,"UBERON:urine"))</f>
        <v>0</v>
      </c>
      <c r="X497">
        <f>AND(IF(metadata!E497="",FALSE,TRUE),exact(metadata!E497,"UBERON:kidney"))</f>
        <v>0</v>
      </c>
      <c r="Y497">
        <f>AND(IF(metadata!F497="",FALSE,TRUE),exact(metadata!F497,"animal corpus"))</f>
        <v>0</v>
      </c>
      <c r="Z497">
        <f>AND(IF(metadata!G497="",FALSE,TRUE),exact(metadata!G497,"urine"))</f>
        <v>0</v>
      </c>
      <c r="AA497">
        <f>AND(IF(metadata!H497="",FALSE,TRUE),exact(metadata!H497,"urine"))</f>
        <v>0</v>
      </c>
      <c r="AB497">
        <f>AND(IF(metadata!I497="",FALSE,TRUE),exact(metadata!I497,"urine metagenome"))</f>
        <v>0</v>
      </c>
      <c r="AC497">
        <f>AND(IF(metadata!J497="",FALSE,TRUE),exact(metadata!J497,"1346744"))</f>
        <v>0</v>
      </c>
    </row>
    <row r="498" spans="1:29">
      <c r="A498" s="4">
        <f>IF(B498=" "," ",HYPERLINK(CONCATENATE("#metadata!",ADDRESS(INDEX($P$2:$P$1001,MATCH(ROWS($N$2:N498),$N$2:$N$1001,0),0),1)),INDEX($S$2:$S$1001,MATCH(ROWS($N$2:N498),$N$2:$N$1001,0),0)))</f>
        <v>0</v>
      </c>
      <c r="B498" s="3">
        <f>IF(OR(INDEX($O$2:$O$1001,MATCH(ROWS($N$2:N498),$N$2:$N$1001,0),1)&gt;=100000,INDEX($U$1005:$AC$1005,1,MATCH(COLUMNS($U$1006:U1006),$U$1006:$AC$1006,0))&gt;=100000), " ",IF(INDEX($U$2:$AC$1001,MATCH(ROWS($N$2:N498),$N$2:$N$1001,0),MATCH(COLUMNS($U$1006:U1006),$U$1006:$AC$1006,0)), HYPERLINK("#",""), HYPERLINK(CONCATENATE("#metadata!", ADDRESS(INDEX($P$2:$P$1001,MATCH(ROWS($N$2:N498),$N$2:$N$1001,0),0), INDEX($U$1004:$AC$1004,1,MATCH(COLUMNS($U$1006:U1006),$U$1006:$AC$1006,0)))),"Fix")))</f>
        <v>0</v>
      </c>
      <c r="C498" s="3">
        <f>IF(OR(INDEX($O$2:$O$1001,MATCH(ROWS($N$2:N498),$N$2:$N$1001,0),1)&gt;=100000,INDEX($U$1005:$AC$1005,1,MATCH(COLUMNS($U$1006:V1006),$U$1006:$AC$1006,0))&gt;=100000), " ",IF(INDEX($U$2:$AC$1001,MATCH(ROWS($N$2:N498),$N$2:$N$1001,0),MATCH(COLUMNS($U$1006:V1006),$U$1006:$AC$1006,0)), HYPERLINK("#",""), HYPERLINK(CONCATENATE("#metadata!", ADDRESS(INDEX($P$2:$P$1001,MATCH(ROWS($N$2:N498),$N$2:$N$1001,0),0), INDEX($U$1004:$AC$1004,1,MATCH(COLUMNS($U$1006:V1006),$U$1006:$AC$1006,0)))),"Fix")))</f>
        <v>0</v>
      </c>
      <c r="D498" s="3">
        <f>IF(OR(INDEX($O$2:$O$1001,MATCH(ROWS($N$2:N498),$N$2:$N$1001,0),1)&gt;=100000,INDEX($U$1005:$AC$1005,1,MATCH(COLUMNS($U$1006:W1006),$U$1006:$AC$1006,0))&gt;=100000), " ",IF(INDEX($U$2:$AC$1001,MATCH(ROWS($N$2:N498),$N$2:$N$1001,0),MATCH(COLUMNS($U$1006:W1006),$U$1006:$AC$1006,0)), HYPERLINK("#",""), HYPERLINK(CONCATENATE("#metadata!", ADDRESS(INDEX($P$2:$P$1001,MATCH(ROWS($N$2:N498),$N$2:$N$1001,0),0), INDEX($U$1004:$AC$1004,1,MATCH(COLUMNS($U$1006:W1006),$U$1006:$AC$1006,0)))),"Fix")))</f>
        <v>0</v>
      </c>
      <c r="E498" s="3">
        <f>IF(OR(INDEX($O$2:$O$1001,MATCH(ROWS($N$2:N498),$N$2:$N$1001,0),1)&gt;=100000,INDEX($U$1005:$AC$1005,1,MATCH(COLUMNS($U$1006:X1006),$U$1006:$AC$1006,0))&gt;=100000), " ",IF(INDEX($U$2:$AC$1001,MATCH(ROWS($N$2:N498),$N$2:$N$1001,0),MATCH(COLUMNS($U$1006:X1006),$U$1006:$AC$1006,0)), HYPERLINK("#",""), HYPERLINK(CONCATENATE("#metadata!", ADDRESS(INDEX($P$2:$P$1001,MATCH(ROWS($N$2:N498),$N$2:$N$1001,0),0), INDEX($U$1004:$AC$1004,1,MATCH(COLUMNS($U$1006:X1006),$U$1006:$AC$1006,0)))),"Fix")))</f>
        <v>0</v>
      </c>
      <c r="F498" s="3">
        <f>IF(OR(INDEX($O$2:$O$1001,MATCH(ROWS($N$2:N498),$N$2:$N$1001,0),1)&gt;=100000,INDEX($U$1005:$AC$1005,1,MATCH(COLUMNS($U$1006:Y1006),$U$1006:$AC$1006,0))&gt;=100000), " ",IF(INDEX($U$2:$AC$1001,MATCH(ROWS($N$2:N498),$N$2:$N$1001,0),MATCH(COLUMNS($U$1006:Y1006),$U$1006:$AC$1006,0)), HYPERLINK("#",""), HYPERLINK(CONCATENATE("#metadata!", ADDRESS(INDEX($P$2:$P$1001,MATCH(ROWS($N$2:N498),$N$2:$N$1001,0),0), INDEX($U$1004:$AC$1004,1,MATCH(COLUMNS($U$1006:Y1006),$U$1006:$AC$1006,0)))),"Fix")))</f>
        <v>0</v>
      </c>
      <c r="G498" s="3">
        <f>IF(OR(INDEX($O$2:$O$1001,MATCH(ROWS($N$2:N498),$N$2:$N$1001,0),1)&gt;=100000,INDEX($U$1005:$AC$1005,1,MATCH(COLUMNS($U$1006:Z1006),$U$1006:$AC$1006,0))&gt;=100000), " ",IF(INDEX($U$2:$AC$1001,MATCH(ROWS($N$2:N498),$N$2:$N$1001,0),MATCH(COLUMNS($U$1006:Z1006),$U$1006:$AC$1006,0)), HYPERLINK("#",""), HYPERLINK(CONCATENATE("#metadata!", ADDRESS(INDEX($P$2:$P$1001,MATCH(ROWS($N$2:N498),$N$2:$N$1001,0),0), INDEX($U$1004:$AC$1004,1,MATCH(COLUMNS($U$1006:Z1006),$U$1006:$AC$1006,0)))),"Fix")))</f>
        <v>0</v>
      </c>
      <c r="H498" s="3">
        <f>IF(OR(INDEX($O$2:$O$1001,MATCH(ROWS($N$2:N498),$N$2:$N$1001,0),1)&gt;=100000,INDEX($U$1005:$AC$1005,1,MATCH(COLUMNS($U$1006:AA1006),$U$1006:$AC$1006,0))&gt;=100000), " ",IF(INDEX($U$2:$AC$1001,MATCH(ROWS($N$2:N498),$N$2:$N$1001,0),MATCH(COLUMNS($U$1006:AA1006),$U$1006:$AC$1006,0)), HYPERLINK("#",""), HYPERLINK(CONCATENATE("#metadata!", ADDRESS(INDEX($P$2:$P$1001,MATCH(ROWS($N$2:N498),$N$2:$N$1001,0),0), INDEX($U$1004:$AC$1004,1,MATCH(COLUMNS($U$1006:AA1006),$U$1006:$AC$1006,0)))),"Fix")))</f>
        <v>0</v>
      </c>
      <c r="I498" s="3">
        <f>IF(OR(INDEX($O$2:$O$1001,MATCH(ROWS($N$2:N498),$N$2:$N$1001,0),1)&gt;=100000,INDEX($U$1005:$AC$1005,1,MATCH(COLUMNS($U$1006:AB1006),$U$1006:$AC$1006,0))&gt;=100000), " ",IF(INDEX($U$2:$AC$1001,MATCH(ROWS($N$2:N498),$N$2:$N$1001,0),MATCH(COLUMNS($U$1006:AB1006),$U$1006:$AC$1006,0)), HYPERLINK("#",""), HYPERLINK(CONCATENATE("#metadata!", ADDRESS(INDEX($P$2:$P$1001,MATCH(ROWS($N$2:N498),$N$2:$N$1001,0),0), INDEX($U$1004:$AC$1004,1,MATCH(COLUMNS($U$1006:AB1006),$U$1006:$AC$1006,0)))),"Fix")))</f>
        <v>0</v>
      </c>
      <c r="J498" s="3">
        <f>IF(OR(INDEX($O$2:$O$1001,MATCH(ROWS($N$2:N498),$N$2:$N$1001,0),1)&gt;=100000,INDEX($U$1005:$AC$1005,1,MATCH(COLUMNS($U$1006:AC1006),$U$1006:$AC$1006,0))&gt;=100000), " ",IF(INDEX($U$2:$AC$1001,MATCH(ROWS($N$2:N498),$N$2:$N$1001,0),MATCH(COLUMNS($U$1006:AC1006),$U$1006:$AC$1006,0)), HYPERLINK("#",""), HYPERLINK(CONCATENATE("#metadata!", ADDRESS(INDEX($P$2:$P$1001,MATCH(ROWS($N$2:N498),$N$2:$N$1001,0),0), INDEX($U$1004:$AC$1004,1,MATCH(COLUMNS($U$1006:AC1006),$U$1006:$AC$1006,0)))),"Fix")))</f>
        <v>0</v>
      </c>
      <c r="N498">
        <v>0</v>
      </c>
      <c r="O498">
        <v>0</v>
      </c>
      <c r="P498">
        <v>0</v>
      </c>
      <c r="Q498">
        <f>IF(R498,TRUE,AND(U498:AC498))</f>
        <v>0</v>
      </c>
      <c r="R498">
        <f>COUNTBLANK(metadata!B498:J498)=COLUMNS(metadata!B498:J498)</f>
        <v>0</v>
      </c>
      <c r="S498">
        <v>0</v>
      </c>
      <c r="U498">
        <f>AND(IF(metadata!B498="",FALSE,TRUE),COUNTIF(metadata!B:B, metadata!B498) = 1,NOT(ISERROR(SUMPRODUCT(SEARCH(MID(metadata!B498,ROW(INDIRECT("1:"&amp;LEN(metadata!B498))), 1),"0123456789abcdefghijklmnopqrstuvwxyzABCDEFGHIJKLMNOPQRSTUVWXYZ.")))))</f>
        <v>0</v>
      </c>
      <c r="V498">
        <f>AND(IF(metadata!C498="",FALSE,TRUE),exact(metadata!C498,"UBERON:genitourinary"))</f>
        <v>0</v>
      </c>
      <c r="W498">
        <f>AND(IF(metadata!D498="",FALSE,TRUE),exact(metadata!D498,"UBERON:urine"))</f>
        <v>0</v>
      </c>
      <c r="X498">
        <f>AND(IF(metadata!E498="",FALSE,TRUE),exact(metadata!E498,"UBERON:kidney"))</f>
        <v>0</v>
      </c>
      <c r="Y498">
        <f>AND(IF(metadata!F498="",FALSE,TRUE),exact(metadata!F498,"animal corpus"))</f>
        <v>0</v>
      </c>
      <c r="Z498">
        <f>AND(IF(metadata!G498="",FALSE,TRUE),exact(metadata!G498,"urine"))</f>
        <v>0</v>
      </c>
      <c r="AA498">
        <f>AND(IF(metadata!H498="",FALSE,TRUE),exact(metadata!H498,"urine"))</f>
        <v>0</v>
      </c>
      <c r="AB498">
        <f>AND(IF(metadata!I498="",FALSE,TRUE),exact(metadata!I498,"urine metagenome"))</f>
        <v>0</v>
      </c>
      <c r="AC498">
        <f>AND(IF(metadata!J498="",FALSE,TRUE),exact(metadata!J498,"1346744"))</f>
        <v>0</v>
      </c>
    </row>
    <row r="499" spans="1:29">
      <c r="A499" s="4">
        <f>IF(B499=" "," ",HYPERLINK(CONCATENATE("#metadata!",ADDRESS(INDEX($P$2:$P$1001,MATCH(ROWS($N$2:N499),$N$2:$N$1001,0),0),1)),INDEX($S$2:$S$1001,MATCH(ROWS($N$2:N499),$N$2:$N$1001,0),0)))</f>
        <v>0</v>
      </c>
      <c r="B499" s="3">
        <f>IF(OR(INDEX($O$2:$O$1001,MATCH(ROWS($N$2:N499),$N$2:$N$1001,0),1)&gt;=100000,INDEX($U$1005:$AC$1005,1,MATCH(COLUMNS($U$1006:U1006),$U$1006:$AC$1006,0))&gt;=100000), " ",IF(INDEX($U$2:$AC$1001,MATCH(ROWS($N$2:N499),$N$2:$N$1001,0),MATCH(COLUMNS($U$1006:U1006),$U$1006:$AC$1006,0)), HYPERLINK("#",""), HYPERLINK(CONCATENATE("#metadata!", ADDRESS(INDEX($P$2:$P$1001,MATCH(ROWS($N$2:N499),$N$2:$N$1001,0),0), INDEX($U$1004:$AC$1004,1,MATCH(COLUMNS($U$1006:U1006),$U$1006:$AC$1006,0)))),"Fix")))</f>
        <v>0</v>
      </c>
      <c r="C499" s="3">
        <f>IF(OR(INDEX($O$2:$O$1001,MATCH(ROWS($N$2:N499),$N$2:$N$1001,0),1)&gt;=100000,INDEX($U$1005:$AC$1005,1,MATCH(COLUMNS($U$1006:V1006),$U$1006:$AC$1006,0))&gt;=100000), " ",IF(INDEX($U$2:$AC$1001,MATCH(ROWS($N$2:N499),$N$2:$N$1001,0),MATCH(COLUMNS($U$1006:V1006),$U$1006:$AC$1006,0)), HYPERLINK("#",""), HYPERLINK(CONCATENATE("#metadata!", ADDRESS(INDEX($P$2:$P$1001,MATCH(ROWS($N$2:N499),$N$2:$N$1001,0),0), INDEX($U$1004:$AC$1004,1,MATCH(COLUMNS($U$1006:V1006),$U$1006:$AC$1006,0)))),"Fix")))</f>
        <v>0</v>
      </c>
      <c r="D499" s="3">
        <f>IF(OR(INDEX($O$2:$O$1001,MATCH(ROWS($N$2:N499),$N$2:$N$1001,0),1)&gt;=100000,INDEX($U$1005:$AC$1005,1,MATCH(COLUMNS($U$1006:W1006),$U$1006:$AC$1006,0))&gt;=100000), " ",IF(INDEX($U$2:$AC$1001,MATCH(ROWS($N$2:N499),$N$2:$N$1001,0),MATCH(COLUMNS($U$1006:W1006),$U$1006:$AC$1006,0)), HYPERLINK("#",""), HYPERLINK(CONCATENATE("#metadata!", ADDRESS(INDEX($P$2:$P$1001,MATCH(ROWS($N$2:N499),$N$2:$N$1001,0),0), INDEX($U$1004:$AC$1004,1,MATCH(COLUMNS($U$1006:W1006),$U$1006:$AC$1006,0)))),"Fix")))</f>
        <v>0</v>
      </c>
      <c r="E499" s="3">
        <f>IF(OR(INDEX($O$2:$O$1001,MATCH(ROWS($N$2:N499),$N$2:$N$1001,0),1)&gt;=100000,INDEX($U$1005:$AC$1005,1,MATCH(COLUMNS($U$1006:X1006),$U$1006:$AC$1006,0))&gt;=100000), " ",IF(INDEX($U$2:$AC$1001,MATCH(ROWS($N$2:N499),$N$2:$N$1001,0),MATCH(COLUMNS($U$1006:X1006),$U$1006:$AC$1006,0)), HYPERLINK("#",""), HYPERLINK(CONCATENATE("#metadata!", ADDRESS(INDEX($P$2:$P$1001,MATCH(ROWS($N$2:N499),$N$2:$N$1001,0),0), INDEX($U$1004:$AC$1004,1,MATCH(COLUMNS($U$1006:X1006),$U$1006:$AC$1006,0)))),"Fix")))</f>
        <v>0</v>
      </c>
      <c r="F499" s="3">
        <f>IF(OR(INDEX($O$2:$O$1001,MATCH(ROWS($N$2:N499),$N$2:$N$1001,0),1)&gt;=100000,INDEX($U$1005:$AC$1005,1,MATCH(COLUMNS($U$1006:Y1006),$U$1006:$AC$1006,0))&gt;=100000), " ",IF(INDEX($U$2:$AC$1001,MATCH(ROWS($N$2:N499),$N$2:$N$1001,0),MATCH(COLUMNS($U$1006:Y1006),$U$1006:$AC$1006,0)), HYPERLINK("#",""), HYPERLINK(CONCATENATE("#metadata!", ADDRESS(INDEX($P$2:$P$1001,MATCH(ROWS($N$2:N499),$N$2:$N$1001,0),0), INDEX($U$1004:$AC$1004,1,MATCH(COLUMNS($U$1006:Y1006),$U$1006:$AC$1006,0)))),"Fix")))</f>
        <v>0</v>
      </c>
      <c r="G499" s="3">
        <f>IF(OR(INDEX($O$2:$O$1001,MATCH(ROWS($N$2:N499),$N$2:$N$1001,0),1)&gt;=100000,INDEX($U$1005:$AC$1005,1,MATCH(COLUMNS($U$1006:Z1006),$U$1006:$AC$1006,0))&gt;=100000), " ",IF(INDEX($U$2:$AC$1001,MATCH(ROWS($N$2:N499),$N$2:$N$1001,0),MATCH(COLUMNS($U$1006:Z1006),$U$1006:$AC$1006,0)), HYPERLINK("#",""), HYPERLINK(CONCATENATE("#metadata!", ADDRESS(INDEX($P$2:$P$1001,MATCH(ROWS($N$2:N499),$N$2:$N$1001,0),0), INDEX($U$1004:$AC$1004,1,MATCH(COLUMNS($U$1006:Z1006),$U$1006:$AC$1006,0)))),"Fix")))</f>
        <v>0</v>
      </c>
      <c r="H499" s="3">
        <f>IF(OR(INDEX($O$2:$O$1001,MATCH(ROWS($N$2:N499),$N$2:$N$1001,0),1)&gt;=100000,INDEX($U$1005:$AC$1005,1,MATCH(COLUMNS($U$1006:AA1006),$U$1006:$AC$1006,0))&gt;=100000), " ",IF(INDEX($U$2:$AC$1001,MATCH(ROWS($N$2:N499),$N$2:$N$1001,0),MATCH(COLUMNS($U$1006:AA1006),$U$1006:$AC$1006,0)), HYPERLINK("#",""), HYPERLINK(CONCATENATE("#metadata!", ADDRESS(INDEX($P$2:$P$1001,MATCH(ROWS($N$2:N499),$N$2:$N$1001,0),0), INDEX($U$1004:$AC$1004,1,MATCH(COLUMNS($U$1006:AA1006),$U$1006:$AC$1006,0)))),"Fix")))</f>
        <v>0</v>
      </c>
      <c r="I499" s="3">
        <f>IF(OR(INDEX($O$2:$O$1001,MATCH(ROWS($N$2:N499),$N$2:$N$1001,0),1)&gt;=100000,INDEX($U$1005:$AC$1005,1,MATCH(COLUMNS($U$1006:AB1006),$U$1006:$AC$1006,0))&gt;=100000), " ",IF(INDEX($U$2:$AC$1001,MATCH(ROWS($N$2:N499),$N$2:$N$1001,0),MATCH(COLUMNS($U$1006:AB1006),$U$1006:$AC$1006,0)), HYPERLINK("#",""), HYPERLINK(CONCATENATE("#metadata!", ADDRESS(INDEX($P$2:$P$1001,MATCH(ROWS($N$2:N499),$N$2:$N$1001,0),0), INDEX($U$1004:$AC$1004,1,MATCH(COLUMNS($U$1006:AB1006),$U$1006:$AC$1006,0)))),"Fix")))</f>
        <v>0</v>
      </c>
      <c r="J499" s="3">
        <f>IF(OR(INDEX($O$2:$O$1001,MATCH(ROWS($N$2:N499),$N$2:$N$1001,0),1)&gt;=100000,INDEX($U$1005:$AC$1005,1,MATCH(COLUMNS($U$1006:AC1006),$U$1006:$AC$1006,0))&gt;=100000), " ",IF(INDEX($U$2:$AC$1001,MATCH(ROWS($N$2:N499),$N$2:$N$1001,0),MATCH(COLUMNS($U$1006:AC1006),$U$1006:$AC$1006,0)), HYPERLINK("#",""), HYPERLINK(CONCATENATE("#metadata!", ADDRESS(INDEX($P$2:$P$1001,MATCH(ROWS($N$2:N499),$N$2:$N$1001,0),0), INDEX($U$1004:$AC$1004,1,MATCH(COLUMNS($U$1006:AC1006),$U$1006:$AC$1006,0)))),"Fix")))</f>
        <v>0</v>
      </c>
      <c r="N499">
        <v>0</v>
      </c>
      <c r="O499">
        <v>0</v>
      </c>
      <c r="P499">
        <v>0</v>
      </c>
      <c r="Q499">
        <f>IF(R499,TRUE,AND(U499:AC499))</f>
        <v>0</v>
      </c>
      <c r="R499">
        <f>COUNTBLANK(metadata!B499:J499)=COLUMNS(metadata!B499:J499)</f>
        <v>0</v>
      </c>
      <c r="S499">
        <v>0</v>
      </c>
      <c r="U499">
        <f>AND(IF(metadata!B499="",FALSE,TRUE),COUNTIF(metadata!B:B, metadata!B499) = 1,NOT(ISERROR(SUMPRODUCT(SEARCH(MID(metadata!B499,ROW(INDIRECT("1:"&amp;LEN(metadata!B499))), 1),"0123456789abcdefghijklmnopqrstuvwxyzABCDEFGHIJKLMNOPQRSTUVWXYZ.")))))</f>
        <v>0</v>
      </c>
      <c r="V499">
        <f>AND(IF(metadata!C499="",FALSE,TRUE),exact(metadata!C499,"UBERON:genitourinary"))</f>
        <v>0</v>
      </c>
      <c r="W499">
        <f>AND(IF(metadata!D499="",FALSE,TRUE),exact(metadata!D499,"UBERON:urine"))</f>
        <v>0</v>
      </c>
      <c r="X499">
        <f>AND(IF(metadata!E499="",FALSE,TRUE),exact(metadata!E499,"UBERON:kidney"))</f>
        <v>0</v>
      </c>
      <c r="Y499">
        <f>AND(IF(metadata!F499="",FALSE,TRUE),exact(metadata!F499,"animal corpus"))</f>
        <v>0</v>
      </c>
      <c r="Z499">
        <f>AND(IF(metadata!G499="",FALSE,TRUE),exact(metadata!G499,"urine"))</f>
        <v>0</v>
      </c>
      <c r="AA499">
        <f>AND(IF(metadata!H499="",FALSE,TRUE),exact(metadata!H499,"urine"))</f>
        <v>0</v>
      </c>
      <c r="AB499">
        <f>AND(IF(metadata!I499="",FALSE,TRUE),exact(metadata!I499,"urine metagenome"))</f>
        <v>0</v>
      </c>
      <c r="AC499">
        <f>AND(IF(metadata!J499="",FALSE,TRUE),exact(metadata!J499,"1346744"))</f>
        <v>0</v>
      </c>
    </row>
    <row r="500" spans="1:29">
      <c r="A500" s="4">
        <f>IF(B500=" "," ",HYPERLINK(CONCATENATE("#metadata!",ADDRESS(INDEX($P$2:$P$1001,MATCH(ROWS($N$2:N500),$N$2:$N$1001,0),0),1)),INDEX($S$2:$S$1001,MATCH(ROWS($N$2:N500),$N$2:$N$1001,0),0)))</f>
        <v>0</v>
      </c>
      <c r="B500" s="3">
        <f>IF(OR(INDEX($O$2:$O$1001,MATCH(ROWS($N$2:N500),$N$2:$N$1001,0),1)&gt;=100000,INDEX($U$1005:$AC$1005,1,MATCH(COLUMNS($U$1006:U1006),$U$1006:$AC$1006,0))&gt;=100000), " ",IF(INDEX($U$2:$AC$1001,MATCH(ROWS($N$2:N500),$N$2:$N$1001,0),MATCH(COLUMNS($U$1006:U1006),$U$1006:$AC$1006,0)), HYPERLINK("#",""), HYPERLINK(CONCATENATE("#metadata!", ADDRESS(INDEX($P$2:$P$1001,MATCH(ROWS($N$2:N500),$N$2:$N$1001,0),0), INDEX($U$1004:$AC$1004,1,MATCH(COLUMNS($U$1006:U1006),$U$1006:$AC$1006,0)))),"Fix")))</f>
        <v>0</v>
      </c>
      <c r="C500" s="3">
        <f>IF(OR(INDEX($O$2:$O$1001,MATCH(ROWS($N$2:N500),$N$2:$N$1001,0),1)&gt;=100000,INDEX($U$1005:$AC$1005,1,MATCH(COLUMNS($U$1006:V1006),$U$1006:$AC$1006,0))&gt;=100000), " ",IF(INDEX($U$2:$AC$1001,MATCH(ROWS($N$2:N500),$N$2:$N$1001,0),MATCH(COLUMNS($U$1006:V1006),$U$1006:$AC$1006,0)), HYPERLINK("#",""), HYPERLINK(CONCATENATE("#metadata!", ADDRESS(INDEX($P$2:$P$1001,MATCH(ROWS($N$2:N500),$N$2:$N$1001,0),0), INDEX($U$1004:$AC$1004,1,MATCH(COLUMNS($U$1006:V1006),$U$1006:$AC$1006,0)))),"Fix")))</f>
        <v>0</v>
      </c>
      <c r="D500" s="3">
        <f>IF(OR(INDEX($O$2:$O$1001,MATCH(ROWS($N$2:N500),$N$2:$N$1001,0),1)&gt;=100000,INDEX($U$1005:$AC$1005,1,MATCH(COLUMNS($U$1006:W1006),$U$1006:$AC$1006,0))&gt;=100000), " ",IF(INDEX($U$2:$AC$1001,MATCH(ROWS($N$2:N500),$N$2:$N$1001,0),MATCH(COLUMNS($U$1006:W1006),$U$1006:$AC$1006,0)), HYPERLINK("#",""), HYPERLINK(CONCATENATE("#metadata!", ADDRESS(INDEX($P$2:$P$1001,MATCH(ROWS($N$2:N500),$N$2:$N$1001,0),0), INDEX($U$1004:$AC$1004,1,MATCH(COLUMNS($U$1006:W1006),$U$1006:$AC$1006,0)))),"Fix")))</f>
        <v>0</v>
      </c>
      <c r="E500" s="3">
        <f>IF(OR(INDEX($O$2:$O$1001,MATCH(ROWS($N$2:N500),$N$2:$N$1001,0),1)&gt;=100000,INDEX($U$1005:$AC$1005,1,MATCH(COLUMNS($U$1006:X1006),$U$1006:$AC$1006,0))&gt;=100000), " ",IF(INDEX($U$2:$AC$1001,MATCH(ROWS($N$2:N500),$N$2:$N$1001,0),MATCH(COLUMNS($U$1006:X1006),$U$1006:$AC$1006,0)), HYPERLINK("#",""), HYPERLINK(CONCATENATE("#metadata!", ADDRESS(INDEX($P$2:$P$1001,MATCH(ROWS($N$2:N500),$N$2:$N$1001,0),0), INDEX($U$1004:$AC$1004,1,MATCH(COLUMNS($U$1006:X1006),$U$1006:$AC$1006,0)))),"Fix")))</f>
        <v>0</v>
      </c>
      <c r="F500" s="3">
        <f>IF(OR(INDEX($O$2:$O$1001,MATCH(ROWS($N$2:N500),$N$2:$N$1001,0),1)&gt;=100000,INDEX($U$1005:$AC$1005,1,MATCH(COLUMNS($U$1006:Y1006),$U$1006:$AC$1006,0))&gt;=100000), " ",IF(INDEX($U$2:$AC$1001,MATCH(ROWS($N$2:N500),$N$2:$N$1001,0),MATCH(COLUMNS($U$1006:Y1006),$U$1006:$AC$1006,0)), HYPERLINK("#",""), HYPERLINK(CONCATENATE("#metadata!", ADDRESS(INDEX($P$2:$P$1001,MATCH(ROWS($N$2:N500),$N$2:$N$1001,0),0), INDEX($U$1004:$AC$1004,1,MATCH(COLUMNS($U$1006:Y1006),$U$1006:$AC$1006,0)))),"Fix")))</f>
        <v>0</v>
      </c>
      <c r="G500" s="3">
        <f>IF(OR(INDEX($O$2:$O$1001,MATCH(ROWS($N$2:N500),$N$2:$N$1001,0),1)&gt;=100000,INDEX($U$1005:$AC$1005,1,MATCH(COLUMNS($U$1006:Z1006),$U$1006:$AC$1006,0))&gt;=100000), " ",IF(INDEX($U$2:$AC$1001,MATCH(ROWS($N$2:N500),$N$2:$N$1001,0),MATCH(COLUMNS($U$1006:Z1006),$U$1006:$AC$1006,0)), HYPERLINK("#",""), HYPERLINK(CONCATENATE("#metadata!", ADDRESS(INDEX($P$2:$P$1001,MATCH(ROWS($N$2:N500),$N$2:$N$1001,0),0), INDEX($U$1004:$AC$1004,1,MATCH(COLUMNS($U$1006:Z1006),$U$1006:$AC$1006,0)))),"Fix")))</f>
        <v>0</v>
      </c>
      <c r="H500" s="3">
        <f>IF(OR(INDEX($O$2:$O$1001,MATCH(ROWS($N$2:N500),$N$2:$N$1001,0),1)&gt;=100000,INDEX($U$1005:$AC$1005,1,MATCH(COLUMNS($U$1006:AA1006),$U$1006:$AC$1006,0))&gt;=100000), " ",IF(INDEX($U$2:$AC$1001,MATCH(ROWS($N$2:N500),$N$2:$N$1001,0),MATCH(COLUMNS($U$1006:AA1006),$U$1006:$AC$1006,0)), HYPERLINK("#",""), HYPERLINK(CONCATENATE("#metadata!", ADDRESS(INDEX($P$2:$P$1001,MATCH(ROWS($N$2:N500),$N$2:$N$1001,0),0), INDEX($U$1004:$AC$1004,1,MATCH(COLUMNS($U$1006:AA1006),$U$1006:$AC$1006,0)))),"Fix")))</f>
        <v>0</v>
      </c>
      <c r="I500" s="3">
        <f>IF(OR(INDEX($O$2:$O$1001,MATCH(ROWS($N$2:N500),$N$2:$N$1001,0),1)&gt;=100000,INDEX($U$1005:$AC$1005,1,MATCH(COLUMNS($U$1006:AB1006),$U$1006:$AC$1006,0))&gt;=100000), " ",IF(INDEX($U$2:$AC$1001,MATCH(ROWS($N$2:N500),$N$2:$N$1001,0),MATCH(COLUMNS($U$1006:AB1006),$U$1006:$AC$1006,0)), HYPERLINK("#",""), HYPERLINK(CONCATENATE("#metadata!", ADDRESS(INDEX($P$2:$P$1001,MATCH(ROWS($N$2:N500),$N$2:$N$1001,0),0), INDEX($U$1004:$AC$1004,1,MATCH(COLUMNS($U$1006:AB1006),$U$1006:$AC$1006,0)))),"Fix")))</f>
        <v>0</v>
      </c>
      <c r="J500" s="3">
        <f>IF(OR(INDEX($O$2:$O$1001,MATCH(ROWS($N$2:N500),$N$2:$N$1001,0),1)&gt;=100000,INDEX($U$1005:$AC$1005,1,MATCH(COLUMNS($U$1006:AC1006),$U$1006:$AC$1006,0))&gt;=100000), " ",IF(INDEX($U$2:$AC$1001,MATCH(ROWS($N$2:N500),$N$2:$N$1001,0),MATCH(COLUMNS($U$1006:AC1006),$U$1006:$AC$1006,0)), HYPERLINK("#",""), HYPERLINK(CONCATENATE("#metadata!", ADDRESS(INDEX($P$2:$P$1001,MATCH(ROWS($N$2:N500),$N$2:$N$1001,0),0), INDEX($U$1004:$AC$1004,1,MATCH(COLUMNS($U$1006:AC1006),$U$1006:$AC$1006,0)))),"Fix")))</f>
        <v>0</v>
      </c>
      <c r="N500">
        <v>0</v>
      </c>
      <c r="O500">
        <v>0</v>
      </c>
      <c r="P500">
        <v>0</v>
      </c>
      <c r="Q500">
        <f>IF(R500,TRUE,AND(U500:AC500))</f>
        <v>0</v>
      </c>
      <c r="R500">
        <f>COUNTBLANK(metadata!B500:J500)=COLUMNS(metadata!B500:J500)</f>
        <v>0</v>
      </c>
      <c r="S500">
        <v>0</v>
      </c>
      <c r="U500">
        <f>AND(IF(metadata!B500="",FALSE,TRUE),COUNTIF(metadata!B:B, metadata!B500) = 1,NOT(ISERROR(SUMPRODUCT(SEARCH(MID(metadata!B500,ROW(INDIRECT("1:"&amp;LEN(metadata!B500))), 1),"0123456789abcdefghijklmnopqrstuvwxyzABCDEFGHIJKLMNOPQRSTUVWXYZ.")))))</f>
        <v>0</v>
      </c>
      <c r="V500">
        <f>AND(IF(metadata!C500="",FALSE,TRUE),exact(metadata!C500,"UBERON:genitourinary"))</f>
        <v>0</v>
      </c>
      <c r="W500">
        <f>AND(IF(metadata!D500="",FALSE,TRUE),exact(metadata!D500,"UBERON:urine"))</f>
        <v>0</v>
      </c>
      <c r="X500">
        <f>AND(IF(metadata!E500="",FALSE,TRUE),exact(metadata!E500,"UBERON:kidney"))</f>
        <v>0</v>
      </c>
      <c r="Y500">
        <f>AND(IF(metadata!F500="",FALSE,TRUE),exact(metadata!F500,"animal corpus"))</f>
        <v>0</v>
      </c>
      <c r="Z500">
        <f>AND(IF(metadata!G500="",FALSE,TRUE),exact(metadata!G500,"urine"))</f>
        <v>0</v>
      </c>
      <c r="AA500">
        <f>AND(IF(metadata!H500="",FALSE,TRUE),exact(metadata!H500,"urine"))</f>
        <v>0</v>
      </c>
      <c r="AB500">
        <f>AND(IF(metadata!I500="",FALSE,TRUE),exact(metadata!I500,"urine metagenome"))</f>
        <v>0</v>
      </c>
      <c r="AC500">
        <f>AND(IF(metadata!J500="",FALSE,TRUE),exact(metadata!J500,"1346744"))</f>
        <v>0</v>
      </c>
    </row>
    <row r="501" spans="1:29">
      <c r="A501" s="4">
        <f>IF(B501=" "," ",HYPERLINK(CONCATENATE("#metadata!",ADDRESS(INDEX($P$2:$P$1001,MATCH(ROWS($N$2:N501),$N$2:$N$1001,0),0),1)),INDEX($S$2:$S$1001,MATCH(ROWS($N$2:N501),$N$2:$N$1001,0),0)))</f>
        <v>0</v>
      </c>
      <c r="B501" s="3">
        <f>IF(OR(INDEX($O$2:$O$1001,MATCH(ROWS($N$2:N501),$N$2:$N$1001,0),1)&gt;=100000,INDEX($U$1005:$AC$1005,1,MATCH(COLUMNS($U$1006:U1006),$U$1006:$AC$1006,0))&gt;=100000), " ",IF(INDEX($U$2:$AC$1001,MATCH(ROWS($N$2:N501),$N$2:$N$1001,0),MATCH(COLUMNS($U$1006:U1006),$U$1006:$AC$1006,0)), HYPERLINK("#",""), HYPERLINK(CONCATENATE("#metadata!", ADDRESS(INDEX($P$2:$P$1001,MATCH(ROWS($N$2:N501),$N$2:$N$1001,0),0), INDEX($U$1004:$AC$1004,1,MATCH(COLUMNS($U$1006:U1006),$U$1006:$AC$1006,0)))),"Fix")))</f>
        <v>0</v>
      </c>
      <c r="C501" s="3">
        <f>IF(OR(INDEX($O$2:$O$1001,MATCH(ROWS($N$2:N501),$N$2:$N$1001,0),1)&gt;=100000,INDEX($U$1005:$AC$1005,1,MATCH(COLUMNS($U$1006:V1006),$U$1006:$AC$1006,0))&gt;=100000), " ",IF(INDEX($U$2:$AC$1001,MATCH(ROWS($N$2:N501),$N$2:$N$1001,0),MATCH(COLUMNS($U$1006:V1006),$U$1006:$AC$1006,0)), HYPERLINK("#",""), HYPERLINK(CONCATENATE("#metadata!", ADDRESS(INDEX($P$2:$P$1001,MATCH(ROWS($N$2:N501),$N$2:$N$1001,0),0), INDEX($U$1004:$AC$1004,1,MATCH(COLUMNS($U$1006:V1006),$U$1006:$AC$1006,0)))),"Fix")))</f>
        <v>0</v>
      </c>
      <c r="D501" s="3">
        <f>IF(OR(INDEX($O$2:$O$1001,MATCH(ROWS($N$2:N501),$N$2:$N$1001,0),1)&gt;=100000,INDEX($U$1005:$AC$1005,1,MATCH(COLUMNS($U$1006:W1006),$U$1006:$AC$1006,0))&gt;=100000), " ",IF(INDEX($U$2:$AC$1001,MATCH(ROWS($N$2:N501),$N$2:$N$1001,0),MATCH(COLUMNS($U$1006:W1006),$U$1006:$AC$1006,0)), HYPERLINK("#",""), HYPERLINK(CONCATENATE("#metadata!", ADDRESS(INDEX($P$2:$P$1001,MATCH(ROWS($N$2:N501),$N$2:$N$1001,0),0), INDEX($U$1004:$AC$1004,1,MATCH(COLUMNS($U$1006:W1006),$U$1006:$AC$1006,0)))),"Fix")))</f>
        <v>0</v>
      </c>
      <c r="E501" s="3">
        <f>IF(OR(INDEX($O$2:$O$1001,MATCH(ROWS($N$2:N501),$N$2:$N$1001,0),1)&gt;=100000,INDEX($U$1005:$AC$1005,1,MATCH(COLUMNS($U$1006:X1006),$U$1006:$AC$1006,0))&gt;=100000), " ",IF(INDEX($U$2:$AC$1001,MATCH(ROWS($N$2:N501),$N$2:$N$1001,0),MATCH(COLUMNS($U$1006:X1006),$U$1006:$AC$1006,0)), HYPERLINK("#",""), HYPERLINK(CONCATENATE("#metadata!", ADDRESS(INDEX($P$2:$P$1001,MATCH(ROWS($N$2:N501),$N$2:$N$1001,0),0), INDEX($U$1004:$AC$1004,1,MATCH(COLUMNS($U$1006:X1006),$U$1006:$AC$1006,0)))),"Fix")))</f>
        <v>0</v>
      </c>
      <c r="F501" s="3">
        <f>IF(OR(INDEX($O$2:$O$1001,MATCH(ROWS($N$2:N501),$N$2:$N$1001,0),1)&gt;=100000,INDEX($U$1005:$AC$1005,1,MATCH(COLUMNS($U$1006:Y1006),$U$1006:$AC$1006,0))&gt;=100000), " ",IF(INDEX($U$2:$AC$1001,MATCH(ROWS($N$2:N501),$N$2:$N$1001,0),MATCH(COLUMNS($U$1006:Y1006),$U$1006:$AC$1006,0)), HYPERLINK("#",""), HYPERLINK(CONCATENATE("#metadata!", ADDRESS(INDEX($P$2:$P$1001,MATCH(ROWS($N$2:N501),$N$2:$N$1001,0),0), INDEX($U$1004:$AC$1004,1,MATCH(COLUMNS($U$1006:Y1006),$U$1006:$AC$1006,0)))),"Fix")))</f>
        <v>0</v>
      </c>
      <c r="G501" s="3">
        <f>IF(OR(INDEX($O$2:$O$1001,MATCH(ROWS($N$2:N501),$N$2:$N$1001,0),1)&gt;=100000,INDEX($U$1005:$AC$1005,1,MATCH(COLUMNS($U$1006:Z1006),$U$1006:$AC$1006,0))&gt;=100000), " ",IF(INDEX($U$2:$AC$1001,MATCH(ROWS($N$2:N501),$N$2:$N$1001,0),MATCH(COLUMNS($U$1006:Z1006),$U$1006:$AC$1006,0)), HYPERLINK("#",""), HYPERLINK(CONCATENATE("#metadata!", ADDRESS(INDEX($P$2:$P$1001,MATCH(ROWS($N$2:N501),$N$2:$N$1001,0),0), INDEX($U$1004:$AC$1004,1,MATCH(COLUMNS($U$1006:Z1006),$U$1006:$AC$1006,0)))),"Fix")))</f>
        <v>0</v>
      </c>
      <c r="H501" s="3">
        <f>IF(OR(INDEX($O$2:$O$1001,MATCH(ROWS($N$2:N501),$N$2:$N$1001,0),1)&gt;=100000,INDEX($U$1005:$AC$1005,1,MATCH(COLUMNS($U$1006:AA1006),$U$1006:$AC$1006,0))&gt;=100000), " ",IF(INDEX($U$2:$AC$1001,MATCH(ROWS($N$2:N501),$N$2:$N$1001,0),MATCH(COLUMNS($U$1006:AA1006),$U$1006:$AC$1006,0)), HYPERLINK("#",""), HYPERLINK(CONCATENATE("#metadata!", ADDRESS(INDEX($P$2:$P$1001,MATCH(ROWS($N$2:N501),$N$2:$N$1001,0),0), INDEX($U$1004:$AC$1004,1,MATCH(COLUMNS($U$1006:AA1006),$U$1006:$AC$1006,0)))),"Fix")))</f>
        <v>0</v>
      </c>
      <c r="I501" s="3">
        <f>IF(OR(INDEX($O$2:$O$1001,MATCH(ROWS($N$2:N501),$N$2:$N$1001,0),1)&gt;=100000,INDEX($U$1005:$AC$1005,1,MATCH(COLUMNS($U$1006:AB1006),$U$1006:$AC$1006,0))&gt;=100000), " ",IF(INDEX($U$2:$AC$1001,MATCH(ROWS($N$2:N501),$N$2:$N$1001,0),MATCH(COLUMNS($U$1006:AB1006),$U$1006:$AC$1006,0)), HYPERLINK("#",""), HYPERLINK(CONCATENATE("#metadata!", ADDRESS(INDEX($P$2:$P$1001,MATCH(ROWS($N$2:N501),$N$2:$N$1001,0),0), INDEX($U$1004:$AC$1004,1,MATCH(COLUMNS($U$1006:AB1006),$U$1006:$AC$1006,0)))),"Fix")))</f>
        <v>0</v>
      </c>
      <c r="J501" s="3">
        <f>IF(OR(INDEX($O$2:$O$1001,MATCH(ROWS($N$2:N501),$N$2:$N$1001,0),1)&gt;=100000,INDEX($U$1005:$AC$1005,1,MATCH(COLUMNS($U$1006:AC1006),$U$1006:$AC$1006,0))&gt;=100000), " ",IF(INDEX($U$2:$AC$1001,MATCH(ROWS($N$2:N501),$N$2:$N$1001,0),MATCH(COLUMNS($U$1006:AC1006),$U$1006:$AC$1006,0)), HYPERLINK("#",""), HYPERLINK(CONCATENATE("#metadata!", ADDRESS(INDEX($P$2:$P$1001,MATCH(ROWS($N$2:N501),$N$2:$N$1001,0),0), INDEX($U$1004:$AC$1004,1,MATCH(COLUMNS($U$1006:AC1006),$U$1006:$AC$1006,0)))),"Fix")))</f>
        <v>0</v>
      </c>
      <c r="N501">
        <v>0</v>
      </c>
      <c r="O501">
        <v>0</v>
      </c>
      <c r="P501">
        <v>0</v>
      </c>
      <c r="Q501">
        <f>IF(R501,TRUE,AND(U501:AC501))</f>
        <v>0</v>
      </c>
      <c r="R501">
        <f>COUNTBLANK(metadata!B501:J501)=COLUMNS(metadata!B501:J501)</f>
        <v>0</v>
      </c>
      <c r="S501">
        <v>0</v>
      </c>
      <c r="U501">
        <f>AND(IF(metadata!B501="",FALSE,TRUE),COUNTIF(metadata!B:B, metadata!B501) = 1,NOT(ISERROR(SUMPRODUCT(SEARCH(MID(metadata!B501,ROW(INDIRECT("1:"&amp;LEN(metadata!B501))), 1),"0123456789abcdefghijklmnopqrstuvwxyzABCDEFGHIJKLMNOPQRSTUVWXYZ.")))))</f>
        <v>0</v>
      </c>
      <c r="V501">
        <f>AND(IF(metadata!C501="",FALSE,TRUE),exact(metadata!C501,"UBERON:genitourinary"))</f>
        <v>0</v>
      </c>
      <c r="W501">
        <f>AND(IF(metadata!D501="",FALSE,TRUE),exact(metadata!D501,"UBERON:urine"))</f>
        <v>0</v>
      </c>
      <c r="X501">
        <f>AND(IF(metadata!E501="",FALSE,TRUE),exact(metadata!E501,"UBERON:kidney"))</f>
        <v>0</v>
      </c>
      <c r="Y501">
        <f>AND(IF(metadata!F501="",FALSE,TRUE),exact(metadata!F501,"animal corpus"))</f>
        <v>0</v>
      </c>
      <c r="Z501">
        <f>AND(IF(metadata!G501="",FALSE,TRUE),exact(metadata!G501,"urine"))</f>
        <v>0</v>
      </c>
      <c r="AA501">
        <f>AND(IF(metadata!H501="",FALSE,TRUE),exact(metadata!H501,"urine"))</f>
        <v>0</v>
      </c>
      <c r="AB501">
        <f>AND(IF(metadata!I501="",FALSE,TRUE),exact(metadata!I501,"urine metagenome"))</f>
        <v>0</v>
      </c>
      <c r="AC501">
        <f>AND(IF(metadata!J501="",FALSE,TRUE),exact(metadata!J501,"1346744"))</f>
        <v>0</v>
      </c>
    </row>
    <row r="502" spans="1:29">
      <c r="A502" s="4">
        <f>IF(B502=" "," ",HYPERLINK(CONCATENATE("#metadata!",ADDRESS(INDEX($P$2:$P$1001,MATCH(ROWS($N$2:N502),$N$2:$N$1001,0),0),1)),INDEX($S$2:$S$1001,MATCH(ROWS($N$2:N502),$N$2:$N$1001,0),0)))</f>
        <v>0</v>
      </c>
      <c r="B502" s="3">
        <f>IF(OR(INDEX($O$2:$O$1001,MATCH(ROWS($N$2:N502),$N$2:$N$1001,0),1)&gt;=100000,INDEX($U$1005:$AC$1005,1,MATCH(COLUMNS($U$1006:U1006),$U$1006:$AC$1006,0))&gt;=100000), " ",IF(INDEX($U$2:$AC$1001,MATCH(ROWS($N$2:N502),$N$2:$N$1001,0),MATCH(COLUMNS($U$1006:U1006),$U$1006:$AC$1006,0)), HYPERLINK("#",""), HYPERLINK(CONCATENATE("#metadata!", ADDRESS(INDEX($P$2:$P$1001,MATCH(ROWS($N$2:N502),$N$2:$N$1001,0),0), INDEX($U$1004:$AC$1004,1,MATCH(COLUMNS($U$1006:U1006),$U$1006:$AC$1006,0)))),"Fix")))</f>
        <v>0</v>
      </c>
      <c r="C502" s="3">
        <f>IF(OR(INDEX($O$2:$O$1001,MATCH(ROWS($N$2:N502),$N$2:$N$1001,0),1)&gt;=100000,INDEX($U$1005:$AC$1005,1,MATCH(COLUMNS($U$1006:V1006),$U$1006:$AC$1006,0))&gt;=100000), " ",IF(INDEX($U$2:$AC$1001,MATCH(ROWS($N$2:N502),$N$2:$N$1001,0),MATCH(COLUMNS($U$1006:V1006),$U$1006:$AC$1006,0)), HYPERLINK("#",""), HYPERLINK(CONCATENATE("#metadata!", ADDRESS(INDEX($P$2:$P$1001,MATCH(ROWS($N$2:N502),$N$2:$N$1001,0),0), INDEX($U$1004:$AC$1004,1,MATCH(COLUMNS($U$1006:V1006),$U$1006:$AC$1006,0)))),"Fix")))</f>
        <v>0</v>
      </c>
      <c r="D502" s="3">
        <f>IF(OR(INDEX($O$2:$O$1001,MATCH(ROWS($N$2:N502),$N$2:$N$1001,0),1)&gt;=100000,INDEX($U$1005:$AC$1005,1,MATCH(COLUMNS($U$1006:W1006),$U$1006:$AC$1006,0))&gt;=100000), " ",IF(INDEX($U$2:$AC$1001,MATCH(ROWS($N$2:N502),$N$2:$N$1001,0),MATCH(COLUMNS($U$1006:W1006),$U$1006:$AC$1006,0)), HYPERLINK("#",""), HYPERLINK(CONCATENATE("#metadata!", ADDRESS(INDEX($P$2:$P$1001,MATCH(ROWS($N$2:N502),$N$2:$N$1001,0),0), INDEX($U$1004:$AC$1004,1,MATCH(COLUMNS($U$1006:W1006),$U$1006:$AC$1006,0)))),"Fix")))</f>
        <v>0</v>
      </c>
      <c r="E502" s="3">
        <f>IF(OR(INDEX($O$2:$O$1001,MATCH(ROWS($N$2:N502),$N$2:$N$1001,0),1)&gt;=100000,INDEX($U$1005:$AC$1005,1,MATCH(COLUMNS($U$1006:X1006),$U$1006:$AC$1006,0))&gt;=100000), " ",IF(INDEX($U$2:$AC$1001,MATCH(ROWS($N$2:N502),$N$2:$N$1001,0),MATCH(COLUMNS($U$1006:X1006),$U$1006:$AC$1006,0)), HYPERLINK("#",""), HYPERLINK(CONCATENATE("#metadata!", ADDRESS(INDEX($P$2:$P$1001,MATCH(ROWS($N$2:N502),$N$2:$N$1001,0),0), INDEX($U$1004:$AC$1004,1,MATCH(COLUMNS($U$1006:X1006),$U$1006:$AC$1006,0)))),"Fix")))</f>
        <v>0</v>
      </c>
      <c r="F502" s="3">
        <f>IF(OR(INDEX($O$2:$O$1001,MATCH(ROWS($N$2:N502),$N$2:$N$1001,0),1)&gt;=100000,INDEX($U$1005:$AC$1005,1,MATCH(COLUMNS($U$1006:Y1006),$U$1006:$AC$1006,0))&gt;=100000), " ",IF(INDEX($U$2:$AC$1001,MATCH(ROWS($N$2:N502),$N$2:$N$1001,0),MATCH(COLUMNS($U$1006:Y1006),$U$1006:$AC$1006,0)), HYPERLINK("#",""), HYPERLINK(CONCATENATE("#metadata!", ADDRESS(INDEX($P$2:$P$1001,MATCH(ROWS($N$2:N502),$N$2:$N$1001,0),0), INDEX($U$1004:$AC$1004,1,MATCH(COLUMNS($U$1006:Y1006),$U$1006:$AC$1006,0)))),"Fix")))</f>
        <v>0</v>
      </c>
      <c r="G502" s="3">
        <f>IF(OR(INDEX($O$2:$O$1001,MATCH(ROWS($N$2:N502),$N$2:$N$1001,0),1)&gt;=100000,INDEX($U$1005:$AC$1005,1,MATCH(COLUMNS($U$1006:Z1006),$U$1006:$AC$1006,0))&gt;=100000), " ",IF(INDEX($U$2:$AC$1001,MATCH(ROWS($N$2:N502),$N$2:$N$1001,0),MATCH(COLUMNS($U$1006:Z1006),$U$1006:$AC$1006,0)), HYPERLINK("#",""), HYPERLINK(CONCATENATE("#metadata!", ADDRESS(INDEX($P$2:$P$1001,MATCH(ROWS($N$2:N502),$N$2:$N$1001,0),0), INDEX($U$1004:$AC$1004,1,MATCH(COLUMNS($U$1006:Z1006),$U$1006:$AC$1006,0)))),"Fix")))</f>
        <v>0</v>
      </c>
      <c r="H502" s="3">
        <f>IF(OR(INDEX($O$2:$O$1001,MATCH(ROWS($N$2:N502),$N$2:$N$1001,0),1)&gt;=100000,INDEX($U$1005:$AC$1005,1,MATCH(COLUMNS($U$1006:AA1006),$U$1006:$AC$1006,0))&gt;=100000), " ",IF(INDEX($U$2:$AC$1001,MATCH(ROWS($N$2:N502),$N$2:$N$1001,0),MATCH(COLUMNS($U$1006:AA1006),$U$1006:$AC$1006,0)), HYPERLINK("#",""), HYPERLINK(CONCATENATE("#metadata!", ADDRESS(INDEX($P$2:$P$1001,MATCH(ROWS($N$2:N502),$N$2:$N$1001,0),0), INDEX($U$1004:$AC$1004,1,MATCH(COLUMNS($U$1006:AA1006),$U$1006:$AC$1006,0)))),"Fix")))</f>
        <v>0</v>
      </c>
      <c r="I502" s="3">
        <f>IF(OR(INDEX($O$2:$O$1001,MATCH(ROWS($N$2:N502),$N$2:$N$1001,0),1)&gt;=100000,INDEX($U$1005:$AC$1005,1,MATCH(COLUMNS($U$1006:AB1006),$U$1006:$AC$1006,0))&gt;=100000), " ",IF(INDEX($U$2:$AC$1001,MATCH(ROWS($N$2:N502),$N$2:$N$1001,0),MATCH(COLUMNS($U$1006:AB1006),$U$1006:$AC$1006,0)), HYPERLINK("#",""), HYPERLINK(CONCATENATE("#metadata!", ADDRESS(INDEX($P$2:$P$1001,MATCH(ROWS($N$2:N502),$N$2:$N$1001,0),0), INDEX($U$1004:$AC$1004,1,MATCH(COLUMNS($U$1006:AB1006),$U$1006:$AC$1006,0)))),"Fix")))</f>
        <v>0</v>
      </c>
      <c r="J502" s="3">
        <f>IF(OR(INDEX($O$2:$O$1001,MATCH(ROWS($N$2:N502),$N$2:$N$1001,0),1)&gt;=100000,INDEX($U$1005:$AC$1005,1,MATCH(COLUMNS($U$1006:AC1006),$U$1006:$AC$1006,0))&gt;=100000), " ",IF(INDEX($U$2:$AC$1001,MATCH(ROWS($N$2:N502),$N$2:$N$1001,0),MATCH(COLUMNS($U$1006:AC1006),$U$1006:$AC$1006,0)), HYPERLINK("#",""), HYPERLINK(CONCATENATE("#metadata!", ADDRESS(INDEX($P$2:$P$1001,MATCH(ROWS($N$2:N502),$N$2:$N$1001,0),0), INDEX($U$1004:$AC$1004,1,MATCH(COLUMNS($U$1006:AC1006),$U$1006:$AC$1006,0)))),"Fix")))</f>
        <v>0</v>
      </c>
      <c r="N502">
        <v>0</v>
      </c>
      <c r="O502">
        <v>0</v>
      </c>
      <c r="P502">
        <v>0</v>
      </c>
      <c r="Q502">
        <f>IF(R502,TRUE,AND(U502:AC502))</f>
        <v>0</v>
      </c>
      <c r="R502">
        <f>COUNTBLANK(metadata!B502:J502)=COLUMNS(metadata!B502:J502)</f>
        <v>0</v>
      </c>
      <c r="S502">
        <v>0</v>
      </c>
      <c r="U502">
        <f>AND(IF(metadata!B502="",FALSE,TRUE),COUNTIF(metadata!B:B, metadata!B502) = 1,NOT(ISERROR(SUMPRODUCT(SEARCH(MID(metadata!B502,ROW(INDIRECT("1:"&amp;LEN(metadata!B502))), 1),"0123456789abcdefghijklmnopqrstuvwxyzABCDEFGHIJKLMNOPQRSTUVWXYZ.")))))</f>
        <v>0</v>
      </c>
      <c r="V502">
        <f>AND(IF(metadata!C502="",FALSE,TRUE),exact(metadata!C502,"UBERON:genitourinary"))</f>
        <v>0</v>
      </c>
      <c r="W502">
        <f>AND(IF(metadata!D502="",FALSE,TRUE),exact(metadata!D502,"UBERON:urine"))</f>
        <v>0</v>
      </c>
      <c r="X502">
        <f>AND(IF(metadata!E502="",FALSE,TRUE),exact(metadata!E502,"UBERON:kidney"))</f>
        <v>0</v>
      </c>
      <c r="Y502">
        <f>AND(IF(metadata!F502="",FALSE,TRUE),exact(metadata!F502,"animal corpus"))</f>
        <v>0</v>
      </c>
      <c r="Z502">
        <f>AND(IF(metadata!G502="",FALSE,TRUE),exact(metadata!G502,"urine"))</f>
        <v>0</v>
      </c>
      <c r="AA502">
        <f>AND(IF(metadata!H502="",FALSE,TRUE),exact(metadata!H502,"urine"))</f>
        <v>0</v>
      </c>
      <c r="AB502">
        <f>AND(IF(metadata!I502="",FALSE,TRUE),exact(metadata!I502,"urine metagenome"))</f>
        <v>0</v>
      </c>
      <c r="AC502">
        <f>AND(IF(metadata!J502="",FALSE,TRUE),exact(metadata!J502,"1346744"))</f>
        <v>0</v>
      </c>
    </row>
    <row r="503" spans="1:29">
      <c r="A503" s="4">
        <f>IF(B503=" "," ",HYPERLINK(CONCATENATE("#metadata!",ADDRESS(INDEX($P$2:$P$1001,MATCH(ROWS($N$2:N503),$N$2:$N$1001,0),0),1)),INDEX($S$2:$S$1001,MATCH(ROWS($N$2:N503),$N$2:$N$1001,0),0)))</f>
        <v>0</v>
      </c>
      <c r="B503" s="3">
        <f>IF(OR(INDEX($O$2:$O$1001,MATCH(ROWS($N$2:N503),$N$2:$N$1001,0),1)&gt;=100000,INDEX($U$1005:$AC$1005,1,MATCH(COLUMNS($U$1006:U1006),$U$1006:$AC$1006,0))&gt;=100000), " ",IF(INDEX($U$2:$AC$1001,MATCH(ROWS($N$2:N503),$N$2:$N$1001,0),MATCH(COLUMNS($U$1006:U1006),$U$1006:$AC$1006,0)), HYPERLINK("#",""), HYPERLINK(CONCATENATE("#metadata!", ADDRESS(INDEX($P$2:$P$1001,MATCH(ROWS($N$2:N503),$N$2:$N$1001,0),0), INDEX($U$1004:$AC$1004,1,MATCH(COLUMNS($U$1006:U1006),$U$1006:$AC$1006,0)))),"Fix")))</f>
        <v>0</v>
      </c>
      <c r="C503" s="3">
        <f>IF(OR(INDEX($O$2:$O$1001,MATCH(ROWS($N$2:N503),$N$2:$N$1001,0),1)&gt;=100000,INDEX($U$1005:$AC$1005,1,MATCH(COLUMNS($U$1006:V1006),$U$1006:$AC$1006,0))&gt;=100000), " ",IF(INDEX($U$2:$AC$1001,MATCH(ROWS($N$2:N503),$N$2:$N$1001,0),MATCH(COLUMNS($U$1006:V1006),$U$1006:$AC$1006,0)), HYPERLINK("#",""), HYPERLINK(CONCATENATE("#metadata!", ADDRESS(INDEX($P$2:$P$1001,MATCH(ROWS($N$2:N503),$N$2:$N$1001,0),0), INDEX($U$1004:$AC$1004,1,MATCH(COLUMNS($U$1006:V1006),$U$1006:$AC$1006,0)))),"Fix")))</f>
        <v>0</v>
      </c>
      <c r="D503" s="3">
        <f>IF(OR(INDEX($O$2:$O$1001,MATCH(ROWS($N$2:N503),$N$2:$N$1001,0),1)&gt;=100000,INDEX($U$1005:$AC$1005,1,MATCH(COLUMNS($U$1006:W1006),$U$1006:$AC$1006,0))&gt;=100000), " ",IF(INDEX($U$2:$AC$1001,MATCH(ROWS($N$2:N503),$N$2:$N$1001,0),MATCH(COLUMNS($U$1006:W1006),$U$1006:$AC$1006,0)), HYPERLINK("#",""), HYPERLINK(CONCATENATE("#metadata!", ADDRESS(INDEX($P$2:$P$1001,MATCH(ROWS($N$2:N503),$N$2:$N$1001,0),0), INDEX($U$1004:$AC$1004,1,MATCH(COLUMNS($U$1006:W1006),$U$1006:$AC$1006,0)))),"Fix")))</f>
        <v>0</v>
      </c>
      <c r="E503" s="3">
        <f>IF(OR(INDEX($O$2:$O$1001,MATCH(ROWS($N$2:N503),$N$2:$N$1001,0),1)&gt;=100000,INDEX($U$1005:$AC$1005,1,MATCH(COLUMNS($U$1006:X1006),$U$1006:$AC$1006,0))&gt;=100000), " ",IF(INDEX($U$2:$AC$1001,MATCH(ROWS($N$2:N503),$N$2:$N$1001,0),MATCH(COLUMNS($U$1006:X1006),$U$1006:$AC$1006,0)), HYPERLINK("#",""), HYPERLINK(CONCATENATE("#metadata!", ADDRESS(INDEX($P$2:$P$1001,MATCH(ROWS($N$2:N503),$N$2:$N$1001,0),0), INDEX($U$1004:$AC$1004,1,MATCH(COLUMNS($U$1006:X1006),$U$1006:$AC$1006,0)))),"Fix")))</f>
        <v>0</v>
      </c>
      <c r="F503" s="3">
        <f>IF(OR(INDEX($O$2:$O$1001,MATCH(ROWS($N$2:N503),$N$2:$N$1001,0),1)&gt;=100000,INDEX($U$1005:$AC$1005,1,MATCH(COLUMNS($U$1006:Y1006),$U$1006:$AC$1006,0))&gt;=100000), " ",IF(INDEX($U$2:$AC$1001,MATCH(ROWS($N$2:N503),$N$2:$N$1001,0),MATCH(COLUMNS($U$1006:Y1006),$U$1006:$AC$1006,0)), HYPERLINK("#",""), HYPERLINK(CONCATENATE("#metadata!", ADDRESS(INDEX($P$2:$P$1001,MATCH(ROWS($N$2:N503),$N$2:$N$1001,0),0), INDEX($U$1004:$AC$1004,1,MATCH(COLUMNS($U$1006:Y1006),$U$1006:$AC$1006,0)))),"Fix")))</f>
        <v>0</v>
      </c>
      <c r="G503" s="3">
        <f>IF(OR(INDEX($O$2:$O$1001,MATCH(ROWS($N$2:N503),$N$2:$N$1001,0),1)&gt;=100000,INDEX($U$1005:$AC$1005,1,MATCH(COLUMNS($U$1006:Z1006),$U$1006:$AC$1006,0))&gt;=100000), " ",IF(INDEX($U$2:$AC$1001,MATCH(ROWS($N$2:N503),$N$2:$N$1001,0),MATCH(COLUMNS($U$1006:Z1006),$U$1006:$AC$1006,0)), HYPERLINK("#",""), HYPERLINK(CONCATENATE("#metadata!", ADDRESS(INDEX($P$2:$P$1001,MATCH(ROWS($N$2:N503),$N$2:$N$1001,0),0), INDEX($U$1004:$AC$1004,1,MATCH(COLUMNS($U$1006:Z1006),$U$1006:$AC$1006,0)))),"Fix")))</f>
        <v>0</v>
      </c>
      <c r="H503" s="3">
        <f>IF(OR(INDEX($O$2:$O$1001,MATCH(ROWS($N$2:N503),$N$2:$N$1001,0),1)&gt;=100000,INDEX($U$1005:$AC$1005,1,MATCH(COLUMNS($U$1006:AA1006),$U$1006:$AC$1006,0))&gt;=100000), " ",IF(INDEX($U$2:$AC$1001,MATCH(ROWS($N$2:N503),$N$2:$N$1001,0),MATCH(COLUMNS($U$1006:AA1006),$U$1006:$AC$1006,0)), HYPERLINK("#",""), HYPERLINK(CONCATENATE("#metadata!", ADDRESS(INDEX($P$2:$P$1001,MATCH(ROWS($N$2:N503),$N$2:$N$1001,0),0), INDEX($U$1004:$AC$1004,1,MATCH(COLUMNS($U$1006:AA1006),$U$1006:$AC$1006,0)))),"Fix")))</f>
        <v>0</v>
      </c>
      <c r="I503" s="3">
        <f>IF(OR(INDEX($O$2:$O$1001,MATCH(ROWS($N$2:N503),$N$2:$N$1001,0),1)&gt;=100000,INDEX($U$1005:$AC$1005,1,MATCH(COLUMNS($U$1006:AB1006),$U$1006:$AC$1006,0))&gt;=100000), " ",IF(INDEX($U$2:$AC$1001,MATCH(ROWS($N$2:N503),$N$2:$N$1001,0),MATCH(COLUMNS($U$1006:AB1006),$U$1006:$AC$1006,0)), HYPERLINK("#",""), HYPERLINK(CONCATENATE("#metadata!", ADDRESS(INDEX($P$2:$P$1001,MATCH(ROWS($N$2:N503),$N$2:$N$1001,0),0), INDEX($U$1004:$AC$1004,1,MATCH(COLUMNS($U$1006:AB1006),$U$1006:$AC$1006,0)))),"Fix")))</f>
        <v>0</v>
      </c>
      <c r="J503" s="3">
        <f>IF(OR(INDEX($O$2:$O$1001,MATCH(ROWS($N$2:N503),$N$2:$N$1001,0),1)&gt;=100000,INDEX($U$1005:$AC$1005,1,MATCH(COLUMNS($U$1006:AC1006),$U$1006:$AC$1006,0))&gt;=100000), " ",IF(INDEX($U$2:$AC$1001,MATCH(ROWS($N$2:N503),$N$2:$N$1001,0),MATCH(COLUMNS($U$1006:AC1006),$U$1006:$AC$1006,0)), HYPERLINK("#",""), HYPERLINK(CONCATENATE("#metadata!", ADDRESS(INDEX($P$2:$P$1001,MATCH(ROWS($N$2:N503),$N$2:$N$1001,0),0), INDEX($U$1004:$AC$1004,1,MATCH(COLUMNS($U$1006:AC1006),$U$1006:$AC$1006,0)))),"Fix")))</f>
        <v>0</v>
      </c>
      <c r="N503">
        <v>0</v>
      </c>
      <c r="O503">
        <v>0</v>
      </c>
      <c r="P503">
        <v>0</v>
      </c>
      <c r="Q503">
        <f>IF(R503,TRUE,AND(U503:AC503))</f>
        <v>0</v>
      </c>
      <c r="R503">
        <f>COUNTBLANK(metadata!B503:J503)=COLUMNS(metadata!B503:J503)</f>
        <v>0</v>
      </c>
      <c r="S503">
        <v>0</v>
      </c>
      <c r="U503">
        <f>AND(IF(metadata!B503="",FALSE,TRUE),COUNTIF(metadata!B:B, metadata!B503) = 1,NOT(ISERROR(SUMPRODUCT(SEARCH(MID(metadata!B503,ROW(INDIRECT("1:"&amp;LEN(metadata!B503))), 1),"0123456789abcdefghijklmnopqrstuvwxyzABCDEFGHIJKLMNOPQRSTUVWXYZ.")))))</f>
        <v>0</v>
      </c>
      <c r="V503">
        <f>AND(IF(metadata!C503="",FALSE,TRUE),exact(metadata!C503,"UBERON:genitourinary"))</f>
        <v>0</v>
      </c>
      <c r="W503">
        <f>AND(IF(metadata!D503="",FALSE,TRUE),exact(metadata!D503,"UBERON:urine"))</f>
        <v>0</v>
      </c>
      <c r="X503">
        <f>AND(IF(metadata!E503="",FALSE,TRUE),exact(metadata!E503,"UBERON:kidney"))</f>
        <v>0</v>
      </c>
      <c r="Y503">
        <f>AND(IF(metadata!F503="",FALSE,TRUE),exact(metadata!F503,"animal corpus"))</f>
        <v>0</v>
      </c>
      <c r="Z503">
        <f>AND(IF(metadata!G503="",FALSE,TRUE),exact(metadata!G503,"urine"))</f>
        <v>0</v>
      </c>
      <c r="AA503">
        <f>AND(IF(metadata!H503="",FALSE,TRUE),exact(metadata!H503,"urine"))</f>
        <v>0</v>
      </c>
      <c r="AB503">
        <f>AND(IF(metadata!I503="",FALSE,TRUE),exact(metadata!I503,"urine metagenome"))</f>
        <v>0</v>
      </c>
      <c r="AC503">
        <f>AND(IF(metadata!J503="",FALSE,TRUE),exact(metadata!J503,"1346744"))</f>
        <v>0</v>
      </c>
    </row>
    <row r="504" spans="1:29">
      <c r="A504" s="4">
        <f>IF(B504=" "," ",HYPERLINK(CONCATENATE("#metadata!",ADDRESS(INDEX($P$2:$P$1001,MATCH(ROWS($N$2:N504),$N$2:$N$1001,0),0),1)),INDEX($S$2:$S$1001,MATCH(ROWS($N$2:N504),$N$2:$N$1001,0),0)))</f>
        <v>0</v>
      </c>
      <c r="B504" s="3">
        <f>IF(OR(INDEX($O$2:$O$1001,MATCH(ROWS($N$2:N504),$N$2:$N$1001,0),1)&gt;=100000,INDEX($U$1005:$AC$1005,1,MATCH(COLUMNS($U$1006:U1006),$U$1006:$AC$1006,0))&gt;=100000), " ",IF(INDEX($U$2:$AC$1001,MATCH(ROWS($N$2:N504),$N$2:$N$1001,0),MATCH(COLUMNS($U$1006:U1006),$U$1006:$AC$1006,0)), HYPERLINK("#",""), HYPERLINK(CONCATENATE("#metadata!", ADDRESS(INDEX($P$2:$P$1001,MATCH(ROWS($N$2:N504),$N$2:$N$1001,0),0), INDEX($U$1004:$AC$1004,1,MATCH(COLUMNS($U$1006:U1006),$U$1006:$AC$1006,0)))),"Fix")))</f>
        <v>0</v>
      </c>
      <c r="C504" s="3">
        <f>IF(OR(INDEX($O$2:$O$1001,MATCH(ROWS($N$2:N504),$N$2:$N$1001,0),1)&gt;=100000,INDEX($U$1005:$AC$1005,1,MATCH(COLUMNS($U$1006:V1006),$U$1006:$AC$1006,0))&gt;=100000), " ",IF(INDEX($U$2:$AC$1001,MATCH(ROWS($N$2:N504),$N$2:$N$1001,0),MATCH(COLUMNS($U$1006:V1006),$U$1006:$AC$1006,0)), HYPERLINK("#",""), HYPERLINK(CONCATENATE("#metadata!", ADDRESS(INDEX($P$2:$P$1001,MATCH(ROWS($N$2:N504),$N$2:$N$1001,0),0), INDEX($U$1004:$AC$1004,1,MATCH(COLUMNS($U$1006:V1006),$U$1006:$AC$1006,0)))),"Fix")))</f>
        <v>0</v>
      </c>
      <c r="D504" s="3">
        <f>IF(OR(INDEX($O$2:$O$1001,MATCH(ROWS($N$2:N504),$N$2:$N$1001,0),1)&gt;=100000,INDEX($U$1005:$AC$1005,1,MATCH(COLUMNS($U$1006:W1006),$U$1006:$AC$1006,0))&gt;=100000), " ",IF(INDEX($U$2:$AC$1001,MATCH(ROWS($N$2:N504),$N$2:$N$1001,0),MATCH(COLUMNS($U$1006:W1006),$U$1006:$AC$1006,0)), HYPERLINK("#",""), HYPERLINK(CONCATENATE("#metadata!", ADDRESS(INDEX($P$2:$P$1001,MATCH(ROWS($N$2:N504),$N$2:$N$1001,0),0), INDEX($U$1004:$AC$1004,1,MATCH(COLUMNS($U$1006:W1006),$U$1006:$AC$1006,0)))),"Fix")))</f>
        <v>0</v>
      </c>
      <c r="E504" s="3">
        <f>IF(OR(INDEX($O$2:$O$1001,MATCH(ROWS($N$2:N504),$N$2:$N$1001,0),1)&gt;=100000,INDEX($U$1005:$AC$1005,1,MATCH(COLUMNS($U$1006:X1006),$U$1006:$AC$1006,0))&gt;=100000), " ",IF(INDEX($U$2:$AC$1001,MATCH(ROWS($N$2:N504),$N$2:$N$1001,0),MATCH(COLUMNS($U$1006:X1006),$U$1006:$AC$1006,0)), HYPERLINK("#",""), HYPERLINK(CONCATENATE("#metadata!", ADDRESS(INDEX($P$2:$P$1001,MATCH(ROWS($N$2:N504),$N$2:$N$1001,0),0), INDEX($U$1004:$AC$1004,1,MATCH(COLUMNS($U$1006:X1006),$U$1006:$AC$1006,0)))),"Fix")))</f>
        <v>0</v>
      </c>
      <c r="F504" s="3">
        <f>IF(OR(INDEX($O$2:$O$1001,MATCH(ROWS($N$2:N504),$N$2:$N$1001,0),1)&gt;=100000,INDEX($U$1005:$AC$1005,1,MATCH(COLUMNS($U$1006:Y1006),$U$1006:$AC$1006,0))&gt;=100000), " ",IF(INDEX($U$2:$AC$1001,MATCH(ROWS($N$2:N504),$N$2:$N$1001,0),MATCH(COLUMNS($U$1006:Y1006),$U$1006:$AC$1006,0)), HYPERLINK("#",""), HYPERLINK(CONCATENATE("#metadata!", ADDRESS(INDEX($P$2:$P$1001,MATCH(ROWS($N$2:N504),$N$2:$N$1001,0),0), INDEX($U$1004:$AC$1004,1,MATCH(COLUMNS($U$1006:Y1006),$U$1006:$AC$1006,0)))),"Fix")))</f>
        <v>0</v>
      </c>
      <c r="G504" s="3">
        <f>IF(OR(INDEX($O$2:$O$1001,MATCH(ROWS($N$2:N504),$N$2:$N$1001,0),1)&gt;=100000,INDEX($U$1005:$AC$1005,1,MATCH(COLUMNS($U$1006:Z1006),$U$1006:$AC$1006,0))&gt;=100000), " ",IF(INDEX($U$2:$AC$1001,MATCH(ROWS($N$2:N504),$N$2:$N$1001,0),MATCH(COLUMNS($U$1006:Z1006),$U$1006:$AC$1006,0)), HYPERLINK("#",""), HYPERLINK(CONCATENATE("#metadata!", ADDRESS(INDEX($P$2:$P$1001,MATCH(ROWS($N$2:N504),$N$2:$N$1001,0),0), INDEX($U$1004:$AC$1004,1,MATCH(COLUMNS($U$1006:Z1006),$U$1006:$AC$1006,0)))),"Fix")))</f>
        <v>0</v>
      </c>
      <c r="H504" s="3">
        <f>IF(OR(INDEX($O$2:$O$1001,MATCH(ROWS($N$2:N504),$N$2:$N$1001,0),1)&gt;=100000,INDEX($U$1005:$AC$1005,1,MATCH(COLUMNS($U$1006:AA1006),$U$1006:$AC$1006,0))&gt;=100000), " ",IF(INDEX($U$2:$AC$1001,MATCH(ROWS($N$2:N504),$N$2:$N$1001,0),MATCH(COLUMNS($U$1006:AA1006),$U$1006:$AC$1006,0)), HYPERLINK("#",""), HYPERLINK(CONCATENATE("#metadata!", ADDRESS(INDEX($P$2:$P$1001,MATCH(ROWS($N$2:N504),$N$2:$N$1001,0),0), INDEX($U$1004:$AC$1004,1,MATCH(COLUMNS($U$1006:AA1006),$U$1006:$AC$1006,0)))),"Fix")))</f>
        <v>0</v>
      </c>
      <c r="I504" s="3">
        <f>IF(OR(INDEX($O$2:$O$1001,MATCH(ROWS($N$2:N504),$N$2:$N$1001,0),1)&gt;=100000,INDEX($U$1005:$AC$1005,1,MATCH(COLUMNS($U$1006:AB1006),$U$1006:$AC$1006,0))&gt;=100000), " ",IF(INDEX($U$2:$AC$1001,MATCH(ROWS($N$2:N504),$N$2:$N$1001,0),MATCH(COLUMNS($U$1006:AB1006),$U$1006:$AC$1006,0)), HYPERLINK("#",""), HYPERLINK(CONCATENATE("#metadata!", ADDRESS(INDEX($P$2:$P$1001,MATCH(ROWS($N$2:N504),$N$2:$N$1001,0),0), INDEX($U$1004:$AC$1004,1,MATCH(COLUMNS($U$1006:AB1006),$U$1006:$AC$1006,0)))),"Fix")))</f>
        <v>0</v>
      </c>
      <c r="J504" s="3">
        <f>IF(OR(INDEX($O$2:$O$1001,MATCH(ROWS($N$2:N504),$N$2:$N$1001,0),1)&gt;=100000,INDEX($U$1005:$AC$1005,1,MATCH(COLUMNS($U$1006:AC1006),$U$1006:$AC$1006,0))&gt;=100000), " ",IF(INDEX($U$2:$AC$1001,MATCH(ROWS($N$2:N504),$N$2:$N$1001,0),MATCH(COLUMNS($U$1006:AC1006),$U$1006:$AC$1006,0)), HYPERLINK("#",""), HYPERLINK(CONCATENATE("#metadata!", ADDRESS(INDEX($P$2:$P$1001,MATCH(ROWS($N$2:N504),$N$2:$N$1001,0),0), INDEX($U$1004:$AC$1004,1,MATCH(COLUMNS($U$1006:AC1006),$U$1006:$AC$1006,0)))),"Fix")))</f>
        <v>0</v>
      </c>
      <c r="N504">
        <v>0</v>
      </c>
      <c r="O504">
        <v>0</v>
      </c>
      <c r="P504">
        <v>0</v>
      </c>
      <c r="Q504">
        <f>IF(R504,TRUE,AND(U504:AC504))</f>
        <v>0</v>
      </c>
      <c r="R504">
        <f>COUNTBLANK(metadata!B504:J504)=COLUMNS(metadata!B504:J504)</f>
        <v>0</v>
      </c>
      <c r="S504">
        <v>0</v>
      </c>
      <c r="U504">
        <f>AND(IF(metadata!B504="",FALSE,TRUE),COUNTIF(metadata!B:B, metadata!B504) = 1,NOT(ISERROR(SUMPRODUCT(SEARCH(MID(metadata!B504,ROW(INDIRECT("1:"&amp;LEN(metadata!B504))), 1),"0123456789abcdefghijklmnopqrstuvwxyzABCDEFGHIJKLMNOPQRSTUVWXYZ.")))))</f>
        <v>0</v>
      </c>
      <c r="V504">
        <f>AND(IF(metadata!C504="",FALSE,TRUE),exact(metadata!C504,"UBERON:genitourinary"))</f>
        <v>0</v>
      </c>
      <c r="W504">
        <f>AND(IF(metadata!D504="",FALSE,TRUE),exact(metadata!D504,"UBERON:urine"))</f>
        <v>0</v>
      </c>
      <c r="X504">
        <f>AND(IF(metadata!E504="",FALSE,TRUE),exact(metadata!E504,"UBERON:kidney"))</f>
        <v>0</v>
      </c>
      <c r="Y504">
        <f>AND(IF(metadata!F504="",FALSE,TRUE),exact(metadata!F504,"animal corpus"))</f>
        <v>0</v>
      </c>
      <c r="Z504">
        <f>AND(IF(metadata!G504="",FALSE,TRUE),exact(metadata!G504,"urine"))</f>
        <v>0</v>
      </c>
      <c r="AA504">
        <f>AND(IF(metadata!H504="",FALSE,TRUE),exact(metadata!H504,"urine"))</f>
        <v>0</v>
      </c>
      <c r="AB504">
        <f>AND(IF(metadata!I504="",FALSE,TRUE),exact(metadata!I504,"urine metagenome"))</f>
        <v>0</v>
      </c>
      <c r="AC504">
        <f>AND(IF(metadata!J504="",FALSE,TRUE),exact(metadata!J504,"1346744"))</f>
        <v>0</v>
      </c>
    </row>
    <row r="505" spans="1:29">
      <c r="A505" s="4">
        <f>IF(B505=" "," ",HYPERLINK(CONCATENATE("#metadata!",ADDRESS(INDEX($P$2:$P$1001,MATCH(ROWS($N$2:N505),$N$2:$N$1001,0),0),1)),INDEX($S$2:$S$1001,MATCH(ROWS($N$2:N505),$N$2:$N$1001,0),0)))</f>
        <v>0</v>
      </c>
      <c r="B505" s="3">
        <f>IF(OR(INDEX($O$2:$O$1001,MATCH(ROWS($N$2:N505),$N$2:$N$1001,0),1)&gt;=100000,INDEX($U$1005:$AC$1005,1,MATCH(COLUMNS($U$1006:U1006),$U$1006:$AC$1006,0))&gt;=100000), " ",IF(INDEX($U$2:$AC$1001,MATCH(ROWS($N$2:N505),$N$2:$N$1001,0),MATCH(COLUMNS($U$1006:U1006),$U$1006:$AC$1006,0)), HYPERLINK("#",""), HYPERLINK(CONCATENATE("#metadata!", ADDRESS(INDEX($P$2:$P$1001,MATCH(ROWS($N$2:N505),$N$2:$N$1001,0),0), INDEX($U$1004:$AC$1004,1,MATCH(COLUMNS($U$1006:U1006),$U$1006:$AC$1006,0)))),"Fix")))</f>
        <v>0</v>
      </c>
      <c r="C505" s="3">
        <f>IF(OR(INDEX($O$2:$O$1001,MATCH(ROWS($N$2:N505),$N$2:$N$1001,0),1)&gt;=100000,INDEX($U$1005:$AC$1005,1,MATCH(COLUMNS($U$1006:V1006),$U$1006:$AC$1006,0))&gt;=100000), " ",IF(INDEX($U$2:$AC$1001,MATCH(ROWS($N$2:N505),$N$2:$N$1001,0),MATCH(COLUMNS($U$1006:V1006),$U$1006:$AC$1006,0)), HYPERLINK("#",""), HYPERLINK(CONCATENATE("#metadata!", ADDRESS(INDEX($P$2:$P$1001,MATCH(ROWS($N$2:N505),$N$2:$N$1001,0),0), INDEX($U$1004:$AC$1004,1,MATCH(COLUMNS($U$1006:V1006),$U$1006:$AC$1006,0)))),"Fix")))</f>
        <v>0</v>
      </c>
      <c r="D505" s="3">
        <f>IF(OR(INDEX($O$2:$O$1001,MATCH(ROWS($N$2:N505),$N$2:$N$1001,0),1)&gt;=100000,INDEX($U$1005:$AC$1005,1,MATCH(COLUMNS($U$1006:W1006),$U$1006:$AC$1006,0))&gt;=100000), " ",IF(INDEX($U$2:$AC$1001,MATCH(ROWS($N$2:N505),$N$2:$N$1001,0),MATCH(COLUMNS($U$1006:W1006),$U$1006:$AC$1006,0)), HYPERLINK("#",""), HYPERLINK(CONCATENATE("#metadata!", ADDRESS(INDEX($P$2:$P$1001,MATCH(ROWS($N$2:N505),$N$2:$N$1001,0),0), INDEX($U$1004:$AC$1004,1,MATCH(COLUMNS($U$1006:W1006),$U$1006:$AC$1006,0)))),"Fix")))</f>
        <v>0</v>
      </c>
      <c r="E505" s="3">
        <f>IF(OR(INDEX($O$2:$O$1001,MATCH(ROWS($N$2:N505),$N$2:$N$1001,0),1)&gt;=100000,INDEX($U$1005:$AC$1005,1,MATCH(COLUMNS($U$1006:X1006),$U$1006:$AC$1006,0))&gt;=100000), " ",IF(INDEX($U$2:$AC$1001,MATCH(ROWS($N$2:N505),$N$2:$N$1001,0),MATCH(COLUMNS($U$1006:X1006),$U$1006:$AC$1006,0)), HYPERLINK("#",""), HYPERLINK(CONCATENATE("#metadata!", ADDRESS(INDEX($P$2:$P$1001,MATCH(ROWS($N$2:N505),$N$2:$N$1001,0),0), INDEX($U$1004:$AC$1004,1,MATCH(COLUMNS($U$1006:X1006),$U$1006:$AC$1006,0)))),"Fix")))</f>
        <v>0</v>
      </c>
      <c r="F505" s="3">
        <f>IF(OR(INDEX($O$2:$O$1001,MATCH(ROWS($N$2:N505),$N$2:$N$1001,0),1)&gt;=100000,INDEX($U$1005:$AC$1005,1,MATCH(COLUMNS($U$1006:Y1006),$U$1006:$AC$1006,0))&gt;=100000), " ",IF(INDEX($U$2:$AC$1001,MATCH(ROWS($N$2:N505),$N$2:$N$1001,0),MATCH(COLUMNS($U$1006:Y1006),$U$1006:$AC$1006,0)), HYPERLINK("#",""), HYPERLINK(CONCATENATE("#metadata!", ADDRESS(INDEX($P$2:$P$1001,MATCH(ROWS($N$2:N505),$N$2:$N$1001,0),0), INDEX($U$1004:$AC$1004,1,MATCH(COLUMNS($U$1006:Y1006),$U$1006:$AC$1006,0)))),"Fix")))</f>
        <v>0</v>
      </c>
      <c r="G505" s="3">
        <f>IF(OR(INDEX($O$2:$O$1001,MATCH(ROWS($N$2:N505),$N$2:$N$1001,0),1)&gt;=100000,INDEX($U$1005:$AC$1005,1,MATCH(COLUMNS($U$1006:Z1006),$U$1006:$AC$1006,0))&gt;=100000), " ",IF(INDEX($U$2:$AC$1001,MATCH(ROWS($N$2:N505),$N$2:$N$1001,0),MATCH(COLUMNS($U$1006:Z1006),$U$1006:$AC$1006,0)), HYPERLINK("#",""), HYPERLINK(CONCATENATE("#metadata!", ADDRESS(INDEX($P$2:$P$1001,MATCH(ROWS($N$2:N505),$N$2:$N$1001,0),0), INDEX($U$1004:$AC$1004,1,MATCH(COLUMNS($U$1006:Z1006),$U$1006:$AC$1006,0)))),"Fix")))</f>
        <v>0</v>
      </c>
      <c r="H505" s="3">
        <f>IF(OR(INDEX($O$2:$O$1001,MATCH(ROWS($N$2:N505),$N$2:$N$1001,0),1)&gt;=100000,INDEX($U$1005:$AC$1005,1,MATCH(COLUMNS($U$1006:AA1006),$U$1006:$AC$1006,0))&gt;=100000), " ",IF(INDEX($U$2:$AC$1001,MATCH(ROWS($N$2:N505),$N$2:$N$1001,0),MATCH(COLUMNS($U$1006:AA1006),$U$1006:$AC$1006,0)), HYPERLINK("#",""), HYPERLINK(CONCATENATE("#metadata!", ADDRESS(INDEX($P$2:$P$1001,MATCH(ROWS($N$2:N505),$N$2:$N$1001,0),0), INDEX($U$1004:$AC$1004,1,MATCH(COLUMNS($U$1006:AA1006),$U$1006:$AC$1006,0)))),"Fix")))</f>
        <v>0</v>
      </c>
      <c r="I505" s="3">
        <f>IF(OR(INDEX($O$2:$O$1001,MATCH(ROWS($N$2:N505),$N$2:$N$1001,0),1)&gt;=100000,INDEX($U$1005:$AC$1005,1,MATCH(COLUMNS($U$1006:AB1006),$U$1006:$AC$1006,0))&gt;=100000), " ",IF(INDEX($U$2:$AC$1001,MATCH(ROWS($N$2:N505),$N$2:$N$1001,0),MATCH(COLUMNS($U$1006:AB1006),$U$1006:$AC$1006,0)), HYPERLINK("#",""), HYPERLINK(CONCATENATE("#metadata!", ADDRESS(INDEX($P$2:$P$1001,MATCH(ROWS($N$2:N505),$N$2:$N$1001,0),0), INDEX($U$1004:$AC$1004,1,MATCH(COLUMNS($U$1006:AB1006),$U$1006:$AC$1006,0)))),"Fix")))</f>
        <v>0</v>
      </c>
      <c r="J505" s="3">
        <f>IF(OR(INDEX($O$2:$O$1001,MATCH(ROWS($N$2:N505),$N$2:$N$1001,0),1)&gt;=100000,INDEX($U$1005:$AC$1005,1,MATCH(COLUMNS($U$1006:AC1006),$U$1006:$AC$1006,0))&gt;=100000), " ",IF(INDEX($U$2:$AC$1001,MATCH(ROWS($N$2:N505),$N$2:$N$1001,0),MATCH(COLUMNS($U$1006:AC1006),$U$1006:$AC$1006,0)), HYPERLINK("#",""), HYPERLINK(CONCATENATE("#metadata!", ADDRESS(INDEX($P$2:$P$1001,MATCH(ROWS($N$2:N505),$N$2:$N$1001,0),0), INDEX($U$1004:$AC$1004,1,MATCH(COLUMNS($U$1006:AC1006),$U$1006:$AC$1006,0)))),"Fix")))</f>
        <v>0</v>
      </c>
      <c r="N505">
        <v>0</v>
      </c>
      <c r="O505">
        <v>0</v>
      </c>
      <c r="P505">
        <v>0</v>
      </c>
      <c r="Q505">
        <f>IF(R505,TRUE,AND(U505:AC505))</f>
        <v>0</v>
      </c>
      <c r="R505">
        <f>COUNTBLANK(metadata!B505:J505)=COLUMNS(metadata!B505:J505)</f>
        <v>0</v>
      </c>
      <c r="S505">
        <v>0</v>
      </c>
      <c r="U505">
        <f>AND(IF(metadata!B505="",FALSE,TRUE),COUNTIF(metadata!B:B, metadata!B505) = 1,NOT(ISERROR(SUMPRODUCT(SEARCH(MID(metadata!B505,ROW(INDIRECT("1:"&amp;LEN(metadata!B505))), 1),"0123456789abcdefghijklmnopqrstuvwxyzABCDEFGHIJKLMNOPQRSTUVWXYZ.")))))</f>
        <v>0</v>
      </c>
      <c r="V505">
        <f>AND(IF(metadata!C505="",FALSE,TRUE),exact(metadata!C505,"UBERON:genitourinary"))</f>
        <v>0</v>
      </c>
      <c r="W505">
        <f>AND(IF(metadata!D505="",FALSE,TRUE),exact(metadata!D505,"UBERON:urine"))</f>
        <v>0</v>
      </c>
      <c r="X505">
        <f>AND(IF(metadata!E505="",FALSE,TRUE),exact(metadata!E505,"UBERON:kidney"))</f>
        <v>0</v>
      </c>
      <c r="Y505">
        <f>AND(IF(metadata!F505="",FALSE,TRUE),exact(metadata!F505,"animal corpus"))</f>
        <v>0</v>
      </c>
      <c r="Z505">
        <f>AND(IF(metadata!G505="",FALSE,TRUE),exact(metadata!G505,"urine"))</f>
        <v>0</v>
      </c>
      <c r="AA505">
        <f>AND(IF(metadata!H505="",FALSE,TRUE),exact(metadata!H505,"urine"))</f>
        <v>0</v>
      </c>
      <c r="AB505">
        <f>AND(IF(metadata!I505="",FALSE,TRUE),exact(metadata!I505,"urine metagenome"))</f>
        <v>0</v>
      </c>
      <c r="AC505">
        <f>AND(IF(metadata!J505="",FALSE,TRUE),exact(metadata!J505,"1346744"))</f>
        <v>0</v>
      </c>
    </row>
    <row r="506" spans="1:29">
      <c r="A506" s="4">
        <f>IF(B506=" "," ",HYPERLINK(CONCATENATE("#metadata!",ADDRESS(INDEX($P$2:$P$1001,MATCH(ROWS($N$2:N506),$N$2:$N$1001,0),0),1)),INDEX($S$2:$S$1001,MATCH(ROWS($N$2:N506),$N$2:$N$1001,0),0)))</f>
        <v>0</v>
      </c>
      <c r="B506" s="3">
        <f>IF(OR(INDEX($O$2:$O$1001,MATCH(ROWS($N$2:N506),$N$2:$N$1001,0),1)&gt;=100000,INDEX($U$1005:$AC$1005,1,MATCH(COLUMNS($U$1006:U1006),$U$1006:$AC$1006,0))&gt;=100000), " ",IF(INDEX($U$2:$AC$1001,MATCH(ROWS($N$2:N506),$N$2:$N$1001,0),MATCH(COLUMNS($U$1006:U1006),$U$1006:$AC$1006,0)), HYPERLINK("#",""), HYPERLINK(CONCATENATE("#metadata!", ADDRESS(INDEX($P$2:$P$1001,MATCH(ROWS($N$2:N506),$N$2:$N$1001,0),0), INDEX($U$1004:$AC$1004,1,MATCH(COLUMNS($U$1006:U1006),$U$1006:$AC$1006,0)))),"Fix")))</f>
        <v>0</v>
      </c>
      <c r="C506" s="3">
        <f>IF(OR(INDEX($O$2:$O$1001,MATCH(ROWS($N$2:N506),$N$2:$N$1001,0),1)&gt;=100000,INDEX($U$1005:$AC$1005,1,MATCH(COLUMNS($U$1006:V1006),$U$1006:$AC$1006,0))&gt;=100000), " ",IF(INDEX($U$2:$AC$1001,MATCH(ROWS($N$2:N506),$N$2:$N$1001,0),MATCH(COLUMNS($U$1006:V1006),$U$1006:$AC$1006,0)), HYPERLINK("#",""), HYPERLINK(CONCATENATE("#metadata!", ADDRESS(INDEX($P$2:$P$1001,MATCH(ROWS($N$2:N506),$N$2:$N$1001,0),0), INDEX($U$1004:$AC$1004,1,MATCH(COLUMNS($U$1006:V1006),$U$1006:$AC$1006,0)))),"Fix")))</f>
        <v>0</v>
      </c>
      <c r="D506" s="3">
        <f>IF(OR(INDEX($O$2:$O$1001,MATCH(ROWS($N$2:N506),$N$2:$N$1001,0),1)&gt;=100000,INDEX($U$1005:$AC$1005,1,MATCH(COLUMNS($U$1006:W1006),$U$1006:$AC$1006,0))&gt;=100000), " ",IF(INDEX($U$2:$AC$1001,MATCH(ROWS($N$2:N506),$N$2:$N$1001,0),MATCH(COLUMNS($U$1006:W1006),$U$1006:$AC$1006,0)), HYPERLINK("#",""), HYPERLINK(CONCATENATE("#metadata!", ADDRESS(INDEX($P$2:$P$1001,MATCH(ROWS($N$2:N506),$N$2:$N$1001,0),0), INDEX($U$1004:$AC$1004,1,MATCH(COLUMNS($U$1006:W1006),$U$1006:$AC$1006,0)))),"Fix")))</f>
        <v>0</v>
      </c>
      <c r="E506" s="3">
        <f>IF(OR(INDEX($O$2:$O$1001,MATCH(ROWS($N$2:N506),$N$2:$N$1001,0),1)&gt;=100000,INDEX($U$1005:$AC$1005,1,MATCH(COLUMNS($U$1006:X1006),$U$1006:$AC$1006,0))&gt;=100000), " ",IF(INDEX($U$2:$AC$1001,MATCH(ROWS($N$2:N506),$N$2:$N$1001,0),MATCH(COLUMNS($U$1006:X1006),$U$1006:$AC$1006,0)), HYPERLINK("#",""), HYPERLINK(CONCATENATE("#metadata!", ADDRESS(INDEX($P$2:$P$1001,MATCH(ROWS($N$2:N506),$N$2:$N$1001,0),0), INDEX($U$1004:$AC$1004,1,MATCH(COLUMNS($U$1006:X1006),$U$1006:$AC$1006,0)))),"Fix")))</f>
        <v>0</v>
      </c>
      <c r="F506" s="3">
        <f>IF(OR(INDEX($O$2:$O$1001,MATCH(ROWS($N$2:N506),$N$2:$N$1001,0),1)&gt;=100000,INDEX($U$1005:$AC$1005,1,MATCH(COLUMNS($U$1006:Y1006),$U$1006:$AC$1006,0))&gt;=100000), " ",IF(INDEX($U$2:$AC$1001,MATCH(ROWS($N$2:N506),$N$2:$N$1001,0),MATCH(COLUMNS($U$1006:Y1006),$U$1006:$AC$1006,0)), HYPERLINK("#",""), HYPERLINK(CONCATENATE("#metadata!", ADDRESS(INDEX($P$2:$P$1001,MATCH(ROWS($N$2:N506),$N$2:$N$1001,0),0), INDEX($U$1004:$AC$1004,1,MATCH(COLUMNS($U$1006:Y1006),$U$1006:$AC$1006,0)))),"Fix")))</f>
        <v>0</v>
      </c>
      <c r="G506" s="3">
        <f>IF(OR(INDEX($O$2:$O$1001,MATCH(ROWS($N$2:N506),$N$2:$N$1001,0),1)&gt;=100000,INDEX($U$1005:$AC$1005,1,MATCH(COLUMNS($U$1006:Z1006),$U$1006:$AC$1006,0))&gt;=100000), " ",IF(INDEX($U$2:$AC$1001,MATCH(ROWS($N$2:N506),$N$2:$N$1001,0),MATCH(COLUMNS($U$1006:Z1006),$U$1006:$AC$1006,0)), HYPERLINK("#",""), HYPERLINK(CONCATENATE("#metadata!", ADDRESS(INDEX($P$2:$P$1001,MATCH(ROWS($N$2:N506),$N$2:$N$1001,0),0), INDEX($U$1004:$AC$1004,1,MATCH(COLUMNS($U$1006:Z1006),$U$1006:$AC$1006,0)))),"Fix")))</f>
        <v>0</v>
      </c>
      <c r="H506" s="3">
        <f>IF(OR(INDEX($O$2:$O$1001,MATCH(ROWS($N$2:N506),$N$2:$N$1001,0),1)&gt;=100000,INDEX($U$1005:$AC$1005,1,MATCH(COLUMNS($U$1006:AA1006),$U$1006:$AC$1006,0))&gt;=100000), " ",IF(INDEX($U$2:$AC$1001,MATCH(ROWS($N$2:N506),$N$2:$N$1001,0),MATCH(COLUMNS($U$1006:AA1006),$U$1006:$AC$1006,0)), HYPERLINK("#",""), HYPERLINK(CONCATENATE("#metadata!", ADDRESS(INDEX($P$2:$P$1001,MATCH(ROWS($N$2:N506),$N$2:$N$1001,0),0), INDEX($U$1004:$AC$1004,1,MATCH(COLUMNS($U$1006:AA1006),$U$1006:$AC$1006,0)))),"Fix")))</f>
        <v>0</v>
      </c>
      <c r="I506" s="3">
        <f>IF(OR(INDEX($O$2:$O$1001,MATCH(ROWS($N$2:N506),$N$2:$N$1001,0),1)&gt;=100000,INDEX($U$1005:$AC$1005,1,MATCH(COLUMNS($U$1006:AB1006),$U$1006:$AC$1006,0))&gt;=100000), " ",IF(INDEX($U$2:$AC$1001,MATCH(ROWS($N$2:N506),$N$2:$N$1001,0),MATCH(COLUMNS($U$1006:AB1006),$U$1006:$AC$1006,0)), HYPERLINK("#",""), HYPERLINK(CONCATENATE("#metadata!", ADDRESS(INDEX($P$2:$P$1001,MATCH(ROWS($N$2:N506),$N$2:$N$1001,0),0), INDEX($U$1004:$AC$1004,1,MATCH(COLUMNS($U$1006:AB1006),$U$1006:$AC$1006,0)))),"Fix")))</f>
        <v>0</v>
      </c>
      <c r="J506" s="3">
        <f>IF(OR(INDEX($O$2:$O$1001,MATCH(ROWS($N$2:N506),$N$2:$N$1001,0),1)&gt;=100000,INDEX($U$1005:$AC$1005,1,MATCH(COLUMNS($U$1006:AC1006),$U$1006:$AC$1006,0))&gt;=100000), " ",IF(INDEX($U$2:$AC$1001,MATCH(ROWS($N$2:N506),$N$2:$N$1001,0),MATCH(COLUMNS($U$1006:AC1006),$U$1006:$AC$1006,0)), HYPERLINK("#",""), HYPERLINK(CONCATENATE("#metadata!", ADDRESS(INDEX($P$2:$P$1001,MATCH(ROWS($N$2:N506),$N$2:$N$1001,0),0), INDEX($U$1004:$AC$1004,1,MATCH(COLUMNS($U$1006:AC1006),$U$1006:$AC$1006,0)))),"Fix")))</f>
        <v>0</v>
      </c>
      <c r="N506">
        <v>0</v>
      </c>
      <c r="O506">
        <v>0</v>
      </c>
      <c r="P506">
        <v>0</v>
      </c>
      <c r="Q506">
        <f>IF(R506,TRUE,AND(U506:AC506))</f>
        <v>0</v>
      </c>
      <c r="R506">
        <f>COUNTBLANK(metadata!B506:J506)=COLUMNS(metadata!B506:J506)</f>
        <v>0</v>
      </c>
      <c r="S506">
        <v>0</v>
      </c>
      <c r="U506">
        <f>AND(IF(metadata!B506="",FALSE,TRUE),COUNTIF(metadata!B:B, metadata!B506) = 1,NOT(ISERROR(SUMPRODUCT(SEARCH(MID(metadata!B506,ROW(INDIRECT("1:"&amp;LEN(metadata!B506))), 1),"0123456789abcdefghijklmnopqrstuvwxyzABCDEFGHIJKLMNOPQRSTUVWXYZ.")))))</f>
        <v>0</v>
      </c>
      <c r="V506">
        <f>AND(IF(metadata!C506="",FALSE,TRUE),exact(metadata!C506,"UBERON:genitourinary"))</f>
        <v>0</v>
      </c>
      <c r="W506">
        <f>AND(IF(metadata!D506="",FALSE,TRUE),exact(metadata!D506,"UBERON:urine"))</f>
        <v>0</v>
      </c>
      <c r="X506">
        <f>AND(IF(metadata!E506="",FALSE,TRUE),exact(metadata!E506,"UBERON:kidney"))</f>
        <v>0</v>
      </c>
      <c r="Y506">
        <f>AND(IF(metadata!F506="",FALSE,TRUE),exact(metadata!F506,"animal corpus"))</f>
        <v>0</v>
      </c>
      <c r="Z506">
        <f>AND(IF(metadata!G506="",FALSE,TRUE),exact(metadata!G506,"urine"))</f>
        <v>0</v>
      </c>
      <c r="AA506">
        <f>AND(IF(metadata!H506="",FALSE,TRUE),exact(metadata!H506,"urine"))</f>
        <v>0</v>
      </c>
      <c r="AB506">
        <f>AND(IF(metadata!I506="",FALSE,TRUE),exact(metadata!I506,"urine metagenome"))</f>
        <v>0</v>
      </c>
      <c r="AC506">
        <f>AND(IF(metadata!J506="",FALSE,TRUE),exact(metadata!J506,"1346744"))</f>
        <v>0</v>
      </c>
    </row>
    <row r="507" spans="1:29">
      <c r="A507" s="4">
        <f>IF(B507=" "," ",HYPERLINK(CONCATENATE("#metadata!",ADDRESS(INDEX($P$2:$P$1001,MATCH(ROWS($N$2:N507),$N$2:$N$1001,0),0),1)),INDEX($S$2:$S$1001,MATCH(ROWS($N$2:N507),$N$2:$N$1001,0),0)))</f>
        <v>0</v>
      </c>
      <c r="B507" s="3">
        <f>IF(OR(INDEX($O$2:$O$1001,MATCH(ROWS($N$2:N507),$N$2:$N$1001,0),1)&gt;=100000,INDEX($U$1005:$AC$1005,1,MATCH(COLUMNS($U$1006:U1006),$U$1006:$AC$1006,0))&gt;=100000), " ",IF(INDEX($U$2:$AC$1001,MATCH(ROWS($N$2:N507),$N$2:$N$1001,0),MATCH(COLUMNS($U$1006:U1006),$U$1006:$AC$1006,0)), HYPERLINK("#",""), HYPERLINK(CONCATENATE("#metadata!", ADDRESS(INDEX($P$2:$P$1001,MATCH(ROWS($N$2:N507),$N$2:$N$1001,0),0), INDEX($U$1004:$AC$1004,1,MATCH(COLUMNS($U$1006:U1006),$U$1006:$AC$1006,0)))),"Fix")))</f>
        <v>0</v>
      </c>
      <c r="C507" s="3">
        <f>IF(OR(INDEX($O$2:$O$1001,MATCH(ROWS($N$2:N507),$N$2:$N$1001,0),1)&gt;=100000,INDEX($U$1005:$AC$1005,1,MATCH(COLUMNS($U$1006:V1006),$U$1006:$AC$1006,0))&gt;=100000), " ",IF(INDEX($U$2:$AC$1001,MATCH(ROWS($N$2:N507),$N$2:$N$1001,0),MATCH(COLUMNS($U$1006:V1006),$U$1006:$AC$1006,0)), HYPERLINK("#",""), HYPERLINK(CONCATENATE("#metadata!", ADDRESS(INDEX($P$2:$P$1001,MATCH(ROWS($N$2:N507),$N$2:$N$1001,0),0), INDEX($U$1004:$AC$1004,1,MATCH(COLUMNS($U$1006:V1006),$U$1006:$AC$1006,0)))),"Fix")))</f>
        <v>0</v>
      </c>
      <c r="D507" s="3">
        <f>IF(OR(INDEX($O$2:$O$1001,MATCH(ROWS($N$2:N507),$N$2:$N$1001,0),1)&gt;=100000,INDEX($U$1005:$AC$1005,1,MATCH(COLUMNS($U$1006:W1006),$U$1006:$AC$1006,0))&gt;=100000), " ",IF(INDEX($U$2:$AC$1001,MATCH(ROWS($N$2:N507),$N$2:$N$1001,0),MATCH(COLUMNS($U$1006:W1006),$U$1006:$AC$1006,0)), HYPERLINK("#",""), HYPERLINK(CONCATENATE("#metadata!", ADDRESS(INDEX($P$2:$P$1001,MATCH(ROWS($N$2:N507),$N$2:$N$1001,0),0), INDEX($U$1004:$AC$1004,1,MATCH(COLUMNS($U$1006:W1006),$U$1006:$AC$1006,0)))),"Fix")))</f>
        <v>0</v>
      </c>
      <c r="E507" s="3">
        <f>IF(OR(INDEX($O$2:$O$1001,MATCH(ROWS($N$2:N507),$N$2:$N$1001,0),1)&gt;=100000,INDEX($U$1005:$AC$1005,1,MATCH(COLUMNS($U$1006:X1006),$U$1006:$AC$1006,0))&gt;=100000), " ",IF(INDEX($U$2:$AC$1001,MATCH(ROWS($N$2:N507),$N$2:$N$1001,0),MATCH(COLUMNS($U$1006:X1006),$U$1006:$AC$1006,0)), HYPERLINK("#",""), HYPERLINK(CONCATENATE("#metadata!", ADDRESS(INDEX($P$2:$P$1001,MATCH(ROWS($N$2:N507),$N$2:$N$1001,0),0), INDEX($U$1004:$AC$1004,1,MATCH(COLUMNS($U$1006:X1006),$U$1006:$AC$1006,0)))),"Fix")))</f>
        <v>0</v>
      </c>
      <c r="F507" s="3">
        <f>IF(OR(INDEX($O$2:$O$1001,MATCH(ROWS($N$2:N507),$N$2:$N$1001,0),1)&gt;=100000,INDEX($U$1005:$AC$1005,1,MATCH(COLUMNS($U$1006:Y1006),$U$1006:$AC$1006,0))&gt;=100000), " ",IF(INDEX($U$2:$AC$1001,MATCH(ROWS($N$2:N507),$N$2:$N$1001,0),MATCH(COLUMNS($U$1006:Y1006),$U$1006:$AC$1006,0)), HYPERLINK("#",""), HYPERLINK(CONCATENATE("#metadata!", ADDRESS(INDEX($P$2:$P$1001,MATCH(ROWS($N$2:N507),$N$2:$N$1001,0),0), INDEX($U$1004:$AC$1004,1,MATCH(COLUMNS($U$1006:Y1006),$U$1006:$AC$1006,0)))),"Fix")))</f>
        <v>0</v>
      </c>
      <c r="G507" s="3">
        <f>IF(OR(INDEX($O$2:$O$1001,MATCH(ROWS($N$2:N507),$N$2:$N$1001,0),1)&gt;=100000,INDEX($U$1005:$AC$1005,1,MATCH(COLUMNS($U$1006:Z1006),$U$1006:$AC$1006,0))&gt;=100000), " ",IF(INDEX($U$2:$AC$1001,MATCH(ROWS($N$2:N507),$N$2:$N$1001,0),MATCH(COLUMNS($U$1006:Z1006),$U$1006:$AC$1006,0)), HYPERLINK("#",""), HYPERLINK(CONCATENATE("#metadata!", ADDRESS(INDEX($P$2:$P$1001,MATCH(ROWS($N$2:N507),$N$2:$N$1001,0),0), INDEX($U$1004:$AC$1004,1,MATCH(COLUMNS($U$1006:Z1006),$U$1006:$AC$1006,0)))),"Fix")))</f>
        <v>0</v>
      </c>
      <c r="H507" s="3">
        <f>IF(OR(INDEX($O$2:$O$1001,MATCH(ROWS($N$2:N507),$N$2:$N$1001,0),1)&gt;=100000,INDEX($U$1005:$AC$1005,1,MATCH(COLUMNS($U$1006:AA1006),$U$1006:$AC$1006,0))&gt;=100000), " ",IF(INDEX($U$2:$AC$1001,MATCH(ROWS($N$2:N507),$N$2:$N$1001,0),MATCH(COLUMNS($U$1006:AA1006),$U$1006:$AC$1006,0)), HYPERLINK("#",""), HYPERLINK(CONCATENATE("#metadata!", ADDRESS(INDEX($P$2:$P$1001,MATCH(ROWS($N$2:N507),$N$2:$N$1001,0),0), INDEX($U$1004:$AC$1004,1,MATCH(COLUMNS($U$1006:AA1006),$U$1006:$AC$1006,0)))),"Fix")))</f>
        <v>0</v>
      </c>
      <c r="I507" s="3">
        <f>IF(OR(INDEX($O$2:$O$1001,MATCH(ROWS($N$2:N507),$N$2:$N$1001,0),1)&gt;=100000,INDEX($U$1005:$AC$1005,1,MATCH(COLUMNS($U$1006:AB1006),$U$1006:$AC$1006,0))&gt;=100000), " ",IF(INDEX($U$2:$AC$1001,MATCH(ROWS($N$2:N507),$N$2:$N$1001,0),MATCH(COLUMNS($U$1006:AB1006),$U$1006:$AC$1006,0)), HYPERLINK("#",""), HYPERLINK(CONCATENATE("#metadata!", ADDRESS(INDEX($P$2:$P$1001,MATCH(ROWS($N$2:N507),$N$2:$N$1001,0),0), INDEX($U$1004:$AC$1004,1,MATCH(COLUMNS($U$1006:AB1006),$U$1006:$AC$1006,0)))),"Fix")))</f>
        <v>0</v>
      </c>
      <c r="J507" s="3">
        <f>IF(OR(INDEX($O$2:$O$1001,MATCH(ROWS($N$2:N507),$N$2:$N$1001,0),1)&gt;=100000,INDEX($U$1005:$AC$1005,1,MATCH(COLUMNS($U$1006:AC1006),$U$1006:$AC$1006,0))&gt;=100000), " ",IF(INDEX($U$2:$AC$1001,MATCH(ROWS($N$2:N507),$N$2:$N$1001,0),MATCH(COLUMNS($U$1006:AC1006),$U$1006:$AC$1006,0)), HYPERLINK("#",""), HYPERLINK(CONCATENATE("#metadata!", ADDRESS(INDEX($P$2:$P$1001,MATCH(ROWS($N$2:N507),$N$2:$N$1001,0),0), INDEX($U$1004:$AC$1004,1,MATCH(COLUMNS($U$1006:AC1006),$U$1006:$AC$1006,0)))),"Fix")))</f>
        <v>0</v>
      </c>
      <c r="N507">
        <v>0</v>
      </c>
      <c r="O507">
        <v>0</v>
      </c>
      <c r="P507">
        <v>0</v>
      </c>
      <c r="Q507">
        <f>IF(R507,TRUE,AND(U507:AC507))</f>
        <v>0</v>
      </c>
      <c r="R507">
        <f>COUNTBLANK(metadata!B507:J507)=COLUMNS(metadata!B507:J507)</f>
        <v>0</v>
      </c>
      <c r="S507">
        <v>0</v>
      </c>
      <c r="U507">
        <f>AND(IF(metadata!B507="",FALSE,TRUE),COUNTIF(metadata!B:B, metadata!B507) = 1,NOT(ISERROR(SUMPRODUCT(SEARCH(MID(metadata!B507,ROW(INDIRECT("1:"&amp;LEN(metadata!B507))), 1),"0123456789abcdefghijklmnopqrstuvwxyzABCDEFGHIJKLMNOPQRSTUVWXYZ.")))))</f>
        <v>0</v>
      </c>
      <c r="V507">
        <f>AND(IF(metadata!C507="",FALSE,TRUE),exact(metadata!C507,"UBERON:genitourinary"))</f>
        <v>0</v>
      </c>
      <c r="W507">
        <f>AND(IF(metadata!D507="",FALSE,TRUE),exact(metadata!D507,"UBERON:urine"))</f>
        <v>0</v>
      </c>
      <c r="X507">
        <f>AND(IF(metadata!E507="",FALSE,TRUE),exact(metadata!E507,"UBERON:kidney"))</f>
        <v>0</v>
      </c>
      <c r="Y507">
        <f>AND(IF(metadata!F507="",FALSE,TRUE),exact(metadata!F507,"animal corpus"))</f>
        <v>0</v>
      </c>
      <c r="Z507">
        <f>AND(IF(metadata!G507="",FALSE,TRUE),exact(metadata!G507,"urine"))</f>
        <v>0</v>
      </c>
      <c r="AA507">
        <f>AND(IF(metadata!H507="",FALSE,TRUE),exact(metadata!H507,"urine"))</f>
        <v>0</v>
      </c>
      <c r="AB507">
        <f>AND(IF(metadata!I507="",FALSE,TRUE),exact(metadata!I507,"urine metagenome"))</f>
        <v>0</v>
      </c>
      <c r="AC507">
        <f>AND(IF(metadata!J507="",FALSE,TRUE),exact(metadata!J507,"1346744"))</f>
        <v>0</v>
      </c>
    </row>
    <row r="508" spans="1:29">
      <c r="A508" s="4">
        <f>IF(B508=" "," ",HYPERLINK(CONCATENATE("#metadata!",ADDRESS(INDEX($P$2:$P$1001,MATCH(ROWS($N$2:N508),$N$2:$N$1001,0),0),1)),INDEX($S$2:$S$1001,MATCH(ROWS($N$2:N508),$N$2:$N$1001,0),0)))</f>
        <v>0</v>
      </c>
      <c r="B508" s="3">
        <f>IF(OR(INDEX($O$2:$O$1001,MATCH(ROWS($N$2:N508),$N$2:$N$1001,0),1)&gt;=100000,INDEX($U$1005:$AC$1005,1,MATCH(COLUMNS($U$1006:U1006),$U$1006:$AC$1006,0))&gt;=100000), " ",IF(INDEX($U$2:$AC$1001,MATCH(ROWS($N$2:N508),$N$2:$N$1001,0),MATCH(COLUMNS($U$1006:U1006),$U$1006:$AC$1006,0)), HYPERLINK("#",""), HYPERLINK(CONCATENATE("#metadata!", ADDRESS(INDEX($P$2:$P$1001,MATCH(ROWS($N$2:N508),$N$2:$N$1001,0),0), INDEX($U$1004:$AC$1004,1,MATCH(COLUMNS($U$1006:U1006),$U$1006:$AC$1006,0)))),"Fix")))</f>
        <v>0</v>
      </c>
      <c r="C508" s="3">
        <f>IF(OR(INDEX($O$2:$O$1001,MATCH(ROWS($N$2:N508),$N$2:$N$1001,0),1)&gt;=100000,INDEX($U$1005:$AC$1005,1,MATCH(COLUMNS($U$1006:V1006),$U$1006:$AC$1006,0))&gt;=100000), " ",IF(INDEX($U$2:$AC$1001,MATCH(ROWS($N$2:N508),$N$2:$N$1001,0),MATCH(COLUMNS($U$1006:V1006),$U$1006:$AC$1006,0)), HYPERLINK("#",""), HYPERLINK(CONCATENATE("#metadata!", ADDRESS(INDEX($P$2:$P$1001,MATCH(ROWS($N$2:N508),$N$2:$N$1001,0),0), INDEX($U$1004:$AC$1004,1,MATCH(COLUMNS($U$1006:V1006),$U$1006:$AC$1006,0)))),"Fix")))</f>
        <v>0</v>
      </c>
      <c r="D508" s="3">
        <f>IF(OR(INDEX($O$2:$O$1001,MATCH(ROWS($N$2:N508),$N$2:$N$1001,0),1)&gt;=100000,INDEX($U$1005:$AC$1005,1,MATCH(COLUMNS($U$1006:W1006),$U$1006:$AC$1006,0))&gt;=100000), " ",IF(INDEX($U$2:$AC$1001,MATCH(ROWS($N$2:N508),$N$2:$N$1001,0),MATCH(COLUMNS($U$1006:W1006),$U$1006:$AC$1006,0)), HYPERLINK("#",""), HYPERLINK(CONCATENATE("#metadata!", ADDRESS(INDEX($P$2:$P$1001,MATCH(ROWS($N$2:N508),$N$2:$N$1001,0),0), INDEX($U$1004:$AC$1004,1,MATCH(COLUMNS($U$1006:W1006),$U$1006:$AC$1006,0)))),"Fix")))</f>
        <v>0</v>
      </c>
      <c r="E508" s="3">
        <f>IF(OR(INDEX($O$2:$O$1001,MATCH(ROWS($N$2:N508),$N$2:$N$1001,0),1)&gt;=100000,INDEX($U$1005:$AC$1005,1,MATCH(COLUMNS($U$1006:X1006),$U$1006:$AC$1006,0))&gt;=100000), " ",IF(INDEX($U$2:$AC$1001,MATCH(ROWS($N$2:N508),$N$2:$N$1001,0),MATCH(COLUMNS($U$1006:X1006),$U$1006:$AC$1006,0)), HYPERLINK("#",""), HYPERLINK(CONCATENATE("#metadata!", ADDRESS(INDEX($P$2:$P$1001,MATCH(ROWS($N$2:N508),$N$2:$N$1001,0),0), INDEX($U$1004:$AC$1004,1,MATCH(COLUMNS($U$1006:X1006),$U$1006:$AC$1006,0)))),"Fix")))</f>
        <v>0</v>
      </c>
      <c r="F508" s="3">
        <f>IF(OR(INDEX($O$2:$O$1001,MATCH(ROWS($N$2:N508),$N$2:$N$1001,0),1)&gt;=100000,INDEX($U$1005:$AC$1005,1,MATCH(COLUMNS($U$1006:Y1006),$U$1006:$AC$1006,0))&gt;=100000), " ",IF(INDEX($U$2:$AC$1001,MATCH(ROWS($N$2:N508),$N$2:$N$1001,0),MATCH(COLUMNS($U$1006:Y1006),$U$1006:$AC$1006,0)), HYPERLINK("#",""), HYPERLINK(CONCATENATE("#metadata!", ADDRESS(INDEX($P$2:$P$1001,MATCH(ROWS($N$2:N508),$N$2:$N$1001,0),0), INDEX($U$1004:$AC$1004,1,MATCH(COLUMNS($U$1006:Y1006),$U$1006:$AC$1006,0)))),"Fix")))</f>
        <v>0</v>
      </c>
      <c r="G508" s="3">
        <f>IF(OR(INDEX($O$2:$O$1001,MATCH(ROWS($N$2:N508),$N$2:$N$1001,0),1)&gt;=100000,INDEX($U$1005:$AC$1005,1,MATCH(COLUMNS($U$1006:Z1006),$U$1006:$AC$1006,0))&gt;=100000), " ",IF(INDEX($U$2:$AC$1001,MATCH(ROWS($N$2:N508),$N$2:$N$1001,0),MATCH(COLUMNS($U$1006:Z1006),$U$1006:$AC$1006,0)), HYPERLINK("#",""), HYPERLINK(CONCATENATE("#metadata!", ADDRESS(INDEX($P$2:$P$1001,MATCH(ROWS($N$2:N508),$N$2:$N$1001,0),0), INDEX($U$1004:$AC$1004,1,MATCH(COLUMNS($U$1006:Z1006),$U$1006:$AC$1006,0)))),"Fix")))</f>
        <v>0</v>
      </c>
      <c r="H508" s="3">
        <f>IF(OR(INDEX($O$2:$O$1001,MATCH(ROWS($N$2:N508),$N$2:$N$1001,0),1)&gt;=100000,INDEX($U$1005:$AC$1005,1,MATCH(COLUMNS($U$1006:AA1006),$U$1006:$AC$1006,0))&gt;=100000), " ",IF(INDEX($U$2:$AC$1001,MATCH(ROWS($N$2:N508),$N$2:$N$1001,0),MATCH(COLUMNS($U$1006:AA1006),$U$1006:$AC$1006,0)), HYPERLINK("#",""), HYPERLINK(CONCATENATE("#metadata!", ADDRESS(INDEX($P$2:$P$1001,MATCH(ROWS($N$2:N508),$N$2:$N$1001,0),0), INDEX($U$1004:$AC$1004,1,MATCH(COLUMNS($U$1006:AA1006),$U$1006:$AC$1006,0)))),"Fix")))</f>
        <v>0</v>
      </c>
      <c r="I508" s="3">
        <f>IF(OR(INDEX($O$2:$O$1001,MATCH(ROWS($N$2:N508),$N$2:$N$1001,0),1)&gt;=100000,INDEX($U$1005:$AC$1005,1,MATCH(COLUMNS($U$1006:AB1006),$U$1006:$AC$1006,0))&gt;=100000), " ",IF(INDEX($U$2:$AC$1001,MATCH(ROWS($N$2:N508),$N$2:$N$1001,0),MATCH(COLUMNS($U$1006:AB1006),$U$1006:$AC$1006,0)), HYPERLINK("#",""), HYPERLINK(CONCATENATE("#metadata!", ADDRESS(INDEX($P$2:$P$1001,MATCH(ROWS($N$2:N508),$N$2:$N$1001,0),0), INDEX($U$1004:$AC$1004,1,MATCH(COLUMNS($U$1006:AB1006),$U$1006:$AC$1006,0)))),"Fix")))</f>
        <v>0</v>
      </c>
      <c r="J508" s="3">
        <f>IF(OR(INDEX($O$2:$O$1001,MATCH(ROWS($N$2:N508),$N$2:$N$1001,0),1)&gt;=100000,INDEX($U$1005:$AC$1005,1,MATCH(COLUMNS($U$1006:AC1006),$U$1006:$AC$1006,0))&gt;=100000), " ",IF(INDEX($U$2:$AC$1001,MATCH(ROWS($N$2:N508),$N$2:$N$1001,0),MATCH(COLUMNS($U$1006:AC1006),$U$1006:$AC$1006,0)), HYPERLINK("#",""), HYPERLINK(CONCATENATE("#metadata!", ADDRESS(INDEX($P$2:$P$1001,MATCH(ROWS($N$2:N508),$N$2:$N$1001,0),0), INDEX($U$1004:$AC$1004,1,MATCH(COLUMNS($U$1006:AC1006),$U$1006:$AC$1006,0)))),"Fix")))</f>
        <v>0</v>
      </c>
      <c r="N508">
        <v>0</v>
      </c>
      <c r="O508">
        <v>0</v>
      </c>
      <c r="P508">
        <v>0</v>
      </c>
      <c r="Q508">
        <f>IF(R508,TRUE,AND(U508:AC508))</f>
        <v>0</v>
      </c>
      <c r="R508">
        <f>COUNTBLANK(metadata!B508:J508)=COLUMNS(metadata!B508:J508)</f>
        <v>0</v>
      </c>
      <c r="S508">
        <v>0</v>
      </c>
      <c r="U508">
        <f>AND(IF(metadata!B508="",FALSE,TRUE),COUNTIF(metadata!B:B, metadata!B508) = 1,NOT(ISERROR(SUMPRODUCT(SEARCH(MID(metadata!B508,ROW(INDIRECT("1:"&amp;LEN(metadata!B508))), 1),"0123456789abcdefghijklmnopqrstuvwxyzABCDEFGHIJKLMNOPQRSTUVWXYZ.")))))</f>
        <v>0</v>
      </c>
      <c r="V508">
        <f>AND(IF(metadata!C508="",FALSE,TRUE),exact(metadata!C508,"UBERON:genitourinary"))</f>
        <v>0</v>
      </c>
      <c r="W508">
        <f>AND(IF(metadata!D508="",FALSE,TRUE),exact(metadata!D508,"UBERON:urine"))</f>
        <v>0</v>
      </c>
      <c r="X508">
        <f>AND(IF(metadata!E508="",FALSE,TRUE),exact(metadata!E508,"UBERON:kidney"))</f>
        <v>0</v>
      </c>
      <c r="Y508">
        <f>AND(IF(metadata!F508="",FALSE,TRUE),exact(metadata!F508,"animal corpus"))</f>
        <v>0</v>
      </c>
      <c r="Z508">
        <f>AND(IF(metadata!G508="",FALSE,TRUE),exact(metadata!G508,"urine"))</f>
        <v>0</v>
      </c>
      <c r="AA508">
        <f>AND(IF(metadata!H508="",FALSE,TRUE),exact(metadata!H508,"urine"))</f>
        <v>0</v>
      </c>
      <c r="AB508">
        <f>AND(IF(metadata!I508="",FALSE,TRUE),exact(metadata!I508,"urine metagenome"))</f>
        <v>0</v>
      </c>
      <c r="AC508">
        <f>AND(IF(metadata!J508="",FALSE,TRUE),exact(metadata!J508,"1346744"))</f>
        <v>0</v>
      </c>
    </row>
    <row r="509" spans="1:29">
      <c r="A509" s="4">
        <f>IF(B509=" "," ",HYPERLINK(CONCATENATE("#metadata!",ADDRESS(INDEX($P$2:$P$1001,MATCH(ROWS($N$2:N509),$N$2:$N$1001,0),0),1)),INDEX($S$2:$S$1001,MATCH(ROWS($N$2:N509),$N$2:$N$1001,0),0)))</f>
        <v>0</v>
      </c>
      <c r="B509" s="3">
        <f>IF(OR(INDEX($O$2:$O$1001,MATCH(ROWS($N$2:N509),$N$2:$N$1001,0),1)&gt;=100000,INDEX($U$1005:$AC$1005,1,MATCH(COLUMNS($U$1006:U1006),$U$1006:$AC$1006,0))&gt;=100000), " ",IF(INDEX($U$2:$AC$1001,MATCH(ROWS($N$2:N509),$N$2:$N$1001,0),MATCH(COLUMNS($U$1006:U1006),$U$1006:$AC$1006,0)), HYPERLINK("#",""), HYPERLINK(CONCATENATE("#metadata!", ADDRESS(INDEX($P$2:$P$1001,MATCH(ROWS($N$2:N509),$N$2:$N$1001,0),0), INDEX($U$1004:$AC$1004,1,MATCH(COLUMNS($U$1006:U1006),$U$1006:$AC$1006,0)))),"Fix")))</f>
        <v>0</v>
      </c>
      <c r="C509" s="3">
        <f>IF(OR(INDEX($O$2:$O$1001,MATCH(ROWS($N$2:N509),$N$2:$N$1001,0),1)&gt;=100000,INDEX($U$1005:$AC$1005,1,MATCH(COLUMNS($U$1006:V1006),$U$1006:$AC$1006,0))&gt;=100000), " ",IF(INDEX($U$2:$AC$1001,MATCH(ROWS($N$2:N509),$N$2:$N$1001,0),MATCH(COLUMNS($U$1006:V1006),$U$1006:$AC$1006,0)), HYPERLINK("#",""), HYPERLINK(CONCATENATE("#metadata!", ADDRESS(INDEX($P$2:$P$1001,MATCH(ROWS($N$2:N509),$N$2:$N$1001,0),0), INDEX($U$1004:$AC$1004,1,MATCH(COLUMNS($U$1006:V1006),$U$1006:$AC$1006,0)))),"Fix")))</f>
        <v>0</v>
      </c>
      <c r="D509" s="3">
        <f>IF(OR(INDEX($O$2:$O$1001,MATCH(ROWS($N$2:N509),$N$2:$N$1001,0),1)&gt;=100000,INDEX($U$1005:$AC$1005,1,MATCH(COLUMNS($U$1006:W1006),$U$1006:$AC$1006,0))&gt;=100000), " ",IF(INDEX($U$2:$AC$1001,MATCH(ROWS($N$2:N509),$N$2:$N$1001,0),MATCH(COLUMNS($U$1006:W1006),$U$1006:$AC$1006,0)), HYPERLINK("#",""), HYPERLINK(CONCATENATE("#metadata!", ADDRESS(INDEX($P$2:$P$1001,MATCH(ROWS($N$2:N509),$N$2:$N$1001,0),0), INDEX($U$1004:$AC$1004,1,MATCH(COLUMNS($U$1006:W1006),$U$1006:$AC$1006,0)))),"Fix")))</f>
        <v>0</v>
      </c>
      <c r="E509" s="3">
        <f>IF(OR(INDEX($O$2:$O$1001,MATCH(ROWS($N$2:N509),$N$2:$N$1001,0),1)&gt;=100000,INDEX($U$1005:$AC$1005,1,MATCH(COLUMNS($U$1006:X1006),$U$1006:$AC$1006,0))&gt;=100000), " ",IF(INDEX($U$2:$AC$1001,MATCH(ROWS($N$2:N509),$N$2:$N$1001,0),MATCH(COLUMNS($U$1006:X1006),$U$1006:$AC$1006,0)), HYPERLINK("#",""), HYPERLINK(CONCATENATE("#metadata!", ADDRESS(INDEX($P$2:$P$1001,MATCH(ROWS($N$2:N509),$N$2:$N$1001,0),0), INDEX($U$1004:$AC$1004,1,MATCH(COLUMNS($U$1006:X1006),$U$1006:$AC$1006,0)))),"Fix")))</f>
        <v>0</v>
      </c>
      <c r="F509" s="3">
        <f>IF(OR(INDEX($O$2:$O$1001,MATCH(ROWS($N$2:N509),$N$2:$N$1001,0),1)&gt;=100000,INDEX($U$1005:$AC$1005,1,MATCH(COLUMNS($U$1006:Y1006),$U$1006:$AC$1006,0))&gt;=100000), " ",IF(INDEX($U$2:$AC$1001,MATCH(ROWS($N$2:N509),$N$2:$N$1001,0),MATCH(COLUMNS($U$1006:Y1006),$U$1006:$AC$1006,0)), HYPERLINK("#",""), HYPERLINK(CONCATENATE("#metadata!", ADDRESS(INDEX($P$2:$P$1001,MATCH(ROWS($N$2:N509),$N$2:$N$1001,0),0), INDEX($U$1004:$AC$1004,1,MATCH(COLUMNS($U$1006:Y1006),$U$1006:$AC$1006,0)))),"Fix")))</f>
        <v>0</v>
      </c>
      <c r="G509" s="3">
        <f>IF(OR(INDEX($O$2:$O$1001,MATCH(ROWS($N$2:N509),$N$2:$N$1001,0),1)&gt;=100000,INDEX($U$1005:$AC$1005,1,MATCH(COLUMNS($U$1006:Z1006),$U$1006:$AC$1006,0))&gt;=100000), " ",IF(INDEX($U$2:$AC$1001,MATCH(ROWS($N$2:N509),$N$2:$N$1001,0),MATCH(COLUMNS($U$1006:Z1006),$U$1006:$AC$1006,0)), HYPERLINK("#",""), HYPERLINK(CONCATENATE("#metadata!", ADDRESS(INDEX($P$2:$P$1001,MATCH(ROWS($N$2:N509),$N$2:$N$1001,0),0), INDEX($U$1004:$AC$1004,1,MATCH(COLUMNS($U$1006:Z1006),$U$1006:$AC$1006,0)))),"Fix")))</f>
        <v>0</v>
      </c>
      <c r="H509" s="3">
        <f>IF(OR(INDEX($O$2:$O$1001,MATCH(ROWS($N$2:N509),$N$2:$N$1001,0),1)&gt;=100000,INDEX($U$1005:$AC$1005,1,MATCH(COLUMNS($U$1006:AA1006),$U$1006:$AC$1006,0))&gt;=100000), " ",IF(INDEX($U$2:$AC$1001,MATCH(ROWS($N$2:N509),$N$2:$N$1001,0),MATCH(COLUMNS($U$1006:AA1006),$U$1006:$AC$1006,0)), HYPERLINK("#",""), HYPERLINK(CONCATENATE("#metadata!", ADDRESS(INDEX($P$2:$P$1001,MATCH(ROWS($N$2:N509),$N$2:$N$1001,0),0), INDEX($U$1004:$AC$1004,1,MATCH(COLUMNS($U$1006:AA1006),$U$1006:$AC$1006,0)))),"Fix")))</f>
        <v>0</v>
      </c>
      <c r="I509" s="3">
        <f>IF(OR(INDEX($O$2:$O$1001,MATCH(ROWS($N$2:N509),$N$2:$N$1001,0),1)&gt;=100000,INDEX($U$1005:$AC$1005,1,MATCH(COLUMNS($U$1006:AB1006),$U$1006:$AC$1006,0))&gt;=100000), " ",IF(INDEX($U$2:$AC$1001,MATCH(ROWS($N$2:N509),$N$2:$N$1001,0),MATCH(COLUMNS($U$1006:AB1006),$U$1006:$AC$1006,0)), HYPERLINK("#",""), HYPERLINK(CONCATENATE("#metadata!", ADDRESS(INDEX($P$2:$P$1001,MATCH(ROWS($N$2:N509),$N$2:$N$1001,0),0), INDEX($U$1004:$AC$1004,1,MATCH(COLUMNS($U$1006:AB1006),$U$1006:$AC$1006,0)))),"Fix")))</f>
        <v>0</v>
      </c>
      <c r="J509" s="3">
        <f>IF(OR(INDEX($O$2:$O$1001,MATCH(ROWS($N$2:N509),$N$2:$N$1001,0),1)&gt;=100000,INDEX($U$1005:$AC$1005,1,MATCH(COLUMNS($U$1006:AC1006),$U$1006:$AC$1006,0))&gt;=100000), " ",IF(INDEX($U$2:$AC$1001,MATCH(ROWS($N$2:N509),$N$2:$N$1001,0),MATCH(COLUMNS($U$1006:AC1006),$U$1006:$AC$1006,0)), HYPERLINK("#",""), HYPERLINK(CONCATENATE("#metadata!", ADDRESS(INDEX($P$2:$P$1001,MATCH(ROWS($N$2:N509),$N$2:$N$1001,0),0), INDEX($U$1004:$AC$1004,1,MATCH(COLUMNS($U$1006:AC1006),$U$1006:$AC$1006,0)))),"Fix")))</f>
        <v>0</v>
      </c>
      <c r="N509">
        <v>0</v>
      </c>
      <c r="O509">
        <v>0</v>
      </c>
      <c r="P509">
        <v>0</v>
      </c>
      <c r="Q509">
        <f>IF(R509,TRUE,AND(U509:AC509))</f>
        <v>0</v>
      </c>
      <c r="R509">
        <f>COUNTBLANK(metadata!B509:J509)=COLUMNS(metadata!B509:J509)</f>
        <v>0</v>
      </c>
      <c r="S509">
        <v>0</v>
      </c>
      <c r="U509">
        <f>AND(IF(metadata!B509="",FALSE,TRUE),COUNTIF(metadata!B:B, metadata!B509) = 1,NOT(ISERROR(SUMPRODUCT(SEARCH(MID(metadata!B509,ROW(INDIRECT("1:"&amp;LEN(metadata!B509))), 1),"0123456789abcdefghijklmnopqrstuvwxyzABCDEFGHIJKLMNOPQRSTUVWXYZ.")))))</f>
        <v>0</v>
      </c>
      <c r="V509">
        <f>AND(IF(metadata!C509="",FALSE,TRUE),exact(metadata!C509,"UBERON:genitourinary"))</f>
        <v>0</v>
      </c>
      <c r="W509">
        <f>AND(IF(metadata!D509="",FALSE,TRUE),exact(metadata!D509,"UBERON:urine"))</f>
        <v>0</v>
      </c>
      <c r="X509">
        <f>AND(IF(metadata!E509="",FALSE,TRUE),exact(metadata!E509,"UBERON:kidney"))</f>
        <v>0</v>
      </c>
      <c r="Y509">
        <f>AND(IF(metadata!F509="",FALSE,TRUE),exact(metadata!F509,"animal corpus"))</f>
        <v>0</v>
      </c>
      <c r="Z509">
        <f>AND(IF(metadata!G509="",FALSE,TRUE),exact(metadata!G509,"urine"))</f>
        <v>0</v>
      </c>
      <c r="AA509">
        <f>AND(IF(metadata!H509="",FALSE,TRUE),exact(metadata!H509,"urine"))</f>
        <v>0</v>
      </c>
      <c r="AB509">
        <f>AND(IF(metadata!I509="",FALSE,TRUE),exact(metadata!I509,"urine metagenome"))</f>
        <v>0</v>
      </c>
      <c r="AC509">
        <f>AND(IF(metadata!J509="",FALSE,TRUE),exact(metadata!J509,"1346744"))</f>
        <v>0</v>
      </c>
    </row>
    <row r="510" spans="1:29">
      <c r="A510" s="4">
        <f>IF(B510=" "," ",HYPERLINK(CONCATENATE("#metadata!",ADDRESS(INDEX($P$2:$P$1001,MATCH(ROWS($N$2:N510),$N$2:$N$1001,0),0),1)),INDEX($S$2:$S$1001,MATCH(ROWS($N$2:N510),$N$2:$N$1001,0),0)))</f>
        <v>0</v>
      </c>
      <c r="B510" s="3">
        <f>IF(OR(INDEX($O$2:$O$1001,MATCH(ROWS($N$2:N510),$N$2:$N$1001,0),1)&gt;=100000,INDEX($U$1005:$AC$1005,1,MATCH(COLUMNS($U$1006:U1006),$U$1006:$AC$1006,0))&gt;=100000), " ",IF(INDEX($U$2:$AC$1001,MATCH(ROWS($N$2:N510),$N$2:$N$1001,0),MATCH(COLUMNS($U$1006:U1006),$U$1006:$AC$1006,0)), HYPERLINK("#",""), HYPERLINK(CONCATENATE("#metadata!", ADDRESS(INDEX($P$2:$P$1001,MATCH(ROWS($N$2:N510),$N$2:$N$1001,0),0), INDEX($U$1004:$AC$1004,1,MATCH(COLUMNS($U$1006:U1006),$U$1006:$AC$1006,0)))),"Fix")))</f>
        <v>0</v>
      </c>
      <c r="C510" s="3">
        <f>IF(OR(INDEX($O$2:$O$1001,MATCH(ROWS($N$2:N510),$N$2:$N$1001,0),1)&gt;=100000,INDEX($U$1005:$AC$1005,1,MATCH(COLUMNS($U$1006:V1006),$U$1006:$AC$1006,0))&gt;=100000), " ",IF(INDEX($U$2:$AC$1001,MATCH(ROWS($N$2:N510),$N$2:$N$1001,0),MATCH(COLUMNS($U$1006:V1006),$U$1006:$AC$1006,0)), HYPERLINK("#",""), HYPERLINK(CONCATENATE("#metadata!", ADDRESS(INDEX($P$2:$P$1001,MATCH(ROWS($N$2:N510),$N$2:$N$1001,0),0), INDEX($U$1004:$AC$1004,1,MATCH(COLUMNS($U$1006:V1006),$U$1006:$AC$1006,0)))),"Fix")))</f>
        <v>0</v>
      </c>
      <c r="D510" s="3">
        <f>IF(OR(INDEX($O$2:$O$1001,MATCH(ROWS($N$2:N510),$N$2:$N$1001,0),1)&gt;=100000,INDEX($U$1005:$AC$1005,1,MATCH(COLUMNS($U$1006:W1006),$U$1006:$AC$1006,0))&gt;=100000), " ",IF(INDEX($U$2:$AC$1001,MATCH(ROWS($N$2:N510),$N$2:$N$1001,0),MATCH(COLUMNS($U$1006:W1006),$U$1006:$AC$1006,0)), HYPERLINK("#",""), HYPERLINK(CONCATENATE("#metadata!", ADDRESS(INDEX($P$2:$P$1001,MATCH(ROWS($N$2:N510),$N$2:$N$1001,0),0), INDEX($U$1004:$AC$1004,1,MATCH(COLUMNS($U$1006:W1006),$U$1006:$AC$1006,0)))),"Fix")))</f>
        <v>0</v>
      </c>
      <c r="E510" s="3">
        <f>IF(OR(INDEX($O$2:$O$1001,MATCH(ROWS($N$2:N510),$N$2:$N$1001,0),1)&gt;=100000,INDEX($U$1005:$AC$1005,1,MATCH(COLUMNS($U$1006:X1006),$U$1006:$AC$1006,0))&gt;=100000), " ",IF(INDEX($U$2:$AC$1001,MATCH(ROWS($N$2:N510),$N$2:$N$1001,0),MATCH(COLUMNS($U$1006:X1006),$U$1006:$AC$1006,0)), HYPERLINK("#",""), HYPERLINK(CONCATENATE("#metadata!", ADDRESS(INDEX($P$2:$P$1001,MATCH(ROWS($N$2:N510),$N$2:$N$1001,0),0), INDEX($U$1004:$AC$1004,1,MATCH(COLUMNS($U$1006:X1006),$U$1006:$AC$1006,0)))),"Fix")))</f>
        <v>0</v>
      </c>
      <c r="F510" s="3">
        <f>IF(OR(INDEX($O$2:$O$1001,MATCH(ROWS($N$2:N510),$N$2:$N$1001,0),1)&gt;=100000,INDEX($U$1005:$AC$1005,1,MATCH(COLUMNS($U$1006:Y1006),$U$1006:$AC$1006,0))&gt;=100000), " ",IF(INDEX($U$2:$AC$1001,MATCH(ROWS($N$2:N510),$N$2:$N$1001,0),MATCH(COLUMNS($U$1006:Y1006),$U$1006:$AC$1006,0)), HYPERLINK("#",""), HYPERLINK(CONCATENATE("#metadata!", ADDRESS(INDEX($P$2:$P$1001,MATCH(ROWS($N$2:N510),$N$2:$N$1001,0),0), INDEX($U$1004:$AC$1004,1,MATCH(COLUMNS($U$1006:Y1006),$U$1006:$AC$1006,0)))),"Fix")))</f>
        <v>0</v>
      </c>
      <c r="G510" s="3">
        <f>IF(OR(INDEX($O$2:$O$1001,MATCH(ROWS($N$2:N510),$N$2:$N$1001,0),1)&gt;=100000,INDEX($U$1005:$AC$1005,1,MATCH(COLUMNS($U$1006:Z1006),$U$1006:$AC$1006,0))&gt;=100000), " ",IF(INDEX($U$2:$AC$1001,MATCH(ROWS($N$2:N510),$N$2:$N$1001,0),MATCH(COLUMNS($U$1006:Z1006),$U$1006:$AC$1006,0)), HYPERLINK("#",""), HYPERLINK(CONCATENATE("#metadata!", ADDRESS(INDEX($P$2:$P$1001,MATCH(ROWS($N$2:N510),$N$2:$N$1001,0),0), INDEX($U$1004:$AC$1004,1,MATCH(COLUMNS($U$1006:Z1006),$U$1006:$AC$1006,0)))),"Fix")))</f>
        <v>0</v>
      </c>
      <c r="H510" s="3">
        <f>IF(OR(INDEX($O$2:$O$1001,MATCH(ROWS($N$2:N510),$N$2:$N$1001,0),1)&gt;=100000,INDEX($U$1005:$AC$1005,1,MATCH(COLUMNS($U$1006:AA1006),$U$1006:$AC$1006,0))&gt;=100000), " ",IF(INDEX($U$2:$AC$1001,MATCH(ROWS($N$2:N510),$N$2:$N$1001,0),MATCH(COLUMNS($U$1006:AA1006),$U$1006:$AC$1006,0)), HYPERLINK("#",""), HYPERLINK(CONCATENATE("#metadata!", ADDRESS(INDEX($P$2:$P$1001,MATCH(ROWS($N$2:N510),$N$2:$N$1001,0),0), INDEX($U$1004:$AC$1004,1,MATCH(COLUMNS($U$1006:AA1006),$U$1006:$AC$1006,0)))),"Fix")))</f>
        <v>0</v>
      </c>
      <c r="I510" s="3">
        <f>IF(OR(INDEX($O$2:$O$1001,MATCH(ROWS($N$2:N510),$N$2:$N$1001,0),1)&gt;=100000,INDEX($U$1005:$AC$1005,1,MATCH(COLUMNS($U$1006:AB1006),$U$1006:$AC$1006,0))&gt;=100000), " ",IF(INDEX($U$2:$AC$1001,MATCH(ROWS($N$2:N510),$N$2:$N$1001,0),MATCH(COLUMNS($U$1006:AB1006),$U$1006:$AC$1006,0)), HYPERLINK("#",""), HYPERLINK(CONCATENATE("#metadata!", ADDRESS(INDEX($P$2:$P$1001,MATCH(ROWS($N$2:N510),$N$2:$N$1001,0),0), INDEX($U$1004:$AC$1004,1,MATCH(COLUMNS($U$1006:AB1006),$U$1006:$AC$1006,0)))),"Fix")))</f>
        <v>0</v>
      </c>
      <c r="J510" s="3">
        <f>IF(OR(INDEX($O$2:$O$1001,MATCH(ROWS($N$2:N510),$N$2:$N$1001,0),1)&gt;=100000,INDEX($U$1005:$AC$1005,1,MATCH(COLUMNS($U$1006:AC1006),$U$1006:$AC$1006,0))&gt;=100000), " ",IF(INDEX($U$2:$AC$1001,MATCH(ROWS($N$2:N510),$N$2:$N$1001,0),MATCH(COLUMNS($U$1006:AC1006),$U$1006:$AC$1006,0)), HYPERLINK("#",""), HYPERLINK(CONCATENATE("#metadata!", ADDRESS(INDEX($P$2:$P$1001,MATCH(ROWS($N$2:N510),$N$2:$N$1001,0),0), INDEX($U$1004:$AC$1004,1,MATCH(COLUMNS($U$1006:AC1006),$U$1006:$AC$1006,0)))),"Fix")))</f>
        <v>0</v>
      </c>
      <c r="N510">
        <v>0</v>
      </c>
      <c r="O510">
        <v>0</v>
      </c>
      <c r="P510">
        <v>0</v>
      </c>
      <c r="Q510">
        <f>IF(R510,TRUE,AND(U510:AC510))</f>
        <v>0</v>
      </c>
      <c r="R510">
        <f>COUNTBLANK(metadata!B510:J510)=COLUMNS(metadata!B510:J510)</f>
        <v>0</v>
      </c>
      <c r="S510">
        <v>0</v>
      </c>
      <c r="U510">
        <f>AND(IF(metadata!B510="",FALSE,TRUE),COUNTIF(metadata!B:B, metadata!B510) = 1,NOT(ISERROR(SUMPRODUCT(SEARCH(MID(metadata!B510,ROW(INDIRECT("1:"&amp;LEN(metadata!B510))), 1),"0123456789abcdefghijklmnopqrstuvwxyzABCDEFGHIJKLMNOPQRSTUVWXYZ.")))))</f>
        <v>0</v>
      </c>
      <c r="V510">
        <f>AND(IF(metadata!C510="",FALSE,TRUE),exact(metadata!C510,"UBERON:genitourinary"))</f>
        <v>0</v>
      </c>
      <c r="W510">
        <f>AND(IF(metadata!D510="",FALSE,TRUE),exact(metadata!D510,"UBERON:urine"))</f>
        <v>0</v>
      </c>
      <c r="X510">
        <f>AND(IF(metadata!E510="",FALSE,TRUE),exact(metadata!E510,"UBERON:kidney"))</f>
        <v>0</v>
      </c>
      <c r="Y510">
        <f>AND(IF(metadata!F510="",FALSE,TRUE),exact(metadata!F510,"animal corpus"))</f>
        <v>0</v>
      </c>
      <c r="Z510">
        <f>AND(IF(metadata!G510="",FALSE,TRUE),exact(metadata!G510,"urine"))</f>
        <v>0</v>
      </c>
      <c r="AA510">
        <f>AND(IF(metadata!H510="",FALSE,TRUE),exact(metadata!H510,"urine"))</f>
        <v>0</v>
      </c>
      <c r="AB510">
        <f>AND(IF(metadata!I510="",FALSE,TRUE),exact(metadata!I510,"urine metagenome"))</f>
        <v>0</v>
      </c>
      <c r="AC510">
        <f>AND(IF(metadata!J510="",FALSE,TRUE),exact(metadata!J510,"1346744"))</f>
        <v>0</v>
      </c>
    </row>
    <row r="511" spans="1:29">
      <c r="A511" s="4">
        <f>IF(B511=" "," ",HYPERLINK(CONCATENATE("#metadata!",ADDRESS(INDEX($P$2:$P$1001,MATCH(ROWS($N$2:N511),$N$2:$N$1001,0),0),1)),INDEX($S$2:$S$1001,MATCH(ROWS($N$2:N511),$N$2:$N$1001,0),0)))</f>
        <v>0</v>
      </c>
      <c r="B511" s="3">
        <f>IF(OR(INDEX($O$2:$O$1001,MATCH(ROWS($N$2:N511),$N$2:$N$1001,0),1)&gt;=100000,INDEX($U$1005:$AC$1005,1,MATCH(COLUMNS($U$1006:U1006),$U$1006:$AC$1006,0))&gt;=100000), " ",IF(INDEX($U$2:$AC$1001,MATCH(ROWS($N$2:N511),$N$2:$N$1001,0),MATCH(COLUMNS($U$1006:U1006),$U$1006:$AC$1006,0)), HYPERLINK("#",""), HYPERLINK(CONCATENATE("#metadata!", ADDRESS(INDEX($P$2:$P$1001,MATCH(ROWS($N$2:N511),$N$2:$N$1001,0),0), INDEX($U$1004:$AC$1004,1,MATCH(COLUMNS($U$1006:U1006),$U$1006:$AC$1006,0)))),"Fix")))</f>
        <v>0</v>
      </c>
      <c r="C511" s="3">
        <f>IF(OR(INDEX($O$2:$O$1001,MATCH(ROWS($N$2:N511),$N$2:$N$1001,0),1)&gt;=100000,INDEX($U$1005:$AC$1005,1,MATCH(COLUMNS($U$1006:V1006),$U$1006:$AC$1006,0))&gt;=100000), " ",IF(INDEX($U$2:$AC$1001,MATCH(ROWS($N$2:N511),$N$2:$N$1001,0),MATCH(COLUMNS($U$1006:V1006),$U$1006:$AC$1006,0)), HYPERLINK("#",""), HYPERLINK(CONCATENATE("#metadata!", ADDRESS(INDEX($P$2:$P$1001,MATCH(ROWS($N$2:N511),$N$2:$N$1001,0),0), INDEX($U$1004:$AC$1004,1,MATCH(COLUMNS($U$1006:V1006),$U$1006:$AC$1006,0)))),"Fix")))</f>
        <v>0</v>
      </c>
      <c r="D511" s="3">
        <f>IF(OR(INDEX($O$2:$O$1001,MATCH(ROWS($N$2:N511),$N$2:$N$1001,0),1)&gt;=100000,INDEX($U$1005:$AC$1005,1,MATCH(COLUMNS($U$1006:W1006),$U$1006:$AC$1006,0))&gt;=100000), " ",IF(INDEX($U$2:$AC$1001,MATCH(ROWS($N$2:N511),$N$2:$N$1001,0),MATCH(COLUMNS($U$1006:W1006),$U$1006:$AC$1006,0)), HYPERLINK("#",""), HYPERLINK(CONCATENATE("#metadata!", ADDRESS(INDEX($P$2:$P$1001,MATCH(ROWS($N$2:N511),$N$2:$N$1001,0),0), INDEX($U$1004:$AC$1004,1,MATCH(COLUMNS($U$1006:W1006),$U$1006:$AC$1006,0)))),"Fix")))</f>
        <v>0</v>
      </c>
      <c r="E511" s="3">
        <f>IF(OR(INDEX($O$2:$O$1001,MATCH(ROWS($N$2:N511),$N$2:$N$1001,0),1)&gt;=100000,INDEX($U$1005:$AC$1005,1,MATCH(COLUMNS($U$1006:X1006),$U$1006:$AC$1006,0))&gt;=100000), " ",IF(INDEX($U$2:$AC$1001,MATCH(ROWS($N$2:N511),$N$2:$N$1001,0),MATCH(COLUMNS($U$1006:X1006),$U$1006:$AC$1006,0)), HYPERLINK("#",""), HYPERLINK(CONCATENATE("#metadata!", ADDRESS(INDEX($P$2:$P$1001,MATCH(ROWS($N$2:N511),$N$2:$N$1001,0),0), INDEX($U$1004:$AC$1004,1,MATCH(COLUMNS($U$1006:X1006),$U$1006:$AC$1006,0)))),"Fix")))</f>
        <v>0</v>
      </c>
      <c r="F511" s="3">
        <f>IF(OR(INDEX($O$2:$O$1001,MATCH(ROWS($N$2:N511),$N$2:$N$1001,0),1)&gt;=100000,INDEX($U$1005:$AC$1005,1,MATCH(COLUMNS($U$1006:Y1006),$U$1006:$AC$1006,0))&gt;=100000), " ",IF(INDEX($U$2:$AC$1001,MATCH(ROWS($N$2:N511),$N$2:$N$1001,0),MATCH(COLUMNS($U$1006:Y1006),$U$1006:$AC$1006,0)), HYPERLINK("#",""), HYPERLINK(CONCATENATE("#metadata!", ADDRESS(INDEX($P$2:$P$1001,MATCH(ROWS($N$2:N511),$N$2:$N$1001,0),0), INDEX($U$1004:$AC$1004,1,MATCH(COLUMNS($U$1006:Y1006),$U$1006:$AC$1006,0)))),"Fix")))</f>
        <v>0</v>
      </c>
      <c r="G511" s="3">
        <f>IF(OR(INDEX($O$2:$O$1001,MATCH(ROWS($N$2:N511),$N$2:$N$1001,0),1)&gt;=100000,INDEX($U$1005:$AC$1005,1,MATCH(COLUMNS($U$1006:Z1006),$U$1006:$AC$1006,0))&gt;=100000), " ",IF(INDEX($U$2:$AC$1001,MATCH(ROWS($N$2:N511),$N$2:$N$1001,0),MATCH(COLUMNS($U$1006:Z1006),$U$1006:$AC$1006,0)), HYPERLINK("#",""), HYPERLINK(CONCATENATE("#metadata!", ADDRESS(INDEX($P$2:$P$1001,MATCH(ROWS($N$2:N511),$N$2:$N$1001,0),0), INDEX($U$1004:$AC$1004,1,MATCH(COLUMNS($U$1006:Z1006),$U$1006:$AC$1006,0)))),"Fix")))</f>
        <v>0</v>
      </c>
      <c r="H511" s="3">
        <f>IF(OR(INDEX($O$2:$O$1001,MATCH(ROWS($N$2:N511),$N$2:$N$1001,0),1)&gt;=100000,INDEX($U$1005:$AC$1005,1,MATCH(COLUMNS($U$1006:AA1006),$U$1006:$AC$1006,0))&gt;=100000), " ",IF(INDEX($U$2:$AC$1001,MATCH(ROWS($N$2:N511),$N$2:$N$1001,0),MATCH(COLUMNS($U$1006:AA1006),$U$1006:$AC$1006,0)), HYPERLINK("#",""), HYPERLINK(CONCATENATE("#metadata!", ADDRESS(INDEX($P$2:$P$1001,MATCH(ROWS($N$2:N511),$N$2:$N$1001,0),0), INDEX($U$1004:$AC$1004,1,MATCH(COLUMNS($U$1006:AA1006),$U$1006:$AC$1006,0)))),"Fix")))</f>
        <v>0</v>
      </c>
      <c r="I511" s="3">
        <f>IF(OR(INDEX($O$2:$O$1001,MATCH(ROWS($N$2:N511),$N$2:$N$1001,0),1)&gt;=100000,INDEX($U$1005:$AC$1005,1,MATCH(COLUMNS($U$1006:AB1006),$U$1006:$AC$1006,0))&gt;=100000), " ",IF(INDEX($U$2:$AC$1001,MATCH(ROWS($N$2:N511),$N$2:$N$1001,0),MATCH(COLUMNS($U$1006:AB1006),$U$1006:$AC$1006,0)), HYPERLINK("#",""), HYPERLINK(CONCATENATE("#metadata!", ADDRESS(INDEX($P$2:$P$1001,MATCH(ROWS($N$2:N511),$N$2:$N$1001,0),0), INDEX($U$1004:$AC$1004,1,MATCH(COLUMNS($U$1006:AB1006),$U$1006:$AC$1006,0)))),"Fix")))</f>
        <v>0</v>
      </c>
      <c r="J511" s="3">
        <f>IF(OR(INDEX($O$2:$O$1001,MATCH(ROWS($N$2:N511),$N$2:$N$1001,0),1)&gt;=100000,INDEX($U$1005:$AC$1005,1,MATCH(COLUMNS($U$1006:AC1006),$U$1006:$AC$1006,0))&gt;=100000), " ",IF(INDEX($U$2:$AC$1001,MATCH(ROWS($N$2:N511),$N$2:$N$1001,0),MATCH(COLUMNS($U$1006:AC1006),$U$1006:$AC$1006,0)), HYPERLINK("#",""), HYPERLINK(CONCATENATE("#metadata!", ADDRESS(INDEX($P$2:$P$1001,MATCH(ROWS($N$2:N511),$N$2:$N$1001,0),0), INDEX($U$1004:$AC$1004,1,MATCH(COLUMNS($U$1006:AC1006),$U$1006:$AC$1006,0)))),"Fix")))</f>
        <v>0</v>
      </c>
      <c r="N511">
        <v>0</v>
      </c>
      <c r="O511">
        <v>0</v>
      </c>
      <c r="P511">
        <v>0</v>
      </c>
      <c r="Q511">
        <f>IF(R511,TRUE,AND(U511:AC511))</f>
        <v>0</v>
      </c>
      <c r="R511">
        <f>COUNTBLANK(metadata!B511:J511)=COLUMNS(metadata!B511:J511)</f>
        <v>0</v>
      </c>
      <c r="S511">
        <v>0</v>
      </c>
      <c r="U511">
        <f>AND(IF(metadata!B511="",FALSE,TRUE),COUNTIF(metadata!B:B, metadata!B511) = 1,NOT(ISERROR(SUMPRODUCT(SEARCH(MID(metadata!B511,ROW(INDIRECT("1:"&amp;LEN(metadata!B511))), 1),"0123456789abcdefghijklmnopqrstuvwxyzABCDEFGHIJKLMNOPQRSTUVWXYZ.")))))</f>
        <v>0</v>
      </c>
      <c r="V511">
        <f>AND(IF(metadata!C511="",FALSE,TRUE),exact(metadata!C511,"UBERON:genitourinary"))</f>
        <v>0</v>
      </c>
      <c r="W511">
        <f>AND(IF(metadata!D511="",FALSE,TRUE),exact(metadata!D511,"UBERON:urine"))</f>
        <v>0</v>
      </c>
      <c r="X511">
        <f>AND(IF(metadata!E511="",FALSE,TRUE),exact(metadata!E511,"UBERON:kidney"))</f>
        <v>0</v>
      </c>
      <c r="Y511">
        <f>AND(IF(metadata!F511="",FALSE,TRUE),exact(metadata!F511,"animal corpus"))</f>
        <v>0</v>
      </c>
      <c r="Z511">
        <f>AND(IF(metadata!G511="",FALSE,TRUE),exact(metadata!G511,"urine"))</f>
        <v>0</v>
      </c>
      <c r="AA511">
        <f>AND(IF(metadata!H511="",FALSE,TRUE),exact(metadata!H511,"urine"))</f>
        <v>0</v>
      </c>
      <c r="AB511">
        <f>AND(IF(metadata!I511="",FALSE,TRUE),exact(metadata!I511,"urine metagenome"))</f>
        <v>0</v>
      </c>
      <c r="AC511">
        <f>AND(IF(metadata!J511="",FALSE,TRUE),exact(metadata!J511,"1346744"))</f>
        <v>0</v>
      </c>
    </row>
    <row r="512" spans="1:29">
      <c r="A512" s="4">
        <f>IF(B512=" "," ",HYPERLINK(CONCATENATE("#metadata!",ADDRESS(INDEX($P$2:$P$1001,MATCH(ROWS($N$2:N512),$N$2:$N$1001,0),0),1)),INDEX($S$2:$S$1001,MATCH(ROWS($N$2:N512),$N$2:$N$1001,0),0)))</f>
        <v>0</v>
      </c>
      <c r="B512" s="3">
        <f>IF(OR(INDEX($O$2:$O$1001,MATCH(ROWS($N$2:N512),$N$2:$N$1001,0),1)&gt;=100000,INDEX($U$1005:$AC$1005,1,MATCH(COLUMNS($U$1006:U1006),$U$1006:$AC$1006,0))&gt;=100000), " ",IF(INDEX($U$2:$AC$1001,MATCH(ROWS($N$2:N512),$N$2:$N$1001,0),MATCH(COLUMNS($U$1006:U1006),$U$1006:$AC$1006,0)), HYPERLINK("#",""), HYPERLINK(CONCATENATE("#metadata!", ADDRESS(INDEX($P$2:$P$1001,MATCH(ROWS($N$2:N512),$N$2:$N$1001,0),0), INDEX($U$1004:$AC$1004,1,MATCH(COLUMNS($U$1006:U1006),$U$1006:$AC$1006,0)))),"Fix")))</f>
        <v>0</v>
      </c>
      <c r="C512" s="3">
        <f>IF(OR(INDEX($O$2:$O$1001,MATCH(ROWS($N$2:N512),$N$2:$N$1001,0),1)&gt;=100000,INDEX($U$1005:$AC$1005,1,MATCH(COLUMNS($U$1006:V1006),$U$1006:$AC$1006,0))&gt;=100000), " ",IF(INDEX($U$2:$AC$1001,MATCH(ROWS($N$2:N512),$N$2:$N$1001,0),MATCH(COLUMNS($U$1006:V1006),$U$1006:$AC$1006,0)), HYPERLINK("#",""), HYPERLINK(CONCATENATE("#metadata!", ADDRESS(INDEX($P$2:$P$1001,MATCH(ROWS($N$2:N512),$N$2:$N$1001,0),0), INDEX($U$1004:$AC$1004,1,MATCH(COLUMNS($U$1006:V1006),$U$1006:$AC$1006,0)))),"Fix")))</f>
        <v>0</v>
      </c>
      <c r="D512" s="3">
        <f>IF(OR(INDEX($O$2:$O$1001,MATCH(ROWS($N$2:N512),$N$2:$N$1001,0),1)&gt;=100000,INDEX($U$1005:$AC$1005,1,MATCH(COLUMNS($U$1006:W1006),$U$1006:$AC$1006,0))&gt;=100000), " ",IF(INDEX($U$2:$AC$1001,MATCH(ROWS($N$2:N512),$N$2:$N$1001,0),MATCH(COLUMNS($U$1006:W1006),$U$1006:$AC$1006,0)), HYPERLINK("#",""), HYPERLINK(CONCATENATE("#metadata!", ADDRESS(INDEX($P$2:$P$1001,MATCH(ROWS($N$2:N512),$N$2:$N$1001,0),0), INDEX($U$1004:$AC$1004,1,MATCH(COLUMNS($U$1006:W1006),$U$1006:$AC$1006,0)))),"Fix")))</f>
        <v>0</v>
      </c>
      <c r="E512" s="3">
        <f>IF(OR(INDEX($O$2:$O$1001,MATCH(ROWS($N$2:N512),$N$2:$N$1001,0),1)&gt;=100000,INDEX($U$1005:$AC$1005,1,MATCH(COLUMNS($U$1006:X1006),$U$1006:$AC$1006,0))&gt;=100000), " ",IF(INDEX($U$2:$AC$1001,MATCH(ROWS($N$2:N512),$N$2:$N$1001,0),MATCH(COLUMNS($U$1006:X1006),$U$1006:$AC$1006,0)), HYPERLINK("#",""), HYPERLINK(CONCATENATE("#metadata!", ADDRESS(INDEX($P$2:$P$1001,MATCH(ROWS($N$2:N512),$N$2:$N$1001,0),0), INDEX($U$1004:$AC$1004,1,MATCH(COLUMNS($U$1006:X1006),$U$1006:$AC$1006,0)))),"Fix")))</f>
        <v>0</v>
      </c>
      <c r="F512" s="3">
        <f>IF(OR(INDEX($O$2:$O$1001,MATCH(ROWS($N$2:N512),$N$2:$N$1001,0),1)&gt;=100000,INDEX($U$1005:$AC$1005,1,MATCH(COLUMNS($U$1006:Y1006),$U$1006:$AC$1006,0))&gt;=100000), " ",IF(INDEX($U$2:$AC$1001,MATCH(ROWS($N$2:N512),$N$2:$N$1001,0),MATCH(COLUMNS($U$1006:Y1006),$U$1006:$AC$1006,0)), HYPERLINK("#",""), HYPERLINK(CONCATENATE("#metadata!", ADDRESS(INDEX($P$2:$P$1001,MATCH(ROWS($N$2:N512),$N$2:$N$1001,0),0), INDEX($U$1004:$AC$1004,1,MATCH(COLUMNS($U$1006:Y1006),$U$1006:$AC$1006,0)))),"Fix")))</f>
        <v>0</v>
      </c>
      <c r="G512" s="3">
        <f>IF(OR(INDEX($O$2:$O$1001,MATCH(ROWS($N$2:N512),$N$2:$N$1001,0),1)&gt;=100000,INDEX($U$1005:$AC$1005,1,MATCH(COLUMNS($U$1006:Z1006),$U$1006:$AC$1006,0))&gt;=100000), " ",IF(INDEX($U$2:$AC$1001,MATCH(ROWS($N$2:N512),$N$2:$N$1001,0),MATCH(COLUMNS($U$1006:Z1006),$U$1006:$AC$1006,0)), HYPERLINK("#",""), HYPERLINK(CONCATENATE("#metadata!", ADDRESS(INDEX($P$2:$P$1001,MATCH(ROWS($N$2:N512),$N$2:$N$1001,0),0), INDEX($U$1004:$AC$1004,1,MATCH(COLUMNS($U$1006:Z1006),$U$1006:$AC$1006,0)))),"Fix")))</f>
        <v>0</v>
      </c>
      <c r="H512" s="3">
        <f>IF(OR(INDEX($O$2:$O$1001,MATCH(ROWS($N$2:N512),$N$2:$N$1001,0),1)&gt;=100000,INDEX($U$1005:$AC$1005,1,MATCH(COLUMNS($U$1006:AA1006),$U$1006:$AC$1006,0))&gt;=100000), " ",IF(INDEX($U$2:$AC$1001,MATCH(ROWS($N$2:N512),$N$2:$N$1001,0),MATCH(COLUMNS($U$1006:AA1006),$U$1006:$AC$1006,0)), HYPERLINK("#",""), HYPERLINK(CONCATENATE("#metadata!", ADDRESS(INDEX($P$2:$P$1001,MATCH(ROWS($N$2:N512),$N$2:$N$1001,0),0), INDEX($U$1004:$AC$1004,1,MATCH(COLUMNS($U$1006:AA1006),$U$1006:$AC$1006,0)))),"Fix")))</f>
        <v>0</v>
      </c>
      <c r="I512" s="3">
        <f>IF(OR(INDEX($O$2:$O$1001,MATCH(ROWS($N$2:N512),$N$2:$N$1001,0),1)&gt;=100000,INDEX($U$1005:$AC$1005,1,MATCH(COLUMNS($U$1006:AB1006),$U$1006:$AC$1006,0))&gt;=100000), " ",IF(INDEX($U$2:$AC$1001,MATCH(ROWS($N$2:N512),$N$2:$N$1001,0),MATCH(COLUMNS($U$1006:AB1006),$U$1006:$AC$1006,0)), HYPERLINK("#",""), HYPERLINK(CONCATENATE("#metadata!", ADDRESS(INDEX($P$2:$P$1001,MATCH(ROWS($N$2:N512),$N$2:$N$1001,0),0), INDEX($U$1004:$AC$1004,1,MATCH(COLUMNS($U$1006:AB1006),$U$1006:$AC$1006,0)))),"Fix")))</f>
        <v>0</v>
      </c>
      <c r="J512" s="3">
        <f>IF(OR(INDEX($O$2:$O$1001,MATCH(ROWS($N$2:N512),$N$2:$N$1001,0),1)&gt;=100000,INDEX($U$1005:$AC$1005,1,MATCH(COLUMNS($U$1006:AC1006),$U$1006:$AC$1006,0))&gt;=100000), " ",IF(INDEX($U$2:$AC$1001,MATCH(ROWS($N$2:N512),$N$2:$N$1001,0),MATCH(COLUMNS($U$1006:AC1006),$U$1006:$AC$1006,0)), HYPERLINK("#",""), HYPERLINK(CONCATENATE("#metadata!", ADDRESS(INDEX($P$2:$P$1001,MATCH(ROWS($N$2:N512),$N$2:$N$1001,0),0), INDEX($U$1004:$AC$1004,1,MATCH(COLUMNS($U$1006:AC1006),$U$1006:$AC$1006,0)))),"Fix")))</f>
        <v>0</v>
      </c>
      <c r="N512">
        <v>0</v>
      </c>
      <c r="O512">
        <v>0</v>
      </c>
      <c r="P512">
        <v>0</v>
      </c>
      <c r="Q512">
        <f>IF(R512,TRUE,AND(U512:AC512))</f>
        <v>0</v>
      </c>
      <c r="R512">
        <f>COUNTBLANK(metadata!B512:J512)=COLUMNS(metadata!B512:J512)</f>
        <v>0</v>
      </c>
      <c r="S512">
        <v>0</v>
      </c>
      <c r="U512">
        <f>AND(IF(metadata!B512="",FALSE,TRUE),COUNTIF(metadata!B:B, metadata!B512) = 1,NOT(ISERROR(SUMPRODUCT(SEARCH(MID(metadata!B512,ROW(INDIRECT("1:"&amp;LEN(metadata!B512))), 1),"0123456789abcdefghijklmnopqrstuvwxyzABCDEFGHIJKLMNOPQRSTUVWXYZ.")))))</f>
        <v>0</v>
      </c>
      <c r="V512">
        <f>AND(IF(metadata!C512="",FALSE,TRUE),exact(metadata!C512,"UBERON:genitourinary"))</f>
        <v>0</v>
      </c>
      <c r="W512">
        <f>AND(IF(metadata!D512="",FALSE,TRUE),exact(metadata!D512,"UBERON:urine"))</f>
        <v>0</v>
      </c>
      <c r="X512">
        <f>AND(IF(metadata!E512="",FALSE,TRUE),exact(metadata!E512,"UBERON:kidney"))</f>
        <v>0</v>
      </c>
      <c r="Y512">
        <f>AND(IF(metadata!F512="",FALSE,TRUE),exact(metadata!F512,"animal corpus"))</f>
        <v>0</v>
      </c>
      <c r="Z512">
        <f>AND(IF(metadata!G512="",FALSE,TRUE),exact(metadata!G512,"urine"))</f>
        <v>0</v>
      </c>
      <c r="AA512">
        <f>AND(IF(metadata!H512="",FALSE,TRUE),exact(metadata!H512,"urine"))</f>
        <v>0</v>
      </c>
      <c r="AB512">
        <f>AND(IF(metadata!I512="",FALSE,TRUE),exact(metadata!I512,"urine metagenome"))</f>
        <v>0</v>
      </c>
      <c r="AC512">
        <f>AND(IF(metadata!J512="",FALSE,TRUE),exact(metadata!J512,"1346744"))</f>
        <v>0</v>
      </c>
    </row>
    <row r="513" spans="1:29">
      <c r="A513" s="4">
        <f>IF(B513=" "," ",HYPERLINK(CONCATENATE("#metadata!",ADDRESS(INDEX($P$2:$P$1001,MATCH(ROWS($N$2:N513),$N$2:$N$1001,0),0),1)),INDEX($S$2:$S$1001,MATCH(ROWS($N$2:N513),$N$2:$N$1001,0),0)))</f>
        <v>0</v>
      </c>
      <c r="B513" s="3">
        <f>IF(OR(INDEX($O$2:$O$1001,MATCH(ROWS($N$2:N513),$N$2:$N$1001,0),1)&gt;=100000,INDEX($U$1005:$AC$1005,1,MATCH(COLUMNS($U$1006:U1006),$U$1006:$AC$1006,0))&gt;=100000), " ",IF(INDEX($U$2:$AC$1001,MATCH(ROWS($N$2:N513),$N$2:$N$1001,0),MATCH(COLUMNS($U$1006:U1006),$U$1006:$AC$1006,0)), HYPERLINK("#",""), HYPERLINK(CONCATENATE("#metadata!", ADDRESS(INDEX($P$2:$P$1001,MATCH(ROWS($N$2:N513),$N$2:$N$1001,0),0), INDEX($U$1004:$AC$1004,1,MATCH(COLUMNS($U$1006:U1006),$U$1006:$AC$1006,0)))),"Fix")))</f>
        <v>0</v>
      </c>
      <c r="C513" s="3">
        <f>IF(OR(INDEX($O$2:$O$1001,MATCH(ROWS($N$2:N513),$N$2:$N$1001,0),1)&gt;=100000,INDEX($U$1005:$AC$1005,1,MATCH(COLUMNS($U$1006:V1006),$U$1006:$AC$1006,0))&gt;=100000), " ",IF(INDEX($U$2:$AC$1001,MATCH(ROWS($N$2:N513),$N$2:$N$1001,0),MATCH(COLUMNS($U$1006:V1006),$U$1006:$AC$1006,0)), HYPERLINK("#",""), HYPERLINK(CONCATENATE("#metadata!", ADDRESS(INDEX($P$2:$P$1001,MATCH(ROWS($N$2:N513),$N$2:$N$1001,0),0), INDEX($U$1004:$AC$1004,1,MATCH(COLUMNS($U$1006:V1006),$U$1006:$AC$1006,0)))),"Fix")))</f>
        <v>0</v>
      </c>
      <c r="D513" s="3">
        <f>IF(OR(INDEX($O$2:$O$1001,MATCH(ROWS($N$2:N513),$N$2:$N$1001,0),1)&gt;=100000,INDEX($U$1005:$AC$1005,1,MATCH(COLUMNS($U$1006:W1006),$U$1006:$AC$1006,0))&gt;=100000), " ",IF(INDEX($U$2:$AC$1001,MATCH(ROWS($N$2:N513),$N$2:$N$1001,0),MATCH(COLUMNS($U$1006:W1006),$U$1006:$AC$1006,0)), HYPERLINK("#",""), HYPERLINK(CONCATENATE("#metadata!", ADDRESS(INDEX($P$2:$P$1001,MATCH(ROWS($N$2:N513),$N$2:$N$1001,0),0), INDEX($U$1004:$AC$1004,1,MATCH(COLUMNS($U$1006:W1006),$U$1006:$AC$1006,0)))),"Fix")))</f>
        <v>0</v>
      </c>
      <c r="E513" s="3">
        <f>IF(OR(INDEX($O$2:$O$1001,MATCH(ROWS($N$2:N513),$N$2:$N$1001,0),1)&gt;=100000,INDEX($U$1005:$AC$1005,1,MATCH(COLUMNS($U$1006:X1006),$U$1006:$AC$1006,0))&gt;=100000), " ",IF(INDEX($U$2:$AC$1001,MATCH(ROWS($N$2:N513),$N$2:$N$1001,0),MATCH(COLUMNS($U$1006:X1006),$U$1006:$AC$1006,0)), HYPERLINK("#",""), HYPERLINK(CONCATENATE("#metadata!", ADDRESS(INDEX($P$2:$P$1001,MATCH(ROWS($N$2:N513),$N$2:$N$1001,0),0), INDEX($U$1004:$AC$1004,1,MATCH(COLUMNS($U$1006:X1006),$U$1006:$AC$1006,0)))),"Fix")))</f>
        <v>0</v>
      </c>
      <c r="F513" s="3">
        <f>IF(OR(INDEX($O$2:$O$1001,MATCH(ROWS($N$2:N513),$N$2:$N$1001,0),1)&gt;=100000,INDEX($U$1005:$AC$1005,1,MATCH(COLUMNS($U$1006:Y1006),$U$1006:$AC$1006,0))&gt;=100000), " ",IF(INDEX($U$2:$AC$1001,MATCH(ROWS($N$2:N513),$N$2:$N$1001,0),MATCH(COLUMNS($U$1006:Y1006),$U$1006:$AC$1006,0)), HYPERLINK("#",""), HYPERLINK(CONCATENATE("#metadata!", ADDRESS(INDEX($P$2:$P$1001,MATCH(ROWS($N$2:N513),$N$2:$N$1001,0),0), INDEX($U$1004:$AC$1004,1,MATCH(COLUMNS($U$1006:Y1006),$U$1006:$AC$1006,0)))),"Fix")))</f>
        <v>0</v>
      </c>
      <c r="G513" s="3">
        <f>IF(OR(INDEX($O$2:$O$1001,MATCH(ROWS($N$2:N513),$N$2:$N$1001,0),1)&gt;=100000,INDEX($U$1005:$AC$1005,1,MATCH(COLUMNS($U$1006:Z1006),$U$1006:$AC$1006,0))&gt;=100000), " ",IF(INDEX($U$2:$AC$1001,MATCH(ROWS($N$2:N513),$N$2:$N$1001,0),MATCH(COLUMNS($U$1006:Z1006),$U$1006:$AC$1006,0)), HYPERLINK("#",""), HYPERLINK(CONCATENATE("#metadata!", ADDRESS(INDEX($P$2:$P$1001,MATCH(ROWS($N$2:N513),$N$2:$N$1001,0),0), INDEX($U$1004:$AC$1004,1,MATCH(COLUMNS($U$1006:Z1006),$U$1006:$AC$1006,0)))),"Fix")))</f>
        <v>0</v>
      </c>
      <c r="H513" s="3">
        <f>IF(OR(INDEX($O$2:$O$1001,MATCH(ROWS($N$2:N513),$N$2:$N$1001,0),1)&gt;=100000,INDEX($U$1005:$AC$1005,1,MATCH(COLUMNS($U$1006:AA1006),$U$1006:$AC$1006,0))&gt;=100000), " ",IF(INDEX($U$2:$AC$1001,MATCH(ROWS($N$2:N513),$N$2:$N$1001,0),MATCH(COLUMNS($U$1006:AA1006),$U$1006:$AC$1006,0)), HYPERLINK("#",""), HYPERLINK(CONCATENATE("#metadata!", ADDRESS(INDEX($P$2:$P$1001,MATCH(ROWS($N$2:N513),$N$2:$N$1001,0),0), INDEX($U$1004:$AC$1004,1,MATCH(COLUMNS($U$1006:AA1006),$U$1006:$AC$1006,0)))),"Fix")))</f>
        <v>0</v>
      </c>
      <c r="I513" s="3">
        <f>IF(OR(INDEX($O$2:$O$1001,MATCH(ROWS($N$2:N513),$N$2:$N$1001,0),1)&gt;=100000,INDEX($U$1005:$AC$1005,1,MATCH(COLUMNS($U$1006:AB1006),$U$1006:$AC$1006,0))&gt;=100000), " ",IF(INDEX($U$2:$AC$1001,MATCH(ROWS($N$2:N513),$N$2:$N$1001,0),MATCH(COLUMNS($U$1006:AB1006),$U$1006:$AC$1006,0)), HYPERLINK("#",""), HYPERLINK(CONCATENATE("#metadata!", ADDRESS(INDEX($P$2:$P$1001,MATCH(ROWS($N$2:N513),$N$2:$N$1001,0),0), INDEX($U$1004:$AC$1004,1,MATCH(COLUMNS($U$1006:AB1006),$U$1006:$AC$1006,0)))),"Fix")))</f>
        <v>0</v>
      </c>
      <c r="J513" s="3">
        <f>IF(OR(INDEX($O$2:$O$1001,MATCH(ROWS($N$2:N513),$N$2:$N$1001,0),1)&gt;=100000,INDEX($U$1005:$AC$1005,1,MATCH(COLUMNS($U$1006:AC1006),$U$1006:$AC$1006,0))&gt;=100000), " ",IF(INDEX($U$2:$AC$1001,MATCH(ROWS($N$2:N513),$N$2:$N$1001,0),MATCH(COLUMNS($U$1006:AC1006),$U$1006:$AC$1006,0)), HYPERLINK("#",""), HYPERLINK(CONCATENATE("#metadata!", ADDRESS(INDEX($P$2:$P$1001,MATCH(ROWS($N$2:N513),$N$2:$N$1001,0),0), INDEX($U$1004:$AC$1004,1,MATCH(COLUMNS($U$1006:AC1006),$U$1006:$AC$1006,0)))),"Fix")))</f>
        <v>0</v>
      </c>
      <c r="N513">
        <v>0</v>
      </c>
      <c r="O513">
        <v>0</v>
      </c>
      <c r="P513">
        <v>0</v>
      </c>
      <c r="Q513">
        <f>IF(R513,TRUE,AND(U513:AC513))</f>
        <v>0</v>
      </c>
      <c r="R513">
        <f>COUNTBLANK(metadata!B513:J513)=COLUMNS(metadata!B513:J513)</f>
        <v>0</v>
      </c>
      <c r="S513">
        <v>0</v>
      </c>
      <c r="U513">
        <f>AND(IF(metadata!B513="",FALSE,TRUE),COUNTIF(metadata!B:B, metadata!B513) = 1,NOT(ISERROR(SUMPRODUCT(SEARCH(MID(metadata!B513,ROW(INDIRECT("1:"&amp;LEN(metadata!B513))), 1),"0123456789abcdefghijklmnopqrstuvwxyzABCDEFGHIJKLMNOPQRSTUVWXYZ.")))))</f>
        <v>0</v>
      </c>
      <c r="V513">
        <f>AND(IF(metadata!C513="",FALSE,TRUE),exact(metadata!C513,"UBERON:genitourinary"))</f>
        <v>0</v>
      </c>
      <c r="W513">
        <f>AND(IF(metadata!D513="",FALSE,TRUE),exact(metadata!D513,"UBERON:urine"))</f>
        <v>0</v>
      </c>
      <c r="X513">
        <f>AND(IF(metadata!E513="",FALSE,TRUE),exact(metadata!E513,"UBERON:kidney"))</f>
        <v>0</v>
      </c>
      <c r="Y513">
        <f>AND(IF(metadata!F513="",FALSE,TRUE),exact(metadata!F513,"animal corpus"))</f>
        <v>0</v>
      </c>
      <c r="Z513">
        <f>AND(IF(metadata!G513="",FALSE,TRUE),exact(metadata!G513,"urine"))</f>
        <v>0</v>
      </c>
      <c r="AA513">
        <f>AND(IF(metadata!H513="",FALSE,TRUE),exact(metadata!H513,"urine"))</f>
        <v>0</v>
      </c>
      <c r="AB513">
        <f>AND(IF(metadata!I513="",FALSE,TRUE),exact(metadata!I513,"urine metagenome"))</f>
        <v>0</v>
      </c>
      <c r="AC513">
        <f>AND(IF(metadata!J513="",FALSE,TRUE),exact(metadata!J513,"1346744"))</f>
        <v>0</v>
      </c>
    </row>
    <row r="514" spans="1:29">
      <c r="A514" s="4">
        <f>IF(B514=" "," ",HYPERLINK(CONCATENATE("#metadata!",ADDRESS(INDEX($P$2:$P$1001,MATCH(ROWS($N$2:N514),$N$2:$N$1001,0),0),1)),INDEX($S$2:$S$1001,MATCH(ROWS($N$2:N514),$N$2:$N$1001,0),0)))</f>
        <v>0</v>
      </c>
      <c r="B514" s="3">
        <f>IF(OR(INDEX($O$2:$O$1001,MATCH(ROWS($N$2:N514),$N$2:$N$1001,0),1)&gt;=100000,INDEX($U$1005:$AC$1005,1,MATCH(COLUMNS($U$1006:U1006),$U$1006:$AC$1006,0))&gt;=100000), " ",IF(INDEX($U$2:$AC$1001,MATCH(ROWS($N$2:N514),$N$2:$N$1001,0),MATCH(COLUMNS($U$1006:U1006),$U$1006:$AC$1006,0)), HYPERLINK("#",""), HYPERLINK(CONCATENATE("#metadata!", ADDRESS(INDEX($P$2:$P$1001,MATCH(ROWS($N$2:N514),$N$2:$N$1001,0),0), INDEX($U$1004:$AC$1004,1,MATCH(COLUMNS($U$1006:U1006),$U$1006:$AC$1006,0)))),"Fix")))</f>
        <v>0</v>
      </c>
      <c r="C514" s="3">
        <f>IF(OR(INDEX($O$2:$O$1001,MATCH(ROWS($N$2:N514),$N$2:$N$1001,0),1)&gt;=100000,INDEX($U$1005:$AC$1005,1,MATCH(COLUMNS($U$1006:V1006),$U$1006:$AC$1006,0))&gt;=100000), " ",IF(INDEX($U$2:$AC$1001,MATCH(ROWS($N$2:N514),$N$2:$N$1001,0),MATCH(COLUMNS($U$1006:V1006),$U$1006:$AC$1006,0)), HYPERLINK("#",""), HYPERLINK(CONCATENATE("#metadata!", ADDRESS(INDEX($P$2:$P$1001,MATCH(ROWS($N$2:N514),$N$2:$N$1001,0),0), INDEX($U$1004:$AC$1004,1,MATCH(COLUMNS($U$1006:V1006),$U$1006:$AC$1006,0)))),"Fix")))</f>
        <v>0</v>
      </c>
      <c r="D514" s="3">
        <f>IF(OR(INDEX($O$2:$O$1001,MATCH(ROWS($N$2:N514),$N$2:$N$1001,0),1)&gt;=100000,INDEX($U$1005:$AC$1005,1,MATCH(COLUMNS($U$1006:W1006),$U$1006:$AC$1006,0))&gt;=100000), " ",IF(INDEX($U$2:$AC$1001,MATCH(ROWS($N$2:N514),$N$2:$N$1001,0),MATCH(COLUMNS($U$1006:W1006),$U$1006:$AC$1006,0)), HYPERLINK("#",""), HYPERLINK(CONCATENATE("#metadata!", ADDRESS(INDEX($P$2:$P$1001,MATCH(ROWS($N$2:N514),$N$2:$N$1001,0),0), INDEX($U$1004:$AC$1004,1,MATCH(COLUMNS($U$1006:W1006),$U$1006:$AC$1006,0)))),"Fix")))</f>
        <v>0</v>
      </c>
      <c r="E514" s="3">
        <f>IF(OR(INDEX($O$2:$O$1001,MATCH(ROWS($N$2:N514),$N$2:$N$1001,0),1)&gt;=100000,INDEX($U$1005:$AC$1005,1,MATCH(COLUMNS($U$1006:X1006),$U$1006:$AC$1006,0))&gt;=100000), " ",IF(INDEX($U$2:$AC$1001,MATCH(ROWS($N$2:N514),$N$2:$N$1001,0),MATCH(COLUMNS($U$1006:X1006),$U$1006:$AC$1006,0)), HYPERLINK("#",""), HYPERLINK(CONCATENATE("#metadata!", ADDRESS(INDEX($P$2:$P$1001,MATCH(ROWS($N$2:N514),$N$2:$N$1001,0),0), INDEX($U$1004:$AC$1004,1,MATCH(COLUMNS($U$1006:X1006),$U$1006:$AC$1006,0)))),"Fix")))</f>
        <v>0</v>
      </c>
      <c r="F514" s="3">
        <f>IF(OR(INDEX($O$2:$O$1001,MATCH(ROWS($N$2:N514),$N$2:$N$1001,0),1)&gt;=100000,INDEX($U$1005:$AC$1005,1,MATCH(COLUMNS($U$1006:Y1006),$U$1006:$AC$1006,0))&gt;=100000), " ",IF(INDEX($U$2:$AC$1001,MATCH(ROWS($N$2:N514),$N$2:$N$1001,0),MATCH(COLUMNS($U$1006:Y1006),$U$1006:$AC$1006,0)), HYPERLINK("#",""), HYPERLINK(CONCATENATE("#metadata!", ADDRESS(INDEX($P$2:$P$1001,MATCH(ROWS($N$2:N514),$N$2:$N$1001,0),0), INDEX($U$1004:$AC$1004,1,MATCH(COLUMNS($U$1006:Y1006),$U$1006:$AC$1006,0)))),"Fix")))</f>
        <v>0</v>
      </c>
      <c r="G514" s="3">
        <f>IF(OR(INDEX($O$2:$O$1001,MATCH(ROWS($N$2:N514),$N$2:$N$1001,0),1)&gt;=100000,INDEX($U$1005:$AC$1005,1,MATCH(COLUMNS($U$1006:Z1006),$U$1006:$AC$1006,0))&gt;=100000), " ",IF(INDEX($U$2:$AC$1001,MATCH(ROWS($N$2:N514),$N$2:$N$1001,0),MATCH(COLUMNS($U$1006:Z1006),$U$1006:$AC$1006,0)), HYPERLINK("#",""), HYPERLINK(CONCATENATE("#metadata!", ADDRESS(INDEX($P$2:$P$1001,MATCH(ROWS($N$2:N514),$N$2:$N$1001,0),0), INDEX($U$1004:$AC$1004,1,MATCH(COLUMNS($U$1006:Z1006),$U$1006:$AC$1006,0)))),"Fix")))</f>
        <v>0</v>
      </c>
      <c r="H514" s="3">
        <f>IF(OR(INDEX($O$2:$O$1001,MATCH(ROWS($N$2:N514),$N$2:$N$1001,0),1)&gt;=100000,INDEX($U$1005:$AC$1005,1,MATCH(COLUMNS($U$1006:AA1006),$U$1006:$AC$1006,0))&gt;=100000), " ",IF(INDEX($U$2:$AC$1001,MATCH(ROWS($N$2:N514),$N$2:$N$1001,0),MATCH(COLUMNS($U$1006:AA1006),$U$1006:$AC$1006,0)), HYPERLINK("#",""), HYPERLINK(CONCATENATE("#metadata!", ADDRESS(INDEX($P$2:$P$1001,MATCH(ROWS($N$2:N514),$N$2:$N$1001,0),0), INDEX($U$1004:$AC$1004,1,MATCH(COLUMNS($U$1006:AA1006),$U$1006:$AC$1006,0)))),"Fix")))</f>
        <v>0</v>
      </c>
      <c r="I514" s="3">
        <f>IF(OR(INDEX($O$2:$O$1001,MATCH(ROWS($N$2:N514),$N$2:$N$1001,0),1)&gt;=100000,INDEX($U$1005:$AC$1005,1,MATCH(COLUMNS($U$1006:AB1006),$U$1006:$AC$1006,0))&gt;=100000), " ",IF(INDEX($U$2:$AC$1001,MATCH(ROWS($N$2:N514),$N$2:$N$1001,0),MATCH(COLUMNS($U$1006:AB1006),$U$1006:$AC$1006,0)), HYPERLINK("#",""), HYPERLINK(CONCATENATE("#metadata!", ADDRESS(INDEX($P$2:$P$1001,MATCH(ROWS($N$2:N514),$N$2:$N$1001,0),0), INDEX($U$1004:$AC$1004,1,MATCH(COLUMNS($U$1006:AB1006),$U$1006:$AC$1006,0)))),"Fix")))</f>
        <v>0</v>
      </c>
      <c r="J514" s="3">
        <f>IF(OR(INDEX($O$2:$O$1001,MATCH(ROWS($N$2:N514),$N$2:$N$1001,0),1)&gt;=100000,INDEX($U$1005:$AC$1005,1,MATCH(COLUMNS($U$1006:AC1006),$U$1006:$AC$1006,0))&gt;=100000), " ",IF(INDEX($U$2:$AC$1001,MATCH(ROWS($N$2:N514),$N$2:$N$1001,0),MATCH(COLUMNS($U$1006:AC1006),$U$1006:$AC$1006,0)), HYPERLINK("#",""), HYPERLINK(CONCATENATE("#metadata!", ADDRESS(INDEX($P$2:$P$1001,MATCH(ROWS($N$2:N514),$N$2:$N$1001,0),0), INDEX($U$1004:$AC$1004,1,MATCH(COLUMNS($U$1006:AC1006),$U$1006:$AC$1006,0)))),"Fix")))</f>
        <v>0</v>
      </c>
      <c r="N514">
        <v>0</v>
      </c>
      <c r="O514">
        <v>0</v>
      </c>
      <c r="P514">
        <v>0</v>
      </c>
      <c r="Q514">
        <f>IF(R514,TRUE,AND(U514:AC514))</f>
        <v>0</v>
      </c>
      <c r="R514">
        <f>COUNTBLANK(metadata!B514:J514)=COLUMNS(metadata!B514:J514)</f>
        <v>0</v>
      </c>
      <c r="S514">
        <v>0</v>
      </c>
      <c r="U514">
        <f>AND(IF(metadata!B514="",FALSE,TRUE),COUNTIF(metadata!B:B, metadata!B514) = 1,NOT(ISERROR(SUMPRODUCT(SEARCH(MID(metadata!B514,ROW(INDIRECT("1:"&amp;LEN(metadata!B514))), 1),"0123456789abcdefghijklmnopqrstuvwxyzABCDEFGHIJKLMNOPQRSTUVWXYZ.")))))</f>
        <v>0</v>
      </c>
      <c r="V514">
        <f>AND(IF(metadata!C514="",FALSE,TRUE),exact(metadata!C514,"UBERON:genitourinary"))</f>
        <v>0</v>
      </c>
      <c r="W514">
        <f>AND(IF(metadata!D514="",FALSE,TRUE),exact(metadata!D514,"UBERON:urine"))</f>
        <v>0</v>
      </c>
      <c r="X514">
        <f>AND(IF(metadata!E514="",FALSE,TRUE),exact(metadata!E514,"UBERON:kidney"))</f>
        <v>0</v>
      </c>
      <c r="Y514">
        <f>AND(IF(metadata!F514="",FALSE,TRUE),exact(metadata!F514,"animal corpus"))</f>
        <v>0</v>
      </c>
      <c r="Z514">
        <f>AND(IF(metadata!G514="",FALSE,TRUE),exact(metadata!G514,"urine"))</f>
        <v>0</v>
      </c>
      <c r="AA514">
        <f>AND(IF(metadata!H514="",FALSE,TRUE),exact(metadata!H514,"urine"))</f>
        <v>0</v>
      </c>
      <c r="AB514">
        <f>AND(IF(metadata!I514="",FALSE,TRUE),exact(metadata!I514,"urine metagenome"))</f>
        <v>0</v>
      </c>
      <c r="AC514">
        <f>AND(IF(metadata!J514="",FALSE,TRUE),exact(metadata!J514,"1346744"))</f>
        <v>0</v>
      </c>
    </row>
    <row r="515" spans="1:29">
      <c r="A515" s="4">
        <f>IF(B515=" "," ",HYPERLINK(CONCATENATE("#metadata!",ADDRESS(INDEX($P$2:$P$1001,MATCH(ROWS($N$2:N515),$N$2:$N$1001,0),0),1)),INDEX($S$2:$S$1001,MATCH(ROWS($N$2:N515),$N$2:$N$1001,0),0)))</f>
        <v>0</v>
      </c>
      <c r="B515" s="3">
        <f>IF(OR(INDEX($O$2:$O$1001,MATCH(ROWS($N$2:N515),$N$2:$N$1001,0),1)&gt;=100000,INDEX($U$1005:$AC$1005,1,MATCH(COLUMNS($U$1006:U1006),$U$1006:$AC$1006,0))&gt;=100000), " ",IF(INDEX($U$2:$AC$1001,MATCH(ROWS($N$2:N515),$N$2:$N$1001,0),MATCH(COLUMNS($U$1006:U1006),$U$1006:$AC$1006,0)), HYPERLINK("#",""), HYPERLINK(CONCATENATE("#metadata!", ADDRESS(INDEX($P$2:$P$1001,MATCH(ROWS($N$2:N515),$N$2:$N$1001,0),0), INDEX($U$1004:$AC$1004,1,MATCH(COLUMNS($U$1006:U1006),$U$1006:$AC$1006,0)))),"Fix")))</f>
        <v>0</v>
      </c>
      <c r="C515" s="3">
        <f>IF(OR(INDEX($O$2:$O$1001,MATCH(ROWS($N$2:N515),$N$2:$N$1001,0),1)&gt;=100000,INDEX($U$1005:$AC$1005,1,MATCH(COLUMNS($U$1006:V1006),$U$1006:$AC$1006,0))&gt;=100000), " ",IF(INDEX($U$2:$AC$1001,MATCH(ROWS($N$2:N515),$N$2:$N$1001,0),MATCH(COLUMNS($U$1006:V1006),$U$1006:$AC$1006,0)), HYPERLINK("#",""), HYPERLINK(CONCATENATE("#metadata!", ADDRESS(INDEX($P$2:$P$1001,MATCH(ROWS($N$2:N515),$N$2:$N$1001,0),0), INDEX($U$1004:$AC$1004,1,MATCH(COLUMNS($U$1006:V1006),$U$1006:$AC$1006,0)))),"Fix")))</f>
        <v>0</v>
      </c>
      <c r="D515" s="3">
        <f>IF(OR(INDEX($O$2:$O$1001,MATCH(ROWS($N$2:N515),$N$2:$N$1001,0),1)&gt;=100000,INDEX($U$1005:$AC$1005,1,MATCH(COLUMNS($U$1006:W1006),$U$1006:$AC$1006,0))&gt;=100000), " ",IF(INDEX($U$2:$AC$1001,MATCH(ROWS($N$2:N515),$N$2:$N$1001,0),MATCH(COLUMNS($U$1006:W1006),$U$1006:$AC$1006,0)), HYPERLINK("#",""), HYPERLINK(CONCATENATE("#metadata!", ADDRESS(INDEX($P$2:$P$1001,MATCH(ROWS($N$2:N515),$N$2:$N$1001,0),0), INDEX($U$1004:$AC$1004,1,MATCH(COLUMNS($U$1006:W1006),$U$1006:$AC$1006,0)))),"Fix")))</f>
        <v>0</v>
      </c>
      <c r="E515" s="3">
        <f>IF(OR(INDEX($O$2:$O$1001,MATCH(ROWS($N$2:N515),$N$2:$N$1001,0),1)&gt;=100000,INDEX($U$1005:$AC$1005,1,MATCH(COLUMNS($U$1006:X1006),$U$1006:$AC$1006,0))&gt;=100000), " ",IF(INDEX($U$2:$AC$1001,MATCH(ROWS($N$2:N515),$N$2:$N$1001,0),MATCH(COLUMNS($U$1006:X1006),$U$1006:$AC$1006,0)), HYPERLINK("#",""), HYPERLINK(CONCATENATE("#metadata!", ADDRESS(INDEX($P$2:$P$1001,MATCH(ROWS($N$2:N515),$N$2:$N$1001,0),0), INDEX($U$1004:$AC$1004,1,MATCH(COLUMNS($U$1006:X1006),$U$1006:$AC$1006,0)))),"Fix")))</f>
        <v>0</v>
      </c>
      <c r="F515" s="3">
        <f>IF(OR(INDEX($O$2:$O$1001,MATCH(ROWS($N$2:N515),$N$2:$N$1001,0),1)&gt;=100000,INDEX($U$1005:$AC$1005,1,MATCH(COLUMNS($U$1006:Y1006),$U$1006:$AC$1006,0))&gt;=100000), " ",IF(INDEX($U$2:$AC$1001,MATCH(ROWS($N$2:N515),$N$2:$N$1001,0),MATCH(COLUMNS($U$1006:Y1006),$U$1006:$AC$1006,0)), HYPERLINK("#",""), HYPERLINK(CONCATENATE("#metadata!", ADDRESS(INDEX($P$2:$P$1001,MATCH(ROWS($N$2:N515),$N$2:$N$1001,0),0), INDEX($U$1004:$AC$1004,1,MATCH(COLUMNS($U$1006:Y1006),$U$1006:$AC$1006,0)))),"Fix")))</f>
        <v>0</v>
      </c>
      <c r="G515" s="3">
        <f>IF(OR(INDEX($O$2:$O$1001,MATCH(ROWS($N$2:N515),$N$2:$N$1001,0),1)&gt;=100000,INDEX($U$1005:$AC$1005,1,MATCH(COLUMNS($U$1006:Z1006),$U$1006:$AC$1006,0))&gt;=100000), " ",IF(INDEX($U$2:$AC$1001,MATCH(ROWS($N$2:N515),$N$2:$N$1001,0),MATCH(COLUMNS($U$1006:Z1006),$U$1006:$AC$1006,0)), HYPERLINK("#",""), HYPERLINK(CONCATENATE("#metadata!", ADDRESS(INDEX($P$2:$P$1001,MATCH(ROWS($N$2:N515),$N$2:$N$1001,0),0), INDEX($U$1004:$AC$1004,1,MATCH(COLUMNS($U$1006:Z1006),$U$1006:$AC$1006,0)))),"Fix")))</f>
        <v>0</v>
      </c>
      <c r="H515" s="3">
        <f>IF(OR(INDEX($O$2:$O$1001,MATCH(ROWS($N$2:N515),$N$2:$N$1001,0),1)&gt;=100000,INDEX($U$1005:$AC$1005,1,MATCH(COLUMNS($U$1006:AA1006),$U$1006:$AC$1006,0))&gt;=100000), " ",IF(INDEX($U$2:$AC$1001,MATCH(ROWS($N$2:N515),$N$2:$N$1001,0),MATCH(COLUMNS($U$1006:AA1006),$U$1006:$AC$1006,0)), HYPERLINK("#",""), HYPERLINK(CONCATENATE("#metadata!", ADDRESS(INDEX($P$2:$P$1001,MATCH(ROWS($N$2:N515),$N$2:$N$1001,0),0), INDEX($U$1004:$AC$1004,1,MATCH(COLUMNS($U$1006:AA1006),$U$1006:$AC$1006,0)))),"Fix")))</f>
        <v>0</v>
      </c>
      <c r="I515" s="3">
        <f>IF(OR(INDEX($O$2:$O$1001,MATCH(ROWS($N$2:N515),$N$2:$N$1001,0),1)&gt;=100000,INDEX($U$1005:$AC$1005,1,MATCH(COLUMNS($U$1006:AB1006),$U$1006:$AC$1006,0))&gt;=100000), " ",IF(INDEX($U$2:$AC$1001,MATCH(ROWS($N$2:N515),$N$2:$N$1001,0),MATCH(COLUMNS($U$1006:AB1006),$U$1006:$AC$1006,0)), HYPERLINK("#",""), HYPERLINK(CONCATENATE("#metadata!", ADDRESS(INDEX($P$2:$P$1001,MATCH(ROWS($N$2:N515),$N$2:$N$1001,0),0), INDEX($U$1004:$AC$1004,1,MATCH(COLUMNS($U$1006:AB1006),$U$1006:$AC$1006,0)))),"Fix")))</f>
        <v>0</v>
      </c>
      <c r="J515" s="3">
        <f>IF(OR(INDEX($O$2:$O$1001,MATCH(ROWS($N$2:N515),$N$2:$N$1001,0),1)&gt;=100000,INDEX($U$1005:$AC$1005,1,MATCH(COLUMNS($U$1006:AC1006),$U$1006:$AC$1006,0))&gt;=100000), " ",IF(INDEX($U$2:$AC$1001,MATCH(ROWS($N$2:N515),$N$2:$N$1001,0),MATCH(COLUMNS($U$1006:AC1006),$U$1006:$AC$1006,0)), HYPERLINK("#",""), HYPERLINK(CONCATENATE("#metadata!", ADDRESS(INDEX($P$2:$P$1001,MATCH(ROWS($N$2:N515),$N$2:$N$1001,0),0), INDEX($U$1004:$AC$1004,1,MATCH(COLUMNS($U$1006:AC1006),$U$1006:$AC$1006,0)))),"Fix")))</f>
        <v>0</v>
      </c>
      <c r="N515">
        <v>0</v>
      </c>
      <c r="O515">
        <v>0</v>
      </c>
      <c r="P515">
        <v>0</v>
      </c>
      <c r="Q515">
        <f>IF(R515,TRUE,AND(U515:AC515))</f>
        <v>0</v>
      </c>
      <c r="R515">
        <f>COUNTBLANK(metadata!B515:J515)=COLUMNS(metadata!B515:J515)</f>
        <v>0</v>
      </c>
      <c r="S515">
        <v>0</v>
      </c>
      <c r="U515">
        <f>AND(IF(metadata!B515="",FALSE,TRUE),COUNTIF(metadata!B:B, metadata!B515) = 1,NOT(ISERROR(SUMPRODUCT(SEARCH(MID(metadata!B515,ROW(INDIRECT("1:"&amp;LEN(metadata!B515))), 1),"0123456789abcdefghijklmnopqrstuvwxyzABCDEFGHIJKLMNOPQRSTUVWXYZ.")))))</f>
        <v>0</v>
      </c>
      <c r="V515">
        <f>AND(IF(metadata!C515="",FALSE,TRUE),exact(metadata!C515,"UBERON:genitourinary"))</f>
        <v>0</v>
      </c>
      <c r="W515">
        <f>AND(IF(metadata!D515="",FALSE,TRUE),exact(metadata!D515,"UBERON:urine"))</f>
        <v>0</v>
      </c>
      <c r="X515">
        <f>AND(IF(metadata!E515="",FALSE,TRUE),exact(metadata!E515,"UBERON:kidney"))</f>
        <v>0</v>
      </c>
      <c r="Y515">
        <f>AND(IF(metadata!F515="",FALSE,TRUE),exact(metadata!F515,"animal corpus"))</f>
        <v>0</v>
      </c>
      <c r="Z515">
        <f>AND(IF(metadata!G515="",FALSE,TRUE),exact(metadata!G515,"urine"))</f>
        <v>0</v>
      </c>
      <c r="AA515">
        <f>AND(IF(metadata!H515="",FALSE,TRUE),exact(metadata!H515,"urine"))</f>
        <v>0</v>
      </c>
      <c r="AB515">
        <f>AND(IF(metadata!I515="",FALSE,TRUE),exact(metadata!I515,"urine metagenome"))</f>
        <v>0</v>
      </c>
      <c r="AC515">
        <f>AND(IF(metadata!J515="",FALSE,TRUE),exact(metadata!J515,"1346744"))</f>
        <v>0</v>
      </c>
    </row>
    <row r="516" spans="1:29">
      <c r="A516" s="4">
        <f>IF(B516=" "," ",HYPERLINK(CONCATENATE("#metadata!",ADDRESS(INDEX($P$2:$P$1001,MATCH(ROWS($N$2:N516),$N$2:$N$1001,0),0),1)),INDEX($S$2:$S$1001,MATCH(ROWS($N$2:N516),$N$2:$N$1001,0),0)))</f>
        <v>0</v>
      </c>
      <c r="B516" s="3">
        <f>IF(OR(INDEX($O$2:$O$1001,MATCH(ROWS($N$2:N516),$N$2:$N$1001,0),1)&gt;=100000,INDEX($U$1005:$AC$1005,1,MATCH(COLUMNS($U$1006:U1006),$U$1006:$AC$1006,0))&gt;=100000), " ",IF(INDEX($U$2:$AC$1001,MATCH(ROWS($N$2:N516),$N$2:$N$1001,0),MATCH(COLUMNS($U$1006:U1006),$U$1006:$AC$1006,0)), HYPERLINK("#",""), HYPERLINK(CONCATENATE("#metadata!", ADDRESS(INDEX($P$2:$P$1001,MATCH(ROWS($N$2:N516),$N$2:$N$1001,0),0), INDEX($U$1004:$AC$1004,1,MATCH(COLUMNS($U$1006:U1006),$U$1006:$AC$1006,0)))),"Fix")))</f>
        <v>0</v>
      </c>
      <c r="C516" s="3">
        <f>IF(OR(INDEX($O$2:$O$1001,MATCH(ROWS($N$2:N516),$N$2:$N$1001,0),1)&gt;=100000,INDEX($U$1005:$AC$1005,1,MATCH(COLUMNS($U$1006:V1006),$U$1006:$AC$1006,0))&gt;=100000), " ",IF(INDEX($U$2:$AC$1001,MATCH(ROWS($N$2:N516),$N$2:$N$1001,0),MATCH(COLUMNS($U$1006:V1006),$U$1006:$AC$1006,0)), HYPERLINK("#",""), HYPERLINK(CONCATENATE("#metadata!", ADDRESS(INDEX($P$2:$P$1001,MATCH(ROWS($N$2:N516),$N$2:$N$1001,0),0), INDEX($U$1004:$AC$1004,1,MATCH(COLUMNS($U$1006:V1006),$U$1006:$AC$1006,0)))),"Fix")))</f>
        <v>0</v>
      </c>
      <c r="D516" s="3">
        <f>IF(OR(INDEX($O$2:$O$1001,MATCH(ROWS($N$2:N516),$N$2:$N$1001,0),1)&gt;=100000,INDEX($U$1005:$AC$1005,1,MATCH(COLUMNS($U$1006:W1006),$U$1006:$AC$1006,0))&gt;=100000), " ",IF(INDEX($U$2:$AC$1001,MATCH(ROWS($N$2:N516),$N$2:$N$1001,0),MATCH(COLUMNS($U$1006:W1006),$U$1006:$AC$1006,0)), HYPERLINK("#",""), HYPERLINK(CONCATENATE("#metadata!", ADDRESS(INDEX($P$2:$P$1001,MATCH(ROWS($N$2:N516),$N$2:$N$1001,0),0), INDEX($U$1004:$AC$1004,1,MATCH(COLUMNS($U$1006:W1006),$U$1006:$AC$1006,0)))),"Fix")))</f>
        <v>0</v>
      </c>
      <c r="E516" s="3">
        <f>IF(OR(INDEX($O$2:$O$1001,MATCH(ROWS($N$2:N516),$N$2:$N$1001,0),1)&gt;=100000,INDEX($U$1005:$AC$1005,1,MATCH(COLUMNS($U$1006:X1006),$U$1006:$AC$1006,0))&gt;=100000), " ",IF(INDEX($U$2:$AC$1001,MATCH(ROWS($N$2:N516),$N$2:$N$1001,0),MATCH(COLUMNS($U$1006:X1006),$U$1006:$AC$1006,0)), HYPERLINK("#",""), HYPERLINK(CONCATENATE("#metadata!", ADDRESS(INDEX($P$2:$P$1001,MATCH(ROWS($N$2:N516),$N$2:$N$1001,0),0), INDEX($U$1004:$AC$1004,1,MATCH(COLUMNS($U$1006:X1006),$U$1006:$AC$1006,0)))),"Fix")))</f>
        <v>0</v>
      </c>
      <c r="F516" s="3">
        <f>IF(OR(INDEX($O$2:$O$1001,MATCH(ROWS($N$2:N516),$N$2:$N$1001,0),1)&gt;=100000,INDEX($U$1005:$AC$1005,1,MATCH(COLUMNS($U$1006:Y1006),$U$1006:$AC$1006,0))&gt;=100000), " ",IF(INDEX($U$2:$AC$1001,MATCH(ROWS($N$2:N516),$N$2:$N$1001,0),MATCH(COLUMNS($U$1006:Y1006),$U$1006:$AC$1006,0)), HYPERLINK("#",""), HYPERLINK(CONCATENATE("#metadata!", ADDRESS(INDEX($P$2:$P$1001,MATCH(ROWS($N$2:N516),$N$2:$N$1001,0),0), INDEX($U$1004:$AC$1004,1,MATCH(COLUMNS($U$1006:Y1006),$U$1006:$AC$1006,0)))),"Fix")))</f>
        <v>0</v>
      </c>
      <c r="G516" s="3">
        <f>IF(OR(INDEX($O$2:$O$1001,MATCH(ROWS($N$2:N516),$N$2:$N$1001,0),1)&gt;=100000,INDEX($U$1005:$AC$1005,1,MATCH(COLUMNS($U$1006:Z1006),$U$1006:$AC$1006,0))&gt;=100000), " ",IF(INDEX($U$2:$AC$1001,MATCH(ROWS($N$2:N516),$N$2:$N$1001,0),MATCH(COLUMNS($U$1006:Z1006),$U$1006:$AC$1006,0)), HYPERLINK("#",""), HYPERLINK(CONCATENATE("#metadata!", ADDRESS(INDEX($P$2:$P$1001,MATCH(ROWS($N$2:N516),$N$2:$N$1001,0),0), INDEX($U$1004:$AC$1004,1,MATCH(COLUMNS($U$1006:Z1006),$U$1006:$AC$1006,0)))),"Fix")))</f>
        <v>0</v>
      </c>
      <c r="H516" s="3">
        <f>IF(OR(INDEX($O$2:$O$1001,MATCH(ROWS($N$2:N516),$N$2:$N$1001,0),1)&gt;=100000,INDEX($U$1005:$AC$1005,1,MATCH(COLUMNS($U$1006:AA1006),$U$1006:$AC$1006,0))&gt;=100000), " ",IF(INDEX($U$2:$AC$1001,MATCH(ROWS($N$2:N516),$N$2:$N$1001,0),MATCH(COLUMNS($U$1006:AA1006),$U$1006:$AC$1006,0)), HYPERLINK("#",""), HYPERLINK(CONCATENATE("#metadata!", ADDRESS(INDEX($P$2:$P$1001,MATCH(ROWS($N$2:N516),$N$2:$N$1001,0),0), INDEX($U$1004:$AC$1004,1,MATCH(COLUMNS($U$1006:AA1006),$U$1006:$AC$1006,0)))),"Fix")))</f>
        <v>0</v>
      </c>
      <c r="I516" s="3">
        <f>IF(OR(INDEX($O$2:$O$1001,MATCH(ROWS($N$2:N516),$N$2:$N$1001,0),1)&gt;=100000,INDEX($U$1005:$AC$1005,1,MATCH(COLUMNS($U$1006:AB1006),$U$1006:$AC$1006,0))&gt;=100000), " ",IF(INDEX($U$2:$AC$1001,MATCH(ROWS($N$2:N516),$N$2:$N$1001,0),MATCH(COLUMNS($U$1006:AB1006),$U$1006:$AC$1006,0)), HYPERLINK("#",""), HYPERLINK(CONCATENATE("#metadata!", ADDRESS(INDEX($P$2:$P$1001,MATCH(ROWS($N$2:N516),$N$2:$N$1001,0),0), INDEX($U$1004:$AC$1004,1,MATCH(COLUMNS($U$1006:AB1006),$U$1006:$AC$1006,0)))),"Fix")))</f>
        <v>0</v>
      </c>
      <c r="J516" s="3">
        <f>IF(OR(INDEX($O$2:$O$1001,MATCH(ROWS($N$2:N516),$N$2:$N$1001,0),1)&gt;=100000,INDEX($U$1005:$AC$1005,1,MATCH(COLUMNS($U$1006:AC1006),$U$1006:$AC$1006,0))&gt;=100000), " ",IF(INDEX($U$2:$AC$1001,MATCH(ROWS($N$2:N516),$N$2:$N$1001,0),MATCH(COLUMNS($U$1006:AC1006),$U$1006:$AC$1006,0)), HYPERLINK("#",""), HYPERLINK(CONCATENATE("#metadata!", ADDRESS(INDEX($P$2:$P$1001,MATCH(ROWS($N$2:N516),$N$2:$N$1001,0),0), INDEX($U$1004:$AC$1004,1,MATCH(COLUMNS($U$1006:AC1006),$U$1006:$AC$1006,0)))),"Fix")))</f>
        <v>0</v>
      </c>
      <c r="N516">
        <v>0</v>
      </c>
      <c r="O516">
        <v>0</v>
      </c>
      <c r="P516">
        <v>0</v>
      </c>
      <c r="Q516">
        <f>IF(R516,TRUE,AND(U516:AC516))</f>
        <v>0</v>
      </c>
      <c r="R516">
        <f>COUNTBLANK(metadata!B516:J516)=COLUMNS(metadata!B516:J516)</f>
        <v>0</v>
      </c>
      <c r="S516">
        <v>0</v>
      </c>
      <c r="U516">
        <f>AND(IF(metadata!B516="",FALSE,TRUE),COUNTIF(metadata!B:B, metadata!B516) = 1,NOT(ISERROR(SUMPRODUCT(SEARCH(MID(metadata!B516,ROW(INDIRECT("1:"&amp;LEN(metadata!B516))), 1),"0123456789abcdefghijklmnopqrstuvwxyzABCDEFGHIJKLMNOPQRSTUVWXYZ.")))))</f>
        <v>0</v>
      </c>
      <c r="V516">
        <f>AND(IF(metadata!C516="",FALSE,TRUE),exact(metadata!C516,"UBERON:genitourinary"))</f>
        <v>0</v>
      </c>
      <c r="W516">
        <f>AND(IF(metadata!D516="",FALSE,TRUE),exact(metadata!D516,"UBERON:urine"))</f>
        <v>0</v>
      </c>
      <c r="X516">
        <f>AND(IF(metadata!E516="",FALSE,TRUE),exact(metadata!E516,"UBERON:kidney"))</f>
        <v>0</v>
      </c>
      <c r="Y516">
        <f>AND(IF(metadata!F516="",FALSE,TRUE),exact(metadata!F516,"animal corpus"))</f>
        <v>0</v>
      </c>
      <c r="Z516">
        <f>AND(IF(metadata!G516="",FALSE,TRUE),exact(metadata!G516,"urine"))</f>
        <v>0</v>
      </c>
      <c r="AA516">
        <f>AND(IF(metadata!H516="",FALSE,TRUE),exact(metadata!H516,"urine"))</f>
        <v>0</v>
      </c>
      <c r="AB516">
        <f>AND(IF(metadata!I516="",FALSE,TRUE),exact(metadata!I516,"urine metagenome"))</f>
        <v>0</v>
      </c>
      <c r="AC516">
        <f>AND(IF(metadata!J516="",FALSE,TRUE),exact(metadata!J516,"1346744"))</f>
        <v>0</v>
      </c>
    </row>
    <row r="517" spans="1:29">
      <c r="A517" s="4">
        <f>IF(B517=" "," ",HYPERLINK(CONCATENATE("#metadata!",ADDRESS(INDEX($P$2:$P$1001,MATCH(ROWS($N$2:N517),$N$2:$N$1001,0),0),1)),INDEX($S$2:$S$1001,MATCH(ROWS($N$2:N517),$N$2:$N$1001,0),0)))</f>
        <v>0</v>
      </c>
      <c r="B517" s="3">
        <f>IF(OR(INDEX($O$2:$O$1001,MATCH(ROWS($N$2:N517),$N$2:$N$1001,0),1)&gt;=100000,INDEX($U$1005:$AC$1005,1,MATCH(COLUMNS($U$1006:U1006),$U$1006:$AC$1006,0))&gt;=100000), " ",IF(INDEX($U$2:$AC$1001,MATCH(ROWS($N$2:N517),$N$2:$N$1001,0),MATCH(COLUMNS($U$1006:U1006),$U$1006:$AC$1006,0)), HYPERLINK("#",""), HYPERLINK(CONCATENATE("#metadata!", ADDRESS(INDEX($P$2:$P$1001,MATCH(ROWS($N$2:N517),$N$2:$N$1001,0),0), INDEX($U$1004:$AC$1004,1,MATCH(COLUMNS($U$1006:U1006),$U$1006:$AC$1006,0)))),"Fix")))</f>
        <v>0</v>
      </c>
      <c r="C517" s="3">
        <f>IF(OR(INDEX($O$2:$O$1001,MATCH(ROWS($N$2:N517),$N$2:$N$1001,0),1)&gt;=100000,INDEX($U$1005:$AC$1005,1,MATCH(COLUMNS($U$1006:V1006),$U$1006:$AC$1006,0))&gt;=100000), " ",IF(INDEX($U$2:$AC$1001,MATCH(ROWS($N$2:N517),$N$2:$N$1001,0),MATCH(COLUMNS($U$1006:V1006),$U$1006:$AC$1006,0)), HYPERLINK("#",""), HYPERLINK(CONCATENATE("#metadata!", ADDRESS(INDEX($P$2:$P$1001,MATCH(ROWS($N$2:N517),$N$2:$N$1001,0),0), INDEX($U$1004:$AC$1004,1,MATCH(COLUMNS($U$1006:V1006),$U$1006:$AC$1006,0)))),"Fix")))</f>
        <v>0</v>
      </c>
      <c r="D517" s="3">
        <f>IF(OR(INDEX($O$2:$O$1001,MATCH(ROWS($N$2:N517),$N$2:$N$1001,0),1)&gt;=100000,INDEX($U$1005:$AC$1005,1,MATCH(COLUMNS($U$1006:W1006),$U$1006:$AC$1006,0))&gt;=100000), " ",IF(INDEX($U$2:$AC$1001,MATCH(ROWS($N$2:N517),$N$2:$N$1001,0),MATCH(COLUMNS($U$1006:W1006),$U$1006:$AC$1006,0)), HYPERLINK("#",""), HYPERLINK(CONCATENATE("#metadata!", ADDRESS(INDEX($P$2:$P$1001,MATCH(ROWS($N$2:N517),$N$2:$N$1001,0),0), INDEX($U$1004:$AC$1004,1,MATCH(COLUMNS($U$1006:W1006),$U$1006:$AC$1006,0)))),"Fix")))</f>
        <v>0</v>
      </c>
      <c r="E517" s="3">
        <f>IF(OR(INDEX($O$2:$O$1001,MATCH(ROWS($N$2:N517),$N$2:$N$1001,0),1)&gt;=100000,INDEX($U$1005:$AC$1005,1,MATCH(COLUMNS($U$1006:X1006),$U$1006:$AC$1006,0))&gt;=100000), " ",IF(INDEX($U$2:$AC$1001,MATCH(ROWS($N$2:N517),$N$2:$N$1001,0),MATCH(COLUMNS($U$1006:X1006),$U$1006:$AC$1006,0)), HYPERLINK("#",""), HYPERLINK(CONCATENATE("#metadata!", ADDRESS(INDEX($P$2:$P$1001,MATCH(ROWS($N$2:N517),$N$2:$N$1001,0),0), INDEX($U$1004:$AC$1004,1,MATCH(COLUMNS($U$1006:X1006),$U$1006:$AC$1006,0)))),"Fix")))</f>
        <v>0</v>
      </c>
      <c r="F517" s="3">
        <f>IF(OR(INDEX($O$2:$O$1001,MATCH(ROWS($N$2:N517),$N$2:$N$1001,0),1)&gt;=100000,INDEX($U$1005:$AC$1005,1,MATCH(COLUMNS($U$1006:Y1006),$U$1006:$AC$1006,0))&gt;=100000), " ",IF(INDEX($U$2:$AC$1001,MATCH(ROWS($N$2:N517),$N$2:$N$1001,0),MATCH(COLUMNS($U$1006:Y1006),$U$1006:$AC$1006,0)), HYPERLINK("#",""), HYPERLINK(CONCATENATE("#metadata!", ADDRESS(INDEX($P$2:$P$1001,MATCH(ROWS($N$2:N517),$N$2:$N$1001,0),0), INDEX($U$1004:$AC$1004,1,MATCH(COLUMNS($U$1006:Y1006),$U$1006:$AC$1006,0)))),"Fix")))</f>
        <v>0</v>
      </c>
      <c r="G517" s="3">
        <f>IF(OR(INDEX($O$2:$O$1001,MATCH(ROWS($N$2:N517),$N$2:$N$1001,0),1)&gt;=100000,INDEX($U$1005:$AC$1005,1,MATCH(COLUMNS($U$1006:Z1006),$U$1006:$AC$1006,0))&gt;=100000), " ",IF(INDEX($U$2:$AC$1001,MATCH(ROWS($N$2:N517),$N$2:$N$1001,0),MATCH(COLUMNS($U$1006:Z1006),$U$1006:$AC$1006,0)), HYPERLINK("#",""), HYPERLINK(CONCATENATE("#metadata!", ADDRESS(INDEX($P$2:$P$1001,MATCH(ROWS($N$2:N517),$N$2:$N$1001,0),0), INDEX($U$1004:$AC$1004,1,MATCH(COLUMNS($U$1006:Z1006),$U$1006:$AC$1006,0)))),"Fix")))</f>
        <v>0</v>
      </c>
      <c r="H517" s="3">
        <f>IF(OR(INDEX($O$2:$O$1001,MATCH(ROWS($N$2:N517),$N$2:$N$1001,0),1)&gt;=100000,INDEX($U$1005:$AC$1005,1,MATCH(COLUMNS($U$1006:AA1006),$U$1006:$AC$1006,0))&gt;=100000), " ",IF(INDEX($U$2:$AC$1001,MATCH(ROWS($N$2:N517),$N$2:$N$1001,0),MATCH(COLUMNS($U$1006:AA1006),$U$1006:$AC$1006,0)), HYPERLINK("#",""), HYPERLINK(CONCATENATE("#metadata!", ADDRESS(INDEX($P$2:$P$1001,MATCH(ROWS($N$2:N517),$N$2:$N$1001,0),0), INDEX($U$1004:$AC$1004,1,MATCH(COLUMNS($U$1006:AA1006),$U$1006:$AC$1006,0)))),"Fix")))</f>
        <v>0</v>
      </c>
      <c r="I517" s="3">
        <f>IF(OR(INDEX($O$2:$O$1001,MATCH(ROWS($N$2:N517),$N$2:$N$1001,0),1)&gt;=100000,INDEX($U$1005:$AC$1005,1,MATCH(COLUMNS($U$1006:AB1006),$U$1006:$AC$1006,0))&gt;=100000), " ",IF(INDEX($U$2:$AC$1001,MATCH(ROWS($N$2:N517),$N$2:$N$1001,0),MATCH(COLUMNS($U$1006:AB1006),$U$1006:$AC$1006,0)), HYPERLINK("#",""), HYPERLINK(CONCATENATE("#metadata!", ADDRESS(INDEX($P$2:$P$1001,MATCH(ROWS($N$2:N517),$N$2:$N$1001,0),0), INDEX($U$1004:$AC$1004,1,MATCH(COLUMNS($U$1006:AB1006),$U$1006:$AC$1006,0)))),"Fix")))</f>
        <v>0</v>
      </c>
      <c r="J517" s="3">
        <f>IF(OR(INDEX($O$2:$O$1001,MATCH(ROWS($N$2:N517),$N$2:$N$1001,0),1)&gt;=100000,INDEX($U$1005:$AC$1005,1,MATCH(COLUMNS($U$1006:AC1006),$U$1006:$AC$1006,0))&gt;=100000), " ",IF(INDEX($U$2:$AC$1001,MATCH(ROWS($N$2:N517),$N$2:$N$1001,0),MATCH(COLUMNS($U$1006:AC1006),$U$1006:$AC$1006,0)), HYPERLINK("#",""), HYPERLINK(CONCATENATE("#metadata!", ADDRESS(INDEX($P$2:$P$1001,MATCH(ROWS($N$2:N517),$N$2:$N$1001,0),0), INDEX($U$1004:$AC$1004,1,MATCH(COLUMNS($U$1006:AC1006),$U$1006:$AC$1006,0)))),"Fix")))</f>
        <v>0</v>
      </c>
      <c r="N517">
        <v>0</v>
      </c>
      <c r="O517">
        <v>0</v>
      </c>
      <c r="P517">
        <v>0</v>
      </c>
      <c r="Q517">
        <f>IF(R517,TRUE,AND(U517:AC517))</f>
        <v>0</v>
      </c>
      <c r="R517">
        <f>COUNTBLANK(metadata!B517:J517)=COLUMNS(metadata!B517:J517)</f>
        <v>0</v>
      </c>
      <c r="S517">
        <v>0</v>
      </c>
      <c r="U517">
        <f>AND(IF(metadata!B517="",FALSE,TRUE),COUNTIF(metadata!B:B, metadata!B517) = 1,NOT(ISERROR(SUMPRODUCT(SEARCH(MID(metadata!B517,ROW(INDIRECT("1:"&amp;LEN(metadata!B517))), 1),"0123456789abcdefghijklmnopqrstuvwxyzABCDEFGHIJKLMNOPQRSTUVWXYZ.")))))</f>
        <v>0</v>
      </c>
      <c r="V517">
        <f>AND(IF(metadata!C517="",FALSE,TRUE),exact(metadata!C517,"UBERON:genitourinary"))</f>
        <v>0</v>
      </c>
      <c r="W517">
        <f>AND(IF(metadata!D517="",FALSE,TRUE),exact(metadata!D517,"UBERON:urine"))</f>
        <v>0</v>
      </c>
      <c r="X517">
        <f>AND(IF(metadata!E517="",FALSE,TRUE),exact(metadata!E517,"UBERON:kidney"))</f>
        <v>0</v>
      </c>
      <c r="Y517">
        <f>AND(IF(metadata!F517="",FALSE,TRUE),exact(metadata!F517,"animal corpus"))</f>
        <v>0</v>
      </c>
      <c r="Z517">
        <f>AND(IF(metadata!G517="",FALSE,TRUE),exact(metadata!G517,"urine"))</f>
        <v>0</v>
      </c>
      <c r="AA517">
        <f>AND(IF(metadata!H517="",FALSE,TRUE),exact(metadata!H517,"urine"))</f>
        <v>0</v>
      </c>
      <c r="AB517">
        <f>AND(IF(metadata!I517="",FALSE,TRUE),exact(metadata!I517,"urine metagenome"))</f>
        <v>0</v>
      </c>
      <c r="AC517">
        <f>AND(IF(metadata!J517="",FALSE,TRUE),exact(metadata!J517,"1346744"))</f>
        <v>0</v>
      </c>
    </row>
    <row r="518" spans="1:29">
      <c r="A518" s="4">
        <f>IF(B518=" "," ",HYPERLINK(CONCATENATE("#metadata!",ADDRESS(INDEX($P$2:$P$1001,MATCH(ROWS($N$2:N518),$N$2:$N$1001,0),0),1)),INDEX($S$2:$S$1001,MATCH(ROWS($N$2:N518),$N$2:$N$1001,0),0)))</f>
        <v>0</v>
      </c>
      <c r="B518" s="3">
        <f>IF(OR(INDEX($O$2:$O$1001,MATCH(ROWS($N$2:N518),$N$2:$N$1001,0),1)&gt;=100000,INDEX($U$1005:$AC$1005,1,MATCH(COLUMNS($U$1006:U1006),$U$1006:$AC$1006,0))&gt;=100000), " ",IF(INDEX($U$2:$AC$1001,MATCH(ROWS($N$2:N518),$N$2:$N$1001,0),MATCH(COLUMNS($U$1006:U1006),$U$1006:$AC$1006,0)), HYPERLINK("#",""), HYPERLINK(CONCATENATE("#metadata!", ADDRESS(INDEX($P$2:$P$1001,MATCH(ROWS($N$2:N518),$N$2:$N$1001,0),0), INDEX($U$1004:$AC$1004,1,MATCH(COLUMNS($U$1006:U1006),$U$1006:$AC$1006,0)))),"Fix")))</f>
        <v>0</v>
      </c>
      <c r="C518" s="3">
        <f>IF(OR(INDEX($O$2:$O$1001,MATCH(ROWS($N$2:N518),$N$2:$N$1001,0),1)&gt;=100000,INDEX($U$1005:$AC$1005,1,MATCH(COLUMNS($U$1006:V1006),$U$1006:$AC$1006,0))&gt;=100000), " ",IF(INDEX($U$2:$AC$1001,MATCH(ROWS($N$2:N518),$N$2:$N$1001,0),MATCH(COLUMNS($U$1006:V1006),$U$1006:$AC$1006,0)), HYPERLINK("#",""), HYPERLINK(CONCATENATE("#metadata!", ADDRESS(INDEX($P$2:$P$1001,MATCH(ROWS($N$2:N518),$N$2:$N$1001,0),0), INDEX($U$1004:$AC$1004,1,MATCH(COLUMNS($U$1006:V1006),$U$1006:$AC$1006,0)))),"Fix")))</f>
        <v>0</v>
      </c>
      <c r="D518" s="3">
        <f>IF(OR(INDEX($O$2:$O$1001,MATCH(ROWS($N$2:N518),$N$2:$N$1001,0),1)&gt;=100000,INDEX($U$1005:$AC$1005,1,MATCH(COLUMNS($U$1006:W1006),$U$1006:$AC$1006,0))&gt;=100000), " ",IF(INDEX($U$2:$AC$1001,MATCH(ROWS($N$2:N518),$N$2:$N$1001,0),MATCH(COLUMNS($U$1006:W1006),$U$1006:$AC$1006,0)), HYPERLINK("#",""), HYPERLINK(CONCATENATE("#metadata!", ADDRESS(INDEX($P$2:$P$1001,MATCH(ROWS($N$2:N518),$N$2:$N$1001,0),0), INDEX($U$1004:$AC$1004,1,MATCH(COLUMNS($U$1006:W1006),$U$1006:$AC$1006,0)))),"Fix")))</f>
        <v>0</v>
      </c>
      <c r="E518" s="3">
        <f>IF(OR(INDEX($O$2:$O$1001,MATCH(ROWS($N$2:N518),$N$2:$N$1001,0),1)&gt;=100000,INDEX($U$1005:$AC$1005,1,MATCH(COLUMNS($U$1006:X1006),$U$1006:$AC$1006,0))&gt;=100000), " ",IF(INDEX($U$2:$AC$1001,MATCH(ROWS($N$2:N518),$N$2:$N$1001,0),MATCH(COLUMNS($U$1006:X1006),$U$1006:$AC$1006,0)), HYPERLINK("#",""), HYPERLINK(CONCATENATE("#metadata!", ADDRESS(INDEX($P$2:$P$1001,MATCH(ROWS($N$2:N518),$N$2:$N$1001,0),0), INDEX($U$1004:$AC$1004,1,MATCH(COLUMNS($U$1006:X1006),$U$1006:$AC$1006,0)))),"Fix")))</f>
        <v>0</v>
      </c>
      <c r="F518" s="3">
        <f>IF(OR(INDEX($O$2:$O$1001,MATCH(ROWS($N$2:N518),$N$2:$N$1001,0),1)&gt;=100000,INDEX($U$1005:$AC$1005,1,MATCH(COLUMNS($U$1006:Y1006),$U$1006:$AC$1006,0))&gt;=100000), " ",IF(INDEX($U$2:$AC$1001,MATCH(ROWS($N$2:N518),$N$2:$N$1001,0),MATCH(COLUMNS($U$1006:Y1006),$U$1006:$AC$1006,0)), HYPERLINK("#",""), HYPERLINK(CONCATENATE("#metadata!", ADDRESS(INDEX($P$2:$P$1001,MATCH(ROWS($N$2:N518),$N$2:$N$1001,0),0), INDEX($U$1004:$AC$1004,1,MATCH(COLUMNS($U$1006:Y1006),$U$1006:$AC$1006,0)))),"Fix")))</f>
        <v>0</v>
      </c>
      <c r="G518" s="3">
        <f>IF(OR(INDEX($O$2:$O$1001,MATCH(ROWS($N$2:N518),$N$2:$N$1001,0),1)&gt;=100000,INDEX($U$1005:$AC$1005,1,MATCH(COLUMNS($U$1006:Z1006),$U$1006:$AC$1006,0))&gt;=100000), " ",IF(INDEX($U$2:$AC$1001,MATCH(ROWS($N$2:N518),$N$2:$N$1001,0),MATCH(COLUMNS($U$1006:Z1006),$U$1006:$AC$1006,0)), HYPERLINK("#",""), HYPERLINK(CONCATENATE("#metadata!", ADDRESS(INDEX($P$2:$P$1001,MATCH(ROWS($N$2:N518),$N$2:$N$1001,0),0), INDEX($U$1004:$AC$1004,1,MATCH(COLUMNS($U$1006:Z1006),$U$1006:$AC$1006,0)))),"Fix")))</f>
        <v>0</v>
      </c>
      <c r="H518" s="3">
        <f>IF(OR(INDEX($O$2:$O$1001,MATCH(ROWS($N$2:N518),$N$2:$N$1001,0),1)&gt;=100000,INDEX($U$1005:$AC$1005,1,MATCH(COLUMNS($U$1006:AA1006),$U$1006:$AC$1006,0))&gt;=100000), " ",IF(INDEX($U$2:$AC$1001,MATCH(ROWS($N$2:N518),$N$2:$N$1001,0),MATCH(COLUMNS($U$1006:AA1006),$U$1006:$AC$1006,0)), HYPERLINK("#",""), HYPERLINK(CONCATENATE("#metadata!", ADDRESS(INDEX($P$2:$P$1001,MATCH(ROWS($N$2:N518),$N$2:$N$1001,0),0), INDEX($U$1004:$AC$1004,1,MATCH(COLUMNS($U$1006:AA1006),$U$1006:$AC$1006,0)))),"Fix")))</f>
        <v>0</v>
      </c>
      <c r="I518" s="3">
        <f>IF(OR(INDEX($O$2:$O$1001,MATCH(ROWS($N$2:N518),$N$2:$N$1001,0),1)&gt;=100000,INDEX($U$1005:$AC$1005,1,MATCH(COLUMNS($U$1006:AB1006),$U$1006:$AC$1006,0))&gt;=100000), " ",IF(INDEX($U$2:$AC$1001,MATCH(ROWS($N$2:N518),$N$2:$N$1001,0),MATCH(COLUMNS($U$1006:AB1006),$U$1006:$AC$1006,0)), HYPERLINK("#",""), HYPERLINK(CONCATENATE("#metadata!", ADDRESS(INDEX($P$2:$P$1001,MATCH(ROWS($N$2:N518),$N$2:$N$1001,0),0), INDEX($U$1004:$AC$1004,1,MATCH(COLUMNS($U$1006:AB1006),$U$1006:$AC$1006,0)))),"Fix")))</f>
        <v>0</v>
      </c>
      <c r="J518" s="3">
        <f>IF(OR(INDEX($O$2:$O$1001,MATCH(ROWS($N$2:N518),$N$2:$N$1001,0),1)&gt;=100000,INDEX($U$1005:$AC$1005,1,MATCH(COLUMNS($U$1006:AC1006),$U$1006:$AC$1006,0))&gt;=100000), " ",IF(INDEX($U$2:$AC$1001,MATCH(ROWS($N$2:N518),$N$2:$N$1001,0),MATCH(COLUMNS($U$1006:AC1006),$U$1006:$AC$1006,0)), HYPERLINK("#",""), HYPERLINK(CONCATENATE("#metadata!", ADDRESS(INDEX($P$2:$P$1001,MATCH(ROWS($N$2:N518),$N$2:$N$1001,0),0), INDEX($U$1004:$AC$1004,1,MATCH(COLUMNS($U$1006:AC1006),$U$1006:$AC$1006,0)))),"Fix")))</f>
        <v>0</v>
      </c>
      <c r="N518">
        <v>0</v>
      </c>
      <c r="O518">
        <v>0</v>
      </c>
      <c r="P518">
        <v>0</v>
      </c>
      <c r="Q518">
        <f>IF(R518,TRUE,AND(U518:AC518))</f>
        <v>0</v>
      </c>
      <c r="R518">
        <f>COUNTBLANK(metadata!B518:J518)=COLUMNS(metadata!B518:J518)</f>
        <v>0</v>
      </c>
      <c r="S518">
        <v>0</v>
      </c>
      <c r="U518">
        <f>AND(IF(metadata!B518="",FALSE,TRUE),COUNTIF(metadata!B:B, metadata!B518) = 1,NOT(ISERROR(SUMPRODUCT(SEARCH(MID(metadata!B518,ROW(INDIRECT("1:"&amp;LEN(metadata!B518))), 1),"0123456789abcdefghijklmnopqrstuvwxyzABCDEFGHIJKLMNOPQRSTUVWXYZ.")))))</f>
        <v>0</v>
      </c>
      <c r="V518">
        <f>AND(IF(metadata!C518="",FALSE,TRUE),exact(metadata!C518,"UBERON:genitourinary"))</f>
        <v>0</v>
      </c>
      <c r="W518">
        <f>AND(IF(metadata!D518="",FALSE,TRUE),exact(metadata!D518,"UBERON:urine"))</f>
        <v>0</v>
      </c>
      <c r="X518">
        <f>AND(IF(metadata!E518="",FALSE,TRUE),exact(metadata!E518,"UBERON:kidney"))</f>
        <v>0</v>
      </c>
      <c r="Y518">
        <f>AND(IF(metadata!F518="",FALSE,TRUE),exact(metadata!F518,"animal corpus"))</f>
        <v>0</v>
      </c>
      <c r="Z518">
        <f>AND(IF(metadata!G518="",FALSE,TRUE),exact(metadata!G518,"urine"))</f>
        <v>0</v>
      </c>
      <c r="AA518">
        <f>AND(IF(metadata!H518="",FALSE,TRUE),exact(metadata!H518,"urine"))</f>
        <v>0</v>
      </c>
      <c r="AB518">
        <f>AND(IF(metadata!I518="",FALSE,TRUE),exact(metadata!I518,"urine metagenome"))</f>
        <v>0</v>
      </c>
      <c r="AC518">
        <f>AND(IF(metadata!J518="",FALSE,TRUE),exact(metadata!J518,"1346744"))</f>
        <v>0</v>
      </c>
    </row>
    <row r="519" spans="1:29">
      <c r="A519" s="4">
        <f>IF(B519=" "," ",HYPERLINK(CONCATENATE("#metadata!",ADDRESS(INDEX($P$2:$P$1001,MATCH(ROWS($N$2:N519),$N$2:$N$1001,0),0),1)),INDEX($S$2:$S$1001,MATCH(ROWS($N$2:N519),$N$2:$N$1001,0),0)))</f>
        <v>0</v>
      </c>
      <c r="B519" s="3">
        <f>IF(OR(INDEX($O$2:$O$1001,MATCH(ROWS($N$2:N519),$N$2:$N$1001,0),1)&gt;=100000,INDEX($U$1005:$AC$1005,1,MATCH(COLUMNS($U$1006:U1006),$U$1006:$AC$1006,0))&gt;=100000), " ",IF(INDEX($U$2:$AC$1001,MATCH(ROWS($N$2:N519),$N$2:$N$1001,0),MATCH(COLUMNS($U$1006:U1006),$U$1006:$AC$1006,0)), HYPERLINK("#",""), HYPERLINK(CONCATENATE("#metadata!", ADDRESS(INDEX($P$2:$P$1001,MATCH(ROWS($N$2:N519),$N$2:$N$1001,0),0), INDEX($U$1004:$AC$1004,1,MATCH(COLUMNS($U$1006:U1006),$U$1006:$AC$1006,0)))),"Fix")))</f>
        <v>0</v>
      </c>
      <c r="C519" s="3">
        <f>IF(OR(INDEX($O$2:$O$1001,MATCH(ROWS($N$2:N519),$N$2:$N$1001,0),1)&gt;=100000,INDEX($U$1005:$AC$1005,1,MATCH(COLUMNS($U$1006:V1006),$U$1006:$AC$1006,0))&gt;=100000), " ",IF(INDEX($U$2:$AC$1001,MATCH(ROWS($N$2:N519),$N$2:$N$1001,0),MATCH(COLUMNS($U$1006:V1006),$U$1006:$AC$1006,0)), HYPERLINK("#",""), HYPERLINK(CONCATENATE("#metadata!", ADDRESS(INDEX($P$2:$P$1001,MATCH(ROWS($N$2:N519),$N$2:$N$1001,0),0), INDEX($U$1004:$AC$1004,1,MATCH(COLUMNS($U$1006:V1006),$U$1006:$AC$1006,0)))),"Fix")))</f>
        <v>0</v>
      </c>
      <c r="D519" s="3">
        <f>IF(OR(INDEX($O$2:$O$1001,MATCH(ROWS($N$2:N519),$N$2:$N$1001,0),1)&gt;=100000,INDEX($U$1005:$AC$1005,1,MATCH(COLUMNS($U$1006:W1006),$U$1006:$AC$1006,0))&gt;=100000), " ",IF(INDEX($U$2:$AC$1001,MATCH(ROWS($N$2:N519),$N$2:$N$1001,0),MATCH(COLUMNS($U$1006:W1006),$U$1006:$AC$1006,0)), HYPERLINK("#",""), HYPERLINK(CONCATENATE("#metadata!", ADDRESS(INDEX($P$2:$P$1001,MATCH(ROWS($N$2:N519),$N$2:$N$1001,0),0), INDEX($U$1004:$AC$1004,1,MATCH(COLUMNS($U$1006:W1006),$U$1006:$AC$1006,0)))),"Fix")))</f>
        <v>0</v>
      </c>
      <c r="E519" s="3">
        <f>IF(OR(INDEX($O$2:$O$1001,MATCH(ROWS($N$2:N519),$N$2:$N$1001,0),1)&gt;=100000,INDEX($U$1005:$AC$1005,1,MATCH(COLUMNS($U$1006:X1006),$U$1006:$AC$1006,0))&gt;=100000), " ",IF(INDEX($U$2:$AC$1001,MATCH(ROWS($N$2:N519),$N$2:$N$1001,0),MATCH(COLUMNS($U$1006:X1006),$U$1006:$AC$1006,0)), HYPERLINK("#",""), HYPERLINK(CONCATENATE("#metadata!", ADDRESS(INDEX($P$2:$P$1001,MATCH(ROWS($N$2:N519),$N$2:$N$1001,0),0), INDEX($U$1004:$AC$1004,1,MATCH(COLUMNS($U$1006:X1006),$U$1006:$AC$1006,0)))),"Fix")))</f>
        <v>0</v>
      </c>
      <c r="F519" s="3">
        <f>IF(OR(INDEX($O$2:$O$1001,MATCH(ROWS($N$2:N519),$N$2:$N$1001,0),1)&gt;=100000,INDEX($U$1005:$AC$1005,1,MATCH(COLUMNS($U$1006:Y1006),$U$1006:$AC$1006,0))&gt;=100000), " ",IF(INDEX($U$2:$AC$1001,MATCH(ROWS($N$2:N519),$N$2:$N$1001,0),MATCH(COLUMNS($U$1006:Y1006),$U$1006:$AC$1006,0)), HYPERLINK("#",""), HYPERLINK(CONCATENATE("#metadata!", ADDRESS(INDEX($P$2:$P$1001,MATCH(ROWS($N$2:N519),$N$2:$N$1001,0),0), INDEX($U$1004:$AC$1004,1,MATCH(COLUMNS($U$1006:Y1006),$U$1006:$AC$1006,0)))),"Fix")))</f>
        <v>0</v>
      </c>
      <c r="G519" s="3">
        <f>IF(OR(INDEX($O$2:$O$1001,MATCH(ROWS($N$2:N519),$N$2:$N$1001,0),1)&gt;=100000,INDEX($U$1005:$AC$1005,1,MATCH(COLUMNS($U$1006:Z1006),$U$1006:$AC$1006,0))&gt;=100000), " ",IF(INDEX($U$2:$AC$1001,MATCH(ROWS($N$2:N519),$N$2:$N$1001,0),MATCH(COLUMNS($U$1006:Z1006),$U$1006:$AC$1006,0)), HYPERLINK("#",""), HYPERLINK(CONCATENATE("#metadata!", ADDRESS(INDEX($P$2:$P$1001,MATCH(ROWS($N$2:N519),$N$2:$N$1001,0),0), INDEX($U$1004:$AC$1004,1,MATCH(COLUMNS($U$1006:Z1006),$U$1006:$AC$1006,0)))),"Fix")))</f>
        <v>0</v>
      </c>
      <c r="H519" s="3">
        <f>IF(OR(INDEX($O$2:$O$1001,MATCH(ROWS($N$2:N519),$N$2:$N$1001,0),1)&gt;=100000,INDEX($U$1005:$AC$1005,1,MATCH(COLUMNS($U$1006:AA1006),$U$1006:$AC$1006,0))&gt;=100000), " ",IF(INDEX($U$2:$AC$1001,MATCH(ROWS($N$2:N519),$N$2:$N$1001,0),MATCH(COLUMNS($U$1006:AA1006),$U$1006:$AC$1006,0)), HYPERLINK("#",""), HYPERLINK(CONCATENATE("#metadata!", ADDRESS(INDEX($P$2:$P$1001,MATCH(ROWS($N$2:N519),$N$2:$N$1001,0),0), INDEX($U$1004:$AC$1004,1,MATCH(COLUMNS($U$1006:AA1006),$U$1006:$AC$1006,0)))),"Fix")))</f>
        <v>0</v>
      </c>
      <c r="I519" s="3">
        <f>IF(OR(INDEX($O$2:$O$1001,MATCH(ROWS($N$2:N519),$N$2:$N$1001,0),1)&gt;=100000,INDEX($U$1005:$AC$1005,1,MATCH(COLUMNS($U$1006:AB1006),$U$1006:$AC$1006,0))&gt;=100000), " ",IF(INDEX($U$2:$AC$1001,MATCH(ROWS($N$2:N519),$N$2:$N$1001,0),MATCH(COLUMNS($U$1006:AB1006),$U$1006:$AC$1006,0)), HYPERLINK("#",""), HYPERLINK(CONCATENATE("#metadata!", ADDRESS(INDEX($P$2:$P$1001,MATCH(ROWS($N$2:N519),$N$2:$N$1001,0),0), INDEX($U$1004:$AC$1004,1,MATCH(COLUMNS($U$1006:AB1006),$U$1006:$AC$1006,0)))),"Fix")))</f>
        <v>0</v>
      </c>
      <c r="J519" s="3">
        <f>IF(OR(INDEX($O$2:$O$1001,MATCH(ROWS($N$2:N519),$N$2:$N$1001,0),1)&gt;=100000,INDEX($U$1005:$AC$1005,1,MATCH(COLUMNS($U$1006:AC1006),$U$1006:$AC$1006,0))&gt;=100000), " ",IF(INDEX($U$2:$AC$1001,MATCH(ROWS($N$2:N519),$N$2:$N$1001,0),MATCH(COLUMNS($U$1006:AC1006),$U$1006:$AC$1006,0)), HYPERLINK("#",""), HYPERLINK(CONCATENATE("#metadata!", ADDRESS(INDEX($P$2:$P$1001,MATCH(ROWS($N$2:N519),$N$2:$N$1001,0),0), INDEX($U$1004:$AC$1004,1,MATCH(COLUMNS($U$1006:AC1006),$U$1006:$AC$1006,0)))),"Fix")))</f>
        <v>0</v>
      </c>
      <c r="N519">
        <v>0</v>
      </c>
      <c r="O519">
        <v>0</v>
      </c>
      <c r="P519">
        <v>0</v>
      </c>
      <c r="Q519">
        <f>IF(R519,TRUE,AND(U519:AC519))</f>
        <v>0</v>
      </c>
      <c r="R519">
        <f>COUNTBLANK(metadata!B519:J519)=COLUMNS(metadata!B519:J519)</f>
        <v>0</v>
      </c>
      <c r="S519">
        <v>0</v>
      </c>
      <c r="U519">
        <f>AND(IF(metadata!B519="",FALSE,TRUE),COUNTIF(metadata!B:B, metadata!B519) = 1,NOT(ISERROR(SUMPRODUCT(SEARCH(MID(metadata!B519,ROW(INDIRECT("1:"&amp;LEN(metadata!B519))), 1),"0123456789abcdefghijklmnopqrstuvwxyzABCDEFGHIJKLMNOPQRSTUVWXYZ.")))))</f>
        <v>0</v>
      </c>
      <c r="V519">
        <f>AND(IF(metadata!C519="",FALSE,TRUE),exact(metadata!C519,"UBERON:genitourinary"))</f>
        <v>0</v>
      </c>
      <c r="W519">
        <f>AND(IF(metadata!D519="",FALSE,TRUE),exact(metadata!D519,"UBERON:urine"))</f>
        <v>0</v>
      </c>
      <c r="X519">
        <f>AND(IF(metadata!E519="",FALSE,TRUE),exact(metadata!E519,"UBERON:kidney"))</f>
        <v>0</v>
      </c>
      <c r="Y519">
        <f>AND(IF(metadata!F519="",FALSE,TRUE),exact(metadata!F519,"animal corpus"))</f>
        <v>0</v>
      </c>
      <c r="Z519">
        <f>AND(IF(metadata!G519="",FALSE,TRUE),exact(metadata!G519,"urine"))</f>
        <v>0</v>
      </c>
      <c r="AA519">
        <f>AND(IF(metadata!H519="",FALSE,TRUE),exact(metadata!H519,"urine"))</f>
        <v>0</v>
      </c>
      <c r="AB519">
        <f>AND(IF(metadata!I519="",FALSE,TRUE),exact(metadata!I519,"urine metagenome"))</f>
        <v>0</v>
      </c>
      <c r="AC519">
        <f>AND(IF(metadata!J519="",FALSE,TRUE),exact(metadata!J519,"1346744"))</f>
        <v>0</v>
      </c>
    </row>
    <row r="520" spans="1:29">
      <c r="A520" s="4">
        <f>IF(B520=" "," ",HYPERLINK(CONCATENATE("#metadata!",ADDRESS(INDEX($P$2:$P$1001,MATCH(ROWS($N$2:N520),$N$2:$N$1001,0),0),1)),INDEX($S$2:$S$1001,MATCH(ROWS($N$2:N520),$N$2:$N$1001,0),0)))</f>
        <v>0</v>
      </c>
      <c r="B520" s="3">
        <f>IF(OR(INDEX($O$2:$O$1001,MATCH(ROWS($N$2:N520),$N$2:$N$1001,0),1)&gt;=100000,INDEX($U$1005:$AC$1005,1,MATCH(COLUMNS($U$1006:U1006),$U$1006:$AC$1006,0))&gt;=100000), " ",IF(INDEX($U$2:$AC$1001,MATCH(ROWS($N$2:N520),$N$2:$N$1001,0),MATCH(COLUMNS($U$1006:U1006),$U$1006:$AC$1006,0)), HYPERLINK("#",""), HYPERLINK(CONCATENATE("#metadata!", ADDRESS(INDEX($P$2:$P$1001,MATCH(ROWS($N$2:N520),$N$2:$N$1001,0),0), INDEX($U$1004:$AC$1004,1,MATCH(COLUMNS($U$1006:U1006),$U$1006:$AC$1006,0)))),"Fix")))</f>
        <v>0</v>
      </c>
      <c r="C520" s="3">
        <f>IF(OR(INDEX($O$2:$O$1001,MATCH(ROWS($N$2:N520),$N$2:$N$1001,0),1)&gt;=100000,INDEX($U$1005:$AC$1005,1,MATCH(COLUMNS($U$1006:V1006),$U$1006:$AC$1006,0))&gt;=100000), " ",IF(INDEX($U$2:$AC$1001,MATCH(ROWS($N$2:N520),$N$2:$N$1001,0),MATCH(COLUMNS($U$1006:V1006),$U$1006:$AC$1006,0)), HYPERLINK("#",""), HYPERLINK(CONCATENATE("#metadata!", ADDRESS(INDEX($P$2:$P$1001,MATCH(ROWS($N$2:N520),$N$2:$N$1001,0),0), INDEX($U$1004:$AC$1004,1,MATCH(COLUMNS($U$1006:V1006),$U$1006:$AC$1006,0)))),"Fix")))</f>
        <v>0</v>
      </c>
      <c r="D520" s="3">
        <f>IF(OR(INDEX($O$2:$O$1001,MATCH(ROWS($N$2:N520),$N$2:$N$1001,0),1)&gt;=100000,INDEX($U$1005:$AC$1005,1,MATCH(COLUMNS($U$1006:W1006),$U$1006:$AC$1006,0))&gt;=100000), " ",IF(INDEX($U$2:$AC$1001,MATCH(ROWS($N$2:N520),$N$2:$N$1001,0),MATCH(COLUMNS($U$1006:W1006),$U$1006:$AC$1006,0)), HYPERLINK("#",""), HYPERLINK(CONCATENATE("#metadata!", ADDRESS(INDEX($P$2:$P$1001,MATCH(ROWS($N$2:N520),$N$2:$N$1001,0),0), INDEX($U$1004:$AC$1004,1,MATCH(COLUMNS($U$1006:W1006),$U$1006:$AC$1006,0)))),"Fix")))</f>
        <v>0</v>
      </c>
      <c r="E520" s="3">
        <f>IF(OR(INDEX($O$2:$O$1001,MATCH(ROWS($N$2:N520),$N$2:$N$1001,0),1)&gt;=100000,INDEX($U$1005:$AC$1005,1,MATCH(COLUMNS($U$1006:X1006),$U$1006:$AC$1006,0))&gt;=100000), " ",IF(INDEX($U$2:$AC$1001,MATCH(ROWS($N$2:N520),$N$2:$N$1001,0),MATCH(COLUMNS($U$1006:X1006),$U$1006:$AC$1006,0)), HYPERLINK("#",""), HYPERLINK(CONCATENATE("#metadata!", ADDRESS(INDEX($P$2:$P$1001,MATCH(ROWS($N$2:N520),$N$2:$N$1001,0),0), INDEX($U$1004:$AC$1004,1,MATCH(COLUMNS($U$1006:X1006),$U$1006:$AC$1006,0)))),"Fix")))</f>
        <v>0</v>
      </c>
      <c r="F520" s="3">
        <f>IF(OR(INDEX($O$2:$O$1001,MATCH(ROWS($N$2:N520),$N$2:$N$1001,0),1)&gt;=100000,INDEX($U$1005:$AC$1005,1,MATCH(COLUMNS($U$1006:Y1006),$U$1006:$AC$1006,0))&gt;=100000), " ",IF(INDEX($U$2:$AC$1001,MATCH(ROWS($N$2:N520),$N$2:$N$1001,0),MATCH(COLUMNS($U$1006:Y1006),$U$1006:$AC$1006,0)), HYPERLINK("#",""), HYPERLINK(CONCATENATE("#metadata!", ADDRESS(INDEX($P$2:$P$1001,MATCH(ROWS($N$2:N520),$N$2:$N$1001,0),0), INDEX($U$1004:$AC$1004,1,MATCH(COLUMNS($U$1006:Y1006),$U$1006:$AC$1006,0)))),"Fix")))</f>
        <v>0</v>
      </c>
      <c r="G520" s="3">
        <f>IF(OR(INDEX($O$2:$O$1001,MATCH(ROWS($N$2:N520),$N$2:$N$1001,0),1)&gt;=100000,INDEX($U$1005:$AC$1005,1,MATCH(COLUMNS($U$1006:Z1006),$U$1006:$AC$1006,0))&gt;=100000), " ",IF(INDEX($U$2:$AC$1001,MATCH(ROWS($N$2:N520),$N$2:$N$1001,0),MATCH(COLUMNS($U$1006:Z1006),$U$1006:$AC$1006,0)), HYPERLINK("#",""), HYPERLINK(CONCATENATE("#metadata!", ADDRESS(INDEX($P$2:$P$1001,MATCH(ROWS($N$2:N520),$N$2:$N$1001,0),0), INDEX($U$1004:$AC$1004,1,MATCH(COLUMNS($U$1006:Z1006),$U$1006:$AC$1006,0)))),"Fix")))</f>
        <v>0</v>
      </c>
      <c r="H520" s="3">
        <f>IF(OR(INDEX($O$2:$O$1001,MATCH(ROWS($N$2:N520),$N$2:$N$1001,0),1)&gt;=100000,INDEX($U$1005:$AC$1005,1,MATCH(COLUMNS($U$1006:AA1006),$U$1006:$AC$1006,0))&gt;=100000), " ",IF(INDEX($U$2:$AC$1001,MATCH(ROWS($N$2:N520),$N$2:$N$1001,0),MATCH(COLUMNS($U$1006:AA1006),$U$1006:$AC$1006,0)), HYPERLINK("#",""), HYPERLINK(CONCATENATE("#metadata!", ADDRESS(INDEX($P$2:$P$1001,MATCH(ROWS($N$2:N520),$N$2:$N$1001,0),0), INDEX($U$1004:$AC$1004,1,MATCH(COLUMNS($U$1006:AA1006),$U$1006:$AC$1006,0)))),"Fix")))</f>
        <v>0</v>
      </c>
      <c r="I520" s="3">
        <f>IF(OR(INDEX($O$2:$O$1001,MATCH(ROWS($N$2:N520),$N$2:$N$1001,0),1)&gt;=100000,INDEX($U$1005:$AC$1005,1,MATCH(COLUMNS($U$1006:AB1006),$U$1006:$AC$1006,0))&gt;=100000), " ",IF(INDEX($U$2:$AC$1001,MATCH(ROWS($N$2:N520),$N$2:$N$1001,0),MATCH(COLUMNS($U$1006:AB1006),$U$1006:$AC$1006,0)), HYPERLINK("#",""), HYPERLINK(CONCATENATE("#metadata!", ADDRESS(INDEX($P$2:$P$1001,MATCH(ROWS($N$2:N520),$N$2:$N$1001,0),0), INDEX($U$1004:$AC$1004,1,MATCH(COLUMNS($U$1006:AB1006),$U$1006:$AC$1006,0)))),"Fix")))</f>
        <v>0</v>
      </c>
      <c r="J520" s="3">
        <f>IF(OR(INDEX($O$2:$O$1001,MATCH(ROWS($N$2:N520),$N$2:$N$1001,0),1)&gt;=100000,INDEX($U$1005:$AC$1005,1,MATCH(COLUMNS($U$1006:AC1006),$U$1006:$AC$1006,0))&gt;=100000), " ",IF(INDEX($U$2:$AC$1001,MATCH(ROWS($N$2:N520),$N$2:$N$1001,0),MATCH(COLUMNS($U$1006:AC1006),$U$1006:$AC$1006,0)), HYPERLINK("#",""), HYPERLINK(CONCATENATE("#metadata!", ADDRESS(INDEX($P$2:$P$1001,MATCH(ROWS($N$2:N520),$N$2:$N$1001,0),0), INDEX($U$1004:$AC$1004,1,MATCH(COLUMNS($U$1006:AC1006),$U$1006:$AC$1006,0)))),"Fix")))</f>
        <v>0</v>
      </c>
      <c r="N520">
        <v>0</v>
      </c>
      <c r="O520">
        <v>0</v>
      </c>
      <c r="P520">
        <v>0</v>
      </c>
      <c r="Q520">
        <f>IF(R520,TRUE,AND(U520:AC520))</f>
        <v>0</v>
      </c>
      <c r="R520">
        <f>COUNTBLANK(metadata!B520:J520)=COLUMNS(metadata!B520:J520)</f>
        <v>0</v>
      </c>
      <c r="S520">
        <v>0</v>
      </c>
      <c r="U520">
        <f>AND(IF(metadata!B520="",FALSE,TRUE),COUNTIF(metadata!B:B, metadata!B520) = 1,NOT(ISERROR(SUMPRODUCT(SEARCH(MID(metadata!B520,ROW(INDIRECT("1:"&amp;LEN(metadata!B520))), 1),"0123456789abcdefghijklmnopqrstuvwxyzABCDEFGHIJKLMNOPQRSTUVWXYZ.")))))</f>
        <v>0</v>
      </c>
      <c r="V520">
        <f>AND(IF(metadata!C520="",FALSE,TRUE),exact(metadata!C520,"UBERON:genitourinary"))</f>
        <v>0</v>
      </c>
      <c r="W520">
        <f>AND(IF(metadata!D520="",FALSE,TRUE),exact(metadata!D520,"UBERON:urine"))</f>
        <v>0</v>
      </c>
      <c r="X520">
        <f>AND(IF(metadata!E520="",FALSE,TRUE),exact(metadata!E520,"UBERON:kidney"))</f>
        <v>0</v>
      </c>
      <c r="Y520">
        <f>AND(IF(metadata!F520="",FALSE,TRUE),exact(metadata!F520,"animal corpus"))</f>
        <v>0</v>
      </c>
      <c r="Z520">
        <f>AND(IF(metadata!G520="",FALSE,TRUE),exact(metadata!G520,"urine"))</f>
        <v>0</v>
      </c>
      <c r="AA520">
        <f>AND(IF(metadata!H520="",FALSE,TRUE),exact(metadata!H520,"urine"))</f>
        <v>0</v>
      </c>
      <c r="AB520">
        <f>AND(IF(metadata!I520="",FALSE,TRUE),exact(metadata!I520,"urine metagenome"))</f>
        <v>0</v>
      </c>
      <c r="AC520">
        <f>AND(IF(metadata!J520="",FALSE,TRUE),exact(metadata!J520,"1346744"))</f>
        <v>0</v>
      </c>
    </row>
    <row r="521" spans="1:29">
      <c r="A521" s="4">
        <f>IF(B521=" "," ",HYPERLINK(CONCATENATE("#metadata!",ADDRESS(INDEX($P$2:$P$1001,MATCH(ROWS($N$2:N521),$N$2:$N$1001,0),0),1)),INDEX($S$2:$S$1001,MATCH(ROWS($N$2:N521),$N$2:$N$1001,0),0)))</f>
        <v>0</v>
      </c>
      <c r="B521" s="3">
        <f>IF(OR(INDEX($O$2:$O$1001,MATCH(ROWS($N$2:N521),$N$2:$N$1001,0),1)&gt;=100000,INDEX($U$1005:$AC$1005,1,MATCH(COLUMNS($U$1006:U1006),$U$1006:$AC$1006,0))&gt;=100000), " ",IF(INDEX($U$2:$AC$1001,MATCH(ROWS($N$2:N521),$N$2:$N$1001,0),MATCH(COLUMNS($U$1006:U1006),$U$1006:$AC$1006,0)), HYPERLINK("#",""), HYPERLINK(CONCATENATE("#metadata!", ADDRESS(INDEX($P$2:$P$1001,MATCH(ROWS($N$2:N521),$N$2:$N$1001,0),0), INDEX($U$1004:$AC$1004,1,MATCH(COLUMNS($U$1006:U1006),$U$1006:$AC$1006,0)))),"Fix")))</f>
        <v>0</v>
      </c>
      <c r="C521" s="3">
        <f>IF(OR(INDEX($O$2:$O$1001,MATCH(ROWS($N$2:N521),$N$2:$N$1001,0),1)&gt;=100000,INDEX($U$1005:$AC$1005,1,MATCH(COLUMNS($U$1006:V1006),$U$1006:$AC$1006,0))&gt;=100000), " ",IF(INDEX($U$2:$AC$1001,MATCH(ROWS($N$2:N521),$N$2:$N$1001,0),MATCH(COLUMNS($U$1006:V1006),$U$1006:$AC$1006,0)), HYPERLINK("#",""), HYPERLINK(CONCATENATE("#metadata!", ADDRESS(INDEX($P$2:$P$1001,MATCH(ROWS($N$2:N521),$N$2:$N$1001,0),0), INDEX($U$1004:$AC$1004,1,MATCH(COLUMNS($U$1006:V1006),$U$1006:$AC$1006,0)))),"Fix")))</f>
        <v>0</v>
      </c>
      <c r="D521" s="3">
        <f>IF(OR(INDEX($O$2:$O$1001,MATCH(ROWS($N$2:N521),$N$2:$N$1001,0),1)&gt;=100000,INDEX($U$1005:$AC$1005,1,MATCH(COLUMNS($U$1006:W1006),$U$1006:$AC$1006,0))&gt;=100000), " ",IF(INDEX($U$2:$AC$1001,MATCH(ROWS($N$2:N521),$N$2:$N$1001,0),MATCH(COLUMNS($U$1006:W1006),$U$1006:$AC$1006,0)), HYPERLINK("#",""), HYPERLINK(CONCATENATE("#metadata!", ADDRESS(INDEX($P$2:$P$1001,MATCH(ROWS($N$2:N521),$N$2:$N$1001,0),0), INDEX($U$1004:$AC$1004,1,MATCH(COLUMNS($U$1006:W1006),$U$1006:$AC$1006,0)))),"Fix")))</f>
        <v>0</v>
      </c>
      <c r="E521" s="3">
        <f>IF(OR(INDEX($O$2:$O$1001,MATCH(ROWS($N$2:N521),$N$2:$N$1001,0),1)&gt;=100000,INDEX($U$1005:$AC$1005,1,MATCH(COLUMNS($U$1006:X1006),$U$1006:$AC$1006,0))&gt;=100000), " ",IF(INDEX($U$2:$AC$1001,MATCH(ROWS($N$2:N521),$N$2:$N$1001,0),MATCH(COLUMNS($U$1006:X1006),$U$1006:$AC$1006,0)), HYPERLINK("#",""), HYPERLINK(CONCATENATE("#metadata!", ADDRESS(INDEX($P$2:$P$1001,MATCH(ROWS($N$2:N521),$N$2:$N$1001,0),0), INDEX($U$1004:$AC$1004,1,MATCH(COLUMNS($U$1006:X1006),$U$1006:$AC$1006,0)))),"Fix")))</f>
        <v>0</v>
      </c>
      <c r="F521" s="3">
        <f>IF(OR(INDEX($O$2:$O$1001,MATCH(ROWS($N$2:N521),$N$2:$N$1001,0),1)&gt;=100000,INDEX($U$1005:$AC$1005,1,MATCH(COLUMNS($U$1006:Y1006),$U$1006:$AC$1006,0))&gt;=100000), " ",IF(INDEX($U$2:$AC$1001,MATCH(ROWS($N$2:N521),$N$2:$N$1001,0),MATCH(COLUMNS($U$1006:Y1006),$U$1006:$AC$1006,0)), HYPERLINK("#",""), HYPERLINK(CONCATENATE("#metadata!", ADDRESS(INDEX($P$2:$P$1001,MATCH(ROWS($N$2:N521),$N$2:$N$1001,0),0), INDEX($U$1004:$AC$1004,1,MATCH(COLUMNS($U$1006:Y1006),$U$1006:$AC$1006,0)))),"Fix")))</f>
        <v>0</v>
      </c>
      <c r="G521" s="3">
        <f>IF(OR(INDEX($O$2:$O$1001,MATCH(ROWS($N$2:N521),$N$2:$N$1001,0),1)&gt;=100000,INDEX($U$1005:$AC$1005,1,MATCH(COLUMNS($U$1006:Z1006),$U$1006:$AC$1006,0))&gt;=100000), " ",IF(INDEX($U$2:$AC$1001,MATCH(ROWS($N$2:N521),$N$2:$N$1001,0),MATCH(COLUMNS($U$1006:Z1006),$U$1006:$AC$1006,0)), HYPERLINK("#",""), HYPERLINK(CONCATENATE("#metadata!", ADDRESS(INDEX($P$2:$P$1001,MATCH(ROWS($N$2:N521),$N$2:$N$1001,0),0), INDEX($U$1004:$AC$1004,1,MATCH(COLUMNS($U$1006:Z1006),$U$1006:$AC$1006,0)))),"Fix")))</f>
        <v>0</v>
      </c>
      <c r="H521" s="3">
        <f>IF(OR(INDEX($O$2:$O$1001,MATCH(ROWS($N$2:N521),$N$2:$N$1001,0),1)&gt;=100000,INDEX($U$1005:$AC$1005,1,MATCH(COLUMNS($U$1006:AA1006),$U$1006:$AC$1006,0))&gt;=100000), " ",IF(INDEX($U$2:$AC$1001,MATCH(ROWS($N$2:N521),$N$2:$N$1001,0),MATCH(COLUMNS($U$1006:AA1006),$U$1006:$AC$1006,0)), HYPERLINK("#",""), HYPERLINK(CONCATENATE("#metadata!", ADDRESS(INDEX($P$2:$P$1001,MATCH(ROWS($N$2:N521),$N$2:$N$1001,0),0), INDEX($U$1004:$AC$1004,1,MATCH(COLUMNS($U$1006:AA1006),$U$1006:$AC$1006,0)))),"Fix")))</f>
        <v>0</v>
      </c>
      <c r="I521" s="3">
        <f>IF(OR(INDEX($O$2:$O$1001,MATCH(ROWS($N$2:N521),$N$2:$N$1001,0),1)&gt;=100000,INDEX($U$1005:$AC$1005,1,MATCH(COLUMNS($U$1006:AB1006),$U$1006:$AC$1006,0))&gt;=100000), " ",IF(INDEX($U$2:$AC$1001,MATCH(ROWS($N$2:N521),$N$2:$N$1001,0),MATCH(COLUMNS($U$1006:AB1006),$U$1006:$AC$1006,0)), HYPERLINK("#",""), HYPERLINK(CONCATENATE("#metadata!", ADDRESS(INDEX($P$2:$P$1001,MATCH(ROWS($N$2:N521),$N$2:$N$1001,0),0), INDEX($U$1004:$AC$1004,1,MATCH(COLUMNS($U$1006:AB1006),$U$1006:$AC$1006,0)))),"Fix")))</f>
        <v>0</v>
      </c>
      <c r="J521" s="3">
        <f>IF(OR(INDEX($O$2:$O$1001,MATCH(ROWS($N$2:N521),$N$2:$N$1001,0),1)&gt;=100000,INDEX($U$1005:$AC$1005,1,MATCH(COLUMNS($U$1006:AC1006),$U$1006:$AC$1006,0))&gt;=100000), " ",IF(INDEX($U$2:$AC$1001,MATCH(ROWS($N$2:N521),$N$2:$N$1001,0),MATCH(COLUMNS($U$1006:AC1006),$U$1006:$AC$1006,0)), HYPERLINK("#",""), HYPERLINK(CONCATENATE("#metadata!", ADDRESS(INDEX($P$2:$P$1001,MATCH(ROWS($N$2:N521),$N$2:$N$1001,0),0), INDEX($U$1004:$AC$1004,1,MATCH(COLUMNS($U$1006:AC1006),$U$1006:$AC$1006,0)))),"Fix")))</f>
        <v>0</v>
      </c>
      <c r="N521">
        <v>0</v>
      </c>
      <c r="O521">
        <v>0</v>
      </c>
      <c r="P521">
        <v>0</v>
      </c>
      <c r="Q521">
        <f>IF(R521,TRUE,AND(U521:AC521))</f>
        <v>0</v>
      </c>
      <c r="R521">
        <f>COUNTBLANK(metadata!B521:J521)=COLUMNS(metadata!B521:J521)</f>
        <v>0</v>
      </c>
      <c r="S521">
        <v>0</v>
      </c>
      <c r="U521">
        <f>AND(IF(metadata!B521="",FALSE,TRUE),COUNTIF(metadata!B:B, metadata!B521) = 1,NOT(ISERROR(SUMPRODUCT(SEARCH(MID(metadata!B521,ROW(INDIRECT("1:"&amp;LEN(metadata!B521))), 1),"0123456789abcdefghijklmnopqrstuvwxyzABCDEFGHIJKLMNOPQRSTUVWXYZ.")))))</f>
        <v>0</v>
      </c>
      <c r="V521">
        <f>AND(IF(metadata!C521="",FALSE,TRUE),exact(metadata!C521,"UBERON:genitourinary"))</f>
        <v>0</v>
      </c>
      <c r="W521">
        <f>AND(IF(metadata!D521="",FALSE,TRUE),exact(metadata!D521,"UBERON:urine"))</f>
        <v>0</v>
      </c>
      <c r="X521">
        <f>AND(IF(metadata!E521="",FALSE,TRUE),exact(metadata!E521,"UBERON:kidney"))</f>
        <v>0</v>
      </c>
      <c r="Y521">
        <f>AND(IF(metadata!F521="",FALSE,TRUE),exact(metadata!F521,"animal corpus"))</f>
        <v>0</v>
      </c>
      <c r="Z521">
        <f>AND(IF(metadata!G521="",FALSE,TRUE),exact(metadata!G521,"urine"))</f>
        <v>0</v>
      </c>
      <c r="AA521">
        <f>AND(IF(metadata!H521="",FALSE,TRUE),exact(metadata!H521,"urine"))</f>
        <v>0</v>
      </c>
      <c r="AB521">
        <f>AND(IF(metadata!I521="",FALSE,TRUE),exact(metadata!I521,"urine metagenome"))</f>
        <v>0</v>
      </c>
      <c r="AC521">
        <f>AND(IF(metadata!J521="",FALSE,TRUE),exact(metadata!J521,"1346744"))</f>
        <v>0</v>
      </c>
    </row>
    <row r="522" spans="1:29">
      <c r="A522" s="4">
        <f>IF(B522=" "," ",HYPERLINK(CONCATENATE("#metadata!",ADDRESS(INDEX($P$2:$P$1001,MATCH(ROWS($N$2:N522),$N$2:$N$1001,0),0),1)),INDEX($S$2:$S$1001,MATCH(ROWS($N$2:N522),$N$2:$N$1001,0),0)))</f>
        <v>0</v>
      </c>
      <c r="B522" s="3">
        <f>IF(OR(INDEX($O$2:$O$1001,MATCH(ROWS($N$2:N522),$N$2:$N$1001,0),1)&gt;=100000,INDEX($U$1005:$AC$1005,1,MATCH(COLUMNS($U$1006:U1006),$U$1006:$AC$1006,0))&gt;=100000), " ",IF(INDEX($U$2:$AC$1001,MATCH(ROWS($N$2:N522),$N$2:$N$1001,0),MATCH(COLUMNS($U$1006:U1006),$U$1006:$AC$1006,0)), HYPERLINK("#",""), HYPERLINK(CONCATENATE("#metadata!", ADDRESS(INDEX($P$2:$P$1001,MATCH(ROWS($N$2:N522),$N$2:$N$1001,0),0), INDEX($U$1004:$AC$1004,1,MATCH(COLUMNS($U$1006:U1006),$U$1006:$AC$1006,0)))),"Fix")))</f>
        <v>0</v>
      </c>
      <c r="C522" s="3">
        <f>IF(OR(INDEX($O$2:$O$1001,MATCH(ROWS($N$2:N522),$N$2:$N$1001,0),1)&gt;=100000,INDEX($U$1005:$AC$1005,1,MATCH(COLUMNS($U$1006:V1006),$U$1006:$AC$1006,0))&gt;=100000), " ",IF(INDEX($U$2:$AC$1001,MATCH(ROWS($N$2:N522),$N$2:$N$1001,0),MATCH(COLUMNS($U$1006:V1006),$U$1006:$AC$1006,0)), HYPERLINK("#",""), HYPERLINK(CONCATENATE("#metadata!", ADDRESS(INDEX($P$2:$P$1001,MATCH(ROWS($N$2:N522),$N$2:$N$1001,0),0), INDEX($U$1004:$AC$1004,1,MATCH(COLUMNS($U$1006:V1006),$U$1006:$AC$1006,0)))),"Fix")))</f>
        <v>0</v>
      </c>
      <c r="D522" s="3">
        <f>IF(OR(INDEX($O$2:$O$1001,MATCH(ROWS($N$2:N522),$N$2:$N$1001,0),1)&gt;=100000,INDEX($U$1005:$AC$1005,1,MATCH(COLUMNS($U$1006:W1006),$U$1006:$AC$1006,0))&gt;=100000), " ",IF(INDEX($U$2:$AC$1001,MATCH(ROWS($N$2:N522),$N$2:$N$1001,0),MATCH(COLUMNS($U$1006:W1006),$U$1006:$AC$1006,0)), HYPERLINK("#",""), HYPERLINK(CONCATENATE("#metadata!", ADDRESS(INDEX($P$2:$P$1001,MATCH(ROWS($N$2:N522),$N$2:$N$1001,0),0), INDEX($U$1004:$AC$1004,1,MATCH(COLUMNS($U$1006:W1006),$U$1006:$AC$1006,0)))),"Fix")))</f>
        <v>0</v>
      </c>
      <c r="E522" s="3">
        <f>IF(OR(INDEX($O$2:$O$1001,MATCH(ROWS($N$2:N522),$N$2:$N$1001,0),1)&gt;=100000,INDEX($U$1005:$AC$1005,1,MATCH(COLUMNS($U$1006:X1006),$U$1006:$AC$1006,0))&gt;=100000), " ",IF(INDEX($U$2:$AC$1001,MATCH(ROWS($N$2:N522),$N$2:$N$1001,0),MATCH(COLUMNS($U$1006:X1006),$U$1006:$AC$1006,0)), HYPERLINK("#",""), HYPERLINK(CONCATENATE("#metadata!", ADDRESS(INDEX($P$2:$P$1001,MATCH(ROWS($N$2:N522),$N$2:$N$1001,0),0), INDEX($U$1004:$AC$1004,1,MATCH(COLUMNS($U$1006:X1006),$U$1006:$AC$1006,0)))),"Fix")))</f>
        <v>0</v>
      </c>
      <c r="F522" s="3">
        <f>IF(OR(INDEX($O$2:$O$1001,MATCH(ROWS($N$2:N522),$N$2:$N$1001,0),1)&gt;=100000,INDEX($U$1005:$AC$1005,1,MATCH(COLUMNS($U$1006:Y1006),$U$1006:$AC$1006,0))&gt;=100000), " ",IF(INDEX($U$2:$AC$1001,MATCH(ROWS($N$2:N522),$N$2:$N$1001,0),MATCH(COLUMNS($U$1006:Y1006),$U$1006:$AC$1006,0)), HYPERLINK("#",""), HYPERLINK(CONCATENATE("#metadata!", ADDRESS(INDEX($P$2:$P$1001,MATCH(ROWS($N$2:N522),$N$2:$N$1001,0),0), INDEX($U$1004:$AC$1004,1,MATCH(COLUMNS($U$1006:Y1006),$U$1006:$AC$1006,0)))),"Fix")))</f>
        <v>0</v>
      </c>
      <c r="G522" s="3">
        <f>IF(OR(INDEX($O$2:$O$1001,MATCH(ROWS($N$2:N522),$N$2:$N$1001,0),1)&gt;=100000,INDEX($U$1005:$AC$1005,1,MATCH(COLUMNS($U$1006:Z1006),$U$1006:$AC$1006,0))&gt;=100000), " ",IF(INDEX($U$2:$AC$1001,MATCH(ROWS($N$2:N522),$N$2:$N$1001,0),MATCH(COLUMNS($U$1006:Z1006),$U$1006:$AC$1006,0)), HYPERLINK("#",""), HYPERLINK(CONCATENATE("#metadata!", ADDRESS(INDEX($P$2:$P$1001,MATCH(ROWS($N$2:N522),$N$2:$N$1001,0),0), INDEX($U$1004:$AC$1004,1,MATCH(COLUMNS($U$1006:Z1006),$U$1006:$AC$1006,0)))),"Fix")))</f>
        <v>0</v>
      </c>
      <c r="H522" s="3">
        <f>IF(OR(INDEX($O$2:$O$1001,MATCH(ROWS($N$2:N522),$N$2:$N$1001,0),1)&gt;=100000,INDEX($U$1005:$AC$1005,1,MATCH(COLUMNS($U$1006:AA1006),$U$1006:$AC$1006,0))&gt;=100000), " ",IF(INDEX($U$2:$AC$1001,MATCH(ROWS($N$2:N522),$N$2:$N$1001,0),MATCH(COLUMNS($U$1006:AA1006),$U$1006:$AC$1006,0)), HYPERLINK("#",""), HYPERLINK(CONCATENATE("#metadata!", ADDRESS(INDEX($P$2:$P$1001,MATCH(ROWS($N$2:N522),$N$2:$N$1001,0),0), INDEX($U$1004:$AC$1004,1,MATCH(COLUMNS($U$1006:AA1006),$U$1006:$AC$1006,0)))),"Fix")))</f>
        <v>0</v>
      </c>
      <c r="I522" s="3">
        <f>IF(OR(INDEX($O$2:$O$1001,MATCH(ROWS($N$2:N522),$N$2:$N$1001,0),1)&gt;=100000,INDEX($U$1005:$AC$1005,1,MATCH(COLUMNS($U$1006:AB1006),$U$1006:$AC$1006,0))&gt;=100000), " ",IF(INDEX($U$2:$AC$1001,MATCH(ROWS($N$2:N522),$N$2:$N$1001,0),MATCH(COLUMNS($U$1006:AB1006),$U$1006:$AC$1006,0)), HYPERLINK("#",""), HYPERLINK(CONCATENATE("#metadata!", ADDRESS(INDEX($P$2:$P$1001,MATCH(ROWS($N$2:N522),$N$2:$N$1001,0),0), INDEX($U$1004:$AC$1004,1,MATCH(COLUMNS($U$1006:AB1006),$U$1006:$AC$1006,0)))),"Fix")))</f>
        <v>0</v>
      </c>
      <c r="J522" s="3">
        <f>IF(OR(INDEX($O$2:$O$1001,MATCH(ROWS($N$2:N522),$N$2:$N$1001,0),1)&gt;=100000,INDEX($U$1005:$AC$1005,1,MATCH(COLUMNS($U$1006:AC1006),$U$1006:$AC$1006,0))&gt;=100000), " ",IF(INDEX($U$2:$AC$1001,MATCH(ROWS($N$2:N522),$N$2:$N$1001,0),MATCH(COLUMNS($U$1006:AC1006),$U$1006:$AC$1006,0)), HYPERLINK("#",""), HYPERLINK(CONCATENATE("#metadata!", ADDRESS(INDEX($P$2:$P$1001,MATCH(ROWS($N$2:N522),$N$2:$N$1001,0),0), INDEX($U$1004:$AC$1004,1,MATCH(COLUMNS($U$1006:AC1006),$U$1006:$AC$1006,0)))),"Fix")))</f>
        <v>0</v>
      </c>
      <c r="N522">
        <v>0</v>
      </c>
      <c r="O522">
        <v>0</v>
      </c>
      <c r="P522">
        <v>0</v>
      </c>
      <c r="Q522">
        <f>IF(R522,TRUE,AND(U522:AC522))</f>
        <v>0</v>
      </c>
      <c r="R522">
        <f>COUNTBLANK(metadata!B522:J522)=COLUMNS(metadata!B522:J522)</f>
        <v>0</v>
      </c>
      <c r="S522">
        <v>0</v>
      </c>
      <c r="U522">
        <f>AND(IF(metadata!B522="",FALSE,TRUE),COUNTIF(metadata!B:B, metadata!B522) = 1,NOT(ISERROR(SUMPRODUCT(SEARCH(MID(metadata!B522,ROW(INDIRECT("1:"&amp;LEN(metadata!B522))), 1),"0123456789abcdefghijklmnopqrstuvwxyzABCDEFGHIJKLMNOPQRSTUVWXYZ.")))))</f>
        <v>0</v>
      </c>
      <c r="V522">
        <f>AND(IF(metadata!C522="",FALSE,TRUE),exact(metadata!C522,"UBERON:genitourinary"))</f>
        <v>0</v>
      </c>
      <c r="W522">
        <f>AND(IF(metadata!D522="",FALSE,TRUE),exact(metadata!D522,"UBERON:urine"))</f>
        <v>0</v>
      </c>
      <c r="X522">
        <f>AND(IF(metadata!E522="",FALSE,TRUE),exact(metadata!E522,"UBERON:kidney"))</f>
        <v>0</v>
      </c>
      <c r="Y522">
        <f>AND(IF(metadata!F522="",FALSE,TRUE),exact(metadata!F522,"animal corpus"))</f>
        <v>0</v>
      </c>
      <c r="Z522">
        <f>AND(IF(metadata!G522="",FALSE,TRUE),exact(metadata!G522,"urine"))</f>
        <v>0</v>
      </c>
      <c r="AA522">
        <f>AND(IF(metadata!H522="",FALSE,TRUE),exact(metadata!H522,"urine"))</f>
        <v>0</v>
      </c>
      <c r="AB522">
        <f>AND(IF(metadata!I522="",FALSE,TRUE),exact(metadata!I522,"urine metagenome"))</f>
        <v>0</v>
      </c>
      <c r="AC522">
        <f>AND(IF(metadata!J522="",FALSE,TRUE),exact(metadata!J522,"1346744"))</f>
        <v>0</v>
      </c>
    </row>
    <row r="523" spans="1:29">
      <c r="A523" s="4">
        <f>IF(B523=" "," ",HYPERLINK(CONCATENATE("#metadata!",ADDRESS(INDEX($P$2:$P$1001,MATCH(ROWS($N$2:N523),$N$2:$N$1001,0),0),1)),INDEX($S$2:$S$1001,MATCH(ROWS($N$2:N523),$N$2:$N$1001,0),0)))</f>
        <v>0</v>
      </c>
      <c r="B523" s="3">
        <f>IF(OR(INDEX($O$2:$O$1001,MATCH(ROWS($N$2:N523),$N$2:$N$1001,0),1)&gt;=100000,INDEX($U$1005:$AC$1005,1,MATCH(COLUMNS($U$1006:U1006),$U$1006:$AC$1006,0))&gt;=100000), " ",IF(INDEX($U$2:$AC$1001,MATCH(ROWS($N$2:N523),$N$2:$N$1001,0),MATCH(COLUMNS($U$1006:U1006),$U$1006:$AC$1006,0)), HYPERLINK("#",""), HYPERLINK(CONCATENATE("#metadata!", ADDRESS(INDEX($P$2:$P$1001,MATCH(ROWS($N$2:N523),$N$2:$N$1001,0),0), INDEX($U$1004:$AC$1004,1,MATCH(COLUMNS($U$1006:U1006),$U$1006:$AC$1006,0)))),"Fix")))</f>
        <v>0</v>
      </c>
      <c r="C523" s="3">
        <f>IF(OR(INDEX($O$2:$O$1001,MATCH(ROWS($N$2:N523),$N$2:$N$1001,0),1)&gt;=100000,INDEX($U$1005:$AC$1005,1,MATCH(COLUMNS($U$1006:V1006),$U$1006:$AC$1006,0))&gt;=100000), " ",IF(INDEX($U$2:$AC$1001,MATCH(ROWS($N$2:N523),$N$2:$N$1001,0),MATCH(COLUMNS($U$1006:V1006),$U$1006:$AC$1006,0)), HYPERLINK("#",""), HYPERLINK(CONCATENATE("#metadata!", ADDRESS(INDEX($P$2:$P$1001,MATCH(ROWS($N$2:N523),$N$2:$N$1001,0),0), INDEX($U$1004:$AC$1004,1,MATCH(COLUMNS($U$1006:V1006),$U$1006:$AC$1006,0)))),"Fix")))</f>
        <v>0</v>
      </c>
      <c r="D523" s="3">
        <f>IF(OR(INDEX($O$2:$O$1001,MATCH(ROWS($N$2:N523),$N$2:$N$1001,0),1)&gt;=100000,INDEX($U$1005:$AC$1005,1,MATCH(COLUMNS($U$1006:W1006),$U$1006:$AC$1006,0))&gt;=100000), " ",IF(INDEX($U$2:$AC$1001,MATCH(ROWS($N$2:N523),$N$2:$N$1001,0),MATCH(COLUMNS($U$1006:W1006),$U$1006:$AC$1006,0)), HYPERLINK("#",""), HYPERLINK(CONCATENATE("#metadata!", ADDRESS(INDEX($P$2:$P$1001,MATCH(ROWS($N$2:N523),$N$2:$N$1001,0),0), INDEX($U$1004:$AC$1004,1,MATCH(COLUMNS($U$1006:W1006),$U$1006:$AC$1006,0)))),"Fix")))</f>
        <v>0</v>
      </c>
      <c r="E523" s="3">
        <f>IF(OR(INDEX($O$2:$O$1001,MATCH(ROWS($N$2:N523),$N$2:$N$1001,0),1)&gt;=100000,INDEX($U$1005:$AC$1005,1,MATCH(COLUMNS($U$1006:X1006),$U$1006:$AC$1006,0))&gt;=100000), " ",IF(INDEX($U$2:$AC$1001,MATCH(ROWS($N$2:N523),$N$2:$N$1001,0),MATCH(COLUMNS($U$1006:X1006),$U$1006:$AC$1006,0)), HYPERLINK("#",""), HYPERLINK(CONCATENATE("#metadata!", ADDRESS(INDEX($P$2:$P$1001,MATCH(ROWS($N$2:N523),$N$2:$N$1001,0),0), INDEX($U$1004:$AC$1004,1,MATCH(COLUMNS($U$1006:X1006),$U$1006:$AC$1006,0)))),"Fix")))</f>
        <v>0</v>
      </c>
      <c r="F523" s="3">
        <f>IF(OR(INDEX($O$2:$O$1001,MATCH(ROWS($N$2:N523),$N$2:$N$1001,0),1)&gt;=100000,INDEX($U$1005:$AC$1005,1,MATCH(COLUMNS($U$1006:Y1006),$U$1006:$AC$1006,0))&gt;=100000), " ",IF(INDEX($U$2:$AC$1001,MATCH(ROWS($N$2:N523),$N$2:$N$1001,0),MATCH(COLUMNS($U$1006:Y1006),$U$1006:$AC$1006,0)), HYPERLINK("#",""), HYPERLINK(CONCATENATE("#metadata!", ADDRESS(INDEX($P$2:$P$1001,MATCH(ROWS($N$2:N523),$N$2:$N$1001,0),0), INDEX($U$1004:$AC$1004,1,MATCH(COLUMNS($U$1006:Y1006),$U$1006:$AC$1006,0)))),"Fix")))</f>
        <v>0</v>
      </c>
      <c r="G523" s="3">
        <f>IF(OR(INDEX($O$2:$O$1001,MATCH(ROWS($N$2:N523),$N$2:$N$1001,0),1)&gt;=100000,INDEX($U$1005:$AC$1005,1,MATCH(COLUMNS($U$1006:Z1006),$U$1006:$AC$1006,0))&gt;=100000), " ",IF(INDEX($U$2:$AC$1001,MATCH(ROWS($N$2:N523),$N$2:$N$1001,0),MATCH(COLUMNS($U$1006:Z1006),$U$1006:$AC$1006,0)), HYPERLINK("#",""), HYPERLINK(CONCATENATE("#metadata!", ADDRESS(INDEX($P$2:$P$1001,MATCH(ROWS($N$2:N523),$N$2:$N$1001,0),0), INDEX($U$1004:$AC$1004,1,MATCH(COLUMNS($U$1006:Z1006),$U$1006:$AC$1006,0)))),"Fix")))</f>
        <v>0</v>
      </c>
      <c r="H523" s="3">
        <f>IF(OR(INDEX($O$2:$O$1001,MATCH(ROWS($N$2:N523),$N$2:$N$1001,0),1)&gt;=100000,INDEX($U$1005:$AC$1005,1,MATCH(COLUMNS($U$1006:AA1006),$U$1006:$AC$1006,0))&gt;=100000), " ",IF(INDEX($U$2:$AC$1001,MATCH(ROWS($N$2:N523),$N$2:$N$1001,0),MATCH(COLUMNS($U$1006:AA1006),$U$1006:$AC$1006,0)), HYPERLINK("#",""), HYPERLINK(CONCATENATE("#metadata!", ADDRESS(INDEX($P$2:$P$1001,MATCH(ROWS($N$2:N523),$N$2:$N$1001,0),0), INDEX($U$1004:$AC$1004,1,MATCH(COLUMNS($U$1006:AA1006),$U$1006:$AC$1006,0)))),"Fix")))</f>
        <v>0</v>
      </c>
      <c r="I523" s="3">
        <f>IF(OR(INDEX($O$2:$O$1001,MATCH(ROWS($N$2:N523),$N$2:$N$1001,0),1)&gt;=100000,INDEX($U$1005:$AC$1005,1,MATCH(COLUMNS($U$1006:AB1006),$U$1006:$AC$1006,0))&gt;=100000), " ",IF(INDEX($U$2:$AC$1001,MATCH(ROWS($N$2:N523),$N$2:$N$1001,0),MATCH(COLUMNS($U$1006:AB1006),$U$1006:$AC$1006,0)), HYPERLINK("#",""), HYPERLINK(CONCATENATE("#metadata!", ADDRESS(INDEX($P$2:$P$1001,MATCH(ROWS($N$2:N523),$N$2:$N$1001,0),0), INDEX($U$1004:$AC$1004,1,MATCH(COLUMNS($U$1006:AB1006),$U$1006:$AC$1006,0)))),"Fix")))</f>
        <v>0</v>
      </c>
      <c r="J523" s="3">
        <f>IF(OR(INDEX($O$2:$O$1001,MATCH(ROWS($N$2:N523),$N$2:$N$1001,0),1)&gt;=100000,INDEX($U$1005:$AC$1005,1,MATCH(COLUMNS($U$1006:AC1006),$U$1006:$AC$1006,0))&gt;=100000), " ",IF(INDEX($U$2:$AC$1001,MATCH(ROWS($N$2:N523),$N$2:$N$1001,0),MATCH(COLUMNS($U$1006:AC1006),$U$1006:$AC$1006,0)), HYPERLINK("#",""), HYPERLINK(CONCATENATE("#metadata!", ADDRESS(INDEX($P$2:$P$1001,MATCH(ROWS($N$2:N523),$N$2:$N$1001,0),0), INDEX($U$1004:$AC$1004,1,MATCH(COLUMNS($U$1006:AC1006),$U$1006:$AC$1006,0)))),"Fix")))</f>
        <v>0</v>
      </c>
      <c r="N523">
        <v>0</v>
      </c>
      <c r="O523">
        <v>0</v>
      </c>
      <c r="P523">
        <v>0</v>
      </c>
      <c r="Q523">
        <f>IF(R523,TRUE,AND(U523:AC523))</f>
        <v>0</v>
      </c>
      <c r="R523">
        <f>COUNTBLANK(metadata!B523:J523)=COLUMNS(metadata!B523:J523)</f>
        <v>0</v>
      </c>
      <c r="S523">
        <v>0</v>
      </c>
      <c r="U523">
        <f>AND(IF(metadata!B523="",FALSE,TRUE),COUNTIF(metadata!B:B, metadata!B523) = 1,NOT(ISERROR(SUMPRODUCT(SEARCH(MID(metadata!B523,ROW(INDIRECT("1:"&amp;LEN(metadata!B523))), 1),"0123456789abcdefghijklmnopqrstuvwxyzABCDEFGHIJKLMNOPQRSTUVWXYZ.")))))</f>
        <v>0</v>
      </c>
      <c r="V523">
        <f>AND(IF(metadata!C523="",FALSE,TRUE),exact(metadata!C523,"UBERON:genitourinary"))</f>
        <v>0</v>
      </c>
      <c r="W523">
        <f>AND(IF(metadata!D523="",FALSE,TRUE),exact(metadata!D523,"UBERON:urine"))</f>
        <v>0</v>
      </c>
      <c r="X523">
        <f>AND(IF(metadata!E523="",FALSE,TRUE),exact(metadata!E523,"UBERON:kidney"))</f>
        <v>0</v>
      </c>
      <c r="Y523">
        <f>AND(IF(metadata!F523="",FALSE,TRUE),exact(metadata!F523,"animal corpus"))</f>
        <v>0</v>
      </c>
      <c r="Z523">
        <f>AND(IF(metadata!G523="",FALSE,TRUE),exact(metadata!G523,"urine"))</f>
        <v>0</v>
      </c>
      <c r="AA523">
        <f>AND(IF(metadata!H523="",FALSE,TRUE),exact(metadata!H523,"urine"))</f>
        <v>0</v>
      </c>
      <c r="AB523">
        <f>AND(IF(metadata!I523="",FALSE,TRUE),exact(metadata!I523,"urine metagenome"))</f>
        <v>0</v>
      </c>
      <c r="AC523">
        <f>AND(IF(metadata!J523="",FALSE,TRUE),exact(metadata!J523,"1346744"))</f>
        <v>0</v>
      </c>
    </row>
    <row r="524" spans="1:29">
      <c r="A524" s="4">
        <f>IF(B524=" "," ",HYPERLINK(CONCATENATE("#metadata!",ADDRESS(INDEX($P$2:$P$1001,MATCH(ROWS($N$2:N524),$N$2:$N$1001,0),0),1)),INDEX($S$2:$S$1001,MATCH(ROWS($N$2:N524),$N$2:$N$1001,0),0)))</f>
        <v>0</v>
      </c>
      <c r="B524" s="3">
        <f>IF(OR(INDEX($O$2:$O$1001,MATCH(ROWS($N$2:N524),$N$2:$N$1001,0),1)&gt;=100000,INDEX($U$1005:$AC$1005,1,MATCH(COLUMNS($U$1006:U1006),$U$1006:$AC$1006,0))&gt;=100000), " ",IF(INDEX($U$2:$AC$1001,MATCH(ROWS($N$2:N524),$N$2:$N$1001,0),MATCH(COLUMNS($U$1006:U1006),$U$1006:$AC$1006,0)), HYPERLINK("#",""), HYPERLINK(CONCATENATE("#metadata!", ADDRESS(INDEX($P$2:$P$1001,MATCH(ROWS($N$2:N524),$N$2:$N$1001,0),0), INDEX($U$1004:$AC$1004,1,MATCH(COLUMNS($U$1006:U1006),$U$1006:$AC$1006,0)))),"Fix")))</f>
        <v>0</v>
      </c>
      <c r="C524" s="3">
        <f>IF(OR(INDEX($O$2:$O$1001,MATCH(ROWS($N$2:N524),$N$2:$N$1001,0),1)&gt;=100000,INDEX($U$1005:$AC$1005,1,MATCH(COLUMNS($U$1006:V1006),$U$1006:$AC$1006,0))&gt;=100000), " ",IF(INDEX($U$2:$AC$1001,MATCH(ROWS($N$2:N524),$N$2:$N$1001,0),MATCH(COLUMNS($U$1006:V1006),$U$1006:$AC$1006,0)), HYPERLINK("#",""), HYPERLINK(CONCATENATE("#metadata!", ADDRESS(INDEX($P$2:$P$1001,MATCH(ROWS($N$2:N524),$N$2:$N$1001,0),0), INDEX($U$1004:$AC$1004,1,MATCH(COLUMNS($U$1006:V1006),$U$1006:$AC$1006,0)))),"Fix")))</f>
        <v>0</v>
      </c>
      <c r="D524" s="3">
        <f>IF(OR(INDEX($O$2:$O$1001,MATCH(ROWS($N$2:N524),$N$2:$N$1001,0),1)&gt;=100000,INDEX($U$1005:$AC$1005,1,MATCH(COLUMNS($U$1006:W1006),$U$1006:$AC$1006,0))&gt;=100000), " ",IF(INDEX($U$2:$AC$1001,MATCH(ROWS($N$2:N524),$N$2:$N$1001,0),MATCH(COLUMNS($U$1006:W1006),$U$1006:$AC$1006,0)), HYPERLINK("#",""), HYPERLINK(CONCATENATE("#metadata!", ADDRESS(INDEX($P$2:$P$1001,MATCH(ROWS($N$2:N524),$N$2:$N$1001,0),0), INDEX($U$1004:$AC$1004,1,MATCH(COLUMNS($U$1006:W1006),$U$1006:$AC$1006,0)))),"Fix")))</f>
        <v>0</v>
      </c>
      <c r="E524" s="3">
        <f>IF(OR(INDEX($O$2:$O$1001,MATCH(ROWS($N$2:N524),$N$2:$N$1001,0),1)&gt;=100000,INDEX($U$1005:$AC$1005,1,MATCH(COLUMNS($U$1006:X1006),$U$1006:$AC$1006,0))&gt;=100000), " ",IF(INDEX($U$2:$AC$1001,MATCH(ROWS($N$2:N524),$N$2:$N$1001,0),MATCH(COLUMNS($U$1006:X1006),$U$1006:$AC$1006,0)), HYPERLINK("#",""), HYPERLINK(CONCATENATE("#metadata!", ADDRESS(INDEX($P$2:$P$1001,MATCH(ROWS($N$2:N524),$N$2:$N$1001,0),0), INDEX($U$1004:$AC$1004,1,MATCH(COLUMNS($U$1006:X1006),$U$1006:$AC$1006,0)))),"Fix")))</f>
        <v>0</v>
      </c>
      <c r="F524" s="3">
        <f>IF(OR(INDEX($O$2:$O$1001,MATCH(ROWS($N$2:N524),$N$2:$N$1001,0),1)&gt;=100000,INDEX($U$1005:$AC$1005,1,MATCH(COLUMNS($U$1006:Y1006),$U$1006:$AC$1006,0))&gt;=100000), " ",IF(INDEX($U$2:$AC$1001,MATCH(ROWS($N$2:N524),$N$2:$N$1001,0),MATCH(COLUMNS($U$1006:Y1006),$U$1006:$AC$1006,0)), HYPERLINK("#",""), HYPERLINK(CONCATENATE("#metadata!", ADDRESS(INDEX($P$2:$P$1001,MATCH(ROWS($N$2:N524),$N$2:$N$1001,0),0), INDEX($U$1004:$AC$1004,1,MATCH(COLUMNS($U$1006:Y1006),$U$1006:$AC$1006,0)))),"Fix")))</f>
        <v>0</v>
      </c>
      <c r="G524" s="3">
        <f>IF(OR(INDEX($O$2:$O$1001,MATCH(ROWS($N$2:N524),$N$2:$N$1001,0),1)&gt;=100000,INDEX($U$1005:$AC$1005,1,MATCH(COLUMNS($U$1006:Z1006),$U$1006:$AC$1006,0))&gt;=100000), " ",IF(INDEX($U$2:$AC$1001,MATCH(ROWS($N$2:N524),$N$2:$N$1001,0),MATCH(COLUMNS($U$1006:Z1006),$U$1006:$AC$1006,0)), HYPERLINK("#",""), HYPERLINK(CONCATENATE("#metadata!", ADDRESS(INDEX($P$2:$P$1001,MATCH(ROWS($N$2:N524),$N$2:$N$1001,0),0), INDEX($U$1004:$AC$1004,1,MATCH(COLUMNS($U$1006:Z1006),$U$1006:$AC$1006,0)))),"Fix")))</f>
        <v>0</v>
      </c>
      <c r="H524" s="3">
        <f>IF(OR(INDEX($O$2:$O$1001,MATCH(ROWS($N$2:N524),$N$2:$N$1001,0),1)&gt;=100000,INDEX($U$1005:$AC$1005,1,MATCH(COLUMNS($U$1006:AA1006),$U$1006:$AC$1006,0))&gt;=100000), " ",IF(INDEX($U$2:$AC$1001,MATCH(ROWS($N$2:N524),$N$2:$N$1001,0),MATCH(COLUMNS($U$1006:AA1006),$U$1006:$AC$1006,0)), HYPERLINK("#",""), HYPERLINK(CONCATENATE("#metadata!", ADDRESS(INDEX($P$2:$P$1001,MATCH(ROWS($N$2:N524),$N$2:$N$1001,0),0), INDEX($U$1004:$AC$1004,1,MATCH(COLUMNS($U$1006:AA1006),$U$1006:$AC$1006,0)))),"Fix")))</f>
        <v>0</v>
      </c>
      <c r="I524" s="3">
        <f>IF(OR(INDEX($O$2:$O$1001,MATCH(ROWS($N$2:N524),$N$2:$N$1001,0),1)&gt;=100000,INDEX($U$1005:$AC$1005,1,MATCH(COLUMNS($U$1006:AB1006),$U$1006:$AC$1006,0))&gt;=100000), " ",IF(INDEX($U$2:$AC$1001,MATCH(ROWS($N$2:N524),$N$2:$N$1001,0),MATCH(COLUMNS($U$1006:AB1006),$U$1006:$AC$1006,0)), HYPERLINK("#",""), HYPERLINK(CONCATENATE("#metadata!", ADDRESS(INDEX($P$2:$P$1001,MATCH(ROWS($N$2:N524),$N$2:$N$1001,0),0), INDEX($U$1004:$AC$1004,1,MATCH(COLUMNS($U$1006:AB1006),$U$1006:$AC$1006,0)))),"Fix")))</f>
        <v>0</v>
      </c>
      <c r="J524" s="3">
        <f>IF(OR(INDEX($O$2:$O$1001,MATCH(ROWS($N$2:N524),$N$2:$N$1001,0),1)&gt;=100000,INDEX($U$1005:$AC$1005,1,MATCH(COLUMNS($U$1006:AC1006),$U$1006:$AC$1006,0))&gt;=100000), " ",IF(INDEX($U$2:$AC$1001,MATCH(ROWS($N$2:N524),$N$2:$N$1001,0),MATCH(COLUMNS($U$1006:AC1006),$U$1006:$AC$1006,0)), HYPERLINK("#",""), HYPERLINK(CONCATENATE("#metadata!", ADDRESS(INDEX($P$2:$P$1001,MATCH(ROWS($N$2:N524),$N$2:$N$1001,0),0), INDEX($U$1004:$AC$1004,1,MATCH(COLUMNS($U$1006:AC1006),$U$1006:$AC$1006,0)))),"Fix")))</f>
        <v>0</v>
      </c>
      <c r="N524">
        <v>0</v>
      </c>
      <c r="O524">
        <v>0</v>
      </c>
      <c r="P524">
        <v>0</v>
      </c>
      <c r="Q524">
        <f>IF(R524,TRUE,AND(U524:AC524))</f>
        <v>0</v>
      </c>
      <c r="R524">
        <f>COUNTBLANK(metadata!B524:J524)=COLUMNS(metadata!B524:J524)</f>
        <v>0</v>
      </c>
      <c r="S524">
        <v>0</v>
      </c>
      <c r="U524">
        <f>AND(IF(metadata!B524="",FALSE,TRUE),COUNTIF(metadata!B:B, metadata!B524) = 1,NOT(ISERROR(SUMPRODUCT(SEARCH(MID(metadata!B524,ROW(INDIRECT("1:"&amp;LEN(metadata!B524))), 1),"0123456789abcdefghijklmnopqrstuvwxyzABCDEFGHIJKLMNOPQRSTUVWXYZ.")))))</f>
        <v>0</v>
      </c>
      <c r="V524">
        <f>AND(IF(metadata!C524="",FALSE,TRUE),exact(metadata!C524,"UBERON:genitourinary"))</f>
        <v>0</v>
      </c>
      <c r="W524">
        <f>AND(IF(metadata!D524="",FALSE,TRUE),exact(metadata!D524,"UBERON:urine"))</f>
        <v>0</v>
      </c>
      <c r="X524">
        <f>AND(IF(metadata!E524="",FALSE,TRUE),exact(metadata!E524,"UBERON:kidney"))</f>
        <v>0</v>
      </c>
      <c r="Y524">
        <f>AND(IF(metadata!F524="",FALSE,TRUE),exact(metadata!F524,"animal corpus"))</f>
        <v>0</v>
      </c>
      <c r="Z524">
        <f>AND(IF(metadata!G524="",FALSE,TRUE),exact(metadata!G524,"urine"))</f>
        <v>0</v>
      </c>
      <c r="AA524">
        <f>AND(IF(metadata!H524="",FALSE,TRUE),exact(metadata!H524,"urine"))</f>
        <v>0</v>
      </c>
      <c r="AB524">
        <f>AND(IF(metadata!I524="",FALSE,TRUE),exact(metadata!I524,"urine metagenome"))</f>
        <v>0</v>
      </c>
      <c r="AC524">
        <f>AND(IF(metadata!J524="",FALSE,TRUE),exact(metadata!J524,"1346744"))</f>
        <v>0</v>
      </c>
    </row>
    <row r="525" spans="1:29">
      <c r="A525" s="4">
        <f>IF(B525=" "," ",HYPERLINK(CONCATENATE("#metadata!",ADDRESS(INDEX($P$2:$P$1001,MATCH(ROWS($N$2:N525),$N$2:$N$1001,0),0),1)),INDEX($S$2:$S$1001,MATCH(ROWS($N$2:N525),$N$2:$N$1001,0),0)))</f>
        <v>0</v>
      </c>
      <c r="B525" s="3">
        <f>IF(OR(INDEX($O$2:$O$1001,MATCH(ROWS($N$2:N525),$N$2:$N$1001,0),1)&gt;=100000,INDEX($U$1005:$AC$1005,1,MATCH(COLUMNS($U$1006:U1006),$U$1006:$AC$1006,0))&gt;=100000), " ",IF(INDEX($U$2:$AC$1001,MATCH(ROWS($N$2:N525),$N$2:$N$1001,0),MATCH(COLUMNS($U$1006:U1006),$U$1006:$AC$1006,0)), HYPERLINK("#",""), HYPERLINK(CONCATENATE("#metadata!", ADDRESS(INDEX($P$2:$P$1001,MATCH(ROWS($N$2:N525),$N$2:$N$1001,0),0), INDEX($U$1004:$AC$1004,1,MATCH(COLUMNS($U$1006:U1006),$U$1006:$AC$1006,0)))),"Fix")))</f>
        <v>0</v>
      </c>
      <c r="C525" s="3">
        <f>IF(OR(INDEX($O$2:$O$1001,MATCH(ROWS($N$2:N525),$N$2:$N$1001,0),1)&gt;=100000,INDEX($U$1005:$AC$1005,1,MATCH(COLUMNS($U$1006:V1006),$U$1006:$AC$1006,0))&gt;=100000), " ",IF(INDEX($U$2:$AC$1001,MATCH(ROWS($N$2:N525),$N$2:$N$1001,0),MATCH(COLUMNS($U$1006:V1006),$U$1006:$AC$1006,0)), HYPERLINK("#",""), HYPERLINK(CONCATENATE("#metadata!", ADDRESS(INDEX($P$2:$P$1001,MATCH(ROWS($N$2:N525),$N$2:$N$1001,0),0), INDEX($U$1004:$AC$1004,1,MATCH(COLUMNS($U$1006:V1006),$U$1006:$AC$1006,0)))),"Fix")))</f>
        <v>0</v>
      </c>
      <c r="D525" s="3">
        <f>IF(OR(INDEX($O$2:$O$1001,MATCH(ROWS($N$2:N525),$N$2:$N$1001,0),1)&gt;=100000,INDEX($U$1005:$AC$1005,1,MATCH(COLUMNS($U$1006:W1006),$U$1006:$AC$1006,0))&gt;=100000), " ",IF(INDEX($U$2:$AC$1001,MATCH(ROWS($N$2:N525),$N$2:$N$1001,0),MATCH(COLUMNS($U$1006:W1006),$U$1006:$AC$1006,0)), HYPERLINK("#",""), HYPERLINK(CONCATENATE("#metadata!", ADDRESS(INDEX($P$2:$P$1001,MATCH(ROWS($N$2:N525),$N$2:$N$1001,0),0), INDEX($U$1004:$AC$1004,1,MATCH(COLUMNS($U$1006:W1006),$U$1006:$AC$1006,0)))),"Fix")))</f>
        <v>0</v>
      </c>
      <c r="E525" s="3">
        <f>IF(OR(INDEX($O$2:$O$1001,MATCH(ROWS($N$2:N525),$N$2:$N$1001,0),1)&gt;=100000,INDEX($U$1005:$AC$1005,1,MATCH(COLUMNS($U$1006:X1006),$U$1006:$AC$1006,0))&gt;=100000), " ",IF(INDEX($U$2:$AC$1001,MATCH(ROWS($N$2:N525),$N$2:$N$1001,0),MATCH(COLUMNS($U$1006:X1006),$U$1006:$AC$1006,0)), HYPERLINK("#",""), HYPERLINK(CONCATENATE("#metadata!", ADDRESS(INDEX($P$2:$P$1001,MATCH(ROWS($N$2:N525),$N$2:$N$1001,0),0), INDEX($U$1004:$AC$1004,1,MATCH(COLUMNS($U$1006:X1006),$U$1006:$AC$1006,0)))),"Fix")))</f>
        <v>0</v>
      </c>
      <c r="F525" s="3">
        <f>IF(OR(INDEX($O$2:$O$1001,MATCH(ROWS($N$2:N525),$N$2:$N$1001,0),1)&gt;=100000,INDEX($U$1005:$AC$1005,1,MATCH(COLUMNS($U$1006:Y1006),$U$1006:$AC$1006,0))&gt;=100000), " ",IF(INDEX($U$2:$AC$1001,MATCH(ROWS($N$2:N525),$N$2:$N$1001,0),MATCH(COLUMNS($U$1006:Y1006),$U$1006:$AC$1006,0)), HYPERLINK("#",""), HYPERLINK(CONCATENATE("#metadata!", ADDRESS(INDEX($P$2:$P$1001,MATCH(ROWS($N$2:N525),$N$2:$N$1001,0),0), INDEX($U$1004:$AC$1004,1,MATCH(COLUMNS($U$1006:Y1006),$U$1006:$AC$1006,0)))),"Fix")))</f>
        <v>0</v>
      </c>
      <c r="G525" s="3">
        <f>IF(OR(INDEX($O$2:$O$1001,MATCH(ROWS($N$2:N525),$N$2:$N$1001,0),1)&gt;=100000,INDEX($U$1005:$AC$1005,1,MATCH(COLUMNS($U$1006:Z1006),$U$1006:$AC$1006,0))&gt;=100000), " ",IF(INDEX($U$2:$AC$1001,MATCH(ROWS($N$2:N525),$N$2:$N$1001,0),MATCH(COLUMNS($U$1006:Z1006),$U$1006:$AC$1006,0)), HYPERLINK("#",""), HYPERLINK(CONCATENATE("#metadata!", ADDRESS(INDEX($P$2:$P$1001,MATCH(ROWS($N$2:N525),$N$2:$N$1001,0),0), INDEX($U$1004:$AC$1004,1,MATCH(COLUMNS($U$1006:Z1006),$U$1006:$AC$1006,0)))),"Fix")))</f>
        <v>0</v>
      </c>
      <c r="H525" s="3">
        <f>IF(OR(INDEX($O$2:$O$1001,MATCH(ROWS($N$2:N525),$N$2:$N$1001,0),1)&gt;=100000,INDEX($U$1005:$AC$1005,1,MATCH(COLUMNS($U$1006:AA1006),$U$1006:$AC$1006,0))&gt;=100000), " ",IF(INDEX($U$2:$AC$1001,MATCH(ROWS($N$2:N525),$N$2:$N$1001,0),MATCH(COLUMNS($U$1006:AA1006),$U$1006:$AC$1006,0)), HYPERLINK("#",""), HYPERLINK(CONCATENATE("#metadata!", ADDRESS(INDEX($P$2:$P$1001,MATCH(ROWS($N$2:N525),$N$2:$N$1001,0),0), INDEX($U$1004:$AC$1004,1,MATCH(COLUMNS($U$1006:AA1006),$U$1006:$AC$1006,0)))),"Fix")))</f>
        <v>0</v>
      </c>
      <c r="I525" s="3">
        <f>IF(OR(INDEX($O$2:$O$1001,MATCH(ROWS($N$2:N525),$N$2:$N$1001,0),1)&gt;=100000,INDEX($U$1005:$AC$1005,1,MATCH(COLUMNS($U$1006:AB1006),$U$1006:$AC$1006,0))&gt;=100000), " ",IF(INDEX($U$2:$AC$1001,MATCH(ROWS($N$2:N525),$N$2:$N$1001,0),MATCH(COLUMNS($U$1006:AB1006),$U$1006:$AC$1006,0)), HYPERLINK("#",""), HYPERLINK(CONCATENATE("#metadata!", ADDRESS(INDEX($P$2:$P$1001,MATCH(ROWS($N$2:N525),$N$2:$N$1001,0),0), INDEX($U$1004:$AC$1004,1,MATCH(COLUMNS($U$1006:AB1006),$U$1006:$AC$1006,0)))),"Fix")))</f>
        <v>0</v>
      </c>
      <c r="J525" s="3">
        <f>IF(OR(INDEX($O$2:$O$1001,MATCH(ROWS($N$2:N525),$N$2:$N$1001,0),1)&gt;=100000,INDEX($U$1005:$AC$1005,1,MATCH(COLUMNS($U$1006:AC1006),$U$1006:$AC$1006,0))&gt;=100000), " ",IF(INDEX($U$2:$AC$1001,MATCH(ROWS($N$2:N525),$N$2:$N$1001,0),MATCH(COLUMNS($U$1006:AC1006),$U$1006:$AC$1006,0)), HYPERLINK("#",""), HYPERLINK(CONCATENATE("#metadata!", ADDRESS(INDEX($P$2:$P$1001,MATCH(ROWS($N$2:N525),$N$2:$N$1001,0),0), INDEX($U$1004:$AC$1004,1,MATCH(COLUMNS($U$1006:AC1006),$U$1006:$AC$1006,0)))),"Fix")))</f>
        <v>0</v>
      </c>
      <c r="N525">
        <v>0</v>
      </c>
      <c r="O525">
        <v>0</v>
      </c>
      <c r="P525">
        <v>0</v>
      </c>
      <c r="Q525">
        <f>IF(R525,TRUE,AND(U525:AC525))</f>
        <v>0</v>
      </c>
      <c r="R525">
        <f>COUNTBLANK(metadata!B525:J525)=COLUMNS(metadata!B525:J525)</f>
        <v>0</v>
      </c>
      <c r="S525">
        <v>0</v>
      </c>
      <c r="U525">
        <f>AND(IF(metadata!B525="",FALSE,TRUE),COUNTIF(metadata!B:B, metadata!B525) = 1,NOT(ISERROR(SUMPRODUCT(SEARCH(MID(metadata!B525,ROW(INDIRECT("1:"&amp;LEN(metadata!B525))), 1),"0123456789abcdefghijklmnopqrstuvwxyzABCDEFGHIJKLMNOPQRSTUVWXYZ.")))))</f>
        <v>0</v>
      </c>
      <c r="V525">
        <f>AND(IF(metadata!C525="",FALSE,TRUE),exact(metadata!C525,"UBERON:genitourinary"))</f>
        <v>0</v>
      </c>
      <c r="W525">
        <f>AND(IF(metadata!D525="",FALSE,TRUE),exact(metadata!D525,"UBERON:urine"))</f>
        <v>0</v>
      </c>
      <c r="X525">
        <f>AND(IF(metadata!E525="",FALSE,TRUE),exact(metadata!E525,"UBERON:kidney"))</f>
        <v>0</v>
      </c>
      <c r="Y525">
        <f>AND(IF(metadata!F525="",FALSE,TRUE),exact(metadata!F525,"animal corpus"))</f>
        <v>0</v>
      </c>
      <c r="Z525">
        <f>AND(IF(metadata!G525="",FALSE,TRUE),exact(metadata!G525,"urine"))</f>
        <v>0</v>
      </c>
      <c r="AA525">
        <f>AND(IF(metadata!H525="",FALSE,TRUE),exact(metadata!H525,"urine"))</f>
        <v>0</v>
      </c>
      <c r="AB525">
        <f>AND(IF(metadata!I525="",FALSE,TRUE),exact(metadata!I525,"urine metagenome"))</f>
        <v>0</v>
      </c>
      <c r="AC525">
        <f>AND(IF(metadata!J525="",FALSE,TRUE),exact(metadata!J525,"1346744"))</f>
        <v>0</v>
      </c>
    </row>
    <row r="526" spans="1:29">
      <c r="A526" s="4">
        <f>IF(B526=" "," ",HYPERLINK(CONCATENATE("#metadata!",ADDRESS(INDEX($P$2:$P$1001,MATCH(ROWS($N$2:N526),$N$2:$N$1001,0),0),1)),INDEX($S$2:$S$1001,MATCH(ROWS($N$2:N526),$N$2:$N$1001,0),0)))</f>
        <v>0</v>
      </c>
      <c r="B526" s="3">
        <f>IF(OR(INDEX($O$2:$O$1001,MATCH(ROWS($N$2:N526),$N$2:$N$1001,0),1)&gt;=100000,INDEX($U$1005:$AC$1005,1,MATCH(COLUMNS($U$1006:U1006),$U$1006:$AC$1006,0))&gt;=100000), " ",IF(INDEX($U$2:$AC$1001,MATCH(ROWS($N$2:N526),$N$2:$N$1001,0),MATCH(COLUMNS($U$1006:U1006),$U$1006:$AC$1006,0)), HYPERLINK("#",""), HYPERLINK(CONCATENATE("#metadata!", ADDRESS(INDEX($P$2:$P$1001,MATCH(ROWS($N$2:N526),$N$2:$N$1001,0),0), INDEX($U$1004:$AC$1004,1,MATCH(COLUMNS($U$1006:U1006),$U$1006:$AC$1006,0)))),"Fix")))</f>
        <v>0</v>
      </c>
      <c r="C526" s="3">
        <f>IF(OR(INDEX($O$2:$O$1001,MATCH(ROWS($N$2:N526),$N$2:$N$1001,0),1)&gt;=100000,INDEX($U$1005:$AC$1005,1,MATCH(COLUMNS($U$1006:V1006),$U$1006:$AC$1006,0))&gt;=100000), " ",IF(INDEX($U$2:$AC$1001,MATCH(ROWS($N$2:N526),$N$2:$N$1001,0),MATCH(COLUMNS($U$1006:V1006),$U$1006:$AC$1006,0)), HYPERLINK("#",""), HYPERLINK(CONCATENATE("#metadata!", ADDRESS(INDEX($P$2:$P$1001,MATCH(ROWS($N$2:N526),$N$2:$N$1001,0),0), INDEX($U$1004:$AC$1004,1,MATCH(COLUMNS($U$1006:V1006),$U$1006:$AC$1006,0)))),"Fix")))</f>
        <v>0</v>
      </c>
      <c r="D526" s="3">
        <f>IF(OR(INDEX($O$2:$O$1001,MATCH(ROWS($N$2:N526),$N$2:$N$1001,0),1)&gt;=100000,INDEX($U$1005:$AC$1005,1,MATCH(COLUMNS($U$1006:W1006),$U$1006:$AC$1006,0))&gt;=100000), " ",IF(INDEX($U$2:$AC$1001,MATCH(ROWS($N$2:N526),$N$2:$N$1001,0),MATCH(COLUMNS($U$1006:W1006),$U$1006:$AC$1006,0)), HYPERLINK("#",""), HYPERLINK(CONCATENATE("#metadata!", ADDRESS(INDEX($P$2:$P$1001,MATCH(ROWS($N$2:N526),$N$2:$N$1001,0),0), INDEX($U$1004:$AC$1004,1,MATCH(COLUMNS($U$1006:W1006),$U$1006:$AC$1006,0)))),"Fix")))</f>
        <v>0</v>
      </c>
      <c r="E526" s="3">
        <f>IF(OR(INDEX($O$2:$O$1001,MATCH(ROWS($N$2:N526),$N$2:$N$1001,0),1)&gt;=100000,INDEX($U$1005:$AC$1005,1,MATCH(COLUMNS($U$1006:X1006),$U$1006:$AC$1006,0))&gt;=100000), " ",IF(INDEX($U$2:$AC$1001,MATCH(ROWS($N$2:N526),$N$2:$N$1001,0),MATCH(COLUMNS($U$1006:X1006),$U$1006:$AC$1006,0)), HYPERLINK("#",""), HYPERLINK(CONCATENATE("#metadata!", ADDRESS(INDEX($P$2:$P$1001,MATCH(ROWS($N$2:N526),$N$2:$N$1001,0),0), INDEX($U$1004:$AC$1004,1,MATCH(COLUMNS($U$1006:X1006),$U$1006:$AC$1006,0)))),"Fix")))</f>
        <v>0</v>
      </c>
      <c r="F526" s="3">
        <f>IF(OR(INDEX($O$2:$O$1001,MATCH(ROWS($N$2:N526),$N$2:$N$1001,0),1)&gt;=100000,INDEX($U$1005:$AC$1005,1,MATCH(COLUMNS($U$1006:Y1006),$U$1006:$AC$1006,0))&gt;=100000), " ",IF(INDEX($U$2:$AC$1001,MATCH(ROWS($N$2:N526),$N$2:$N$1001,0),MATCH(COLUMNS($U$1006:Y1006),$U$1006:$AC$1006,0)), HYPERLINK("#",""), HYPERLINK(CONCATENATE("#metadata!", ADDRESS(INDEX($P$2:$P$1001,MATCH(ROWS($N$2:N526),$N$2:$N$1001,0),0), INDEX($U$1004:$AC$1004,1,MATCH(COLUMNS($U$1006:Y1006),$U$1006:$AC$1006,0)))),"Fix")))</f>
        <v>0</v>
      </c>
      <c r="G526" s="3">
        <f>IF(OR(INDEX($O$2:$O$1001,MATCH(ROWS($N$2:N526),$N$2:$N$1001,0),1)&gt;=100000,INDEX($U$1005:$AC$1005,1,MATCH(COLUMNS($U$1006:Z1006),$U$1006:$AC$1006,0))&gt;=100000), " ",IF(INDEX($U$2:$AC$1001,MATCH(ROWS($N$2:N526),$N$2:$N$1001,0),MATCH(COLUMNS($U$1006:Z1006),$U$1006:$AC$1006,0)), HYPERLINK("#",""), HYPERLINK(CONCATENATE("#metadata!", ADDRESS(INDEX($P$2:$P$1001,MATCH(ROWS($N$2:N526),$N$2:$N$1001,0),0), INDEX($U$1004:$AC$1004,1,MATCH(COLUMNS($U$1006:Z1006),$U$1006:$AC$1006,0)))),"Fix")))</f>
        <v>0</v>
      </c>
      <c r="H526" s="3">
        <f>IF(OR(INDEX($O$2:$O$1001,MATCH(ROWS($N$2:N526),$N$2:$N$1001,0),1)&gt;=100000,INDEX($U$1005:$AC$1005,1,MATCH(COLUMNS($U$1006:AA1006),$U$1006:$AC$1006,0))&gt;=100000), " ",IF(INDEX($U$2:$AC$1001,MATCH(ROWS($N$2:N526),$N$2:$N$1001,0),MATCH(COLUMNS($U$1006:AA1006),$U$1006:$AC$1006,0)), HYPERLINK("#",""), HYPERLINK(CONCATENATE("#metadata!", ADDRESS(INDEX($P$2:$P$1001,MATCH(ROWS($N$2:N526),$N$2:$N$1001,0),0), INDEX($U$1004:$AC$1004,1,MATCH(COLUMNS($U$1006:AA1006),$U$1006:$AC$1006,0)))),"Fix")))</f>
        <v>0</v>
      </c>
      <c r="I526" s="3">
        <f>IF(OR(INDEX($O$2:$O$1001,MATCH(ROWS($N$2:N526),$N$2:$N$1001,0),1)&gt;=100000,INDEX($U$1005:$AC$1005,1,MATCH(COLUMNS($U$1006:AB1006),$U$1006:$AC$1006,0))&gt;=100000), " ",IF(INDEX($U$2:$AC$1001,MATCH(ROWS($N$2:N526),$N$2:$N$1001,0),MATCH(COLUMNS($U$1006:AB1006),$U$1006:$AC$1006,0)), HYPERLINK("#",""), HYPERLINK(CONCATENATE("#metadata!", ADDRESS(INDEX($P$2:$P$1001,MATCH(ROWS($N$2:N526),$N$2:$N$1001,0),0), INDEX($U$1004:$AC$1004,1,MATCH(COLUMNS($U$1006:AB1006),$U$1006:$AC$1006,0)))),"Fix")))</f>
        <v>0</v>
      </c>
      <c r="J526" s="3">
        <f>IF(OR(INDEX($O$2:$O$1001,MATCH(ROWS($N$2:N526),$N$2:$N$1001,0),1)&gt;=100000,INDEX($U$1005:$AC$1005,1,MATCH(COLUMNS($U$1006:AC1006),$U$1006:$AC$1006,0))&gt;=100000), " ",IF(INDEX($U$2:$AC$1001,MATCH(ROWS($N$2:N526),$N$2:$N$1001,0),MATCH(COLUMNS($U$1006:AC1006),$U$1006:$AC$1006,0)), HYPERLINK("#",""), HYPERLINK(CONCATENATE("#metadata!", ADDRESS(INDEX($P$2:$P$1001,MATCH(ROWS($N$2:N526),$N$2:$N$1001,0),0), INDEX($U$1004:$AC$1004,1,MATCH(COLUMNS($U$1006:AC1006),$U$1006:$AC$1006,0)))),"Fix")))</f>
        <v>0</v>
      </c>
      <c r="N526">
        <v>0</v>
      </c>
      <c r="O526">
        <v>0</v>
      </c>
      <c r="P526">
        <v>0</v>
      </c>
      <c r="Q526">
        <f>IF(R526,TRUE,AND(U526:AC526))</f>
        <v>0</v>
      </c>
      <c r="R526">
        <f>COUNTBLANK(metadata!B526:J526)=COLUMNS(metadata!B526:J526)</f>
        <v>0</v>
      </c>
      <c r="S526">
        <v>0</v>
      </c>
      <c r="U526">
        <f>AND(IF(metadata!B526="",FALSE,TRUE),COUNTIF(metadata!B:B, metadata!B526) = 1,NOT(ISERROR(SUMPRODUCT(SEARCH(MID(metadata!B526,ROW(INDIRECT("1:"&amp;LEN(metadata!B526))), 1),"0123456789abcdefghijklmnopqrstuvwxyzABCDEFGHIJKLMNOPQRSTUVWXYZ.")))))</f>
        <v>0</v>
      </c>
      <c r="V526">
        <f>AND(IF(metadata!C526="",FALSE,TRUE),exact(metadata!C526,"UBERON:genitourinary"))</f>
        <v>0</v>
      </c>
      <c r="W526">
        <f>AND(IF(metadata!D526="",FALSE,TRUE),exact(metadata!D526,"UBERON:urine"))</f>
        <v>0</v>
      </c>
      <c r="X526">
        <f>AND(IF(metadata!E526="",FALSE,TRUE),exact(metadata!E526,"UBERON:kidney"))</f>
        <v>0</v>
      </c>
      <c r="Y526">
        <f>AND(IF(metadata!F526="",FALSE,TRUE),exact(metadata!F526,"animal corpus"))</f>
        <v>0</v>
      </c>
      <c r="Z526">
        <f>AND(IF(metadata!G526="",FALSE,TRUE),exact(metadata!G526,"urine"))</f>
        <v>0</v>
      </c>
      <c r="AA526">
        <f>AND(IF(metadata!H526="",FALSE,TRUE),exact(metadata!H526,"urine"))</f>
        <v>0</v>
      </c>
      <c r="AB526">
        <f>AND(IF(metadata!I526="",FALSE,TRUE),exact(metadata!I526,"urine metagenome"))</f>
        <v>0</v>
      </c>
      <c r="AC526">
        <f>AND(IF(metadata!J526="",FALSE,TRUE),exact(metadata!J526,"1346744"))</f>
        <v>0</v>
      </c>
    </row>
    <row r="527" spans="1:29">
      <c r="A527" s="4">
        <f>IF(B527=" "," ",HYPERLINK(CONCATENATE("#metadata!",ADDRESS(INDEX($P$2:$P$1001,MATCH(ROWS($N$2:N527),$N$2:$N$1001,0),0),1)),INDEX($S$2:$S$1001,MATCH(ROWS($N$2:N527),$N$2:$N$1001,0),0)))</f>
        <v>0</v>
      </c>
      <c r="B527" s="3">
        <f>IF(OR(INDEX($O$2:$O$1001,MATCH(ROWS($N$2:N527),$N$2:$N$1001,0),1)&gt;=100000,INDEX($U$1005:$AC$1005,1,MATCH(COLUMNS($U$1006:U1006),$U$1006:$AC$1006,0))&gt;=100000), " ",IF(INDEX($U$2:$AC$1001,MATCH(ROWS($N$2:N527),$N$2:$N$1001,0),MATCH(COLUMNS($U$1006:U1006),$U$1006:$AC$1006,0)), HYPERLINK("#",""), HYPERLINK(CONCATENATE("#metadata!", ADDRESS(INDEX($P$2:$P$1001,MATCH(ROWS($N$2:N527),$N$2:$N$1001,0),0), INDEX($U$1004:$AC$1004,1,MATCH(COLUMNS($U$1006:U1006),$U$1006:$AC$1006,0)))),"Fix")))</f>
        <v>0</v>
      </c>
      <c r="C527" s="3">
        <f>IF(OR(INDEX($O$2:$O$1001,MATCH(ROWS($N$2:N527),$N$2:$N$1001,0),1)&gt;=100000,INDEX($U$1005:$AC$1005,1,MATCH(COLUMNS($U$1006:V1006),$U$1006:$AC$1006,0))&gt;=100000), " ",IF(INDEX($U$2:$AC$1001,MATCH(ROWS($N$2:N527),$N$2:$N$1001,0),MATCH(COLUMNS($U$1006:V1006),$U$1006:$AC$1006,0)), HYPERLINK("#",""), HYPERLINK(CONCATENATE("#metadata!", ADDRESS(INDEX($P$2:$P$1001,MATCH(ROWS($N$2:N527),$N$2:$N$1001,0),0), INDEX($U$1004:$AC$1004,1,MATCH(COLUMNS($U$1006:V1006),$U$1006:$AC$1006,0)))),"Fix")))</f>
        <v>0</v>
      </c>
      <c r="D527" s="3">
        <f>IF(OR(INDEX($O$2:$O$1001,MATCH(ROWS($N$2:N527),$N$2:$N$1001,0),1)&gt;=100000,INDEX($U$1005:$AC$1005,1,MATCH(COLUMNS($U$1006:W1006),$U$1006:$AC$1006,0))&gt;=100000), " ",IF(INDEX($U$2:$AC$1001,MATCH(ROWS($N$2:N527),$N$2:$N$1001,0),MATCH(COLUMNS($U$1006:W1006),$U$1006:$AC$1006,0)), HYPERLINK("#",""), HYPERLINK(CONCATENATE("#metadata!", ADDRESS(INDEX($P$2:$P$1001,MATCH(ROWS($N$2:N527),$N$2:$N$1001,0),0), INDEX($U$1004:$AC$1004,1,MATCH(COLUMNS($U$1006:W1006),$U$1006:$AC$1006,0)))),"Fix")))</f>
        <v>0</v>
      </c>
      <c r="E527" s="3">
        <f>IF(OR(INDEX($O$2:$O$1001,MATCH(ROWS($N$2:N527),$N$2:$N$1001,0),1)&gt;=100000,INDEX($U$1005:$AC$1005,1,MATCH(COLUMNS($U$1006:X1006),$U$1006:$AC$1006,0))&gt;=100000), " ",IF(INDEX($U$2:$AC$1001,MATCH(ROWS($N$2:N527),$N$2:$N$1001,0),MATCH(COLUMNS($U$1006:X1006),$U$1006:$AC$1006,0)), HYPERLINK("#",""), HYPERLINK(CONCATENATE("#metadata!", ADDRESS(INDEX($P$2:$P$1001,MATCH(ROWS($N$2:N527),$N$2:$N$1001,0),0), INDEX($U$1004:$AC$1004,1,MATCH(COLUMNS($U$1006:X1006),$U$1006:$AC$1006,0)))),"Fix")))</f>
        <v>0</v>
      </c>
      <c r="F527" s="3">
        <f>IF(OR(INDEX($O$2:$O$1001,MATCH(ROWS($N$2:N527),$N$2:$N$1001,0),1)&gt;=100000,INDEX($U$1005:$AC$1005,1,MATCH(COLUMNS($U$1006:Y1006),$U$1006:$AC$1006,0))&gt;=100000), " ",IF(INDEX($U$2:$AC$1001,MATCH(ROWS($N$2:N527),$N$2:$N$1001,0),MATCH(COLUMNS($U$1006:Y1006),$U$1006:$AC$1006,0)), HYPERLINK("#",""), HYPERLINK(CONCATENATE("#metadata!", ADDRESS(INDEX($P$2:$P$1001,MATCH(ROWS($N$2:N527),$N$2:$N$1001,0),0), INDEX($U$1004:$AC$1004,1,MATCH(COLUMNS($U$1006:Y1006),$U$1006:$AC$1006,0)))),"Fix")))</f>
        <v>0</v>
      </c>
      <c r="G527" s="3">
        <f>IF(OR(INDEX($O$2:$O$1001,MATCH(ROWS($N$2:N527),$N$2:$N$1001,0),1)&gt;=100000,INDEX($U$1005:$AC$1005,1,MATCH(COLUMNS($U$1006:Z1006),$U$1006:$AC$1006,0))&gt;=100000), " ",IF(INDEX($U$2:$AC$1001,MATCH(ROWS($N$2:N527),$N$2:$N$1001,0),MATCH(COLUMNS($U$1006:Z1006),$U$1006:$AC$1006,0)), HYPERLINK("#",""), HYPERLINK(CONCATENATE("#metadata!", ADDRESS(INDEX($P$2:$P$1001,MATCH(ROWS($N$2:N527),$N$2:$N$1001,0),0), INDEX($U$1004:$AC$1004,1,MATCH(COLUMNS($U$1006:Z1006),$U$1006:$AC$1006,0)))),"Fix")))</f>
        <v>0</v>
      </c>
      <c r="H527" s="3">
        <f>IF(OR(INDEX($O$2:$O$1001,MATCH(ROWS($N$2:N527),$N$2:$N$1001,0),1)&gt;=100000,INDEX($U$1005:$AC$1005,1,MATCH(COLUMNS($U$1006:AA1006),$U$1006:$AC$1006,0))&gt;=100000), " ",IF(INDEX($U$2:$AC$1001,MATCH(ROWS($N$2:N527),$N$2:$N$1001,0),MATCH(COLUMNS($U$1006:AA1006),$U$1006:$AC$1006,0)), HYPERLINK("#",""), HYPERLINK(CONCATENATE("#metadata!", ADDRESS(INDEX($P$2:$P$1001,MATCH(ROWS($N$2:N527),$N$2:$N$1001,0),0), INDEX($U$1004:$AC$1004,1,MATCH(COLUMNS($U$1006:AA1006),$U$1006:$AC$1006,0)))),"Fix")))</f>
        <v>0</v>
      </c>
      <c r="I527" s="3">
        <f>IF(OR(INDEX($O$2:$O$1001,MATCH(ROWS($N$2:N527),$N$2:$N$1001,0),1)&gt;=100000,INDEX($U$1005:$AC$1005,1,MATCH(COLUMNS($U$1006:AB1006),$U$1006:$AC$1006,0))&gt;=100000), " ",IF(INDEX($U$2:$AC$1001,MATCH(ROWS($N$2:N527),$N$2:$N$1001,0),MATCH(COLUMNS($U$1006:AB1006),$U$1006:$AC$1006,0)), HYPERLINK("#",""), HYPERLINK(CONCATENATE("#metadata!", ADDRESS(INDEX($P$2:$P$1001,MATCH(ROWS($N$2:N527),$N$2:$N$1001,0),0), INDEX($U$1004:$AC$1004,1,MATCH(COLUMNS($U$1006:AB1006),$U$1006:$AC$1006,0)))),"Fix")))</f>
        <v>0</v>
      </c>
      <c r="J527" s="3">
        <f>IF(OR(INDEX($O$2:$O$1001,MATCH(ROWS($N$2:N527),$N$2:$N$1001,0),1)&gt;=100000,INDEX($U$1005:$AC$1005,1,MATCH(COLUMNS($U$1006:AC1006),$U$1006:$AC$1006,0))&gt;=100000), " ",IF(INDEX($U$2:$AC$1001,MATCH(ROWS($N$2:N527),$N$2:$N$1001,0),MATCH(COLUMNS($U$1006:AC1006),$U$1006:$AC$1006,0)), HYPERLINK("#",""), HYPERLINK(CONCATENATE("#metadata!", ADDRESS(INDEX($P$2:$P$1001,MATCH(ROWS($N$2:N527),$N$2:$N$1001,0),0), INDEX($U$1004:$AC$1004,1,MATCH(COLUMNS($U$1006:AC1006),$U$1006:$AC$1006,0)))),"Fix")))</f>
        <v>0</v>
      </c>
      <c r="N527">
        <v>0</v>
      </c>
      <c r="O527">
        <v>0</v>
      </c>
      <c r="P527">
        <v>0</v>
      </c>
      <c r="Q527">
        <f>IF(R527,TRUE,AND(U527:AC527))</f>
        <v>0</v>
      </c>
      <c r="R527">
        <f>COUNTBLANK(metadata!B527:J527)=COLUMNS(metadata!B527:J527)</f>
        <v>0</v>
      </c>
      <c r="S527">
        <v>0</v>
      </c>
      <c r="U527">
        <f>AND(IF(metadata!B527="",FALSE,TRUE),COUNTIF(metadata!B:B, metadata!B527) = 1,NOT(ISERROR(SUMPRODUCT(SEARCH(MID(metadata!B527,ROW(INDIRECT("1:"&amp;LEN(metadata!B527))), 1),"0123456789abcdefghijklmnopqrstuvwxyzABCDEFGHIJKLMNOPQRSTUVWXYZ.")))))</f>
        <v>0</v>
      </c>
      <c r="V527">
        <f>AND(IF(metadata!C527="",FALSE,TRUE),exact(metadata!C527,"UBERON:genitourinary"))</f>
        <v>0</v>
      </c>
      <c r="W527">
        <f>AND(IF(metadata!D527="",FALSE,TRUE),exact(metadata!D527,"UBERON:urine"))</f>
        <v>0</v>
      </c>
      <c r="X527">
        <f>AND(IF(metadata!E527="",FALSE,TRUE),exact(metadata!E527,"UBERON:kidney"))</f>
        <v>0</v>
      </c>
      <c r="Y527">
        <f>AND(IF(metadata!F527="",FALSE,TRUE),exact(metadata!F527,"animal corpus"))</f>
        <v>0</v>
      </c>
      <c r="Z527">
        <f>AND(IF(metadata!G527="",FALSE,TRUE),exact(metadata!G527,"urine"))</f>
        <v>0</v>
      </c>
      <c r="AA527">
        <f>AND(IF(metadata!H527="",FALSE,TRUE),exact(metadata!H527,"urine"))</f>
        <v>0</v>
      </c>
      <c r="AB527">
        <f>AND(IF(metadata!I527="",FALSE,TRUE),exact(metadata!I527,"urine metagenome"))</f>
        <v>0</v>
      </c>
      <c r="AC527">
        <f>AND(IF(metadata!J527="",FALSE,TRUE),exact(metadata!J527,"1346744"))</f>
        <v>0</v>
      </c>
    </row>
    <row r="528" spans="1:29">
      <c r="A528" s="4">
        <f>IF(B528=" "," ",HYPERLINK(CONCATENATE("#metadata!",ADDRESS(INDEX($P$2:$P$1001,MATCH(ROWS($N$2:N528),$N$2:$N$1001,0),0),1)),INDEX($S$2:$S$1001,MATCH(ROWS($N$2:N528),$N$2:$N$1001,0),0)))</f>
        <v>0</v>
      </c>
      <c r="B528" s="3">
        <f>IF(OR(INDEX($O$2:$O$1001,MATCH(ROWS($N$2:N528),$N$2:$N$1001,0),1)&gt;=100000,INDEX($U$1005:$AC$1005,1,MATCH(COLUMNS($U$1006:U1006),$U$1006:$AC$1006,0))&gt;=100000), " ",IF(INDEX($U$2:$AC$1001,MATCH(ROWS($N$2:N528),$N$2:$N$1001,0),MATCH(COLUMNS($U$1006:U1006),$U$1006:$AC$1006,0)), HYPERLINK("#",""), HYPERLINK(CONCATENATE("#metadata!", ADDRESS(INDEX($P$2:$P$1001,MATCH(ROWS($N$2:N528),$N$2:$N$1001,0),0), INDEX($U$1004:$AC$1004,1,MATCH(COLUMNS($U$1006:U1006),$U$1006:$AC$1006,0)))),"Fix")))</f>
        <v>0</v>
      </c>
      <c r="C528" s="3">
        <f>IF(OR(INDEX($O$2:$O$1001,MATCH(ROWS($N$2:N528),$N$2:$N$1001,0),1)&gt;=100000,INDEX($U$1005:$AC$1005,1,MATCH(COLUMNS($U$1006:V1006),$U$1006:$AC$1006,0))&gt;=100000), " ",IF(INDEX($U$2:$AC$1001,MATCH(ROWS($N$2:N528),$N$2:$N$1001,0),MATCH(COLUMNS($U$1006:V1006),$U$1006:$AC$1006,0)), HYPERLINK("#",""), HYPERLINK(CONCATENATE("#metadata!", ADDRESS(INDEX($P$2:$P$1001,MATCH(ROWS($N$2:N528),$N$2:$N$1001,0),0), INDEX($U$1004:$AC$1004,1,MATCH(COLUMNS($U$1006:V1006),$U$1006:$AC$1006,0)))),"Fix")))</f>
        <v>0</v>
      </c>
      <c r="D528" s="3">
        <f>IF(OR(INDEX($O$2:$O$1001,MATCH(ROWS($N$2:N528),$N$2:$N$1001,0),1)&gt;=100000,INDEX($U$1005:$AC$1005,1,MATCH(COLUMNS($U$1006:W1006),$U$1006:$AC$1006,0))&gt;=100000), " ",IF(INDEX($U$2:$AC$1001,MATCH(ROWS($N$2:N528),$N$2:$N$1001,0),MATCH(COLUMNS($U$1006:W1006),$U$1006:$AC$1006,0)), HYPERLINK("#",""), HYPERLINK(CONCATENATE("#metadata!", ADDRESS(INDEX($P$2:$P$1001,MATCH(ROWS($N$2:N528),$N$2:$N$1001,0),0), INDEX($U$1004:$AC$1004,1,MATCH(COLUMNS($U$1006:W1006),$U$1006:$AC$1006,0)))),"Fix")))</f>
        <v>0</v>
      </c>
      <c r="E528" s="3">
        <f>IF(OR(INDEX($O$2:$O$1001,MATCH(ROWS($N$2:N528),$N$2:$N$1001,0),1)&gt;=100000,INDEX($U$1005:$AC$1005,1,MATCH(COLUMNS($U$1006:X1006),$U$1006:$AC$1006,0))&gt;=100000), " ",IF(INDEX($U$2:$AC$1001,MATCH(ROWS($N$2:N528),$N$2:$N$1001,0),MATCH(COLUMNS($U$1006:X1006),$U$1006:$AC$1006,0)), HYPERLINK("#",""), HYPERLINK(CONCATENATE("#metadata!", ADDRESS(INDEX($P$2:$P$1001,MATCH(ROWS($N$2:N528),$N$2:$N$1001,0),0), INDEX($U$1004:$AC$1004,1,MATCH(COLUMNS($U$1006:X1006),$U$1006:$AC$1006,0)))),"Fix")))</f>
        <v>0</v>
      </c>
      <c r="F528" s="3">
        <f>IF(OR(INDEX($O$2:$O$1001,MATCH(ROWS($N$2:N528),$N$2:$N$1001,0),1)&gt;=100000,INDEX($U$1005:$AC$1005,1,MATCH(COLUMNS($U$1006:Y1006),$U$1006:$AC$1006,0))&gt;=100000), " ",IF(INDEX($U$2:$AC$1001,MATCH(ROWS($N$2:N528),$N$2:$N$1001,0),MATCH(COLUMNS($U$1006:Y1006),$U$1006:$AC$1006,0)), HYPERLINK("#",""), HYPERLINK(CONCATENATE("#metadata!", ADDRESS(INDEX($P$2:$P$1001,MATCH(ROWS($N$2:N528),$N$2:$N$1001,0),0), INDEX($U$1004:$AC$1004,1,MATCH(COLUMNS($U$1006:Y1006),$U$1006:$AC$1006,0)))),"Fix")))</f>
        <v>0</v>
      </c>
      <c r="G528" s="3">
        <f>IF(OR(INDEX($O$2:$O$1001,MATCH(ROWS($N$2:N528),$N$2:$N$1001,0),1)&gt;=100000,INDEX($U$1005:$AC$1005,1,MATCH(COLUMNS($U$1006:Z1006),$U$1006:$AC$1006,0))&gt;=100000), " ",IF(INDEX($U$2:$AC$1001,MATCH(ROWS($N$2:N528),$N$2:$N$1001,0),MATCH(COLUMNS($U$1006:Z1006),$U$1006:$AC$1006,0)), HYPERLINK("#",""), HYPERLINK(CONCATENATE("#metadata!", ADDRESS(INDEX($P$2:$P$1001,MATCH(ROWS($N$2:N528),$N$2:$N$1001,0),0), INDEX($U$1004:$AC$1004,1,MATCH(COLUMNS($U$1006:Z1006),$U$1006:$AC$1006,0)))),"Fix")))</f>
        <v>0</v>
      </c>
      <c r="H528" s="3">
        <f>IF(OR(INDEX($O$2:$O$1001,MATCH(ROWS($N$2:N528),$N$2:$N$1001,0),1)&gt;=100000,INDEX($U$1005:$AC$1005,1,MATCH(COLUMNS($U$1006:AA1006),$U$1006:$AC$1006,0))&gt;=100000), " ",IF(INDEX($U$2:$AC$1001,MATCH(ROWS($N$2:N528),$N$2:$N$1001,0),MATCH(COLUMNS($U$1006:AA1006),$U$1006:$AC$1006,0)), HYPERLINK("#",""), HYPERLINK(CONCATENATE("#metadata!", ADDRESS(INDEX($P$2:$P$1001,MATCH(ROWS($N$2:N528),$N$2:$N$1001,0),0), INDEX($U$1004:$AC$1004,1,MATCH(COLUMNS($U$1006:AA1006),$U$1006:$AC$1006,0)))),"Fix")))</f>
        <v>0</v>
      </c>
      <c r="I528" s="3">
        <f>IF(OR(INDEX($O$2:$O$1001,MATCH(ROWS($N$2:N528),$N$2:$N$1001,0),1)&gt;=100000,INDEX($U$1005:$AC$1005,1,MATCH(COLUMNS($U$1006:AB1006),$U$1006:$AC$1006,0))&gt;=100000), " ",IF(INDEX($U$2:$AC$1001,MATCH(ROWS($N$2:N528),$N$2:$N$1001,0),MATCH(COLUMNS($U$1006:AB1006),$U$1006:$AC$1006,0)), HYPERLINK("#",""), HYPERLINK(CONCATENATE("#metadata!", ADDRESS(INDEX($P$2:$P$1001,MATCH(ROWS($N$2:N528),$N$2:$N$1001,0),0), INDEX($U$1004:$AC$1004,1,MATCH(COLUMNS($U$1006:AB1006),$U$1006:$AC$1006,0)))),"Fix")))</f>
        <v>0</v>
      </c>
      <c r="J528" s="3">
        <f>IF(OR(INDEX($O$2:$O$1001,MATCH(ROWS($N$2:N528),$N$2:$N$1001,0),1)&gt;=100000,INDEX($U$1005:$AC$1005,1,MATCH(COLUMNS($U$1006:AC1006),$U$1006:$AC$1006,0))&gt;=100000), " ",IF(INDEX($U$2:$AC$1001,MATCH(ROWS($N$2:N528),$N$2:$N$1001,0),MATCH(COLUMNS($U$1006:AC1006),$U$1006:$AC$1006,0)), HYPERLINK("#",""), HYPERLINK(CONCATENATE("#metadata!", ADDRESS(INDEX($P$2:$P$1001,MATCH(ROWS($N$2:N528),$N$2:$N$1001,0),0), INDEX($U$1004:$AC$1004,1,MATCH(COLUMNS($U$1006:AC1006),$U$1006:$AC$1006,0)))),"Fix")))</f>
        <v>0</v>
      </c>
      <c r="N528">
        <v>0</v>
      </c>
      <c r="O528">
        <v>0</v>
      </c>
      <c r="P528">
        <v>0</v>
      </c>
      <c r="Q528">
        <f>IF(R528,TRUE,AND(U528:AC528))</f>
        <v>0</v>
      </c>
      <c r="R528">
        <f>COUNTBLANK(metadata!B528:J528)=COLUMNS(metadata!B528:J528)</f>
        <v>0</v>
      </c>
      <c r="S528">
        <v>0</v>
      </c>
      <c r="U528">
        <f>AND(IF(metadata!B528="",FALSE,TRUE),COUNTIF(metadata!B:B, metadata!B528) = 1,NOT(ISERROR(SUMPRODUCT(SEARCH(MID(metadata!B528,ROW(INDIRECT("1:"&amp;LEN(metadata!B528))), 1),"0123456789abcdefghijklmnopqrstuvwxyzABCDEFGHIJKLMNOPQRSTUVWXYZ.")))))</f>
        <v>0</v>
      </c>
      <c r="V528">
        <f>AND(IF(metadata!C528="",FALSE,TRUE),exact(metadata!C528,"UBERON:genitourinary"))</f>
        <v>0</v>
      </c>
      <c r="W528">
        <f>AND(IF(metadata!D528="",FALSE,TRUE),exact(metadata!D528,"UBERON:urine"))</f>
        <v>0</v>
      </c>
      <c r="X528">
        <f>AND(IF(metadata!E528="",FALSE,TRUE),exact(metadata!E528,"UBERON:kidney"))</f>
        <v>0</v>
      </c>
      <c r="Y528">
        <f>AND(IF(metadata!F528="",FALSE,TRUE),exact(metadata!F528,"animal corpus"))</f>
        <v>0</v>
      </c>
      <c r="Z528">
        <f>AND(IF(metadata!G528="",FALSE,TRUE),exact(metadata!G528,"urine"))</f>
        <v>0</v>
      </c>
      <c r="AA528">
        <f>AND(IF(metadata!H528="",FALSE,TRUE),exact(metadata!H528,"urine"))</f>
        <v>0</v>
      </c>
      <c r="AB528">
        <f>AND(IF(metadata!I528="",FALSE,TRUE),exact(metadata!I528,"urine metagenome"))</f>
        <v>0</v>
      </c>
      <c r="AC528">
        <f>AND(IF(metadata!J528="",FALSE,TRUE),exact(metadata!J528,"1346744"))</f>
        <v>0</v>
      </c>
    </row>
    <row r="529" spans="1:29">
      <c r="A529" s="4">
        <f>IF(B529=" "," ",HYPERLINK(CONCATENATE("#metadata!",ADDRESS(INDEX($P$2:$P$1001,MATCH(ROWS($N$2:N529),$N$2:$N$1001,0),0),1)),INDEX($S$2:$S$1001,MATCH(ROWS($N$2:N529),$N$2:$N$1001,0),0)))</f>
        <v>0</v>
      </c>
      <c r="B529" s="3">
        <f>IF(OR(INDEX($O$2:$O$1001,MATCH(ROWS($N$2:N529),$N$2:$N$1001,0),1)&gt;=100000,INDEX($U$1005:$AC$1005,1,MATCH(COLUMNS($U$1006:U1006),$U$1006:$AC$1006,0))&gt;=100000), " ",IF(INDEX($U$2:$AC$1001,MATCH(ROWS($N$2:N529),$N$2:$N$1001,0),MATCH(COLUMNS($U$1006:U1006),$U$1006:$AC$1006,0)), HYPERLINK("#",""), HYPERLINK(CONCATENATE("#metadata!", ADDRESS(INDEX($P$2:$P$1001,MATCH(ROWS($N$2:N529),$N$2:$N$1001,0),0), INDEX($U$1004:$AC$1004,1,MATCH(COLUMNS($U$1006:U1006),$U$1006:$AC$1006,0)))),"Fix")))</f>
        <v>0</v>
      </c>
      <c r="C529" s="3">
        <f>IF(OR(INDEX($O$2:$O$1001,MATCH(ROWS($N$2:N529),$N$2:$N$1001,0),1)&gt;=100000,INDEX($U$1005:$AC$1005,1,MATCH(COLUMNS($U$1006:V1006),$U$1006:$AC$1006,0))&gt;=100000), " ",IF(INDEX($U$2:$AC$1001,MATCH(ROWS($N$2:N529),$N$2:$N$1001,0),MATCH(COLUMNS($U$1006:V1006),$U$1006:$AC$1006,0)), HYPERLINK("#",""), HYPERLINK(CONCATENATE("#metadata!", ADDRESS(INDEX($P$2:$P$1001,MATCH(ROWS($N$2:N529),$N$2:$N$1001,0),0), INDEX($U$1004:$AC$1004,1,MATCH(COLUMNS($U$1006:V1006),$U$1006:$AC$1006,0)))),"Fix")))</f>
        <v>0</v>
      </c>
      <c r="D529" s="3">
        <f>IF(OR(INDEX($O$2:$O$1001,MATCH(ROWS($N$2:N529),$N$2:$N$1001,0),1)&gt;=100000,INDEX($U$1005:$AC$1005,1,MATCH(COLUMNS($U$1006:W1006),$U$1006:$AC$1006,0))&gt;=100000), " ",IF(INDEX($U$2:$AC$1001,MATCH(ROWS($N$2:N529),$N$2:$N$1001,0),MATCH(COLUMNS($U$1006:W1006),$U$1006:$AC$1006,0)), HYPERLINK("#",""), HYPERLINK(CONCATENATE("#metadata!", ADDRESS(INDEX($P$2:$P$1001,MATCH(ROWS($N$2:N529),$N$2:$N$1001,0),0), INDEX($U$1004:$AC$1004,1,MATCH(COLUMNS($U$1006:W1006),$U$1006:$AC$1006,0)))),"Fix")))</f>
        <v>0</v>
      </c>
      <c r="E529" s="3">
        <f>IF(OR(INDEX($O$2:$O$1001,MATCH(ROWS($N$2:N529),$N$2:$N$1001,0),1)&gt;=100000,INDEX($U$1005:$AC$1005,1,MATCH(COLUMNS($U$1006:X1006),$U$1006:$AC$1006,0))&gt;=100000), " ",IF(INDEX($U$2:$AC$1001,MATCH(ROWS($N$2:N529),$N$2:$N$1001,0),MATCH(COLUMNS($U$1006:X1006),$U$1006:$AC$1006,0)), HYPERLINK("#",""), HYPERLINK(CONCATENATE("#metadata!", ADDRESS(INDEX($P$2:$P$1001,MATCH(ROWS($N$2:N529),$N$2:$N$1001,0),0), INDEX($U$1004:$AC$1004,1,MATCH(COLUMNS($U$1006:X1006),$U$1006:$AC$1006,0)))),"Fix")))</f>
        <v>0</v>
      </c>
      <c r="F529" s="3">
        <f>IF(OR(INDEX($O$2:$O$1001,MATCH(ROWS($N$2:N529),$N$2:$N$1001,0),1)&gt;=100000,INDEX($U$1005:$AC$1005,1,MATCH(COLUMNS($U$1006:Y1006),$U$1006:$AC$1006,0))&gt;=100000), " ",IF(INDEX($U$2:$AC$1001,MATCH(ROWS($N$2:N529),$N$2:$N$1001,0),MATCH(COLUMNS($U$1006:Y1006),$U$1006:$AC$1006,0)), HYPERLINK("#",""), HYPERLINK(CONCATENATE("#metadata!", ADDRESS(INDEX($P$2:$P$1001,MATCH(ROWS($N$2:N529),$N$2:$N$1001,0),0), INDEX($U$1004:$AC$1004,1,MATCH(COLUMNS($U$1006:Y1006),$U$1006:$AC$1006,0)))),"Fix")))</f>
        <v>0</v>
      </c>
      <c r="G529" s="3">
        <f>IF(OR(INDEX($O$2:$O$1001,MATCH(ROWS($N$2:N529),$N$2:$N$1001,0),1)&gt;=100000,INDEX($U$1005:$AC$1005,1,MATCH(COLUMNS($U$1006:Z1006),$U$1006:$AC$1006,0))&gt;=100000), " ",IF(INDEX($U$2:$AC$1001,MATCH(ROWS($N$2:N529),$N$2:$N$1001,0),MATCH(COLUMNS($U$1006:Z1006),$U$1006:$AC$1006,0)), HYPERLINK("#",""), HYPERLINK(CONCATENATE("#metadata!", ADDRESS(INDEX($P$2:$P$1001,MATCH(ROWS($N$2:N529),$N$2:$N$1001,0),0), INDEX($U$1004:$AC$1004,1,MATCH(COLUMNS($U$1006:Z1006),$U$1006:$AC$1006,0)))),"Fix")))</f>
        <v>0</v>
      </c>
      <c r="H529" s="3">
        <f>IF(OR(INDEX($O$2:$O$1001,MATCH(ROWS($N$2:N529),$N$2:$N$1001,0),1)&gt;=100000,INDEX($U$1005:$AC$1005,1,MATCH(COLUMNS($U$1006:AA1006),$U$1006:$AC$1006,0))&gt;=100000), " ",IF(INDEX($U$2:$AC$1001,MATCH(ROWS($N$2:N529),$N$2:$N$1001,0),MATCH(COLUMNS($U$1006:AA1006),$U$1006:$AC$1006,0)), HYPERLINK("#",""), HYPERLINK(CONCATENATE("#metadata!", ADDRESS(INDEX($P$2:$P$1001,MATCH(ROWS($N$2:N529),$N$2:$N$1001,0),0), INDEX($U$1004:$AC$1004,1,MATCH(COLUMNS($U$1006:AA1006),$U$1006:$AC$1006,0)))),"Fix")))</f>
        <v>0</v>
      </c>
      <c r="I529" s="3">
        <f>IF(OR(INDEX($O$2:$O$1001,MATCH(ROWS($N$2:N529),$N$2:$N$1001,0),1)&gt;=100000,INDEX($U$1005:$AC$1005,1,MATCH(COLUMNS($U$1006:AB1006),$U$1006:$AC$1006,0))&gt;=100000), " ",IF(INDEX($U$2:$AC$1001,MATCH(ROWS($N$2:N529),$N$2:$N$1001,0),MATCH(COLUMNS($U$1006:AB1006),$U$1006:$AC$1006,0)), HYPERLINK("#",""), HYPERLINK(CONCATENATE("#metadata!", ADDRESS(INDEX($P$2:$P$1001,MATCH(ROWS($N$2:N529),$N$2:$N$1001,0),0), INDEX($U$1004:$AC$1004,1,MATCH(COLUMNS($U$1006:AB1006),$U$1006:$AC$1006,0)))),"Fix")))</f>
        <v>0</v>
      </c>
      <c r="J529" s="3">
        <f>IF(OR(INDEX($O$2:$O$1001,MATCH(ROWS($N$2:N529),$N$2:$N$1001,0),1)&gt;=100000,INDEX($U$1005:$AC$1005,1,MATCH(COLUMNS($U$1006:AC1006),$U$1006:$AC$1006,0))&gt;=100000), " ",IF(INDEX($U$2:$AC$1001,MATCH(ROWS($N$2:N529),$N$2:$N$1001,0),MATCH(COLUMNS($U$1006:AC1006),$U$1006:$AC$1006,0)), HYPERLINK("#",""), HYPERLINK(CONCATENATE("#metadata!", ADDRESS(INDEX($P$2:$P$1001,MATCH(ROWS($N$2:N529),$N$2:$N$1001,0),0), INDEX($U$1004:$AC$1004,1,MATCH(COLUMNS($U$1006:AC1006),$U$1006:$AC$1006,0)))),"Fix")))</f>
        <v>0</v>
      </c>
      <c r="N529">
        <v>0</v>
      </c>
      <c r="O529">
        <v>0</v>
      </c>
      <c r="P529">
        <v>0</v>
      </c>
      <c r="Q529">
        <f>IF(R529,TRUE,AND(U529:AC529))</f>
        <v>0</v>
      </c>
      <c r="R529">
        <f>COUNTBLANK(metadata!B529:J529)=COLUMNS(metadata!B529:J529)</f>
        <v>0</v>
      </c>
      <c r="S529">
        <v>0</v>
      </c>
      <c r="U529">
        <f>AND(IF(metadata!B529="",FALSE,TRUE),COUNTIF(metadata!B:B, metadata!B529) = 1,NOT(ISERROR(SUMPRODUCT(SEARCH(MID(metadata!B529,ROW(INDIRECT("1:"&amp;LEN(metadata!B529))), 1),"0123456789abcdefghijklmnopqrstuvwxyzABCDEFGHIJKLMNOPQRSTUVWXYZ.")))))</f>
        <v>0</v>
      </c>
      <c r="V529">
        <f>AND(IF(metadata!C529="",FALSE,TRUE),exact(metadata!C529,"UBERON:genitourinary"))</f>
        <v>0</v>
      </c>
      <c r="W529">
        <f>AND(IF(metadata!D529="",FALSE,TRUE),exact(metadata!D529,"UBERON:urine"))</f>
        <v>0</v>
      </c>
      <c r="X529">
        <f>AND(IF(metadata!E529="",FALSE,TRUE),exact(metadata!E529,"UBERON:kidney"))</f>
        <v>0</v>
      </c>
      <c r="Y529">
        <f>AND(IF(metadata!F529="",FALSE,TRUE),exact(metadata!F529,"animal corpus"))</f>
        <v>0</v>
      </c>
      <c r="Z529">
        <f>AND(IF(metadata!G529="",FALSE,TRUE),exact(metadata!G529,"urine"))</f>
        <v>0</v>
      </c>
      <c r="AA529">
        <f>AND(IF(metadata!H529="",FALSE,TRUE),exact(metadata!H529,"urine"))</f>
        <v>0</v>
      </c>
      <c r="AB529">
        <f>AND(IF(metadata!I529="",FALSE,TRUE),exact(metadata!I529,"urine metagenome"))</f>
        <v>0</v>
      </c>
      <c r="AC529">
        <f>AND(IF(metadata!J529="",FALSE,TRUE),exact(metadata!J529,"1346744"))</f>
        <v>0</v>
      </c>
    </row>
    <row r="530" spans="1:29">
      <c r="A530" s="4">
        <f>IF(B530=" "," ",HYPERLINK(CONCATENATE("#metadata!",ADDRESS(INDEX($P$2:$P$1001,MATCH(ROWS($N$2:N530),$N$2:$N$1001,0),0),1)),INDEX($S$2:$S$1001,MATCH(ROWS($N$2:N530),$N$2:$N$1001,0),0)))</f>
        <v>0</v>
      </c>
      <c r="B530" s="3">
        <f>IF(OR(INDEX($O$2:$O$1001,MATCH(ROWS($N$2:N530),$N$2:$N$1001,0),1)&gt;=100000,INDEX($U$1005:$AC$1005,1,MATCH(COLUMNS($U$1006:U1006),$U$1006:$AC$1006,0))&gt;=100000), " ",IF(INDEX($U$2:$AC$1001,MATCH(ROWS($N$2:N530),$N$2:$N$1001,0),MATCH(COLUMNS($U$1006:U1006),$U$1006:$AC$1006,0)), HYPERLINK("#",""), HYPERLINK(CONCATENATE("#metadata!", ADDRESS(INDEX($P$2:$P$1001,MATCH(ROWS($N$2:N530),$N$2:$N$1001,0),0), INDEX($U$1004:$AC$1004,1,MATCH(COLUMNS($U$1006:U1006),$U$1006:$AC$1006,0)))),"Fix")))</f>
        <v>0</v>
      </c>
      <c r="C530" s="3">
        <f>IF(OR(INDEX($O$2:$O$1001,MATCH(ROWS($N$2:N530),$N$2:$N$1001,0),1)&gt;=100000,INDEX($U$1005:$AC$1005,1,MATCH(COLUMNS($U$1006:V1006),$U$1006:$AC$1006,0))&gt;=100000), " ",IF(INDEX($U$2:$AC$1001,MATCH(ROWS($N$2:N530),$N$2:$N$1001,0),MATCH(COLUMNS($U$1006:V1006),$U$1006:$AC$1006,0)), HYPERLINK("#",""), HYPERLINK(CONCATENATE("#metadata!", ADDRESS(INDEX($P$2:$P$1001,MATCH(ROWS($N$2:N530),$N$2:$N$1001,0),0), INDEX($U$1004:$AC$1004,1,MATCH(COLUMNS($U$1006:V1006),$U$1006:$AC$1006,0)))),"Fix")))</f>
        <v>0</v>
      </c>
      <c r="D530" s="3">
        <f>IF(OR(INDEX($O$2:$O$1001,MATCH(ROWS($N$2:N530),$N$2:$N$1001,0),1)&gt;=100000,INDEX($U$1005:$AC$1005,1,MATCH(COLUMNS($U$1006:W1006),$U$1006:$AC$1006,0))&gt;=100000), " ",IF(INDEX($U$2:$AC$1001,MATCH(ROWS($N$2:N530),$N$2:$N$1001,0),MATCH(COLUMNS($U$1006:W1006),$U$1006:$AC$1006,0)), HYPERLINK("#",""), HYPERLINK(CONCATENATE("#metadata!", ADDRESS(INDEX($P$2:$P$1001,MATCH(ROWS($N$2:N530),$N$2:$N$1001,0),0), INDEX($U$1004:$AC$1004,1,MATCH(COLUMNS($U$1006:W1006),$U$1006:$AC$1006,0)))),"Fix")))</f>
        <v>0</v>
      </c>
      <c r="E530" s="3">
        <f>IF(OR(INDEX($O$2:$O$1001,MATCH(ROWS($N$2:N530),$N$2:$N$1001,0),1)&gt;=100000,INDEX($U$1005:$AC$1005,1,MATCH(COLUMNS($U$1006:X1006),$U$1006:$AC$1006,0))&gt;=100000), " ",IF(INDEX($U$2:$AC$1001,MATCH(ROWS($N$2:N530),$N$2:$N$1001,0),MATCH(COLUMNS($U$1006:X1006),$U$1006:$AC$1006,0)), HYPERLINK("#",""), HYPERLINK(CONCATENATE("#metadata!", ADDRESS(INDEX($P$2:$P$1001,MATCH(ROWS($N$2:N530),$N$2:$N$1001,0),0), INDEX($U$1004:$AC$1004,1,MATCH(COLUMNS($U$1006:X1006),$U$1006:$AC$1006,0)))),"Fix")))</f>
        <v>0</v>
      </c>
      <c r="F530" s="3">
        <f>IF(OR(INDEX($O$2:$O$1001,MATCH(ROWS($N$2:N530),$N$2:$N$1001,0),1)&gt;=100000,INDEX($U$1005:$AC$1005,1,MATCH(COLUMNS($U$1006:Y1006),$U$1006:$AC$1006,0))&gt;=100000), " ",IF(INDEX($U$2:$AC$1001,MATCH(ROWS($N$2:N530),$N$2:$N$1001,0),MATCH(COLUMNS($U$1006:Y1006),$U$1006:$AC$1006,0)), HYPERLINK("#",""), HYPERLINK(CONCATENATE("#metadata!", ADDRESS(INDEX($P$2:$P$1001,MATCH(ROWS($N$2:N530),$N$2:$N$1001,0),0), INDEX($U$1004:$AC$1004,1,MATCH(COLUMNS($U$1006:Y1006),$U$1006:$AC$1006,0)))),"Fix")))</f>
        <v>0</v>
      </c>
      <c r="G530" s="3">
        <f>IF(OR(INDEX($O$2:$O$1001,MATCH(ROWS($N$2:N530),$N$2:$N$1001,0),1)&gt;=100000,INDEX($U$1005:$AC$1005,1,MATCH(COLUMNS($U$1006:Z1006),$U$1006:$AC$1006,0))&gt;=100000), " ",IF(INDEX($U$2:$AC$1001,MATCH(ROWS($N$2:N530),$N$2:$N$1001,0),MATCH(COLUMNS($U$1006:Z1006),$U$1006:$AC$1006,0)), HYPERLINK("#",""), HYPERLINK(CONCATENATE("#metadata!", ADDRESS(INDEX($P$2:$P$1001,MATCH(ROWS($N$2:N530),$N$2:$N$1001,0),0), INDEX($U$1004:$AC$1004,1,MATCH(COLUMNS($U$1006:Z1006),$U$1006:$AC$1006,0)))),"Fix")))</f>
        <v>0</v>
      </c>
      <c r="H530" s="3">
        <f>IF(OR(INDEX($O$2:$O$1001,MATCH(ROWS($N$2:N530),$N$2:$N$1001,0),1)&gt;=100000,INDEX($U$1005:$AC$1005,1,MATCH(COLUMNS($U$1006:AA1006),$U$1006:$AC$1006,0))&gt;=100000), " ",IF(INDEX($U$2:$AC$1001,MATCH(ROWS($N$2:N530),$N$2:$N$1001,0),MATCH(COLUMNS($U$1006:AA1006),$U$1006:$AC$1006,0)), HYPERLINK("#",""), HYPERLINK(CONCATENATE("#metadata!", ADDRESS(INDEX($P$2:$P$1001,MATCH(ROWS($N$2:N530),$N$2:$N$1001,0),0), INDEX($U$1004:$AC$1004,1,MATCH(COLUMNS($U$1006:AA1006),$U$1006:$AC$1006,0)))),"Fix")))</f>
        <v>0</v>
      </c>
      <c r="I530" s="3">
        <f>IF(OR(INDEX($O$2:$O$1001,MATCH(ROWS($N$2:N530),$N$2:$N$1001,0),1)&gt;=100000,INDEX($U$1005:$AC$1005,1,MATCH(COLUMNS($U$1006:AB1006),$U$1006:$AC$1006,0))&gt;=100000), " ",IF(INDEX($U$2:$AC$1001,MATCH(ROWS($N$2:N530),$N$2:$N$1001,0),MATCH(COLUMNS($U$1006:AB1006),$U$1006:$AC$1006,0)), HYPERLINK("#",""), HYPERLINK(CONCATENATE("#metadata!", ADDRESS(INDEX($P$2:$P$1001,MATCH(ROWS($N$2:N530),$N$2:$N$1001,0),0), INDEX($U$1004:$AC$1004,1,MATCH(COLUMNS($U$1006:AB1006),$U$1006:$AC$1006,0)))),"Fix")))</f>
        <v>0</v>
      </c>
      <c r="J530" s="3">
        <f>IF(OR(INDEX($O$2:$O$1001,MATCH(ROWS($N$2:N530),$N$2:$N$1001,0),1)&gt;=100000,INDEX($U$1005:$AC$1005,1,MATCH(COLUMNS($U$1006:AC1006),$U$1006:$AC$1006,0))&gt;=100000), " ",IF(INDEX($U$2:$AC$1001,MATCH(ROWS($N$2:N530),$N$2:$N$1001,0),MATCH(COLUMNS($U$1006:AC1006),$U$1006:$AC$1006,0)), HYPERLINK("#",""), HYPERLINK(CONCATENATE("#metadata!", ADDRESS(INDEX($P$2:$P$1001,MATCH(ROWS($N$2:N530),$N$2:$N$1001,0),0), INDEX($U$1004:$AC$1004,1,MATCH(COLUMNS($U$1006:AC1006),$U$1006:$AC$1006,0)))),"Fix")))</f>
        <v>0</v>
      </c>
      <c r="N530">
        <v>0</v>
      </c>
      <c r="O530">
        <v>0</v>
      </c>
      <c r="P530">
        <v>0</v>
      </c>
      <c r="Q530">
        <f>IF(R530,TRUE,AND(U530:AC530))</f>
        <v>0</v>
      </c>
      <c r="R530">
        <f>COUNTBLANK(metadata!B530:J530)=COLUMNS(metadata!B530:J530)</f>
        <v>0</v>
      </c>
      <c r="S530">
        <v>0</v>
      </c>
      <c r="U530">
        <f>AND(IF(metadata!B530="",FALSE,TRUE),COUNTIF(metadata!B:B, metadata!B530) = 1,NOT(ISERROR(SUMPRODUCT(SEARCH(MID(metadata!B530,ROW(INDIRECT("1:"&amp;LEN(metadata!B530))), 1),"0123456789abcdefghijklmnopqrstuvwxyzABCDEFGHIJKLMNOPQRSTUVWXYZ.")))))</f>
        <v>0</v>
      </c>
      <c r="V530">
        <f>AND(IF(metadata!C530="",FALSE,TRUE),exact(metadata!C530,"UBERON:genitourinary"))</f>
        <v>0</v>
      </c>
      <c r="W530">
        <f>AND(IF(metadata!D530="",FALSE,TRUE),exact(metadata!D530,"UBERON:urine"))</f>
        <v>0</v>
      </c>
      <c r="X530">
        <f>AND(IF(metadata!E530="",FALSE,TRUE),exact(metadata!E530,"UBERON:kidney"))</f>
        <v>0</v>
      </c>
      <c r="Y530">
        <f>AND(IF(metadata!F530="",FALSE,TRUE),exact(metadata!F530,"animal corpus"))</f>
        <v>0</v>
      </c>
      <c r="Z530">
        <f>AND(IF(metadata!G530="",FALSE,TRUE),exact(metadata!G530,"urine"))</f>
        <v>0</v>
      </c>
      <c r="AA530">
        <f>AND(IF(metadata!H530="",FALSE,TRUE),exact(metadata!H530,"urine"))</f>
        <v>0</v>
      </c>
      <c r="AB530">
        <f>AND(IF(metadata!I530="",FALSE,TRUE),exact(metadata!I530,"urine metagenome"))</f>
        <v>0</v>
      </c>
      <c r="AC530">
        <f>AND(IF(metadata!J530="",FALSE,TRUE),exact(metadata!J530,"1346744"))</f>
        <v>0</v>
      </c>
    </row>
    <row r="531" spans="1:29">
      <c r="A531" s="4">
        <f>IF(B531=" "," ",HYPERLINK(CONCATENATE("#metadata!",ADDRESS(INDEX($P$2:$P$1001,MATCH(ROWS($N$2:N531),$N$2:$N$1001,0),0),1)),INDEX($S$2:$S$1001,MATCH(ROWS($N$2:N531),$N$2:$N$1001,0),0)))</f>
        <v>0</v>
      </c>
      <c r="B531" s="3">
        <f>IF(OR(INDEX($O$2:$O$1001,MATCH(ROWS($N$2:N531),$N$2:$N$1001,0),1)&gt;=100000,INDEX($U$1005:$AC$1005,1,MATCH(COLUMNS($U$1006:U1006),$U$1006:$AC$1006,0))&gt;=100000), " ",IF(INDEX($U$2:$AC$1001,MATCH(ROWS($N$2:N531),$N$2:$N$1001,0),MATCH(COLUMNS($U$1006:U1006),$U$1006:$AC$1006,0)), HYPERLINK("#",""), HYPERLINK(CONCATENATE("#metadata!", ADDRESS(INDEX($P$2:$P$1001,MATCH(ROWS($N$2:N531),$N$2:$N$1001,0),0), INDEX($U$1004:$AC$1004,1,MATCH(COLUMNS($U$1006:U1006),$U$1006:$AC$1006,0)))),"Fix")))</f>
        <v>0</v>
      </c>
      <c r="C531" s="3">
        <f>IF(OR(INDEX($O$2:$O$1001,MATCH(ROWS($N$2:N531),$N$2:$N$1001,0),1)&gt;=100000,INDEX($U$1005:$AC$1005,1,MATCH(COLUMNS($U$1006:V1006),$U$1006:$AC$1006,0))&gt;=100000), " ",IF(INDEX($U$2:$AC$1001,MATCH(ROWS($N$2:N531),$N$2:$N$1001,0),MATCH(COLUMNS($U$1006:V1006),$U$1006:$AC$1006,0)), HYPERLINK("#",""), HYPERLINK(CONCATENATE("#metadata!", ADDRESS(INDEX($P$2:$P$1001,MATCH(ROWS($N$2:N531),$N$2:$N$1001,0),0), INDEX($U$1004:$AC$1004,1,MATCH(COLUMNS($U$1006:V1006),$U$1006:$AC$1006,0)))),"Fix")))</f>
        <v>0</v>
      </c>
      <c r="D531" s="3">
        <f>IF(OR(INDEX($O$2:$O$1001,MATCH(ROWS($N$2:N531),$N$2:$N$1001,0),1)&gt;=100000,INDEX($U$1005:$AC$1005,1,MATCH(COLUMNS($U$1006:W1006),$U$1006:$AC$1006,0))&gt;=100000), " ",IF(INDEX($U$2:$AC$1001,MATCH(ROWS($N$2:N531),$N$2:$N$1001,0),MATCH(COLUMNS($U$1006:W1006),$U$1006:$AC$1006,0)), HYPERLINK("#",""), HYPERLINK(CONCATENATE("#metadata!", ADDRESS(INDEX($P$2:$P$1001,MATCH(ROWS($N$2:N531),$N$2:$N$1001,0),0), INDEX($U$1004:$AC$1004,1,MATCH(COLUMNS($U$1006:W1006),$U$1006:$AC$1006,0)))),"Fix")))</f>
        <v>0</v>
      </c>
      <c r="E531" s="3">
        <f>IF(OR(INDEX($O$2:$O$1001,MATCH(ROWS($N$2:N531),$N$2:$N$1001,0),1)&gt;=100000,INDEX($U$1005:$AC$1005,1,MATCH(COLUMNS($U$1006:X1006),$U$1006:$AC$1006,0))&gt;=100000), " ",IF(INDEX($U$2:$AC$1001,MATCH(ROWS($N$2:N531),$N$2:$N$1001,0),MATCH(COLUMNS($U$1006:X1006),$U$1006:$AC$1006,0)), HYPERLINK("#",""), HYPERLINK(CONCATENATE("#metadata!", ADDRESS(INDEX($P$2:$P$1001,MATCH(ROWS($N$2:N531),$N$2:$N$1001,0),0), INDEX($U$1004:$AC$1004,1,MATCH(COLUMNS($U$1006:X1006),$U$1006:$AC$1006,0)))),"Fix")))</f>
        <v>0</v>
      </c>
      <c r="F531" s="3">
        <f>IF(OR(INDEX($O$2:$O$1001,MATCH(ROWS($N$2:N531),$N$2:$N$1001,0),1)&gt;=100000,INDEX($U$1005:$AC$1005,1,MATCH(COLUMNS($U$1006:Y1006),$U$1006:$AC$1006,0))&gt;=100000), " ",IF(INDEX($U$2:$AC$1001,MATCH(ROWS($N$2:N531),$N$2:$N$1001,0),MATCH(COLUMNS($U$1006:Y1006),$U$1006:$AC$1006,0)), HYPERLINK("#",""), HYPERLINK(CONCATENATE("#metadata!", ADDRESS(INDEX($P$2:$P$1001,MATCH(ROWS($N$2:N531),$N$2:$N$1001,0),0), INDEX($U$1004:$AC$1004,1,MATCH(COLUMNS($U$1006:Y1006),$U$1006:$AC$1006,0)))),"Fix")))</f>
        <v>0</v>
      </c>
      <c r="G531" s="3">
        <f>IF(OR(INDEX($O$2:$O$1001,MATCH(ROWS($N$2:N531),$N$2:$N$1001,0),1)&gt;=100000,INDEX($U$1005:$AC$1005,1,MATCH(COLUMNS($U$1006:Z1006),$U$1006:$AC$1006,0))&gt;=100000), " ",IF(INDEX($U$2:$AC$1001,MATCH(ROWS($N$2:N531),$N$2:$N$1001,0),MATCH(COLUMNS($U$1006:Z1006),$U$1006:$AC$1006,0)), HYPERLINK("#",""), HYPERLINK(CONCATENATE("#metadata!", ADDRESS(INDEX($P$2:$P$1001,MATCH(ROWS($N$2:N531),$N$2:$N$1001,0),0), INDEX($U$1004:$AC$1004,1,MATCH(COLUMNS($U$1006:Z1006),$U$1006:$AC$1006,0)))),"Fix")))</f>
        <v>0</v>
      </c>
      <c r="H531" s="3">
        <f>IF(OR(INDEX($O$2:$O$1001,MATCH(ROWS($N$2:N531),$N$2:$N$1001,0),1)&gt;=100000,INDEX($U$1005:$AC$1005,1,MATCH(COLUMNS($U$1006:AA1006),$U$1006:$AC$1006,0))&gt;=100000), " ",IF(INDEX($U$2:$AC$1001,MATCH(ROWS($N$2:N531),$N$2:$N$1001,0),MATCH(COLUMNS($U$1006:AA1006),$U$1006:$AC$1006,0)), HYPERLINK("#",""), HYPERLINK(CONCATENATE("#metadata!", ADDRESS(INDEX($P$2:$P$1001,MATCH(ROWS($N$2:N531),$N$2:$N$1001,0),0), INDEX($U$1004:$AC$1004,1,MATCH(COLUMNS($U$1006:AA1006),$U$1006:$AC$1006,0)))),"Fix")))</f>
        <v>0</v>
      </c>
      <c r="I531" s="3">
        <f>IF(OR(INDEX($O$2:$O$1001,MATCH(ROWS($N$2:N531),$N$2:$N$1001,0),1)&gt;=100000,INDEX($U$1005:$AC$1005,1,MATCH(COLUMNS($U$1006:AB1006),$U$1006:$AC$1006,0))&gt;=100000), " ",IF(INDEX($U$2:$AC$1001,MATCH(ROWS($N$2:N531),$N$2:$N$1001,0),MATCH(COLUMNS($U$1006:AB1006),$U$1006:$AC$1006,0)), HYPERLINK("#",""), HYPERLINK(CONCATENATE("#metadata!", ADDRESS(INDEX($P$2:$P$1001,MATCH(ROWS($N$2:N531),$N$2:$N$1001,0),0), INDEX($U$1004:$AC$1004,1,MATCH(COLUMNS($U$1006:AB1006),$U$1006:$AC$1006,0)))),"Fix")))</f>
        <v>0</v>
      </c>
      <c r="J531" s="3">
        <f>IF(OR(INDEX($O$2:$O$1001,MATCH(ROWS($N$2:N531),$N$2:$N$1001,0),1)&gt;=100000,INDEX($U$1005:$AC$1005,1,MATCH(COLUMNS($U$1006:AC1006),$U$1006:$AC$1006,0))&gt;=100000), " ",IF(INDEX($U$2:$AC$1001,MATCH(ROWS($N$2:N531),$N$2:$N$1001,0),MATCH(COLUMNS($U$1006:AC1006),$U$1006:$AC$1006,0)), HYPERLINK("#",""), HYPERLINK(CONCATENATE("#metadata!", ADDRESS(INDEX($P$2:$P$1001,MATCH(ROWS($N$2:N531),$N$2:$N$1001,0),0), INDEX($U$1004:$AC$1004,1,MATCH(COLUMNS($U$1006:AC1006),$U$1006:$AC$1006,0)))),"Fix")))</f>
        <v>0</v>
      </c>
      <c r="N531">
        <v>0</v>
      </c>
      <c r="O531">
        <v>0</v>
      </c>
      <c r="P531">
        <v>0</v>
      </c>
      <c r="Q531">
        <f>IF(R531,TRUE,AND(U531:AC531))</f>
        <v>0</v>
      </c>
      <c r="R531">
        <f>COUNTBLANK(metadata!B531:J531)=COLUMNS(metadata!B531:J531)</f>
        <v>0</v>
      </c>
      <c r="S531">
        <v>0</v>
      </c>
      <c r="U531">
        <f>AND(IF(metadata!B531="",FALSE,TRUE),COUNTIF(metadata!B:B, metadata!B531) = 1,NOT(ISERROR(SUMPRODUCT(SEARCH(MID(metadata!B531,ROW(INDIRECT("1:"&amp;LEN(metadata!B531))), 1),"0123456789abcdefghijklmnopqrstuvwxyzABCDEFGHIJKLMNOPQRSTUVWXYZ.")))))</f>
        <v>0</v>
      </c>
      <c r="V531">
        <f>AND(IF(metadata!C531="",FALSE,TRUE),exact(metadata!C531,"UBERON:genitourinary"))</f>
        <v>0</v>
      </c>
      <c r="W531">
        <f>AND(IF(metadata!D531="",FALSE,TRUE),exact(metadata!D531,"UBERON:urine"))</f>
        <v>0</v>
      </c>
      <c r="X531">
        <f>AND(IF(metadata!E531="",FALSE,TRUE),exact(metadata!E531,"UBERON:kidney"))</f>
        <v>0</v>
      </c>
      <c r="Y531">
        <f>AND(IF(metadata!F531="",FALSE,TRUE),exact(metadata!F531,"animal corpus"))</f>
        <v>0</v>
      </c>
      <c r="Z531">
        <f>AND(IF(metadata!G531="",FALSE,TRUE),exact(metadata!G531,"urine"))</f>
        <v>0</v>
      </c>
      <c r="AA531">
        <f>AND(IF(metadata!H531="",FALSE,TRUE),exact(metadata!H531,"urine"))</f>
        <v>0</v>
      </c>
      <c r="AB531">
        <f>AND(IF(metadata!I531="",FALSE,TRUE),exact(metadata!I531,"urine metagenome"))</f>
        <v>0</v>
      </c>
      <c r="AC531">
        <f>AND(IF(metadata!J531="",FALSE,TRUE),exact(metadata!J531,"1346744"))</f>
        <v>0</v>
      </c>
    </row>
    <row r="532" spans="1:29">
      <c r="A532" s="4">
        <f>IF(B532=" "," ",HYPERLINK(CONCATENATE("#metadata!",ADDRESS(INDEX($P$2:$P$1001,MATCH(ROWS($N$2:N532),$N$2:$N$1001,0),0),1)),INDEX($S$2:$S$1001,MATCH(ROWS($N$2:N532),$N$2:$N$1001,0),0)))</f>
        <v>0</v>
      </c>
      <c r="B532" s="3">
        <f>IF(OR(INDEX($O$2:$O$1001,MATCH(ROWS($N$2:N532),$N$2:$N$1001,0),1)&gt;=100000,INDEX($U$1005:$AC$1005,1,MATCH(COLUMNS($U$1006:U1006),$U$1006:$AC$1006,0))&gt;=100000), " ",IF(INDEX($U$2:$AC$1001,MATCH(ROWS($N$2:N532),$N$2:$N$1001,0),MATCH(COLUMNS($U$1006:U1006),$U$1006:$AC$1006,0)), HYPERLINK("#",""), HYPERLINK(CONCATENATE("#metadata!", ADDRESS(INDEX($P$2:$P$1001,MATCH(ROWS($N$2:N532),$N$2:$N$1001,0),0), INDEX($U$1004:$AC$1004,1,MATCH(COLUMNS($U$1006:U1006),$U$1006:$AC$1006,0)))),"Fix")))</f>
        <v>0</v>
      </c>
      <c r="C532" s="3">
        <f>IF(OR(INDEX($O$2:$O$1001,MATCH(ROWS($N$2:N532),$N$2:$N$1001,0),1)&gt;=100000,INDEX($U$1005:$AC$1005,1,MATCH(COLUMNS($U$1006:V1006),$U$1006:$AC$1006,0))&gt;=100000), " ",IF(INDEX($U$2:$AC$1001,MATCH(ROWS($N$2:N532),$N$2:$N$1001,0),MATCH(COLUMNS($U$1006:V1006),$U$1006:$AC$1006,0)), HYPERLINK("#",""), HYPERLINK(CONCATENATE("#metadata!", ADDRESS(INDEX($P$2:$P$1001,MATCH(ROWS($N$2:N532),$N$2:$N$1001,0),0), INDEX($U$1004:$AC$1004,1,MATCH(COLUMNS($U$1006:V1006),$U$1006:$AC$1006,0)))),"Fix")))</f>
        <v>0</v>
      </c>
      <c r="D532" s="3">
        <f>IF(OR(INDEX($O$2:$O$1001,MATCH(ROWS($N$2:N532),$N$2:$N$1001,0),1)&gt;=100000,INDEX($U$1005:$AC$1005,1,MATCH(COLUMNS($U$1006:W1006),$U$1006:$AC$1006,0))&gt;=100000), " ",IF(INDEX($U$2:$AC$1001,MATCH(ROWS($N$2:N532),$N$2:$N$1001,0),MATCH(COLUMNS($U$1006:W1006),$U$1006:$AC$1006,0)), HYPERLINK("#",""), HYPERLINK(CONCATENATE("#metadata!", ADDRESS(INDEX($P$2:$P$1001,MATCH(ROWS($N$2:N532),$N$2:$N$1001,0),0), INDEX($U$1004:$AC$1004,1,MATCH(COLUMNS($U$1006:W1006),$U$1006:$AC$1006,0)))),"Fix")))</f>
        <v>0</v>
      </c>
      <c r="E532" s="3">
        <f>IF(OR(INDEX($O$2:$O$1001,MATCH(ROWS($N$2:N532),$N$2:$N$1001,0),1)&gt;=100000,INDEX($U$1005:$AC$1005,1,MATCH(COLUMNS($U$1006:X1006),$U$1006:$AC$1006,0))&gt;=100000), " ",IF(INDEX($U$2:$AC$1001,MATCH(ROWS($N$2:N532),$N$2:$N$1001,0),MATCH(COLUMNS($U$1006:X1006),$U$1006:$AC$1006,0)), HYPERLINK("#",""), HYPERLINK(CONCATENATE("#metadata!", ADDRESS(INDEX($P$2:$P$1001,MATCH(ROWS($N$2:N532),$N$2:$N$1001,0),0), INDEX($U$1004:$AC$1004,1,MATCH(COLUMNS($U$1006:X1006),$U$1006:$AC$1006,0)))),"Fix")))</f>
        <v>0</v>
      </c>
      <c r="F532" s="3">
        <f>IF(OR(INDEX($O$2:$O$1001,MATCH(ROWS($N$2:N532),$N$2:$N$1001,0),1)&gt;=100000,INDEX($U$1005:$AC$1005,1,MATCH(COLUMNS($U$1006:Y1006),$U$1006:$AC$1006,0))&gt;=100000), " ",IF(INDEX($U$2:$AC$1001,MATCH(ROWS($N$2:N532),$N$2:$N$1001,0),MATCH(COLUMNS($U$1006:Y1006),$U$1006:$AC$1006,0)), HYPERLINK("#",""), HYPERLINK(CONCATENATE("#metadata!", ADDRESS(INDEX($P$2:$P$1001,MATCH(ROWS($N$2:N532),$N$2:$N$1001,0),0), INDEX($U$1004:$AC$1004,1,MATCH(COLUMNS($U$1006:Y1006),$U$1006:$AC$1006,0)))),"Fix")))</f>
        <v>0</v>
      </c>
      <c r="G532" s="3">
        <f>IF(OR(INDEX($O$2:$O$1001,MATCH(ROWS($N$2:N532),$N$2:$N$1001,0),1)&gt;=100000,INDEX($U$1005:$AC$1005,1,MATCH(COLUMNS($U$1006:Z1006),$U$1006:$AC$1006,0))&gt;=100000), " ",IF(INDEX($U$2:$AC$1001,MATCH(ROWS($N$2:N532),$N$2:$N$1001,0),MATCH(COLUMNS($U$1006:Z1006),$U$1006:$AC$1006,0)), HYPERLINK("#",""), HYPERLINK(CONCATENATE("#metadata!", ADDRESS(INDEX($P$2:$P$1001,MATCH(ROWS($N$2:N532),$N$2:$N$1001,0),0), INDEX($U$1004:$AC$1004,1,MATCH(COLUMNS($U$1006:Z1006),$U$1006:$AC$1006,0)))),"Fix")))</f>
        <v>0</v>
      </c>
      <c r="H532" s="3">
        <f>IF(OR(INDEX($O$2:$O$1001,MATCH(ROWS($N$2:N532),$N$2:$N$1001,0),1)&gt;=100000,INDEX($U$1005:$AC$1005,1,MATCH(COLUMNS($U$1006:AA1006),$U$1006:$AC$1006,0))&gt;=100000), " ",IF(INDEX($U$2:$AC$1001,MATCH(ROWS($N$2:N532),$N$2:$N$1001,0),MATCH(COLUMNS($U$1006:AA1006),$U$1006:$AC$1006,0)), HYPERLINK("#",""), HYPERLINK(CONCATENATE("#metadata!", ADDRESS(INDEX($P$2:$P$1001,MATCH(ROWS($N$2:N532),$N$2:$N$1001,0),0), INDEX($U$1004:$AC$1004,1,MATCH(COLUMNS($U$1006:AA1006),$U$1006:$AC$1006,0)))),"Fix")))</f>
        <v>0</v>
      </c>
      <c r="I532" s="3">
        <f>IF(OR(INDEX($O$2:$O$1001,MATCH(ROWS($N$2:N532),$N$2:$N$1001,0),1)&gt;=100000,INDEX($U$1005:$AC$1005,1,MATCH(COLUMNS($U$1006:AB1006),$U$1006:$AC$1006,0))&gt;=100000), " ",IF(INDEX($U$2:$AC$1001,MATCH(ROWS($N$2:N532),$N$2:$N$1001,0),MATCH(COLUMNS($U$1006:AB1006),$U$1006:$AC$1006,0)), HYPERLINK("#",""), HYPERLINK(CONCATENATE("#metadata!", ADDRESS(INDEX($P$2:$P$1001,MATCH(ROWS($N$2:N532),$N$2:$N$1001,0),0), INDEX($U$1004:$AC$1004,1,MATCH(COLUMNS($U$1006:AB1006),$U$1006:$AC$1006,0)))),"Fix")))</f>
        <v>0</v>
      </c>
      <c r="J532" s="3">
        <f>IF(OR(INDEX($O$2:$O$1001,MATCH(ROWS($N$2:N532),$N$2:$N$1001,0),1)&gt;=100000,INDEX($U$1005:$AC$1005,1,MATCH(COLUMNS($U$1006:AC1006),$U$1006:$AC$1006,0))&gt;=100000), " ",IF(INDEX($U$2:$AC$1001,MATCH(ROWS($N$2:N532),$N$2:$N$1001,0),MATCH(COLUMNS($U$1006:AC1006),$U$1006:$AC$1006,0)), HYPERLINK("#",""), HYPERLINK(CONCATENATE("#metadata!", ADDRESS(INDEX($P$2:$P$1001,MATCH(ROWS($N$2:N532),$N$2:$N$1001,0),0), INDEX($U$1004:$AC$1004,1,MATCH(COLUMNS($U$1006:AC1006),$U$1006:$AC$1006,0)))),"Fix")))</f>
        <v>0</v>
      </c>
      <c r="N532">
        <v>0</v>
      </c>
      <c r="O532">
        <v>0</v>
      </c>
      <c r="P532">
        <v>0</v>
      </c>
      <c r="Q532">
        <f>IF(R532,TRUE,AND(U532:AC532))</f>
        <v>0</v>
      </c>
      <c r="R532">
        <f>COUNTBLANK(metadata!B532:J532)=COLUMNS(metadata!B532:J532)</f>
        <v>0</v>
      </c>
      <c r="S532">
        <v>0</v>
      </c>
      <c r="U532">
        <f>AND(IF(metadata!B532="",FALSE,TRUE),COUNTIF(metadata!B:B, metadata!B532) = 1,NOT(ISERROR(SUMPRODUCT(SEARCH(MID(metadata!B532,ROW(INDIRECT("1:"&amp;LEN(metadata!B532))), 1),"0123456789abcdefghijklmnopqrstuvwxyzABCDEFGHIJKLMNOPQRSTUVWXYZ.")))))</f>
        <v>0</v>
      </c>
      <c r="V532">
        <f>AND(IF(metadata!C532="",FALSE,TRUE),exact(metadata!C532,"UBERON:genitourinary"))</f>
        <v>0</v>
      </c>
      <c r="W532">
        <f>AND(IF(metadata!D532="",FALSE,TRUE),exact(metadata!D532,"UBERON:urine"))</f>
        <v>0</v>
      </c>
      <c r="X532">
        <f>AND(IF(metadata!E532="",FALSE,TRUE),exact(metadata!E532,"UBERON:kidney"))</f>
        <v>0</v>
      </c>
      <c r="Y532">
        <f>AND(IF(metadata!F532="",FALSE,TRUE),exact(metadata!F532,"animal corpus"))</f>
        <v>0</v>
      </c>
      <c r="Z532">
        <f>AND(IF(metadata!G532="",FALSE,TRUE),exact(metadata!G532,"urine"))</f>
        <v>0</v>
      </c>
      <c r="AA532">
        <f>AND(IF(metadata!H532="",FALSE,TRUE),exact(metadata!H532,"urine"))</f>
        <v>0</v>
      </c>
      <c r="AB532">
        <f>AND(IF(metadata!I532="",FALSE,TRUE),exact(metadata!I532,"urine metagenome"))</f>
        <v>0</v>
      </c>
      <c r="AC532">
        <f>AND(IF(metadata!J532="",FALSE,TRUE),exact(metadata!J532,"1346744"))</f>
        <v>0</v>
      </c>
    </row>
    <row r="533" spans="1:29">
      <c r="A533" s="4">
        <f>IF(B533=" "," ",HYPERLINK(CONCATENATE("#metadata!",ADDRESS(INDEX($P$2:$P$1001,MATCH(ROWS($N$2:N533),$N$2:$N$1001,0),0),1)),INDEX($S$2:$S$1001,MATCH(ROWS($N$2:N533),$N$2:$N$1001,0),0)))</f>
        <v>0</v>
      </c>
      <c r="B533" s="3">
        <f>IF(OR(INDEX($O$2:$O$1001,MATCH(ROWS($N$2:N533),$N$2:$N$1001,0),1)&gt;=100000,INDEX($U$1005:$AC$1005,1,MATCH(COLUMNS($U$1006:U1006),$U$1006:$AC$1006,0))&gt;=100000), " ",IF(INDEX($U$2:$AC$1001,MATCH(ROWS($N$2:N533),$N$2:$N$1001,0),MATCH(COLUMNS($U$1006:U1006),$U$1006:$AC$1006,0)), HYPERLINK("#",""), HYPERLINK(CONCATENATE("#metadata!", ADDRESS(INDEX($P$2:$P$1001,MATCH(ROWS($N$2:N533),$N$2:$N$1001,0),0), INDEX($U$1004:$AC$1004,1,MATCH(COLUMNS($U$1006:U1006),$U$1006:$AC$1006,0)))),"Fix")))</f>
        <v>0</v>
      </c>
      <c r="C533" s="3">
        <f>IF(OR(INDEX($O$2:$O$1001,MATCH(ROWS($N$2:N533),$N$2:$N$1001,0),1)&gt;=100000,INDEX($U$1005:$AC$1005,1,MATCH(COLUMNS($U$1006:V1006),$U$1006:$AC$1006,0))&gt;=100000), " ",IF(INDEX($U$2:$AC$1001,MATCH(ROWS($N$2:N533),$N$2:$N$1001,0),MATCH(COLUMNS($U$1006:V1006),$U$1006:$AC$1006,0)), HYPERLINK("#",""), HYPERLINK(CONCATENATE("#metadata!", ADDRESS(INDEX($P$2:$P$1001,MATCH(ROWS($N$2:N533),$N$2:$N$1001,0),0), INDEX($U$1004:$AC$1004,1,MATCH(COLUMNS($U$1006:V1006),$U$1006:$AC$1006,0)))),"Fix")))</f>
        <v>0</v>
      </c>
      <c r="D533" s="3">
        <f>IF(OR(INDEX($O$2:$O$1001,MATCH(ROWS($N$2:N533),$N$2:$N$1001,0),1)&gt;=100000,INDEX($U$1005:$AC$1005,1,MATCH(COLUMNS($U$1006:W1006),$U$1006:$AC$1006,0))&gt;=100000), " ",IF(INDEX($U$2:$AC$1001,MATCH(ROWS($N$2:N533),$N$2:$N$1001,0),MATCH(COLUMNS($U$1006:W1006),$U$1006:$AC$1006,0)), HYPERLINK("#",""), HYPERLINK(CONCATENATE("#metadata!", ADDRESS(INDEX($P$2:$P$1001,MATCH(ROWS($N$2:N533),$N$2:$N$1001,0),0), INDEX($U$1004:$AC$1004,1,MATCH(COLUMNS($U$1006:W1006),$U$1006:$AC$1006,0)))),"Fix")))</f>
        <v>0</v>
      </c>
      <c r="E533" s="3">
        <f>IF(OR(INDEX($O$2:$O$1001,MATCH(ROWS($N$2:N533),$N$2:$N$1001,0),1)&gt;=100000,INDEX($U$1005:$AC$1005,1,MATCH(COLUMNS($U$1006:X1006),$U$1006:$AC$1006,0))&gt;=100000), " ",IF(INDEX($U$2:$AC$1001,MATCH(ROWS($N$2:N533),$N$2:$N$1001,0),MATCH(COLUMNS($U$1006:X1006),$U$1006:$AC$1006,0)), HYPERLINK("#",""), HYPERLINK(CONCATENATE("#metadata!", ADDRESS(INDEX($P$2:$P$1001,MATCH(ROWS($N$2:N533),$N$2:$N$1001,0),0), INDEX($U$1004:$AC$1004,1,MATCH(COLUMNS($U$1006:X1006),$U$1006:$AC$1006,0)))),"Fix")))</f>
        <v>0</v>
      </c>
      <c r="F533" s="3">
        <f>IF(OR(INDEX($O$2:$O$1001,MATCH(ROWS($N$2:N533),$N$2:$N$1001,0),1)&gt;=100000,INDEX($U$1005:$AC$1005,1,MATCH(COLUMNS($U$1006:Y1006),$U$1006:$AC$1006,0))&gt;=100000), " ",IF(INDEX($U$2:$AC$1001,MATCH(ROWS($N$2:N533),$N$2:$N$1001,0),MATCH(COLUMNS($U$1006:Y1006),$U$1006:$AC$1006,0)), HYPERLINK("#",""), HYPERLINK(CONCATENATE("#metadata!", ADDRESS(INDEX($P$2:$P$1001,MATCH(ROWS($N$2:N533),$N$2:$N$1001,0),0), INDEX($U$1004:$AC$1004,1,MATCH(COLUMNS($U$1006:Y1006),$U$1006:$AC$1006,0)))),"Fix")))</f>
        <v>0</v>
      </c>
      <c r="G533" s="3">
        <f>IF(OR(INDEX($O$2:$O$1001,MATCH(ROWS($N$2:N533),$N$2:$N$1001,0),1)&gt;=100000,INDEX($U$1005:$AC$1005,1,MATCH(COLUMNS($U$1006:Z1006),$U$1006:$AC$1006,0))&gt;=100000), " ",IF(INDEX($U$2:$AC$1001,MATCH(ROWS($N$2:N533),$N$2:$N$1001,0),MATCH(COLUMNS($U$1006:Z1006),$U$1006:$AC$1006,0)), HYPERLINK("#",""), HYPERLINK(CONCATENATE("#metadata!", ADDRESS(INDEX($P$2:$P$1001,MATCH(ROWS($N$2:N533),$N$2:$N$1001,0),0), INDEX($U$1004:$AC$1004,1,MATCH(COLUMNS($U$1006:Z1006),$U$1006:$AC$1006,0)))),"Fix")))</f>
        <v>0</v>
      </c>
      <c r="H533" s="3">
        <f>IF(OR(INDEX($O$2:$O$1001,MATCH(ROWS($N$2:N533),$N$2:$N$1001,0),1)&gt;=100000,INDEX($U$1005:$AC$1005,1,MATCH(COLUMNS($U$1006:AA1006),$U$1006:$AC$1006,0))&gt;=100000), " ",IF(INDEX($U$2:$AC$1001,MATCH(ROWS($N$2:N533),$N$2:$N$1001,0),MATCH(COLUMNS($U$1006:AA1006),$U$1006:$AC$1006,0)), HYPERLINK("#",""), HYPERLINK(CONCATENATE("#metadata!", ADDRESS(INDEX($P$2:$P$1001,MATCH(ROWS($N$2:N533),$N$2:$N$1001,0),0), INDEX($U$1004:$AC$1004,1,MATCH(COLUMNS($U$1006:AA1006),$U$1006:$AC$1006,0)))),"Fix")))</f>
        <v>0</v>
      </c>
      <c r="I533" s="3">
        <f>IF(OR(INDEX($O$2:$O$1001,MATCH(ROWS($N$2:N533),$N$2:$N$1001,0),1)&gt;=100000,INDEX($U$1005:$AC$1005,1,MATCH(COLUMNS($U$1006:AB1006),$U$1006:$AC$1006,0))&gt;=100000), " ",IF(INDEX($U$2:$AC$1001,MATCH(ROWS($N$2:N533),$N$2:$N$1001,0),MATCH(COLUMNS($U$1006:AB1006),$U$1006:$AC$1006,0)), HYPERLINK("#",""), HYPERLINK(CONCATENATE("#metadata!", ADDRESS(INDEX($P$2:$P$1001,MATCH(ROWS($N$2:N533),$N$2:$N$1001,0),0), INDEX($U$1004:$AC$1004,1,MATCH(COLUMNS($U$1006:AB1006),$U$1006:$AC$1006,0)))),"Fix")))</f>
        <v>0</v>
      </c>
      <c r="J533" s="3">
        <f>IF(OR(INDEX($O$2:$O$1001,MATCH(ROWS($N$2:N533),$N$2:$N$1001,0),1)&gt;=100000,INDEX($U$1005:$AC$1005,1,MATCH(COLUMNS($U$1006:AC1006),$U$1006:$AC$1006,0))&gt;=100000), " ",IF(INDEX($U$2:$AC$1001,MATCH(ROWS($N$2:N533),$N$2:$N$1001,0),MATCH(COLUMNS($U$1006:AC1006),$U$1006:$AC$1006,0)), HYPERLINK("#",""), HYPERLINK(CONCATENATE("#metadata!", ADDRESS(INDEX($P$2:$P$1001,MATCH(ROWS($N$2:N533),$N$2:$N$1001,0),0), INDEX($U$1004:$AC$1004,1,MATCH(COLUMNS($U$1006:AC1006),$U$1006:$AC$1006,0)))),"Fix")))</f>
        <v>0</v>
      </c>
      <c r="N533">
        <v>0</v>
      </c>
      <c r="O533">
        <v>0</v>
      </c>
      <c r="P533">
        <v>0</v>
      </c>
      <c r="Q533">
        <f>IF(R533,TRUE,AND(U533:AC533))</f>
        <v>0</v>
      </c>
      <c r="R533">
        <f>COUNTBLANK(metadata!B533:J533)=COLUMNS(metadata!B533:J533)</f>
        <v>0</v>
      </c>
      <c r="S533">
        <v>0</v>
      </c>
      <c r="U533">
        <f>AND(IF(metadata!B533="",FALSE,TRUE),COUNTIF(metadata!B:B, metadata!B533) = 1,NOT(ISERROR(SUMPRODUCT(SEARCH(MID(metadata!B533,ROW(INDIRECT("1:"&amp;LEN(metadata!B533))), 1),"0123456789abcdefghijklmnopqrstuvwxyzABCDEFGHIJKLMNOPQRSTUVWXYZ.")))))</f>
        <v>0</v>
      </c>
      <c r="V533">
        <f>AND(IF(metadata!C533="",FALSE,TRUE),exact(metadata!C533,"UBERON:genitourinary"))</f>
        <v>0</v>
      </c>
      <c r="W533">
        <f>AND(IF(metadata!D533="",FALSE,TRUE),exact(metadata!D533,"UBERON:urine"))</f>
        <v>0</v>
      </c>
      <c r="X533">
        <f>AND(IF(metadata!E533="",FALSE,TRUE),exact(metadata!E533,"UBERON:kidney"))</f>
        <v>0</v>
      </c>
      <c r="Y533">
        <f>AND(IF(metadata!F533="",FALSE,TRUE),exact(metadata!F533,"animal corpus"))</f>
        <v>0</v>
      </c>
      <c r="Z533">
        <f>AND(IF(metadata!G533="",FALSE,TRUE),exact(metadata!G533,"urine"))</f>
        <v>0</v>
      </c>
      <c r="AA533">
        <f>AND(IF(metadata!H533="",FALSE,TRUE),exact(metadata!H533,"urine"))</f>
        <v>0</v>
      </c>
      <c r="AB533">
        <f>AND(IF(metadata!I533="",FALSE,TRUE),exact(metadata!I533,"urine metagenome"))</f>
        <v>0</v>
      </c>
      <c r="AC533">
        <f>AND(IF(metadata!J533="",FALSE,TRUE),exact(metadata!J533,"1346744"))</f>
        <v>0</v>
      </c>
    </row>
    <row r="534" spans="1:29">
      <c r="A534" s="4">
        <f>IF(B534=" "," ",HYPERLINK(CONCATENATE("#metadata!",ADDRESS(INDEX($P$2:$P$1001,MATCH(ROWS($N$2:N534),$N$2:$N$1001,0),0),1)),INDEX($S$2:$S$1001,MATCH(ROWS($N$2:N534),$N$2:$N$1001,0),0)))</f>
        <v>0</v>
      </c>
      <c r="B534" s="3">
        <f>IF(OR(INDEX($O$2:$O$1001,MATCH(ROWS($N$2:N534),$N$2:$N$1001,0),1)&gt;=100000,INDEX($U$1005:$AC$1005,1,MATCH(COLUMNS($U$1006:U1006),$U$1006:$AC$1006,0))&gt;=100000), " ",IF(INDEX($U$2:$AC$1001,MATCH(ROWS($N$2:N534),$N$2:$N$1001,0),MATCH(COLUMNS($U$1006:U1006),$U$1006:$AC$1006,0)), HYPERLINK("#",""), HYPERLINK(CONCATENATE("#metadata!", ADDRESS(INDEX($P$2:$P$1001,MATCH(ROWS($N$2:N534),$N$2:$N$1001,0),0), INDEX($U$1004:$AC$1004,1,MATCH(COLUMNS($U$1006:U1006),$U$1006:$AC$1006,0)))),"Fix")))</f>
        <v>0</v>
      </c>
      <c r="C534" s="3">
        <f>IF(OR(INDEX($O$2:$O$1001,MATCH(ROWS($N$2:N534),$N$2:$N$1001,0),1)&gt;=100000,INDEX($U$1005:$AC$1005,1,MATCH(COLUMNS($U$1006:V1006),$U$1006:$AC$1006,0))&gt;=100000), " ",IF(INDEX($U$2:$AC$1001,MATCH(ROWS($N$2:N534),$N$2:$N$1001,0),MATCH(COLUMNS($U$1006:V1006),$U$1006:$AC$1006,0)), HYPERLINK("#",""), HYPERLINK(CONCATENATE("#metadata!", ADDRESS(INDEX($P$2:$P$1001,MATCH(ROWS($N$2:N534),$N$2:$N$1001,0),0), INDEX($U$1004:$AC$1004,1,MATCH(COLUMNS($U$1006:V1006),$U$1006:$AC$1006,0)))),"Fix")))</f>
        <v>0</v>
      </c>
      <c r="D534" s="3">
        <f>IF(OR(INDEX($O$2:$O$1001,MATCH(ROWS($N$2:N534),$N$2:$N$1001,0),1)&gt;=100000,INDEX($U$1005:$AC$1005,1,MATCH(COLUMNS($U$1006:W1006),$U$1006:$AC$1006,0))&gt;=100000), " ",IF(INDEX($U$2:$AC$1001,MATCH(ROWS($N$2:N534),$N$2:$N$1001,0),MATCH(COLUMNS($U$1006:W1006),$U$1006:$AC$1006,0)), HYPERLINK("#",""), HYPERLINK(CONCATENATE("#metadata!", ADDRESS(INDEX($P$2:$P$1001,MATCH(ROWS($N$2:N534),$N$2:$N$1001,0),0), INDEX($U$1004:$AC$1004,1,MATCH(COLUMNS($U$1006:W1006),$U$1006:$AC$1006,0)))),"Fix")))</f>
        <v>0</v>
      </c>
      <c r="E534" s="3">
        <f>IF(OR(INDEX($O$2:$O$1001,MATCH(ROWS($N$2:N534),$N$2:$N$1001,0),1)&gt;=100000,INDEX($U$1005:$AC$1005,1,MATCH(COLUMNS($U$1006:X1006),$U$1006:$AC$1006,0))&gt;=100000), " ",IF(INDEX($U$2:$AC$1001,MATCH(ROWS($N$2:N534),$N$2:$N$1001,0),MATCH(COLUMNS($U$1006:X1006),$U$1006:$AC$1006,0)), HYPERLINK("#",""), HYPERLINK(CONCATENATE("#metadata!", ADDRESS(INDEX($P$2:$P$1001,MATCH(ROWS($N$2:N534),$N$2:$N$1001,0),0), INDEX($U$1004:$AC$1004,1,MATCH(COLUMNS($U$1006:X1006),$U$1006:$AC$1006,0)))),"Fix")))</f>
        <v>0</v>
      </c>
      <c r="F534" s="3">
        <f>IF(OR(INDEX($O$2:$O$1001,MATCH(ROWS($N$2:N534),$N$2:$N$1001,0),1)&gt;=100000,INDEX($U$1005:$AC$1005,1,MATCH(COLUMNS($U$1006:Y1006),$U$1006:$AC$1006,0))&gt;=100000), " ",IF(INDEX($U$2:$AC$1001,MATCH(ROWS($N$2:N534),$N$2:$N$1001,0),MATCH(COLUMNS($U$1006:Y1006),$U$1006:$AC$1006,0)), HYPERLINK("#",""), HYPERLINK(CONCATENATE("#metadata!", ADDRESS(INDEX($P$2:$P$1001,MATCH(ROWS($N$2:N534),$N$2:$N$1001,0),0), INDEX($U$1004:$AC$1004,1,MATCH(COLUMNS($U$1006:Y1006),$U$1006:$AC$1006,0)))),"Fix")))</f>
        <v>0</v>
      </c>
      <c r="G534" s="3">
        <f>IF(OR(INDEX($O$2:$O$1001,MATCH(ROWS($N$2:N534),$N$2:$N$1001,0),1)&gt;=100000,INDEX($U$1005:$AC$1005,1,MATCH(COLUMNS($U$1006:Z1006),$U$1006:$AC$1006,0))&gt;=100000), " ",IF(INDEX($U$2:$AC$1001,MATCH(ROWS($N$2:N534),$N$2:$N$1001,0),MATCH(COLUMNS($U$1006:Z1006),$U$1006:$AC$1006,0)), HYPERLINK("#",""), HYPERLINK(CONCATENATE("#metadata!", ADDRESS(INDEX($P$2:$P$1001,MATCH(ROWS($N$2:N534),$N$2:$N$1001,0),0), INDEX($U$1004:$AC$1004,1,MATCH(COLUMNS($U$1006:Z1006),$U$1006:$AC$1006,0)))),"Fix")))</f>
        <v>0</v>
      </c>
      <c r="H534" s="3">
        <f>IF(OR(INDEX($O$2:$O$1001,MATCH(ROWS($N$2:N534),$N$2:$N$1001,0),1)&gt;=100000,INDEX($U$1005:$AC$1005,1,MATCH(COLUMNS($U$1006:AA1006),$U$1006:$AC$1006,0))&gt;=100000), " ",IF(INDEX($U$2:$AC$1001,MATCH(ROWS($N$2:N534),$N$2:$N$1001,0),MATCH(COLUMNS($U$1006:AA1006),$U$1006:$AC$1006,0)), HYPERLINK("#",""), HYPERLINK(CONCATENATE("#metadata!", ADDRESS(INDEX($P$2:$P$1001,MATCH(ROWS($N$2:N534),$N$2:$N$1001,0),0), INDEX($U$1004:$AC$1004,1,MATCH(COLUMNS($U$1006:AA1006),$U$1006:$AC$1006,0)))),"Fix")))</f>
        <v>0</v>
      </c>
      <c r="I534" s="3">
        <f>IF(OR(INDEX($O$2:$O$1001,MATCH(ROWS($N$2:N534),$N$2:$N$1001,0),1)&gt;=100000,INDEX($U$1005:$AC$1005,1,MATCH(COLUMNS($U$1006:AB1006),$U$1006:$AC$1006,0))&gt;=100000), " ",IF(INDEX($U$2:$AC$1001,MATCH(ROWS($N$2:N534),$N$2:$N$1001,0),MATCH(COLUMNS($U$1006:AB1006),$U$1006:$AC$1006,0)), HYPERLINK("#",""), HYPERLINK(CONCATENATE("#metadata!", ADDRESS(INDEX($P$2:$P$1001,MATCH(ROWS($N$2:N534),$N$2:$N$1001,0),0), INDEX($U$1004:$AC$1004,1,MATCH(COLUMNS($U$1006:AB1006),$U$1006:$AC$1006,0)))),"Fix")))</f>
        <v>0</v>
      </c>
      <c r="J534" s="3">
        <f>IF(OR(INDEX($O$2:$O$1001,MATCH(ROWS($N$2:N534),$N$2:$N$1001,0),1)&gt;=100000,INDEX($U$1005:$AC$1005,1,MATCH(COLUMNS($U$1006:AC1006),$U$1006:$AC$1006,0))&gt;=100000), " ",IF(INDEX($U$2:$AC$1001,MATCH(ROWS($N$2:N534),$N$2:$N$1001,0),MATCH(COLUMNS($U$1006:AC1006),$U$1006:$AC$1006,0)), HYPERLINK("#",""), HYPERLINK(CONCATENATE("#metadata!", ADDRESS(INDEX($P$2:$P$1001,MATCH(ROWS($N$2:N534),$N$2:$N$1001,0),0), INDEX($U$1004:$AC$1004,1,MATCH(COLUMNS($U$1006:AC1006),$U$1006:$AC$1006,0)))),"Fix")))</f>
        <v>0</v>
      </c>
      <c r="N534">
        <v>0</v>
      </c>
      <c r="O534">
        <v>0</v>
      </c>
      <c r="P534">
        <v>0</v>
      </c>
      <c r="Q534">
        <f>IF(R534,TRUE,AND(U534:AC534))</f>
        <v>0</v>
      </c>
      <c r="R534">
        <f>COUNTBLANK(metadata!B534:J534)=COLUMNS(metadata!B534:J534)</f>
        <v>0</v>
      </c>
      <c r="S534">
        <v>0</v>
      </c>
      <c r="U534">
        <f>AND(IF(metadata!B534="",FALSE,TRUE),COUNTIF(metadata!B:B, metadata!B534) = 1,NOT(ISERROR(SUMPRODUCT(SEARCH(MID(metadata!B534,ROW(INDIRECT("1:"&amp;LEN(metadata!B534))), 1),"0123456789abcdefghijklmnopqrstuvwxyzABCDEFGHIJKLMNOPQRSTUVWXYZ.")))))</f>
        <v>0</v>
      </c>
      <c r="V534">
        <f>AND(IF(metadata!C534="",FALSE,TRUE),exact(metadata!C534,"UBERON:genitourinary"))</f>
        <v>0</v>
      </c>
      <c r="W534">
        <f>AND(IF(metadata!D534="",FALSE,TRUE),exact(metadata!D534,"UBERON:urine"))</f>
        <v>0</v>
      </c>
      <c r="X534">
        <f>AND(IF(metadata!E534="",FALSE,TRUE),exact(metadata!E534,"UBERON:kidney"))</f>
        <v>0</v>
      </c>
      <c r="Y534">
        <f>AND(IF(metadata!F534="",FALSE,TRUE),exact(metadata!F534,"animal corpus"))</f>
        <v>0</v>
      </c>
      <c r="Z534">
        <f>AND(IF(metadata!G534="",FALSE,TRUE),exact(metadata!G534,"urine"))</f>
        <v>0</v>
      </c>
      <c r="AA534">
        <f>AND(IF(metadata!H534="",FALSE,TRUE),exact(metadata!H534,"urine"))</f>
        <v>0</v>
      </c>
      <c r="AB534">
        <f>AND(IF(metadata!I534="",FALSE,TRUE),exact(metadata!I534,"urine metagenome"))</f>
        <v>0</v>
      </c>
      <c r="AC534">
        <f>AND(IF(metadata!J534="",FALSE,TRUE),exact(metadata!J534,"1346744"))</f>
        <v>0</v>
      </c>
    </row>
    <row r="535" spans="1:29">
      <c r="A535" s="4">
        <f>IF(B535=" "," ",HYPERLINK(CONCATENATE("#metadata!",ADDRESS(INDEX($P$2:$P$1001,MATCH(ROWS($N$2:N535),$N$2:$N$1001,0),0),1)),INDEX($S$2:$S$1001,MATCH(ROWS($N$2:N535),$N$2:$N$1001,0),0)))</f>
        <v>0</v>
      </c>
      <c r="B535" s="3">
        <f>IF(OR(INDEX($O$2:$O$1001,MATCH(ROWS($N$2:N535),$N$2:$N$1001,0),1)&gt;=100000,INDEX($U$1005:$AC$1005,1,MATCH(COLUMNS($U$1006:U1006),$U$1006:$AC$1006,0))&gt;=100000), " ",IF(INDEX($U$2:$AC$1001,MATCH(ROWS($N$2:N535),$N$2:$N$1001,0),MATCH(COLUMNS($U$1006:U1006),$U$1006:$AC$1006,0)), HYPERLINK("#",""), HYPERLINK(CONCATENATE("#metadata!", ADDRESS(INDEX($P$2:$P$1001,MATCH(ROWS($N$2:N535),$N$2:$N$1001,0),0), INDEX($U$1004:$AC$1004,1,MATCH(COLUMNS($U$1006:U1006),$U$1006:$AC$1006,0)))),"Fix")))</f>
        <v>0</v>
      </c>
      <c r="C535" s="3">
        <f>IF(OR(INDEX($O$2:$O$1001,MATCH(ROWS($N$2:N535),$N$2:$N$1001,0),1)&gt;=100000,INDEX($U$1005:$AC$1005,1,MATCH(COLUMNS($U$1006:V1006),$U$1006:$AC$1006,0))&gt;=100000), " ",IF(INDEX($U$2:$AC$1001,MATCH(ROWS($N$2:N535),$N$2:$N$1001,0),MATCH(COLUMNS($U$1006:V1006),$U$1006:$AC$1006,0)), HYPERLINK("#",""), HYPERLINK(CONCATENATE("#metadata!", ADDRESS(INDEX($P$2:$P$1001,MATCH(ROWS($N$2:N535),$N$2:$N$1001,0),0), INDEX($U$1004:$AC$1004,1,MATCH(COLUMNS($U$1006:V1006),$U$1006:$AC$1006,0)))),"Fix")))</f>
        <v>0</v>
      </c>
      <c r="D535" s="3">
        <f>IF(OR(INDEX($O$2:$O$1001,MATCH(ROWS($N$2:N535),$N$2:$N$1001,0),1)&gt;=100000,INDEX($U$1005:$AC$1005,1,MATCH(COLUMNS($U$1006:W1006),$U$1006:$AC$1006,0))&gt;=100000), " ",IF(INDEX($U$2:$AC$1001,MATCH(ROWS($N$2:N535),$N$2:$N$1001,0),MATCH(COLUMNS($U$1006:W1006),$U$1006:$AC$1006,0)), HYPERLINK("#",""), HYPERLINK(CONCATENATE("#metadata!", ADDRESS(INDEX($P$2:$P$1001,MATCH(ROWS($N$2:N535),$N$2:$N$1001,0),0), INDEX($U$1004:$AC$1004,1,MATCH(COLUMNS($U$1006:W1006),$U$1006:$AC$1006,0)))),"Fix")))</f>
        <v>0</v>
      </c>
      <c r="E535" s="3">
        <f>IF(OR(INDEX($O$2:$O$1001,MATCH(ROWS($N$2:N535),$N$2:$N$1001,0),1)&gt;=100000,INDEX($U$1005:$AC$1005,1,MATCH(COLUMNS($U$1006:X1006),$U$1006:$AC$1006,0))&gt;=100000), " ",IF(INDEX($U$2:$AC$1001,MATCH(ROWS($N$2:N535),$N$2:$N$1001,0),MATCH(COLUMNS($U$1006:X1006),$U$1006:$AC$1006,0)), HYPERLINK("#",""), HYPERLINK(CONCATENATE("#metadata!", ADDRESS(INDEX($P$2:$P$1001,MATCH(ROWS($N$2:N535),$N$2:$N$1001,0),0), INDEX($U$1004:$AC$1004,1,MATCH(COLUMNS($U$1006:X1006),$U$1006:$AC$1006,0)))),"Fix")))</f>
        <v>0</v>
      </c>
      <c r="F535" s="3">
        <f>IF(OR(INDEX($O$2:$O$1001,MATCH(ROWS($N$2:N535),$N$2:$N$1001,0),1)&gt;=100000,INDEX($U$1005:$AC$1005,1,MATCH(COLUMNS($U$1006:Y1006),$U$1006:$AC$1006,0))&gt;=100000), " ",IF(INDEX($U$2:$AC$1001,MATCH(ROWS($N$2:N535),$N$2:$N$1001,0),MATCH(COLUMNS($U$1006:Y1006),$U$1006:$AC$1006,0)), HYPERLINK("#",""), HYPERLINK(CONCATENATE("#metadata!", ADDRESS(INDEX($P$2:$P$1001,MATCH(ROWS($N$2:N535),$N$2:$N$1001,0),0), INDEX($U$1004:$AC$1004,1,MATCH(COLUMNS($U$1006:Y1006),$U$1006:$AC$1006,0)))),"Fix")))</f>
        <v>0</v>
      </c>
      <c r="G535" s="3">
        <f>IF(OR(INDEX($O$2:$O$1001,MATCH(ROWS($N$2:N535),$N$2:$N$1001,0),1)&gt;=100000,INDEX($U$1005:$AC$1005,1,MATCH(COLUMNS($U$1006:Z1006),$U$1006:$AC$1006,0))&gt;=100000), " ",IF(INDEX($U$2:$AC$1001,MATCH(ROWS($N$2:N535),$N$2:$N$1001,0),MATCH(COLUMNS($U$1006:Z1006),$U$1006:$AC$1006,0)), HYPERLINK("#",""), HYPERLINK(CONCATENATE("#metadata!", ADDRESS(INDEX($P$2:$P$1001,MATCH(ROWS($N$2:N535),$N$2:$N$1001,0),0), INDEX($U$1004:$AC$1004,1,MATCH(COLUMNS($U$1006:Z1006),$U$1006:$AC$1006,0)))),"Fix")))</f>
        <v>0</v>
      </c>
      <c r="H535" s="3">
        <f>IF(OR(INDEX($O$2:$O$1001,MATCH(ROWS($N$2:N535),$N$2:$N$1001,0),1)&gt;=100000,INDEX($U$1005:$AC$1005,1,MATCH(COLUMNS($U$1006:AA1006),$U$1006:$AC$1006,0))&gt;=100000), " ",IF(INDEX($U$2:$AC$1001,MATCH(ROWS($N$2:N535),$N$2:$N$1001,0),MATCH(COLUMNS($U$1006:AA1006),$U$1006:$AC$1006,0)), HYPERLINK("#",""), HYPERLINK(CONCATENATE("#metadata!", ADDRESS(INDEX($P$2:$P$1001,MATCH(ROWS($N$2:N535),$N$2:$N$1001,0),0), INDEX($U$1004:$AC$1004,1,MATCH(COLUMNS($U$1006:AA1006),$U$1006:$AC$1006,0)))),"Fix")))</f>
        <v>0</v>
      </c>
      <c r="I535" s="3">
        <f>IF(OR(INDEX($O$2:$O$1001,MATCH(ROWS($N$2:N535),$N$2:$N$1001,0),1)&gt;=100000,INDEX($U$1005:$AC$1005,1,MATCH(COLUMNS($U$1006:AB1006),$U$1006:$AC$1006,0))&gt;=100000), " ",IF(INDEX($U$2:$AC$1001,MATCH(ROWS($N$2:N535),$N$2:$N$1001,0),MATCH(COLUMNS($U$1006:AB1006),$U$1006:$AC$1006,0)), HYPERLINK("#",""), HYPERLINK(CONCATENATE("#metadata!", ADDRESS(INDEX($P$2:$P$1001,MATCH(ROWS($N$2:N535),$N$2:$N$1001,0),0), INDEX($U$1004:$AC$1004,1,MATCH(COLUMNS($U$1006:AB1006),$U$1006:$AC$1006,0)))),"Fix")))</f>
        <v>0</v>
      </c>
      <c r="J535" s="3">
        <f>IF(OR(INDEX($O$2:$O$1001,MATCH(ROWS($N$2:N535),$N$2:$N$1001,0),1)&gt;=100000,INDEX($U$1005:$AC$1005,1,MATCH(COLUMNS($U$1006:AC1006),$U$1006:$AC$1006,0))&gt;=100000), " ",IF(INDEX($U$2:$AC$1001,MATCH(ROWS($N$2:N535),$N$2:$N$1001,0),MATCH(COLUMNS($U$1006:AC1006),$U$1006:$AC$1006,0)), HYPERLINK("#",""), HYPERLINK(CONCATENATE("#metadata!", ADDRESS(INDEX($P$2:$P$1001,MATCH(ROWS($N$2:N535),$N$2:$N$1001,0),0), INDEX($U$1004:$AC$1004,1,MATCH(COLUMNS($U$1006:AC1006),$U$1006:$AC$1006,0)))),"Fix")))</f>
        <v>0</v>
      </c>
      <c r="N535">
        <v>0</v>
      </c>
      <c r="O535">
        <v>0</v>
      </c>
      <c r="P535">
        <v>0</v>
      </c>
      <c r="Q535">
        <f>IF(R535,TRUE,AND(U535:AC535))</f>
        <v>0</v>
      </c>
      <c r="R535">
        <f>COUNTBLANK(metadata!B535:J535)=COLUMNS(metadata!B535:J535)</f>
        <v>0</v>
      </c>
      <c r="S535">
        <v>0</v>
      </c>
      <c r="U535">
        <f>AND(IF(metadata!B535="",FALSE,TRUE),COUNTIF(metadata!B:B, metadata!B535) = 1,NOT(ISERROR(SUMPRODUCT(SEARCH(MID(metadata!B535,ROW(INDIRECT("1:"&amp;LEN(metadata!B535))), 1),"0123456789abcdefghijklmnopqrstuvwxyzABCDEFGHIJKLMNOPQRSTUVWXYZ.")))))</f>
        <v>0</v>
      </c>
      <c r="V535">
        <f>AND(IF(metadata!C535="",FALSE,TRUE),exact(metadata!C535,"UBERON:genitourinary"))</f>
        <v>0</v>
      </c>
      <c r="W535">
        <f>AND(IF(metadata!D535="",FALSE,TRUE),exact(metadata!D535,"UBERON:urine"))</f>
        <v>0</v>
      </c>
      <c r="X535">
        <f>AND(IF(metadata!E535="",FALSE,TRUE),exact(metadata!E535,"UBERON:kidney"))</f>
        <v>0</v>
      </c>
      <c r="Y535">
        <f>AND(IF(metadata!F535="",FALSE,TRUE),exact(metadata!F535,"animal corpus"))</f>
        <v>0</v>
      </c>
      <c r="Z535">
        <f>AND(IF(metadata!G535="",FALSE,TRUE),exact(metadata!G535,"urine"))</f>
        <v>0</v>
      </c>
      <c r="AA535">
        <f>AND(IF(metadata!H535="",FALSE,TRUE),exact(metadata!H535,"urine"))</f>
        <v>0</v>
      </c>
      <c r="AB535">
        <f>AND(IF(metadata!I535="",FALSE,TRUE),exact(metadata!I535,"urine metagenome"))</f>
        <v>0</v>
      </c>
      <c r="AC535">
        <f>AND(IF(metadata!J535="",FALSE,TRUE),exact(metadata!J535,"1346744"))</f>
        <v>0</v>
      </c>
    </row>
    <row r="536" spans="1:29">
      <c r="A536" s="4">
        <f>IF(B536=" "," ",HYPERLINK(CONCATENATE("#metadata!",ADDRESS(INDEX($P$2:$P$1001,MATCH(ROWS($N$2:N536),$N$2:$N$1001,0),0),1)),INDEX($S$2:$S$1001,MATCH(ROWS($N$2:N536),$N$2:$N$1001,0),0)))</f>
        <v>0</v>
      </c>
      <c r="B536" s="3">
        <f>IF(OR(INDEX($O$2:$O$1001,MATCH(ROWS($N$2:N536),$N$2:$N$1001,0),1)&gt;=100000,INDEX($U$1005:$AC$1005,1,MATCH(COLUMNS($U$1006:U1006),$U$1006:$AC$1006,0))&gt;=100000), " ",IF(INDEX($U$2:$AC$1001,MATCH(ROWS($N$2:N536),$N$2:$N$1001,0),MATCH(COLUMNS($U$1006:U1006),$U$1006:$AC$1006,0)), HYPERLINK("#",""), HYPERLINK(CONCATENATE("#metadata!", ADDRESS(INDEX($P$2:$P$1001,MATCH(ROWS($N$2:N536),$N$2:$N$1001,0),0), INDEX($U$1004:$AC$1004,1,MATCH(COLUMNS($U$1006:U1006),$U$1006:$AC$1006,0)))),"Fix")))</f>
        <v>0</v>
      </c>
      <c r="C536" s="3">
        <f>IF(OR(INDEX($O$2:$O$1001,MATCH(ROWS($N$2:N536),$N$2:$N$1001,0),1)&gt;=100000,INDEX($U$1005:$AC$1005,1,MATCH(COLUMNS($U$1006:V1006),$U$1006:$AC$1006,0))&gt;=100000), " ",IF(INDEX($U$2:$AC$1001,MATCH(ROWS($N$2:N536),$N$2:$N$1001,0),MATCH(COLUMNS($U$1006:V1006),$U$1006:$AC$1006,0)), HYPERLINK("#",""), HYPERLINK(CONCATENATE("#metadata!", ADDRESS(INDEX($P$2:$P$1001,MATCH(ROWS($N$2:N536),$N$2:$N$1001,0),0), INDEX($U$1004:$AC$1004,1,MATCH(COLUMNS($U$1006:V1006),$U$1006:$AC$1006,0)))),"Fix")))</f>
        <v>0</v>
      </c>
      <c r="D536" s="3">
        <f>IF(OR(INDEX($O$2:$O$1001,MATCH(ROWS($N$2:N536),$N$2:$N$1001,0),1)&gt;=100000,INDEX($U$1005:$AC$1005,1,MATCH(COLUMNS($U$1006:W1006),$U$1006:$AC$1006,0))&gt;=100000), " ",IF(INDEX($U$2:$AC$1001,MATCH(ROWS($N$2:N536),$N$2:$N$1001,0),MATCH(COLUMNS($U$1006:W1006),$U$1006:$AC$1006,0)), HYPERLINK("#",""), HYPERLINK(CONCATENATE("#metadata!", ADDRESS(INDEX($P$2:$P$1001,MATCH(ROWS($N$2:N536),$N$2:$N$1001,0),0), INDEX($U$1004:$AC$1004,1,MATCH(COLUMNS($U$1006:W1006),$U$1006:$AC$1006,0)))),"Fix")))</f>
        <v>0</v>
      </c>
      <c r="E536" s="3">
        <f>IF(OR(INDEX($O$2:$O$1001,MATCH(ROWS($N$2:N536),$N$2:$N$1001,0),1)&gt;=100000,INDEX($U$1005:$AC$1005,1,MATCH(COLUMNS($U$1006:X1006),$U$1006:$AC$1006,0))&gt;=100000), " ",IF(INDEX($U$2:$AC$1001,MATCH(ROWS($N$2:N536),$N$2:$N$1001,0),MATCH(COLUMNS($U$1006:X1006),$U$1006:$AC$1006,0)), HYPERLINK("#",""), HYPERLINK(CONCATENATE("#metadata!", ADDRESS(INDEX($P$2:$P$1001,MATCH(ROWS($N$2:N536),$N$2:$N$1001,0),0), INDEX($U$1004:$AC$1004,1,MATCH(COLUMNS($U$1006:X1006),$U$1006:$AC$1006,0)))),"Fix")))</f>
        <v>0</v>
      </c>
      <c r="F536" s="3">
        <f>IF(OR(INDEX($O$2:$O$1001,MATCH(ROWS($N$2:N536),$N$2:$N$1001,0),1)&gt;=100000,INDEX($U$1005:$AC$1005,1,MATCH(COLUMNS($U$1006:Y1006),$U$1006:$AC$1006,0))&gt;=100000), " ",IF(INDEX($U$2:$AC$1001,MATCH(ROWS($N$2:N536),$N$2:$N$1001,0),MATCH(COLUMNS($U$1006:Y1006),$U$1006:$AC$1006,0)), HYPERLINK("#",""), HYPERLINK(CONCATENATE("#metadata!", ADDRESS(INDEX($P$2:$P$1001,MATCH(ROWS($N$2:N536),$N$2:$N$1001,0),0), INDEX($U$1004:$AC$1004,1,MATCH(COLUMNS($U$1006:Y1006),$U$1006:$AC$1006,0)))),"Fix")))</f>
        <v>0</v>
      </c>
      <c r="G536" s="3">
        <f>IF(OR(INDEX($O$2:$O$1001,MATCH(ROWS($N$2:N536),$N$2:$N$1001,0),1)&gt;=100000,INDEX($U$1005:$AC$1005,1,MATCH(COLUMNS($U$1006:Z1006),$U$1006:$AC$1006,0))&gt;=100000), " ",IF(INDEX($U$2:$AC$1001,MATCH(ROWS($N$2:N536),$N$2:$N$1001,0),MATCH(COLUMNS($U$1006:Z1006),$U$1006:$AC$1006,0)), HYPERLINK("#",""), HYPERLINK(CONCATENATE("#metadata!", ADDRESS(INDEX($P$2:$P$1001,MATCH(ROWS($N$2:N536),$N$2:$N$1001,0),0), INDEX($U$1004:$AC$1004,1,MATCH(COLUMNS($U$1006:Z1006),$U$1006:$AC$1006,0)))),"Fix")))</f>
        <v>0</v>
      </c>
      <c r="H536" s="3">
        <f>IF(OR(INDEX($O$2:$O$1001,MATCH(ROWS($N$2:N536),$N$2:$N$1001,0),1)&gt;=100000,INDEX($U$1005:$AC$1005,1,MATCH(COLUMNS($U$1006:AA1006),$U$1006:$AC$1006,0))&gt;=100000), " ",IF(INDEX($U$2:$AC$1001,MATCH(ROWS($N$2:N536),$N$2:$N$1001,0),MATCH(COLUMNS($U$1006:AA1006),$U$1006:$AC$1006,0)), HYPERLINK("#",""), HYPERLINK(CONCATENATE("#metadata!", ADDRESS(INDEX($P$2:$P$1001,MATCH(ROWS($N$2:N536),$N$2:$N$1001,0),0), INDEX($U$1004:$AC$1004,1,MATCH(COLUMNS($U$1006:AA1006),$U$1006:$AC$1006,0)))),"Fix")))</f>
        <v>0</v>
      </c>
      <c r="I536" s="3">
        <f>IF(OR(INDEX($O$2:$O$1001,MATCH(ROWS($N$2:N536),$N$2:$N$1001,0),1)&gt;=100000,INDEX($U$1005:$AC$1005,1,MATCH(COLUMNS($U$1006:AB1006),$U$1006:$AC$1006,0))&gt;=100000), " ",IF(INDEX($U$2:$AC$1001,MATCH(ROWS($N$2:N536),$N$2:$N$1001,0),MATCH(COLUMNS($U$1006:AB1006),$U$1006:$AC$1006,0)), HYPERLINK("#",""), HYPERLINK(CONCATENATE("#metadata!", ADDRESS(INDEX($P$2:$P$1001,MATCH(ROWS($N$2:N536),$N$2:$N$1001,0),0), INDEX($U$1004:$AC$1004,1,MATCH(COLUMNS($U$1006:AB1006),$U$1006:$AC$1006,0)))),"Fix")))</f>
        <v>0</v>
      </c>
      <c r="J536" s="3">
        <f>IF(OR(INDEX($O$2:$O$1001,MATCH(ROWS($N$2:N536),$N$2:$N$1001,0),1)&gt;=100000,INDEX($U$1005:$AC$1005,1,MATCH(COLUMNS($U$1006:AC1006),$U$1006:$AC$1006,0))&gt;=100000), " ",IF(INDEX($U$2:$AC$1001,MATCH(ROWS($N$2:N536),$N$2:$N$1001,0),MATCH(COLUMNS($U$1006:AC1006),$U$1006:$AC$1006,0)), HYPERLINK("#",""), HYPERLINK(CONCATENATE("#metadata!", ADDRESS(INDEX($P$2:$P$1001,MATCH(ROWS($N$2:N536),$N$2:$N$1001,0),0), INDEX($U$1004:$AC$1004,1,MATCH(COLUMNS($U$1006:AC1006),$U$1006:$AC$1006,0)))),"Fix")))</f>
        <v>0</v>
      </c>
      <c r="N536">
        <v>0</v>
      </c>
      <c r="O536">
        <v>0</v>
      </c>
      <c r="P536">
        <v>0</v>
      </c>
      <c r="Q536">
        <f>IF(R536,TRUE,AND(U536:AC536))</f>
        <v>0</v>
      </c>
      <c r="R536">
        <f>COUNTBLANK(metadata!B536:J536)=COLUMNS(metadata!B536:J536)</f>
        <v>0</v>
      </c>
      <c r="S536">
        <v>0</v>
      </c>
      <c r="U536">
        <f>AND(IF(metadata!B536="",FALSE,TRUE),COUNTIF(metadata!B:B, metadata!B536) = 1,NOT(ISERROR(SUMPRODUCT(SEARCH(MID(metadata!B536,ROW(INDIRECT("1:"&amp;LEN(metadata!B536))), 1),"0123456789abcdefghijklmnopqrstuvwxyzABCDEFGHIJKLMNOPQRSTUVWXYZ.")))))</f>
        <v>0</v>
      </c>
      <c r="V536">
        <f>AND(IF(metadata!C536="",FALSE,TRUE),exact(metadata!C536,"UBERON:genitourinary"))</f>
        <v>0</v>
      </c>
      <c r="W536">
        <f>AND(IF(metadata!D536="",FALSE,TRUE),exact(metadata!D536,"UBERON:urine"))</f>
        <v>0</v>
      </c>
      <c r="X536">
        <f>AND(IF(metadata!E536="",FALSE,TRUE),exact(metadata!E536,"UBERON:kidney"))</f>
        <v>0</v>
      </c>
      <c r="Y536">
        <f>AND(IF(metadata!F536="",FALSE,TRUE),exact(metadata!F536,"animal corpus"))</f>
        <v>0</v>
      </c>
      <c r="Z536">
        <f>AND(IF(metadata!G536="",FALSE,TRUE),exact(metadata!G536,"urine"))</f>
        <v>0</v>
      </c>
      <c r="AA536">
        <f>AND(IF(metadata!H536="",FALSE,TRUE),exact(metadata!H536,"urine"))</f>
        <v>0</v>
      </c>
      <c r="AB536">
        <f>AND(IF(metadata!I536="",FALSE,TRUE),exact(metadata!I536,"urine metagenome"))</f>
        <v>0</v>
      </c>
      <c r="AC536">
        <f>AND(IF(metadata!J536="",FALSE,TRUE),exact(metadata!J536,"1346744"))</f>
        <v>0</v>
      </c>
    </row>
    <row r="537" spans="1:29">
      <c r="A537" s="4">
        <f>IF(B537=" "," ",HYPERLINK(CONCATENATE("#metadata!",ADDRESS(INDEX($P$2:$P$1001,MATCH(ROWS($N$2:N537),$N$2:$N$1001,0),0),1)),INDEX($S$2:$S$1001,MATCH(ROWS($N$2:N537),$N$2:$N$1001,0),0)))</f>
        <v>0</v>
      </c>
      <c r="B537" s="3">
        <f>IF(OR(INDEX($O$2:$O$1001,MATCH(ROWS($N$2:N537),$N$2:$N$1001,0),1)&gt;=100000,INDEX($U$1005:$AC$1005,1,MATCH(COLUMNS($U$1006:U1006),$U$1006:$AC$1006,0))&gt;=100000), " ",IF(INDEX($U$2:$AC$1001,MATCH(ROWS($N$2:N537),$N$2:$N$1001,0),MATCH(COLUMNS($U$1006:U1006),$U$1006:$AC$1006,0)), HYPERLINK("#",""), HYPERLINK(CONCATENATE("#metadata!", ADDRESS(INDEX($P$2:$P$1001,MATCH(ROWS($N$2:N537),$N$2:$N$1001,0),0), INDEX($U$1004:$AC$1004,1,MATCH(COLUMNS($U$1006:U1006),$U$1006:$AC$1006,0)))),"Fix")))</f>
        <v>0</v>
      </c>
      <c r="C537" s="3">
        <f>IF(OR(INDEX($O$2:$O$1001,MATCH(ROWS($N$2:N537),$N$2:$N$1001,0),1)&gt;=100000,INDEX($U$1005:$AC$1005,1,MATCH(COLUMNS($U$1006:V1006),$U$1006:$AC$1006,0))&gt;=100000), " ",IF(INDEX($U$2:$AC$1001,MATCH(ROWS($N$2:N537),$N$2:$N$1001,0),MATCH(COLUMNS($U$1006:V1006),$U$1006:$AC$1006,0)), HYPERLINK("#",""), HYPERLINK(CONCATENATE("#metadata!", ADDRESS(INDEX($P$2:$P$1001,MATCH(ROWS($N$2:N537),$N$2:$N$1001,0),0), INDEX($U$1004:$AC$1004,1,MATCH(COLUMNS($U$1006:V1006),$U$1006:$AC$1006,0)))),"Fix")))</f>
        <v>0</v>
      </c>
      <c r="D537" s="3">
        <f>IF(OR(INDEX($O$2:$O$1001,MATCH(ROWS($N$2:N537),$N$2:$N$1001,0),1)&gt;=100000,INDEX($U$1005:$AC$1005,1,MATCH(COLUMNS($U$1006:W1006),$U$1006:$AC$1006,0))&gt;=100000), " ",IF(INDEX($U$2:$AC$1001,MATCH(ROWS($N$2:N537),$N$2:$N$1001,0),MATCH(COLUMNS($U$1006:W1006),$U$1006:$AC$1006,0)), HYPERLINK("#",""), HYPERLINK(CONCATENATE("#metadata!", ADDRESS(INDEX($P$2:$P$1001,MATCH(ROWS($N$2:N537),$N$2:$N$1001,0),0), INDEX($U$1004:$AC$1004,1,MATCH(COLUMNS($U$1006:W1006),$U$1006:$AC$1006,0)))),"Fix")))</f>
        <v>0</v>
      </c>
      <c r="E537" s="3">
        <f>IF(OR(INDEX($O$2:$O$1001,MATCH(ROWS($N$2:N537),$N$2:$N$1001,0),1)&gt;=100000,INDEX($U$1005:$AC$1005,1,MATCH(COLUMNS($U$1006:X1006),$U$1006:$AC$1006,0))&gt;=100000), " ",IF(INDEX($U$2:$AC$1001,MATCH(ROWS($N$2:N537),$N$2:$N$1001,0),MATCH(COLUMNS($U$1006:X1006),$U$1006:$AC$1006,0)), HYPERLINK("#",""), HYPERLINK(CONCATENATE("#metadata!", ADDRESS(INDEX($P$2:$P$1001,MATCH(ROWS($N$2:N537),$N$2:$N$1001,0),0), INDEX($U$1004:$AC$1004,1,MATCH(COLUMNS($U$1006:X1006),$U$1006:$AC$1006,0)))),"Fix")))</f>
        <v>0</v>
      </c>
      <c r="F537" s="3">
        <f>IF(OR(INDEX($O$2:$O$1001,MATCH(ROWS($N$2:N537),$N$2:$N$1001,0),1)&gt;=100000,INDEX($U$1005:$AC$1005,1,MATCH(COLUMNS($U$1006:Y1006),$U$1006:$AC$1006,0))&gt;=100000), " ",IF(INDEX($U$2:$AC$1001,MATCH(ROWS($N$2:N537),$N$2:$N$1001,0),MATCH(COLUMNS($U$1006:Y1006),$U$1006:$AC$1006,0)), HYPERLINK("#",""), HYPERLINK(CONCATENATE("#metadata!", ADDRESS(INDEX($P$2:$P$1001,MATCH(ROWS($N$2:N537),$N$2:$N$1001,0),0), INDEX($U$1004:$AC$1004,1,MATCH(COLUMNS($U$1006:Y1006),$U$1006:$AC$1006,0)))),"Fix")))</f>
        <v>0</v>
      </c>
      <c r="G537" s="3">
        <f>IF(OR(INDEX($O$2:$O$1001,MATCH(ROWS($N$2:N537),$N$2:$N$1001,0),1)&gt;=100000,INDEX($U$1005:$AC$1005,1,MATCH(COLUMNS($U$1006:Z1006),$U$1006:$AC$1006,0))&gt;=100000), " ",IF(INDEX($U$2:$AC$1001,MATCH(ROWS($N$2:N537),$N$2:$N$1001,0),MATCH(COLUMNS($U$1006:Z1006),$U$1006:$AC$1006,0)), HYPERLINK("#",""), HYPERLINK(CONCATENATE("#metadata!", ADDRESS(INDEX($P$2:$P$1001,MATCH(ROWS($N$2:N537),$N$2:$N$1001,0),0), INDEX($U$1004:$AC$1004,1,MATCH(COLUMNS($U$1006:Z1006),$U$1006:$AC$1006,0)))),"Fix")))</f>
        <v>0</v>
      </c>
      <c r="H537" s="3">
        <f>IF(OR(INDEX($O$2:$O$1001,MATCH(ROWS($N$2:N537),$N$2:$N$1001,0),1)&gt;=100000,INDEX($U$1005:$AC$1005,1,MATCH(COLUMNS($U$1006:AA1006),$U$1006:$AC$1006,0))&gt;=100000), " ",IF(INDEX($U$2:$AC$1001,MATCH(ROWS($N$2:N537),$N$2:$N$1001,0),MATCH(COLUMNS($U$1006:AA1006),$U$1006:$AC$1006,0)), HYPERLINK("#",""), HYPERLINK(CONCATENATE("#metadata!", ADDRESS(INDEX($P$2:$P$1001,MATCH(ROWS($N$2:N537),$N$2:$N$1001,0),0), INDEX($U$1004:$AC$1004,1,MATCH(COLUMNS($U$1006:AA1006),$U$1006:$AC$1006,0)))),"Fix")))</f>
        <v>0</v>
      </c>
      <c r="I537" s="3">
        <f>IF(OR(INDEX($O$2:$O$1001,MATCH(ROWS($N$2:N537),$N$2:$N$1001,0),1)&gt;=100000,INDEX($U$1005:$AC$1005,1,MATCH(COLUMNS($U$1006:AB1006),$U$1006:$AC$1006,0))&gt;=100000), " ",IF(INDEX($U$2:$AC$1001,MATCH(ROWS($N$2:N537),$N$2:$N$1001,0),MATCH(COLUMNS($U$1006:AB1006),$U$1006:$AC$1006,0)), HYPERLINK("#",""), HYPERLINK(CONCATENATE("#metadata!", ADDRESS(INDEX($P$2:$P$1001,MATCH(ROWS($N$2:N537),$N$2:$N$1001,0),0), INDEX($U$1004:$AC$1004,1,MATCH(COLUMNS($U$1006:AB1006),$U$1006:$AC$1006,0)))),"Fix")))</f>
        <v>0</v>
      </c>
      <c r="J537" s="3">
        <f>IF(OR(INDEX($O$2:$O$1001,MATCH(ROWS($N$2:N537),$N$2:$N$1001,0),1)&gt;=100000,INDEX($U$1005:$AC$1005,1,MATCH(COLUMNS($U$1006:AC1006),$U$1006:$AC$1006,0))&gt;=100000), " ",IF(INDEX($U$2:$AC$1001,MATCH(ROWS($N$2:N537),$N$2:$N$1001,0),MATCH(COLUMNS($U$1006:AC1006),$U$1006:$AC$1006,0)), HYPERLINK("#",""), HYPERLINK(CONCATENATE("#metadata!", ADDRESS(INDEX($P$2:$P$1001,MATCH(ROWS($N$2:N537),$N$2:$N$1001,0),0), INDEX($U$1004:$AC$1004,1,MATCH(COLUMNS($U$1006:AC1006),$U$1006:$AC$1006,0)))),"Fix")))</f>
        <v>0</v>
      </c>
      <c r="N537">
        <v>0</v>
      </c>
      <c r="O537">
        <v>0</v>
      </c>
      <c r="P537">
        <v>0</v>
      </c>
      <c r="Q537">
        <f>IF(R537,TRUE,AND(U537:AC537))</f>
        <v>0</v>
      </c>
      <c r="R537">
        <f>COUNTBLANK(metadata!B537:J537)=COLUMNS(metadata!B537:J537)</f>
        <v>0</v>
      </c>
      <c r="S537">
        <v>0</v>
      </c>
      <c r="U537">
        <f>AND(IF(metadata!B537="",FALSE,TRUE),COUNTIF(metadata!B:B, metadata!B537) = 1,NOT(ISERROR(SUMPRODUCT(SEARCH(MID(metadata!B537,ROW(INDIRECT("1:"&amp;LEN(metadata!B537))), 1),"0123456789abcdefghijklmnopqrstuvwxyzABCDEFGHIJKLMNOPQRSTUVWXYZ.")))))</f>
        <v>0</v>
      </c>
      <c r="V537">
        <f>AND(IF(metadata!C537="",FALSE,TRUE),exact(metadata!C537,"UBERON:genitourinary"))</f>
        <v>0</v>
      </c>
      <c r="W537">
        <f>AND(IF(metadata!D537="",FALSE,TRUE),exact(metadata!D537,"UBERON:urine"))</f>
        <v>0</v>
      </c>
      <c r="X537">
        <f>AND(IF(metadata!E537="",FALSE,TRUE),exact(metadata!E537,"UBERON:kidney"))</f>
        <v>0</v>
      </c>
      <c r="Y537">
        <f>AND(IF(metadata!F537="",FALSE,TRUE),exact(metadata!F537,"animal corpus"))</f>
        <v>0</v>
      </c>
      <c r="Z537">
        <f>AND(IF(metadata!G537="",FALSE,TRUE),exact(metadata!G537,"urine"))</f>
        <v>0</v>
      </c>
      <c r="AA537">
        <f>AND(IF(metadata!H537="",FALSE,TRUE),exact(metadata!H537,"urine"))</f>
        <v>0</v>
      </c>
      <c r="AB537">
        <f>AND(IF(metadata!I537="",FALSE,TRUE),exact(metadata!I537,"urine metagenome"))</f>
        <v>0</v>
      </c>
      <c r="AC537">
        <f>AND(IF(metadata!J537="",FALSE,TRUE),exact(metadata!J537,"1346744"))</f>
        <v>0</v>
      </c>
    </row>
    <row r="538" spans="1:29">
      <c r="A538" s="4">
        <f>IF(B538=" "," ",HYPERLINK(CONCATENATE("#metadata!",ADDRESS(INDEX($P$2:$P$1001,MATCH(ROWS($N$2:N538),$N$2:$N$1001,0),0),1)),INDEX($S$2:$S$1001,MATCH(ROWS($N$2:N538),$N$2:$N$1001,0),0)))</f>
        <v>0</v>
      </c>
      <c r="B538" s="3">
        <f>IF(OR(INDEX($O$2:$O$1001,MATCH(ROWS($N$2:N538),$N$2:$N$1001,0),1)&gt;=100000,INDEX($U$1005:$AC$1005,1,MATCH(COLUMNS($U$1006:U1006),$U$1006:$AC$1006,0))&gt;=100000), " ",IF(INDEX($U$2:$AC$1001,MATCH(ROWS($N$2:N538),$N$2:$N$1001,0),MATCH(COLUMNS($U$1006:U1006),$U$1006:$AC$1006,0)), HYPERLINK("#",""), HYPERLINK(CONCATENATE("#metadata!", ADDRESS(INDEX($P$2:$P$1001,MATCH(ROWS($N$2:N538),$N$2:$N$1001,0),0), INDEX($U$1004:$AC$1004,1,MATCH(COLUMNS($U$1006:U1006),$U$1006:$AC$1006,0)))),"Fix")))</f>
        <v>0</v>
      </c>
      <c r="C538" s="3">
        <f>IF(OR(INDEX($O$2:$O$1001,MATCH(ROWS($N$2:N538),$N$2:$N$1001,0),1)&gt;=100000,INDEX($U$1005:$AC$1005,1,MATCH(COLUMNS($U$1006:V1006),$U$1006:$AC$1006,0))&gt;=100000), " ",IF(INDEX($U$2:$AC$1001,MATCH(ROWS($N$2:N538),$N$2:$N$1001,0),MATCH(COLUMNS($U$1006:V1006),$U$1006:$AC$1006,0)), HYPERLINK("#",""), HYPERLINK(CONCATENATE("#metadata!", ADDRESS(INDEX($P$2:$P$1001,MATCH(ROWS($N$2:N538),$N$2:$N$1001,0),0), INDEX($U$1004:$AC$1004,1,MATCH(COLUMNS($U$1006:V1006),$U$1006:$AC$1006,0)))),"Fix")))</f>
        <v>0</v>
      </c>
      <c r="D538" s="3">
        <f>IF(OR(INDEX($O$2:$O$1001,MATCH(ROWS($N$2:N538),$N$2:$N$1001,0),1)&gt;=100000,INDEX($U$1005:$AC$1005,1,MATCH(COLUMNS($U$1006:W1006),$U$1006:$AC$1006,0))&gt;=100000), " ",IF(INDEX($U$2:$AC$1001,MATCH(ROWS($N$2:N538),$N$2:$N$1001,0),MATCH(COLUMNS($U$1006:W1006),$U$1006:$AC$1006,0)), HYPERLINK("#",""), HYPERLINK(CONCATENATE("#metadata!", ADDRESS(INDEX($P$2:$P$1001,MATCH(ROWS($N$2:N538),$N$2:$N$1001,0),0), INDEX($U$1004:$AC$1004,1,MATCH(COLUMNS($U$1006:W1006),$U$1006:$AC$1006,0)))),"Fix")))</f>
        <v>0</v>
      </c>
      <c r="E538" s="3">
        <f>IF(OR(INDEX($O$2:$O$1001,MATCH(ROWS($N$2:N538),$N$2:$N$1001,0),1)&gt;=100000,INDEX($U$1005:$AC$1005,1,MATCH(COLUMNS($U$1006:X1006),$U$1006:$AC$1006,0))&gt;=100000), " ",IF(INDEX($U$2:$AC$1001,MATCH(ROWS($N$2:N538),$N$2:$N$1001,0),MATCH(COLUMNS($U$1006:X1006),$U$1006:$AC$1006,0)), HYPERLINK("#",""), HYPERLINK(CONCATENATE("#metadata!", ADDRESS(INDEX($P$2:$P$1001,MATCH(ROWS($N$2:N538),$N$2:$N$1001,0),0), INDEX($U$1004:$AC$1004,1,MATCH(COLUMNS($U$1006:X1006),$U$1006:$AC$1006,0)))),"Fix")))</f>
        <v>0</v>
      </c>
      <c r="F538" s="3">
        <f>IF(OR(INDEX($O$2:$O$1001,MATCH(ROWS($N$2:N538),$N$2:$N$1001,0),1)&gt;=100000,INDEX($U$1005:$AC$1005,1,MATCH(COLUMNS($U$1006:Y1006),$U$1006:$AC$1006,0))&gt;=100000), " ",IF(INDEX($U$2:$AC$1001,MATCH(ROWS($N$2:N538),$N$2:$N$1001,0),MATCH(COLUMNS($U$1006:Y1006),$U$1006:$AC$1006,0)), HYPERLINK("#",""), HYPERLINK(CONCATENATE("#metadata!", ADDRESS(INDEX($P$2:$P$1001,MATCH(ROWS($N$2:N538),$N$2:$N$1001,0),0), INDEX($U$1004:$AC$1004,1,MATCH(COLUMNS($U$1006:Y1006),$U$1006:$AC$1006,0)))),"Fix")))</f>
        <v>0</v>
      </c>
      <c r="G538" s="3">
        <f>IF(OR(INDEX($O$2:$O$1001,MATCH(ROWS($N$2:N538),$N$2:$N$1001,0),1)&gt;=100000,INDEX($U$1005:$AC$1005,1,MATCH(COLUMNS($U$1006:Z1006),$U$1006:$AC$1006,0))&gt;=100000), " ",IF(INDEX($U$2:$AC$1001,MATCH(ROWS($N$2:N538),$N$2:$N$1001,0),MATCH(COLUMNS($U$1006:Z1006),$U$1006:$AC$1006,0)), HYPERLINK("#",""), HYPERLINK(CONCATENATE("#metadata!", ADDRESS(INDEX($P$2:$P$1001,MATCH(ROWS($N$2:N538),$N$2:$N$1001,0),0), INDEX($U$1004:$AC$1004,1,MATCH(COLUMNS($U$1006:Z1006),$U$1006:$AC$1006,0)))),"Fix")))</f>
        <v>0</v>
      </c>
      <c r="H538" s="3">
        <f>IF(OR(INDEX($O$2:$O$1001,MATCH(ROWS($N$2:N538),$N$2:$N$1001,0),1)&gt;=100000,INDEX($U$1005:$AC$1005,1,MATCH(COLUMNS($U$1006:AA1006),$U$1006:$AC$1006,0))&gt;=100000), " ",IF(INDEX($U$2:$AC$1001,MATCH(ROWS($N$2:N538),$N$2:$N$1001,0),MATCH(COLUMNS($U$1006:AA1006),$U$1006:$AC$1006,0)), HYPERLINK("#",""), HYPERLINK(CONCATENATE("#metadata!", ADDRESS(INDEX($P$2:$P$1001,MATCH(ROWS($N$2:N538),$N$2:$N$1001,0),0), INDEX($U$1004:$AC$1004,1,MATCH(COLUMNS($U$1006:AA1006),$U$1006:$AC$1006,0)))),"Fix")))</f>
        <v>0</v>
      </c>
      <c r="I538" s="3">
        <f>IF(OR(INDEX($O$2:$O$1001,MATCH(ROWS($N$2:N538),$N$2:$N$1001,0),1)&gt;=100000,INDEX($U$1005:$AC$1005,1,MATCH(COLUMNS($U$1006:AB1006),$U$1006:$AC$1006,0))&gt;=100000), " ",IF(INDEX($U$2:$AC$1001,MATCH(ROWS($N$2:N538),$N$2:$N$1001,0),MATCH(COLUMNS($U$1006:AB1006),$U$1006:$AC$1006,0)), HYPERLINK("#",""), HYPERLINK(CONCATENATE("#metadata!", ADDRESS(INDEX($P$2:$P$1001,MATCH(ROWS($N$2:N538),$N$2:$N$1001,0),0), INDEX($U$1004:$AC$1004,1,MATCH(COLUMNS($U$1006:AB1006),$U$1006:$AC$1006,0)))),"Fix")))</f>
        <v>0</v>
      </c>
      <c r="J538" s="3">
        <f>IF(OR(INDEX($O$2:$O$1001,MATCH(ROWS($N$2:N538),$N$2:$N$1001,0),1)&gt;=100000,INDEX($U$1005:$AC$1005,1,MATCH(COLUMNS($U$1006:AC1006),$U$1006:$AC$1006,0))&gt;=100000), " ",IF(INDEX($U$2:$AC$1001,MATCH(ROWS($N$2:N538),$N$2:$N$1001,0),MATCH(COLUMNS($U$1006:AC1006),$U$1006:$AC$1006,0)), HYPERLINK("#",""), HYPERLINK(CONCATENATE("#metadata!", ADDRESS(INDEX($P$2:$P$1001,MATCH(ROWS($N$2:N538),$N$2:$N$1001,0),0), INDEX($U$1004:$AC$1004,1,MATCH(COLUMNS($U$1006:AC1006),$U$1006:$AC$1006,0)))),"Fix")))</f>
        <v>0</v>
      </c>
      <c r="N538">
        <v>0</v>
      </c>
      <c r="O538">
        <v>0</v>
      </c>
      <c r="P538">
        <v>0</v>
      </c>
      <c r="Q538">
        <f>IF(R538,TRUE,AND(U538:AC538))</f>
        <v>0</v>
      </c>
      <c r="R538">
        <f>COUNTBLANK(metadata!B538:J538)=COLUMNS(metadata!B538:J538)</f>
        <v>0</v>
      </c>
      <c r="S538">
        <v>0</v>
      </c>
      <c r="U538">
        <f>AND(IF(metadata!B538="",FALSE,TRUE),COUNTIF(metadata!B:B, metadata!B538) = 1,NOT(ISERROR(SUMPRODUCT(SEARCH(MID(metadata!B538,ROW(INDIRECT("1:"&amp;LEN(metadata!B538))), 1),"0123456789abcdefghijklmnopqrstuvwxyzABCDEFGHIJKLMNOPQRSTUVWXYZ.")))))</f>
        <v>0</v>
      </c>
      <c r="V538">
        <f>AND(IF(metadata!C538="",FALSE,TRUE),exact(metadata!C538,"UBERON:genitourinary"))</f>
        <v>0</v>
      </c>
      <c r="W538">
        <f>AND(IF(metadata!D538="",FALSE,TRUE),exact(metadata!D538,"UBERON:urine"))</f>
        <v>0</v>
      </c>
      <c r="X538">
        <f>AND(IF(metadata!E538="",FALSE,TRUE),exact(metadata!E538,"UBERON:kidney"))</f>
        <v>0</v>
      </c>
      <c r="Y538">
        <f>AND(IF(metadata!F538="",FALSE,TRUE),exact(metadata!F538,"animal corpus"))</f>
        <v>0</v>
      </c>
      <c r="Z538">
        <f>AND(IF(metadata!G538="",FALSE,TRUE),exact(metadata!G538,"urine"))</f>
        <v>0</v>
      </c>
      <c r="AA538">
        <f>AND(IF(metadata!H538="",FALSE,TRUE),exact(metadata!H538,"urine"))</f>
        <v>0</v>
      </c>
      <c r="AB538">
        <f>AND(IF(metadata!I538="",FALSE,TRUE),exact(metadata!I538,"urine metagenome"))</f>
        <v>0</v>
      </c>
      <c r="AC538">
        <f>AND(IF(metadata!J538="",FALSE,TRUE),exact(metadata!J538,"1346744"))</f>
        <v>0</v>
      </c>
    </row>
    <row r="539" spans="1:29">
      <c r="A539" s="4">
        <f>IF(B539=" "," ",HYPERLINK(CONCATENATE("#metadata!",ADDRESS(INDEX($P$2:$P$1001,MATCH(ROWS($N$2:N539),$N$2:$N$1001,0),0),1)),INDEX($S$2:$S$1001,MATCH(ROWS($N$2:N539),$N$2:$N$1001,0),0)))</f>
        <v>0</v>
      </c>
      <c r="B539" s="3">
        <f>IF(OR(INDEX($O$2:$O$1001,MATCH(ROWS($N$2:N539),$N$2:$N$1001,0),1)&gt;=100000,INDEX($U$1005:$AC$1005,1,MATCH(COLUMNS($U$1006:U1006),$U$1006:$AC$1006,0))&gt;=100000), " ",IF(INDEX($U$2:$AC$1001,MATCH(ROWS($N$2:N539),$N$2:$N$1001,0),MATCH(COLUMNS($U$1006:U1006),$U$1006:$AC$1006,0)), HYPERLINK("#",""), HYPERLINK(CONCATENATE("#metadata!", ADDRESS(INDEX($P$2:$P$1001,MATCH(ROWS($N$2:N539),$N$2:$N$1001,0),0), INDEX($U$1004:$AC$1004,1,MATCH(COLUMNS($U$1006:U1006),$U$1006:$AC$1006,0)))),"Fix")))</f>
        <v>0</v>
      </c>
      <c r="C539" s="3">
        <f>IF(OR(INDEX($O$2:$O$1001,MATCH(ROWS($N$2:N539),$N$2:$N$1001,0),1)&gt;=100000,INDEX($U$1005:$AC$1005,1,MATCH(COLUMNS($U$1006:V1006),$U$1006:$AC$1006,0))&gt;=100000), " ",IF(INDEX($U$2:$AC$1001,MATCH(ROWS($N$2:N539),$N$2:$N$1001,0),MATCH(COLUMNS($U$1006:V1006),$U$1006:$AC$1006,0)), HYPERLINK("#",""), HYPERLINK(CONCATENATE("#metadata!", ADDRESS(INDEX($P$2:$P$1001,MATCH(ROWS($N$2:N539),$N$2:$N$1001,0),0), INDEX($U$1004:$AC$1004,1,MATCH(COLUMNS($U$1006:V1006),$U$1006:$AC$1006,0)))),"Fix")))</f>
        <v>0</v>
      </c>
      <c r="D539" s="3">
        <f>IF(OR(INDEX($O$2:$O$1001,MATCH(ROWS($N$2:N539),$N$2:$N$1001,0),1)&gt;=100000,INDEX($U$1005:$AC$1005,1,MATCH(COLUMNS($U$1006:W1006),$U$1006:$AC$1006,0))&gt;=100000), " ",IF(INDEX($U$2:$AC$1001,MATCH(ROWS($N$2:N539),$N$2:$N$1001,0),MATCH(COLUMNS($U$1006:W1006),$U$1006:$AC$1006,0)), HYPERLINK("#",""), HYPERLINK(CONCATENATE("#metadata!", ADDRESS(INDEX($P$2:$P$1001,MATCH(ROWS($N$2:N539),$N$2:$N$1001,0),0), INDEX($U$1004:$AC$1004,1,MATCH(COLUMNS($U$1006:W1006),$U$1006:$AC$1006,0)))),"Fix")))</f>
        <v>0</v>
      </c>
      <c r="E539" s="3">
        <f>IF(OR(INDEX($O$2:$O$1001,MATCH(ROWS($N$2:N539),$N$2:$N$1001,0),1)&gt;=100000,INDEX($U$1005:$AC$1005,1,MATCH(COLUMNS($U$1006:X1006),$U$1006:$AC$1006,0))&gt;=100000), " ",IF(INDEX($U$2:$AC$1001,MATCH(ROWS($N$2:N539),$N$2:$N$1001,0),MATCH(COLUMNS($U$1006:X1006),$U$1006:$AC$1006,0)), HYPERLINK("#",""), HYPERLINK(CONCATENATE("#metadata!", ADDRESS(INDEX($P$2:$P$1001,MATCH(ROWS($N$2:N539),$N$2:$N$1001,0),0), INDEX($U$1004:$AC$1004,1,MATCH(COLUMNS($U$1006:X1006),$U$1006:$AC$1006,0)))),"Fix")))</f>
        <v>0</v>
      </c>
      <c r="F539" s="3">
        <f>IF(OR(INDEX($O$2:$O$1001,MATCH(ROWS($N$2:N539),$N$2:$N$1001,0),1)&gt;=100000,INDEX($U$1005:$AC$1005,1,MATCH(COLUMNS($U$1006:Y1006),$U$1006:$AC$1006,0))&gt;=100000), " ",IF(INDEX($U$2:$AC$1001,MATCH(ROWS($N$2:N539),$N$2:$N$1001,0),MATCH(COLUMNS($U$1006:Y1006),$U$1006:$AC$1006,0)), HYPERLINK("#",""), HYPERLINK(CONCATENATE("#metadata!", ADDRESS(INDEX($P$2:$P$1001,MATCH(ROWS($N$2:N539),$N$2:$N$1001,0),0), INDEX($U$1004:$AC$1004,1,MATCH(COLUMNS($U$1006:Y1006),$U$1006:$AC$1006,0)))),"Fix")))</f>
        <v>0</v>
      </c>
      <c r="G539" s="3">
        <f>IF(OR(INDEX($O$2:$O$1001,MATCH(ROWS($N$2:N539),$N$2:$N$1001,0),1)&gt;=100000,INDEX($U$1005:$AC$1005,1,MATCH(COLUMNS($U$1006:Z1006),$U$1006:$AC$1006,0))&gt;=100000), " ",IF(INDEX($U$2:$AC$1001,MATCH(ROWS($N$2:N539),$N$2:$N$1001,0),MATCH(COLUMNS($U$1006:Z1006),$U$1006:$AC$1006,0)), HYPERLINK("#",""), HYPERLINK(CONCATENATE("#metadata!", ADDRESS(INDEX($P$2:$P$1001,MATCH(ROWS($N$2:N539),$N$2:$N$1001,0),0), INDEX($U$1004:$AC$1004,1,MATCH(COLUMNS($U$1006:Z1006),$U$1006:$AC$1006,0)))),"Fix")))</f>
        <v>0</v>
      </c>
      <c r="H539" s="3">
        <f>IF(OR(INDEX($O$2:$O$1001,MATCH(ROWS($N$2:N539),$N$2:$N$1001,0),1)&gt;=100000,INDEX($U$1005:$AC$1005,1,MATCH(COLUMNS($U$1006:AA1006),$U$1006:$AC$1006,0))&gt;=100000), " ",IF(INDEX($U$2:$AC$1001,MATCH(ROWS($N$2:N539),$N$2:$N$1001,0),MATCH(COLUMNS($U$1006:AA1006),$U$1006:$AC$1006,0)), HYPERLINK("#",""), HYPERLINK(CONCATENATE("#metadata!", ADDRESS(INDEX($P$2:$P$1001,MATCH(ROWS($N$2:N539),$N$2:$N$1001,0),0), INDEX($U$1004:$AC$1004,1,MATCH(COLUMNS($U$1006:AA1006),$U$1006:$AC$1006,0)))),"Fix")))</f>
        <v>0</v>
      </c>
      <c r="I539" s="3">
        <f>IF(OR(INDEX($O$2:$O$1001,MATCH(ROWS($N$2:N539),$N$2:$N$1001,0),1)&gt;=100000,INDEX($U$1005:$AC$1005,1,MATCH(COLUMNS($U$1006:AB1006),$U$1006:$AC$1006,0))&gt;=100000), " ",IF(INDEX($U$2:$AC$1001,MATCH(ROWS($N$2:N539),$N$2:$N$1001,0),MATCH(COLUMNS($U$1006:AB1006),$U$1006:$AC$1006,0)), HYPERLINK("#",""), HYPERLINK(CONCATENATE("#metadata!", ADDRESS(INDEX($P$2:$P$1001,MATCH(ROWS($N$2:N539),$N$2:$N$1001,0),0), INDEX($U$1004:$AC$1004,1,MATCH(COLUMNS($U$1006:AB1006),$U$1006:$AC$1006,0)))),"Fix")))</f>
        <v>0</v>
      </c>
      <c r="J539" s="3">
        <f>IF(OR(INDEX($O$2:$O$1001,MATCH(ROWS($N$2:N539),$N$2:$N$1001,0),1)&gt;=100000,INDEX($U$1005:$AC$1005,1,MATCH(COLUMNS($U$1006:AC1006),$U$1006:$AC$1006,0))&gt;=100000), " ",IF(INDEX($U$2:$AC$1001,MATCH(ROWS($N$2:N539),$N$2:$N$1001,0),MATCH(COLUMNS($U$1006:AC1006),$U$1006:$AC$1006,0)), HYPERLINK("#",""), HYPERLINK(CONCATENATE("#metadata!", ADDRESS(INDEX($P$2:$P$1001,MATCH(ROWS($N$2:N539),$N$2:$N$1001,0),0), INDEX($U$1004:$AC$1004,1,MATCH(COLUMNS($U$1006:AC1006),$U$1006:$AC$1006,0)))),"Fix")))</f>
        <v>0</v>
      </c>
      <c r="N539">
        <v>0</v>
      </c>
      <c r="O539">
        <v>0</v>
      </c>
      <c r="P539">
        <v>0</v>
      </c>
      <c r="Q539">
        <f>IF(R539,TRUE,AND(U539:AC539))</f>
        <v>0</v>
      </c>
      <c r="R539">
        <f>COUNTBLANK(metadata!B539:J539)=COLUMNS(metadata!B539:J539)</f>
        <v>0</v>
      </c>
      <c r="S539">
        <v>0</v>
      </c>
      <c r="U539">
        <f>AND(IF(metadata!B539="",FALSE,TRUE),COUNTIF(metadata!B:B, metadata!B539) = 1,NOT(ISERROR(SUMPRODUCT(SEARCH(MID(metadata!B539,ROW(INDIRECT("1:"&amp;LEN(metadata!B539))), 1),"0123456789abcdefghijklmnopqrstuvwxyzABCDEFGHIJKLMNOPQRSTUVWXYZ.")))))</f>
        <v>0</v>
      </c>
      <c r="V539">
        <f>AND(IF(metadata!C539="",FALSE,TRUE),exact(metadata!C539,"UBERON:genitourinary"))</f>
        <v>0</v>
      </c>
      <c r="W539">
        <f>AND(IF(metadata!D539="",FALSE,TRUE),exact(metadata!D539,"UBERON:urine"))</f>
        <v>0</v>
      </c>
      <c r="X539">
        <f>AND(IF(metadata!E539="",FALSE,TRUE),exact(metadata!E539,"UBERON:kidney"))</f>
        <v>0</v>
      </c>
      <c r="Y539">
        <f>AND(IF(metadata!F539="",FALSE,TRUE),exact(metadata!F539,"animal corpus"))</f>
        <v>0</v>
      </c>
      <c r="Z539">
        <f>AND(IF(metadata!G539="",FALSE,TRUE),exact(metadata!G539,"urine"))</f>
        <v>0</v>
      </c>
      <c r="AA539">
        <f>AND(IF(metadata!H539="",FALSE,TRUE),exact(metadata!H539,"urine"))</f>
        <v>0</v>
      </c>
      <c r="AB539">
        <f>AND(IF(metadata!I539="",FALSE,TRUE),exact(metadata!I539,"urine metagenome"))</f>
        <v>0</v>
      </c>
      <c r="AC539">
        <f>AND(IF(metadata!J539="",FALSE,TRUE),exact(metadata!J539,"1346744"))</f>
        <v>0</v>
      </c>
    </row>
    <row r="540" spans="1:29">
      <c r="A540" s="4">
        <f>IF(B540=" "," ",HYPERLINK(CONCATENATE("#metadata!",ADDRESS(INDEX($P$2:$P$1001,MATCH(ROWS($N$2:N540),$N$2:$N$1001,0),0),1)),INDEX($S$2:$S$1001,MATCH(ROWS($N$2:N540),$N$2:$N$1001,0),0)))</f>
        <v>0</v>
      </c>
      <c r="B540" s="3">
        <f>IF(OR(INDEX($O$2:$O$1001,MATCH(ROWS($N$2:N540),$N$2:$N$1001,0),1)&gt;=100000,INDEX($U$1005:$AC$1005,1,MATCH(COLUMNS($U$1006:U1006),$U$1006:$AC$1006,0))&gt;=100000), " ",IF(INDEX($U$2:$AC$1001,MATCH(ROWS($N$2:N540),$N$2:$N$1001,0),MATCH(COLUMNS($U$1006:U1006),$U$1006:$AC$1006,0)), HYPERLINK("#",""), HYPERLINK(CONCATENATE("#metadata!", ADDRESS(INDEX($P$2:$P$1001,MATCH(ROWS($N$2:N540),$N$2:$N$1001,0),0), INDEX($U$1004:$AC$1004,1,MATCH(COLUMNS($U$1006:U1006),$U$1006:$AC$1006,0)))),"Fix")))</f>
        <v>0</v>
      </c>
      <c r="C540" s="3">
        <f>IF(OR(INDEX($O$2:$O$1001,MATCH(ROWS($N$2:N540),$N$2:$N$1001,0),1)&gt;=100000,INDEX($U$1005:$AC$1005,1,MATCH(COLUMNS($U$1006:V1006),$U$1006:$AC$1006,0))&gt;=100000), " ",IF(INDEX($U$2:$AC$1001,MATCH(ROWS($N$2:N540),$N$2:$N$1001,0),MATCH(COLUMNS($U$1006:V1006),$U$1006:$AC$1006,0)), HYPERLINK("#",""), HYPERLINK(CONCATENATE("#metadata!", ADDRESS(INDEX($P$2:$P$1001,MATCH(ROWS($N$2:N540),$N$2:$N$1001,0),0), INDEX($U$1004:$AC$1004,1,MATCH(COLUMNS($U$1006:V1006),$U$1006:$AC$1006,0)))),"Fix")))</f>
        <v>0</v>
      </c>
      <c r="D540" s="3">
        <f>IF(OR(INDEX($O$2:$O$1001,MATCH(ROWS($N$2:N540),$N$2:$N$1001,0),1)&gt;=100000,INDEX($U$1005:$AC$1005,1,MATCH(COLUMNS($U$1006:W1006),$U$1006:$AC$1006,0))&gt;=100000), " ",IF(INDEX($U$2:$AC$1001,MATCH(ROWS($N$2:N540),$N$2:$N$1001,0),MATCH(COLUMNS($U$1006:W1006),$U$1006:$AC$1006,0)), HYPERLINK("#",""), HYPERLINK(CONCATENATE("#metadata!", ADDRESS(INDEX($P$2:$P$1001,MATCH(ROWS($N$2:N540),$N$2:$N$1001,0),0), INDEX($U$1004:$AC$1004,1,MATCH(COLUMNS($U$1006:W1006),$U$1006:$AC$1006,0)))),"Fix")))</f>
        <v>0</v>
      </c>
      <c r="E540" s="3">
        <f>IF(OR(INDEX($O$2:$O$1001,MATCH(ROWS($N$2:N540),$N$2:$N$1001,0),1)&gt;=100000,INDEX($U$1005:$AC$1005,1,MATCH(COLUMNS($U$1006:X1006),$U$1006:$AC$1006,0))&gt;=100000), " ",IF(INDEX($U$2:$AC$1001,MATCH(ROWS($N$2:N540),$N$2:$N$1001,0),MATCH(COLUMNS($U$1006:X1006),$U$1006:$AC$1006,0)), HYPERLINK("#",""), HYPERLINK(CONCATENATE("#metadata!", ADDRESS(INDEX($P$2:$P$1001,MATCH(ROWS($N$2:N540),$N$2:$N$1001,0),0), INDEX($U$1004:$AC$1004,1,MATCH(COLUMNS($U$1006:X1006),$U$1006:$AC$1006,0)))),"Fix")))</f>
        <v>0</v>
      </c>
      <c r="F540" s="3">
        <f>IF(OR(INDEX($O$2:$O$1001,MATCH(ROWS($N$2:N540),$N$2:$N$1001,0),1)&gt;=100000,INDEX($U$1005:$AC$1005,1,MATCH(COLUMNS($U$1006:Y1006),$U$1006:$AC$1006,0))&gt;=100000), " ",IF(INDEX($U$2:$AC$1001,MATCH(ROWS($N$2:N540),$N$2:$N$1001,0),MATCH(COLUMNS($U$1006:Y1006),$U$1006:$AC$1006,0)), HYPERLINK("#",""), HYPERLINK(CONCATENATE("#metadata!", ADDRESS(INDEX($P$2:$P$1001,MATCH(ROWS($N$2:N540),$N$2:$N$1001,0),0), INDEX($U$1004:$AC$1004,1,MATCH(COLUMNS($U$1006:Y1006),$U$1006:$AC$1006,0)))),"Fix")))</f>
        <v>0</v>
      </c>
      <c r="G540" s="3">
        <f>IF(OR(INDEX($O$2:$O$1001,MATCH(ROWS($N$2:N540),$N$2:$N$1001,0),1)&gt;=100000,INDEX($U$1005:$AC$1005,1,MATCH(COLUMNS($U$1006:Z1006),$U$1006:$AC$1006,0))&gt;=100000), " ",IF(INDEX($U$2:$AC$1001,MATCH(ROWS($N$2:N540),$N$2:$N$1001,0),MATCH(COLUMNS($U$1006:Z1006),$U$1006:$AC$1006,0)), HYPERLINK("#",""), HYPERLINK(CONCATENATE("#metadata!", ADDRESS(INDEX($P$2:$P$1001,MATCH(ROWS($N$2:N540),$N$2:$N$1001,0),0), INDEX($U$1004:$AC$1004,1,MATCH(COLUMNS($U$1006:Z1006),$U$1006:$AC$1006,0)))),"Fix")))</f>
        <v>0</v>
      </c>
      <c r="H540" s="3">
        <f>IF(OR(INDEX($O$2:$O$1001,MATCH(ROWS($N$2:N540),$N$2:$N$1001,0),1)&gt;=100000,INDEX($U$1005:$AC$1005,1,MATCH(COLUMNS($U$1006:AA1006),$U$1006:$AC$1006,0))&gt;=100000), " ",IF(INDEX($U$2:$AC$1001,MATCH(ROWS($N$2:N540),$N$2:$N$1001,0),MATCH(COLUMNS($U$1006:AA1006),$U$1006:$AC$1006,0)), HYPERLINK("#",""), HYPERLINK(CONCATENATE("#metadata!", ADDRESS(INDEX($P$2:$P$1001,MATCH(ROWS($N$2:N540),$N$2:$N$1001,0),0), INDEX($U$1004:$AC$1004,1,MATCH(COLUMNS($U$1006:AA1006),$U$1006:$AC$1006,0)))),"Fix")))</f>
        <v>0</v>
      </c>
      <c r="I540" s="3">
        <f>IF(OR(INDEX($O$2:$O$1001,MATCH(ROWS($N$2:N540),$N$2:$N$1001,0),1)&gt;=100000,INDEX($U$1005:$AC$1005,1,MATCH(COLUMNS($U$1006:AB1006),$U$1006:$AC$1006,0))&gt;=100000), " ",IF(INDEX($U$2:$AC$1001,MATCH(ROWS($N$2:N540),$N$2:$N$1001,0),MATCH(COLUMNS($U$1006:AB1006),$U$1006:$AC$1006,0)), HYPERLINK("#",""), HYPERLINK(CONCATENATE("#metadata!", ADDRESS(INDEX($P$2:$P$1001,MATCH(ROWS($N$2:N540),$N$2:$N$1001,0),0), INDEX($U$1004:$AC$1004,1,MATCH(COLUMNS($U$1006:AB1006),$U$1006:$AC$1006,0)))),"Fix")))</f>
        <v>0</v>
      </c>
      <c r="J540" s="3">
        <f>IF(OR(INDEX($O$2:$O$1001,MATCH(ROWS($N$2:N540),$N$2:$N$1001,0),1)&gt;=100000,INDEX($U$1005:$AC$1005,1,MATCH(COLUMNS($U$1006:AC1006),$U$1006:$AC$1006,0))&gt;=100000), " ",IF(INDEX($U$2:$AC$1001,MATCH(ROWS($N$2:N540),$N$2:$N$1001,0),MATCH(COLUMNS($U$1006:AC1006),$U$1006:$AC$1006,0)), HYPERLINK("#",""), HYPERLINK(CONCATENATE("#metadata!", ADDRESS(INDEX($P$2:$P$1001,MATCH(ROWS($N$2:N540),$N$2:$N$1001,0),0), INDEX($U$1004:$AC$1004,1,MATCH(COLUMNS($U$1006:AC1006),$U$1006:$AC$1006,0)))),"Fix")))</f>
        <v>0</v>
      </c>
      <c r="N540">
        <v>0</v>
      </c>
      <c r="O540">
        <v>0</v>
      </c>
      <c r="P540">
        <v>0</v>
      </c>
      <c r="Q540">
        <f>IF(R540,TRUE,AND(U540:AC540))</f>
        <v>0</v>
      </c>
      <c r="R540">
        <f>COUNTBLANK(metadata!B540:J540)=COLUMNS(metadata!B540:J540)</f>
        <v>0</v>
      </c>
      <c r="S540">
        <v>0</v>
      </c>
      <c r="U540">
        <f>AND(IF(metadata!B540="",FALSE,TRUE),COUNTIF(metadata!B:B, metadata!B540) = 1,NOT(ISERROR(SUMPRODUCT(SEARCH(MID(metadata!B540,ROW(INDIRECT("1:"&amp;LEN(metadata!B540))), 1),"0123456789abcdefghijklmnopqrstuvwxyzABCDEFGHIJKLMNOPQRSTUVWXYZ.")))))</f>
        <v>0</v>
      </c>
      <c r="V540">
        <f>AND(IF(metadata!C540="",FALSE,TRUE),exact(metadata!C540,"UBERON:genitourinary"))</f>
        <v>0</v>
      </c>
      <c r="W540">
        <f>AND(IF(metadata!D540="",FALSE,TRUE),exact(metadata!D540,"UBERON:urine"))</f>
        <v>0</v>
      </c>
      <c r="X540">
        <f>AND(IF(metadata!E540="",FALSE,TRUE),exact(metadata!E540,"UBERON:kidney"))</f>
        <v>0</v>
      </c>
      <c r="Y540">
        <f>AND(IF(metadata!F540="",FALSE,TRUE),exact(metadata!F540,"animal corpus"))</f>
        <v>0</v>
      </c>
      <c r="Z540">
        <f>AND(IF(metadata!G540="",FALSE,TRUE),exact(metadata!G540,"urine"))</f>
        <v>0</v>
      </c>
      <c r="AA540">
        <f>AND(IF(metadata!H540="",FALSE,TRUE),exact(metadata!H540,"urine"))</f>
        <v>0</v>
      </c>
      <c r="AB540">
        <f>AND(IF(metadata!I540="",FALSE,TRUE),exact(metadata!I540,"urine metagenome"))</f>
        <v>0</v>
      </c>
      <c r="AC540">
        <f>AND(IF(metadata!J540="",FALSE,TRUE),exact(metadata!J540,"1346744"))</f>
        <v>0</v>
      </c>
    </row>
    <row r="541" spans="1:29">
      <c r="A541" s="4">
        <f>IF(B541=" "," ",HYPERLINK(CONCATENATE("#metadata!",ADDRESS(INDEX($P$2:$P$1001,MATCH(ROWS($N$2:N541),$N$2:$N$1001,0),0),1)),INDEX($S$2:$S$1001,MATCH(ROWS($N$2:N541),$N$2:$N$1001,0),0)))</f>
        <v>0</v>
      </c>
      <c r="B541" s="3">
        <f>IF(OR(INDEX($O$2:$O$1001,MATCH(ROWS($N$2:N541),$N$2:$N$1001,0),1)&gt;=100000,INDEX($U$1005:$AC$1005,1,MATCH(COLUMNS($U$1006:U1006),$U$1006:$AC$1006,0))&gt;=100000), " ",IF(INDEX($U$2:$AC$1001,MATCH(ROWS($N$2:N541),$N$2:$N$1001,0),MATCH(COLUMNS($U$1006:U1006),$U$1006:$AC$1006,0)), HYPERLINK("#",""), HYPERLINK(CONCATENATE("#metadata!", ADDRESS(INDEX($P$2:$P$1001,MATCH(ROWS($N$2:N541),$N$2:$N$1001,0),0), INDEX($U$1004:$AC$1004,1,MATCH(COLUMNS($U$1006:U1006),$U$1006:$AC$1006,0)))),"Fix")))</f>
        <v>0</v>
      </c>
      <c r="C541" s="3">
        <f>IF(OR(INDEX($O$2:$O$1001,MATCH(ROWS($N$2:N541),$N$2:$N$1001,0),1)&gt;=100000,INDEX($U$1005:$AC$1005,1,MATCH(COLUMNS($U$1006:V1006),$U$1006:$AC$1006,0))&gt;=100000), " ",IF(INDEX($U$2:$AC$1001,MATCH(ROWS($N$2:N541),$N$2:$N$1001,0),MATCH(COLUMNS($U$1006:V1006),$U$1006:$AC$1006,0)), HYPERLINK("#",""), HYPERLINK(CONCATENATE("#metadata!", ADDRESS(INDEX($P$2:$P$1001,MATCH(ROWS($N$2:N541),$N$2:$N$1001,0),0), INDEX($U$1004:$AC$1004,1,MATCH(COLUMNS($U$1006:V1006),$U$1006:$AC$1006,0)))),"Fix")))</f>
        <v>0</v>
      </c>
      <c r="D541" s="3">
        <f>IF(OR(INDEX($O$2:$O$1001,MATCH(ROWS($N$2:N541),$N$2:$N$1001,0),1)&gt;=100000,INDEX($U$1005:$AC$1005,1,MATCH(COLUMNS($U$1006:W1006),$U$1006:$AC$1006,0))&gt;=100000), " ",IF(INDEX($U$2:$AC$1001,MATCH(ROWS($N$2:N541),$N$2:$N$1001,0),MATCH(COLUMNS($U$1006:W1006),$U$1006:$AC$1006,0)), HYPERLINK("#",""), HYPERLINK(CONCATENATE("#metadata!", ADDRESS(INDEX($P$2:$P$1001,MATCH(ROWS($N$2:N541),$N$2:$N$1001,0),0), INDEX($U$1004:$AC$1004,1,MATCH(COLUMNS($U$1006:W1006),$U$1006:$AC$1006,0)))),"Fix")))</f>
        <v>0</v>
      </c>
      <c r="E541" s="3">
        <f>IF(OR(INDEX($O$2:$O$1001,MATCH(ROWS($N$2:N541),$N$2:$N$1001,0),1)&gt;=100000,INDEX($U$1005:$AC$1005,1,MATCH(COLUMNS($U$1006:X1006),$U$1006:$AC$1006,0))&gt;=100000), " ",IF(INDEX($U$2:$AC$1001,MATCH(ROWS($N$2:N541),$N$2:$N$1001,0),MATCH(COLUMNS($U$1006:X1006),$U$1006:$AC$1006,0)), HYPERLINK("#",""), HYPERLINK(CONCATENATE("#metadata!", ADDRESS(INDEX($P$2:$P$1001,MATCH(ROWS($N$2:N541),$N$2:$N$1001,0),0), INDEX($U$1004:$AC$1004,1,MATCH(COLUMNS($U$1006:X1006),$U$1006:$AC$1006,0)))),"Fix")))</f>
        <v>0</v>
      </c>
      <c r="F541" s="3">
        <f>IF(OR(INDEX($O$2:$O$1001,MATCH(ROWS($N$2:N541),$N$2:$N$1001,0),1)&gt;=100000,INDEX($U$1005:$AC$1005,1,MATCH(COLUMNS($U$1006:Y1006),$U$1006:$AC$1006,0))&gt;=100000), " ",IF(INDEX($U$2:$AC$1001,MATCH(ROWS($N$2:N541),$N$2:$N$1001,0),MATCH(COLUMNS($U$1006:Y1006),$U$1006:$AC$1006,0)), HYPERLINK("#",""), HYPERLINK(CONCATENATE("#metadata!", ADDRESS(INDEX($P$2:$P$1001,MATCH(ROWS($N$2:N541),$N$2:$N$1001,0),0), INDEX($U$1004:$AC$1004,1,MATCH(COLUMNS($U$1006:Y1006),$U$1006:$AC$1006,0)))),"Fix")))</f>
        <v>0</v>
      </c>
      <c r="G541" s="3">
        <f>IF(OR(INDEX($O$2:$O$1001,MATCH(ROWS($N$2:N541),$N$2:$N$1001,0),1)&gt;=100000,INDEX($U$1005:$AC$1005,1,MATCH(COLUMNS($U$1006:Z1006),$U$1006:$AC$1006,0))&gt;=100000), " ",IF(INDEX($U$2:$AC$1001,MATCH(ROWS($N$2:N541),$N$2:$N$1001,0),MATCH(COLUMNS($U$1006:Z1006),$U$1006:$AC$1006,0)), HYPERLINK("#",""), HYPERLINK(CONCATENATE("#metadata!", ADDRESS(INDEX($P$2:$P$1001,MATCH(ROWS($N$2:N541),$N$2:$N$1001,0),0), INDEX($U$1004:$AC$1004,1,MATCH(COLUMNS($U$1006:Z1006),$U$1006:$AC$1006,0)))),"Fix")))</f>
        <v>0</v>
      </c>
      <c r="H541" s="3">
        <f>IF(OR(INDEX($O$2:$O$1001,MATCH(ROWS($N$2:N541),$N$2:$N$1001,0),1)&gt;=100000,INDEX($U$1005:$AC$1005,1,MATCH(COLUMNS($U$1006:AA1006),$U$1006:$AC$1006,0))&gt;=100000), " ",IF(INDEX($U$2:$AC$1001,MATCH(ROWS($N$2:N541),$N$2:$N$1001,0),MATCH(COLUMNS($U$1006:AA1006),$U$1006:$AC$1006,0)), HYPERLINK("#",""), HYPERLINK(CONCATENATE("#metadata!", ADDRESS(INDEX($P$2:$P$1001,MATCH(ROWS($N$2:N541),$N$2:$N$1001,0),0), INDEX($U$1004:$AC$1004,1,MATCH(COLUMNS($U$1006:AA1006),$U$1006:$AC$1006,0)))),"Fix")))</f>
        <v>0</v>
      </c>
      <c r="I541" s="3">
        <f>IF(OR(INDEX($O$2:$O$1001,MATCH(ROWS($N$2:N541),$N$2:$N$1001,0),1)&gt;=100000,INDEX($U$1005:$AC$1005,1,MATCH(COLUMNS($U$1006:AB1006),$U$1006:$AC$1006,0))&gt;=100000), " ",IF(INDEX($U$2:$AC$1001,MATCH(ROWS($N$2:N541),$N$2:$N$1001,0),MATCH(COLUMNS($U$1006:AB1006),$U$1006:$AC$1006,0)), HYPERLINK("#",""), HYPERLINK(CONCATENATE("#metadata!", ADDRESS(INDEX($P$2:$P$1001,MATCH(ROWS($N$2:N541),$N$2:$N$1001,0),0), INDEX($U$1004:$AC$1004,1,MATCH(COLUMNS($U$1006:AB1006),$U$1006:$AC$1006,0)))),"Fix")))</f>
        <v>0</v>
      </c>
      <c r="J541" s="3">
        <f>IF(OR(INDEX($O$2:$O$1001,MATCH(ROWS($N$2:N541),$N$2:$N$1001,0),1)&gt;=100000,INDEX($U$1005:$AC$1005,1,MATCH(COLUMNS($U$1006:AC1006),$U$1006:$AC$1006,0))&gt;=100000), " ",IF(INDEX($U$2:$AC$1001,MATCH(ROWS($N$2:N541),$N$2:$N$1001,0),MATCH(COLUMNS($U$1006:AC1006),$U$1006:$AC$1006,0)), HYPERLINK("#",""), HYPERLINK(CONCATENATE("#metadata!", ADDRESS(INDEX($P$2:$P$1001,MATCH(ROWS($N$2:N541),$N$2:$N$1001,0),0), INDEX($U$1004:$AC$1004,1,MATCH(COLUMNS($U$1006:AC1006),$U$1006:$AC$1006,0)))),"Fix")))</f>
        <v>0</v>
      </c>
      <c r="N541">
        <v>0</v>
      </c>
      <c r="O541">
        <v>0</v>
      </c>
      <c r="P541">
        <v>0</v>
      </c>
      <c r="Q541">
        <f>IF(R541,TRUE,AND(U541:AC541))</f>
        <v>0</v>
      </c>
      <c r="R541">
        <f>COUNTBLANK(metadata!B541:J541)=COLUMNS(metadata!B541:J541)</f>
        <v>0</v>
      </c>
      <c r="S541">
        <v>0</v>
      </c>
      <c r="U541">
        <f>AND(IF(metadata!B541="",FALSE,TRUE),COUNTIF(metadata!B:B, metadata!B541) = 1,NOT(ISERROR(SUMPRODUCT(SEARCH(MID(metadata!B541,ROW(INDIRECT("1:"&amp;LEN(metadata!B541))), 1),"0123456789abcdefghijklmnopqrstuvwxyzABCDEFGHIJKLMNOPQRSTUVWXYZ.")))))</f>
        <v>0</v>
      </c>
      <c r="V541">
        <f>AND(IF(metadata!C541="",FALSE,TRUE),exact(metadata!C541,"UBERON:genitourinary"))</f>
        <v>0</v>
      </c>
      <c r="W541">
        <f>AND(IF(metadata!D541="",FALSE,TRUE),exact(metadata!D541,"UBERON:urine"))</f>
        <v>0</v>
      </c>
      <c r="X541">
        <f>AND(IF(metadata!E541="",FALSE,TRUE),exact(metadata!E541,"UBERON:kidney"))</f>
        <v>0</v>
      </c>
      <c r="Y541">
        <f>AND(IF(metadata!F541="",FALSE,TRUE),exact(metadata!F541,"animal corpus"))</f>
        <v>0</v>
      </c>
      <c r="Z541">
        <f>AND(IF(metadata!G541="",FALSE,TRUE),exact(metadata!G541,"urine"))</f>
        <v>0</v>
      </c>
      <c r="AA541">
        <f>AND(IF(metadata!H541="",FALSE,TRUE),exact(metadata!H541,"urine"))</f>
        <v>0</v>
      </c>
      <c r="AB541">
        <f>AND(IF(metadata!I541="",FALSE,TRUE),exact(metadata!I541,"urine metagenome"))</f>
        <v>0</v>
      </c>
      <c r="AC541">
        <f>AND(IF(metadata!J541="",FALSE,TRUE),exact(metadata!J541,"1346744"))</f>
        <v>0</v>
      </c>
    </row>
    <row r="542" spans="1:29">
      <c r="A542" s="4">
        <f>IF(B542=" "," ",HYPERLINK(CONCATENATE("#metadata!",ADDRESS(INDEX($P$2:$P$1001,MATCH(ROWS($N$2:N542),$N$2:$N$1001,0),0),1)),INDEX($S$2:$S$1001,MATCH(ROWS($N$2:N542),$N$2:$N$1001,0),0)))</f>
        <v>0</v>
      </c>
      <c r="B542" s="3">
        <f>IF(OR(INDEX($O$2:$O$1001,MATCH(ROWS($N$2:N542),$N$2:$N$1001,0),1)&gt;=100000,INDEX($U$1005:$AC$1005,1,MATCH(COLUMNS($U$1006:U1006),$U$1006:$AC$1006,0))&gt;=100000), " ",IF(INDEX($U$2:$AC$1001,MATCH(ROWS($N$2:N542),$N$2:$N$1001,0),MATCH(COLUMNS($U$1006:U1006),$U$1006:$AC$1006,0)), HYPERLINK("#",""), HYPERLINK(CONCATENATE("#metadata!", ADDRESS(INDEX($P$2:$P$1001,MATCH(ROWS($N$2:N542),$N$2:$N$1001,0),0), INDEX($U$1004:$AC$1004,1,MATCH(COLUMNS($U$1006:U1006),$U$1006:$AC$1006,0)))),"Fix")))</f>
        <v>0</v>
      </c>
      <c r="C542" s="3">
        <f>IF(OR(INDEX($O$2:$O$1001,MATCH(ROWS($N$2:N542),$N$2:$N$1001,0),1)&gt;=100000,INDEX($U$1005:$AC$1005,1,MATCH(COLUMNS($U$1006:V1006),$U$1006:$AC$1006,0))&gt;=100000), " ",IF(INDEX($U$2:$AC$1001,MATCH(ROWS($N$2:N542),$N$2:$N$1001,0),MATCH(COLUMNS($U$1006:V1006),$U$1006:$AC$1006,0)), HYPERLINK("#",""), HYPERLINK(CONCATENATE("#metadata!", ADDRESS(INDEX($P$2:$P$1001,MATCH(ROWS($N$2:N542),$N$2:$N$1001,0),0), INDEX($U$1004:$AC$1004,1,MATCH(COLUMNS($U$1006:V1006),$U$1006:$AC$1006,0)))),"Fix")))</f>
        <v>0</v>
      </c>
      <c r="D542" s="3">
        <f>IF(OR(INDEX($O$2:$O$1001,MATCH(ROWS($N$2:N542),$N$2:$N$1001,0),1)&gt;=100000,INDEX($U$1005:$AC$1005,1,MATCH(COLUMNS($U$1006:W1006),$U$1006:$AC$1006,0))&gt;=100000), " ",IF(INDEX($U$2:$AC$1001,MATCH(ROWS($N$2:N542),$N$2:$N$1001,0),MATCH(COLUMNS($U$1006:W1006),$U$1006:$AC$1006,0)), HYPERLINK("#",""), HYPERLINK(CONCATENATE("#metadata!", ADDRESS(INDEX($P$2:$P$1001,MATCH(ROWS($N$2:N542),$N$2:$N$1001,0),0), INDEX($U$1004:$AC$1004,1,MATCH(COLUMNS($U$1006:W1006),$U$1006:$AC$1006,0)))),"Fix")))</f>
        <v>0</v>
      </c>
      <c r="E542" s="3">
        <f>IF(OR(INDEX($O$2:$O$1001,MATCH(ROWS($N$2:N542),$N$2:$N$1001,0),1)&gt;=100000,INDEX($U$1005:$AC$1005,1,MATCH(COLUMNS($U$1006:X1006),$U$1006:$AC$1006,0))&gt;=100000), " ",IF(INDEX($U$2:$AC$1001,MATCH(ROWS($N$2:N542),$N$2:$N$1001,0),MATCH(COLUMNS($U$1006:X1006),$U$1006:$AC$1006,0)), HYPERLINK("#",""), HYPERLINK(CONCATENATE("#metadata!", ADDRESS(INDEX($P$2:$P$1001,MATCH(ROWS($N$2:N542),$N$2:$N$1001,0),0), INDEX($U$1004:$AC$1004,1,MATCH(COLUMNS($U$1006:X1006),$U$1006:$AC$1006,0)))),"Fix")))</f>
        <v>0</v>
      </c>
      <c r="F542" s="3">
        <f>IF(OR(INDEX($O$2:$O$1001,MATCH(ROWS($N$2:N542),$N$2:$N$1001,0),1)&gt;=100000,INDEX($U$1005:$AC$1005,1,MATCH(COLUMNS($U$1006:Y1006),$U$1006:$AC$1006,0))&gt;=100000), " ",IF(INDEX($U$2:$AC$1001,MATCH(ROWS($N$2:N542),$N$2:$N$1001,0),MATCH(COLUMNS($U$1006:Y1006),$U$1006:$AC$1006,0)), HYPERLINK("#",""), HYPERLINK(CONCATENATE("#metadata!", ADDRESS(INDEX($P$2:$P$1001,MATCH(ROWS($N$2:N542),$N$2:$N$1001,0),0), INDEX($U$1004:$AC$1004,1,MATCH(COLUMNS($U$1006:Y1006),$U$1006:$AC$1006,0)))),"Fix")))</f>
        <v>0</v>
      </c>
      <c r="G542" s="3">
        <f>IF(OR(INDEX($O$2:$O$1001,MATCH(ROWS($N$2:N542),$N$2:$N$1001,0),1)&gt;=100000,INDEX($U$1005:$AC$1005,1,MATCH(COLUMNS($U$1006:Z1006),$U$1006:$AC$1006,0))&gt;=100000), " ",IF(INDEX($U$2:$AC$1001,MATCH(ROWS($N$2:N542),$N$2:$N$1001,0),MATCH(COLUMNS($U$1006:Z1006),$U$1006:$AC$1006,0)), HYPERLINK("#",""), HYPERLINK(CONCATENATE("#metadata!", ADDRESS(INDEX($P$2:$P$1001,MATCH(ROWS($N$2:N542),$N$2:$N$1001,0),0), INDEX($U$1004:$AC$1004,1,MATCH(COLUMNS($U$1006:Z1006),$U$1006:$AC$1006,0)))),"Fix")))</f>
        <v>0</v>
      </c>
      <c r="H542" s="3">
        <f>IF(OR(INDEX($O$2:$O$1001,MATCH(ROWS($N$2:N542),$N$2:$N$1001,0),1)&gt;=100000,INDEX($U$1005:$AC$1005,1,MATCH(COLUMNS($U$1006:AA1006),$U$1006:$AC$1006,0))&gt;=100000), " ",IF(INDEX($U$2:$AC$1001,MATCH(ROWS($N$2:N542),$N$2:$N$1001,0),MATCH(COLUMNS($U$1006:AA1006),$U$1006:$AC$1006,0)), HYPERLINK("#",""), HYPERLINK(CONCATENATE("#metadata!", ADDRESS(INDEX($P$2:$P$1001,MATCH(ROWS($N$2:N542),$N$2:$N$1001,0),0), INDEX($U$1004:$AC$1004,1,MATCH(COLUMNS($U$1006:AA1006),$U$1006:$AC$1006,0)))),"Fix")))</f>
        <v>0</v>
      </c>
      <c r="I542" s="3">
        <f>IF(OR(INDEX($O$2:$O$1001,MATCH(ROWS($N$2:N542),$N$2:$N$1001,0),1)&gt;=100000,INDEX($U$1005:$AC$1005,1,MATCH(COLUMNS($U$1006:AB1006),$U$1006:$AC$1006,0))&gt;=100000), " ",IF(INDEX($U$2:$AC$1001,MATCH(ROWS($N$2:N542),$N$2:$N$1001,0),MATCH(COLUMNS($U$1006:AB1006),$U$1006:$AC$1006,0)), HYPERLINK("#",""), HYPERLINK(CONCATENATE("#metadata!", ADDRESS(INDEX($P$2:$P$1001,MATCH(ROWS($N$2:N542),$N$2:$N$1001,0),0), INDEX($U$1004:$AC$1004,1,MATCH(COLUMNS($U$1006:AB1006),$U$1006:$AC$1006,0)))),"Fix")))</f>
        <v>0</v>
      </c>
      <c r="J542" s="3">
        <f>IF(OR(INDEX($O$2:$O$1001,MATCH(ROWS($N$2:N542),$N$2:$N$1001,0),1)&gt;=100000,INDEX($U$1005:$AC$1005,1,MATCH(COLUMNS($U$1006:AC1006),$U$1006:$AC$1006,0))&gt;=100000), " ",IF(INDEX($U$2:$AC$1001,MATCH(ROWS($N$2:N542),$N$2:$N$1001,0),MATCH(COLUMNS($U$1006:AC1006),$U$1006:$AC$1006,0)), HYPERLINK("#",""), HYPERLINK(CONCATENATE("#metadata!", ADDRESS(INDEX($P$2:$P$1001,MATCH(ROWS($N$2:N542),$N$2:$N$1001,0),0), INDEX($U$1004:$AC$1004,1,MATCH(COLUMNS($U$1006:AC1006),$U$1006:$AC$1006,0)))),"Fix")))</f>
        <v>0</v>
      </c>
      <c r="N542">
        <v>0</v>
      </c>
      <c r="O542">
        <v>0</v>
      </c>
      <c r="P542">
        <v>0</v>
      </c>
      <c r="Q542">
        <f>IF(R542,TRUE,AND(U542:AC542))</f>
        <v>0</v>
      </c>
      <c r="R542">
        <f>COUNTBLANK(metadata!B542:J542)=COLUMNS(metadata!B542:J542)</f>
        <v>0</v>
      </c>
      <c r="S542">
        <v>0</v>
      </c>
      <c r="U542">
        <f>AND(IF(metadata!B542="",FALSE,TRUE),COUNTIF(metadata!B:B, metadata!B542) = 1,NOT(ISERROR(SUMPRODUCT(SEARCH(MID(metadata!B542,ROW(INDIRECT("1:"&amp;LEN(metadata!B542))), 1),"0123456789abcdefghijklmnopqrstuvwxyzABCDEFGHIJKLMNOPQRSTUVWXYZ.")))))</f>
        <v>0</v>
      </c>
      <c r="V542">
        <f>AND(IF(metadata!C542="",FALSE,TRUE),exact(metadata!C542,"UBERON:genitourinary"))</f>
        <v>0</v>
      </c>
      <c r="W542">
        <f>AND(IF(metadata!D542="",FALSE,TRUE),exact(metadata!D542,"UBERON:urine"))</f>
        <v>0</v>
      </c>
      <c r="X542">
        <f>AND(IF(metadata!E542="",FALSE,TRUE),exact(metadata!E542,"UBERON:kidney"))</f>
        <v>0</v>
      </c>
      <c r="Y542">
        <f>AND(IF(metadata!F542="",FALSE,TRUE),exact(metadata!F542,"animal corpus"))</f>
        <v>0</v>
      </c>
      <c r="Z542">
        <f>AND(IF(metadata!G542="",FALSE,TRUE),exact(metadata!G542,"urine"))</f>
        <v>0</v>
      </c>
      <c r="AA542">
        <f>AND(IF(metadata!H542="",FALSE,TRUE),exact(metadata!H542,"urine"))</f>
        <v>0</v>
      </c>
      <c r="AB542">
        <f>AND(IF(metadata!I542="",FALSE,TRUE),exact(metadata!I542,"urine metagenome"))</f>
        <v>0</v>
      </c>
      <c r="AC542">
        <f>AND(IF(metadata!J542="",FALSE,TRUE),exact(metadata!J542,"1346744"))</f>
        <v>0</v>
      </c>
    </row>
    <row r="543" spans="1:29">
      <c r="A543" s="4">
        <f>IF(B543=" "," ",HYPERLINK(CONCATENATE("#metadata!",ADDRESS(INDEX($P$2:$P$1001,MATCH(ROWS($N$2:N543),$N$2:$N$1001,0),0),1)),INDEX($S$2:$S$1001,MATCH(ROWS($N$2:N543),$N$2:$N$1001,0),0)))</f>
        <v>0</v>
      </c>
      <c r="B543" s="3">
        <f>IF(OR(INDEX($O$2:$O$1001,MATCH(ROWS($N$2:N543),$N$2:$N$1001,0),1)&gt;=100000,INDEX($U$1005:$AC$1005,1,MATCH(COLUMNS($U$1006:U1006),$U$1006:$AC$1006,0))&gt;=100000), " ",IF(INDEX($U$2:$AC$1001,MATCH(ROWS($N$2:N543),$N$2:$N$1001,0),MATCH(COLUMNS($U$1006:U1006),$U$1006:$AC$1006,0)), HYPERLINK("#",""), HYPERLINK(CONCATENATE("#metadata!", ADDRESS(INDEX($P$2:$P$1001,MATCH(ROWS($N$2:N543),$N$2:$N$1001,0),0), INDEX($U$1004:$AC$1004,1,MATCH(COLUMNS($U$1006:U1006),$U$1006:$AC$1006,0)))),"Fix")))</f>
        <v>0</v>
      </c>
      <c r="C543" s="3">
        <f>IF(OR(INDEX($O$2:$O$1001,MATCH(ROWS($N$2:N543),$N$2:$N$1001,0),1)&gt;=100000,INDEX($U$1005:$AC$1005,1,MATCH(COLUMNS($U$1006:V1006),$U$1006:$AC$1006,0))&gt;=100000), " ",IF(INDEX($U$2:$AC$1001,MATCH(ROWS($N$2:N543),$N$2:$N$1001,0),MATCH(COLUMNS($U$1006:V1006),$U$1006:$AC$1006,0)), HYPERLINK("#",""), HYPERLINK(CONCATENATE("#metadata!", ADDRESS(INDEX($P$2:$P$1001,MATCH(ROWS($N$2:N543),$N$2:$N$1001,0),0), INDEX($U$1004:$AC$1004,1,MATCH(COLUMNS($U$1006:V1006),$U$1006:$AC$1006,0)))),"Fix")))</f>
        <v>0</v>
      </c>
      <c r="D543" s="3">
        <f>IF(OR(INDEX($O$2:$O$1001,MATCH(ROWS($N$2:N543),$N$2:$N$1001,0),1)&gt;=100000,INDEX($U$1005:$AC$1005,1,MATCH(COLUMNS($U$1006:W1006),$U$1006:$AC$1006,0))&gt;=100000), " ",IF(INDEX($U$2:$AC$1001,MATCH(ROWS($N$2:N543),$N$2:$N$1001,0),MATCH(COLUMNS($U$1006:W1006),$U$1006:$AC$1006,0)), HYPERLINK("#",""), HYPERLINK(CONCATENATE("#metadata!", ADDRESS(INDEX($P$2:$P$1001,MATCH(ROWS($N$2:N543),$N$2:$N$1001,0),0), INDEX($U$1004:$AC$1004,1,MATCH(COLUMNS($U$1006:W1006),$U$1006:$AC$1006,0)))),"Fix")))</f>
        <v>0</v>
      </c>
      <c r="E543" s="3">
        <f>IF(OR(INDEX($O$2:$O$1001,MATCH(ROWS($N$2:N543),$N$2:$N$1001,0),1)&gt;=100000,INDEX($U$1005:$AC$1005,1,MATCH(COLUMNS($U$1006:X1006),$U$1006:$AC$1006,0))&gt;=100000), " ",IF(INDEX($U$2:$AC$1001,MATCH(ROWS($N$2:N543),$N$2:$N$1001,0),MATCH(COLUMNS($U$1006:X1006),$U$1006:$AC$1006,0)), HYPERLINK("#",""), HYPERLINK(CONCATENATE("#metadata!", ADDRESS(INDEX($P$2:$P$1001,MATCH(ROWS($N$2:N543),$N$2:$N$1001,0),0), INDEX($U$1004:$AC$1004,1,MATCH(COLUMNS($U$1006:X1006),$U$1006:$AC$1006,0)))),"Fix")))</f>
        <v>0</v>
      </c>
      <c r="F543" s="3">
        <f>IF(OR(INDEX($O$2:$O$1001,MATCH(ROWS($N$2:N543),$N$2:$N$1001,0),1)&gt;=100000,INDEX($U$1005:$AC$1005,1,MATCH(COLUMNS($U$1006:Y1006),$U$1006:$AC$1006,0))&gt;=100000), " ",IF(INDEX($U$2:$AC$1001,MATCH(ROWS($N$2:N543),$N$2:$N$1001,0),MATCH(COLUMNS($U$1006:Y1006),$U$1006:$AC$1006,0)), HYPERLINK("#",""), HYPERLINK(CONCATENATE("#metadata!", ADDRESS(INDEX($P$2:$P$1001,MATCH(ROWS($N$2:N543),$N$2:$N$1001,0),0), INDEX($U$1004:$AC$1004,1,MATCH(COLUMNS($U$1006:Y1006),$U$1006:$AC$1006,0)))),"Fix")))</f>
        <v>0</v>
      </c>
      <c r="G543" s="3">
        <f>IF(OR(INDEX($O$2:$O$1001,MATCH(ROWS($N$2:N543),$N$2:$N$1001,0),1)&gt;=100000,INDEX($U$1005:$AC$1005,1,MATCH(COLUMNS($U$1006:Z1006),$U$1006:$AC$1006,0))&gt;=100000), " ",IF(INDEX($U$2:$AC$1001,MATCH(ROWS($N$2:N543),$N$2:$N$1001,0),MATCH(COLUMNS($U$1006:Z1006),$U$1006:$AC$1006,0)), HYPERLINK("#",""), HYPERLINK(CONCATENATE("#metadata!", ADDRESS(INDEX($P$2:$P$1001,MATCH(ROWS($N$2:N543),$N$2:$N$1001,0),0), INDEX($U$1004:$AC$1004,1,MATCH(COLUMNS($U$1006:Z1006),$U$1006:$AC$1006,0)))),"Fix")))</f>
        <v>0</v>
      </c>
      <c r="H543" s="3">
        <f>IF(OR(INDEX($O$2:$O$1001,MATCH(ROWS($N$2:N543),$N$2:$N$1001,0),1)&gt;=100000,INDEX($U$1005:$AC$1005,1,MATCH(COLUMNS($U$1006:AA1006),$U$1006:$AC$1006,0))&gt;=100000), " ",IF(INDEX($U$2:$AC$1001,MATCH(ROWS($N$2:N543),$N$2:$N$1001,0),MATCH(COLUMNS($U$1006:AA1006),$U$1006:$AC$1006,0)), HYPERLINK("#",""), HYPERLINK(CONCATENATE("#metadata!", ADDRESS(INDEX($P$2:$P$1001,MATCH(ROWS($N$2:N543),$N$2:$N$1001,0),0), INDEX($U$1004:$AC$1004,1,MATCH(COLUMNS($U$1006:AA1006),$U$1006:$AC$1006,0)))),"Fix")))</f>
        <v>0</v>
      </c>
      <c r="I543" s="3">
        <f>IF(OR(INDEX($O$2:$O$1001,MATCH(ROWS($N$2:N543),$N$2:$N$1001,0),1)&gt;=100000,INDEX($U$1005:$AC$1005,1,MATCH(COLUMNS($U$1006:AB1006),$U$1006:$AC$1006,0))&gt;=100000), " ",IF(INDEX($U$2:$AC$1001,MATCH(ROWS($N$2:N543),$N$2:$N$1001,0),MATCH(COLUMNS($U$1006:AB1006),$U$1006:$AC$1006,0)), HYPERLINK("#",""), HYPERLINK(CONCATENATE("#metadata!", ADDRESS(INDEX($P$2:$P$1001,MATCH(ROWS($N$2:N543),$N$2:$N$1001,0),0), INDEX($U$1004:$AC$1004,1,MATCH(COLUMNS($U$1006:AB1006),$U$1006:$AC$1006,0)))),"Fix")))</f>
        <v>0</v>
      </c>
      <c r="J543" s="3">
        <f>IF(OR(INDEX($O$2:$O$1001,MATCH(ROWS($N$2:N543),$N$2:$N$1001,0),1)&gt;=100000,INDEX($U$1005:$AC$1005,1,MATCH(COLUMNS($U$1006:AC1006),$U$1006:$AC$1006,0))&gt;=100000), " ",IF(INDEX($U$2:$AC$1001,MATCH(ROWS($N$2:N543),$N$2:$N$1001,0),MATCH(COLUMNS($U$1006:AC1006),$U$1006:$AC$1006,0)), HYPERLINK("#",""), HYPERLINK(CONCATENATE("#metadata!", ADDRESS(INDEX($P$2:$P$1001,MATCH(ROWS($N$2:N543),$N$2:$N$1001,0),0), INDEX($U$1004:$AC$1004,1,MATCH(COLUMNS($U$1006:AC1006),$U$1006:$AC$1006,0)))),"Fix")))</f>
        <v>0</v>
      </c>
      <c r="N543">
        <v>0</v>
      </c>
      <c r="O543">
        <v>0</v>
      </c>
      <c r="P543">
        <v>0</v>
      </c>
      <c r="Q543">
        <f>IF(R543,TRUE,AND(U543:AC543))</f>
        <v>0</v>
      </c>
      <c r="R543">
        <f>COUNTBLANK(metadata!B543:J543)=COLUMNS(metadata!B543:J543)</f>
        <v>0</v>
      </c>
      <c r="S543">
        <v>0</v>
      </c>
      <c r="U543">
        <f>AND(IF(metadata!B543="",FALSE,TRUE),COUNTIF(metadata!B:B, metadata!B543) = 1,NOT(ISERROR(SUMPRODUCT(SEARCH(MID(metadata!B543,ROW(INDIRECT("1:"&amp;LEN(metadata!B543))), 1),"0123456789abcdefghijklmnopqrstuvwxyzABCDEFGHIJKLMNOPQRSTUVWXYZ.")))))</f>
        <v>0</v>
      </c>
      <c r="V543">
        <f>AND(IF(metadata!C543="",FALSE,TRUE),exact(metadata!C543,"UBERON:genitourinary"))</f>
        <v>0</v>
      </c>
      <c r="W543">
        <f>AND(IF(metadata!D543="",FALSE,TRUE),exact(metadata!D543,"UBERON:urine"))</f>
        <v>0</v>
      </c>
      <c r="X543">
        <f>AND(IF(metadata!E543="",FALSE,TRUE),exact(metadata!E543,"UBERON:kidney"))</f>
        <v>0</v>
      </c>
      <c r="Y543">
        <f>AND(IF(metadata!F543="",FALSE,TRUE),exact(metadata!F543,"animal corpus"))</f>
        <v>0</v>
      </c>
      <c r="Z543">
        <f>AND(IF(metadata!G543="",FALSE,TRUE),exact(metadata!G543,"urine"))</f>
        <v>0</v>
      </c>
      <c r="AA543">
        <f>AND(IF(metadata!H543="",FALSE,TRUE),exact(metadata!H543,"urine"))</f>
        <v>0</v>
      </c>
      <c r="AB543">
        <f>AND(IF(metadata!I543="",FALSE,TRUE),exact(metadata!I543,"urine metagenome"))</f>
        <v>0</v>
      </c>
      <c r="AC543">
        <f>AND(IF(metadata!J543="",FALSE,TRUE),exact(metadata!J543,"1346744"))</f>
        <v>0</v>
      </c>
    </row>
    <row r="544" spans="1:29">
      <c r="A544" s="4">
        <f>IF(B544=" "," ",HYPERLINK(CONCATENATE("#metadata!",ADDRESS(INDEX($P$2:$P$1001,MATCH(ROWS($N$2:N544),$N$2:$N$1001,0),0),1)),INDEX($S$2:$S$1001,MATCH(ROWS($N$2:N544),$N$2:$N$1001,0),0)))</f>
        <v>0</v>
      </c>
      <c r="B544" s="3">
        <f>IF(OR(INDEX($O$2:$O$1001,MATCH(ROWS($N$2:N544),$N$2:$N$1001,0),1)&gt;=100000,INDEX($U$1005:$AC$1005,1,MATCH(COLUMNS($U$1006:U1006),$U$1006:$AC$1006,0))&gt;=100000), " ",IF(INDEX($U$2:$AC$1001,MATCH(ROWS($N$2:N544),$N$2:$N$1001,0),MATCH(COLUMNS($U$1006:U1006),$U$1006:$AC$1006,0)), HYPERLINK("#",""), HYPERLINK(CONCATENATE("#metadata!", ADDRESS(INDEX($P$2:$P$1001,MATCH(ROWS($N$2:N544),$N$2:$N$1001,0),0), INDEX($U$1004:$AC$1004,1,MATCH(COLUMNS($U$1006:U1006),$U$1006:$AC$1006,0)))),"Fix")))</f>
        <v>0</v>
      </c>
      <c r="C544" s="3">
        <f>IF(OR(INDEX($O$2:$O$1001,MATCH(ROWS($N$2:N544),$N$2:$N$1001,0),1)&gt;=100000,INDEX($U$1005:$AC$1005,1,MATCH(COLUMNS($U$1006:V1006),$U$1006:$AC$1006,0))&gt;=100000), " ",IF(INDEX($U$2:$AC$1001,MATCH(ROWS($N$2:N544),$N$2:$N$1001,0),MATCH(COLUMNS($U$1006:V1006),$U$1006:$AC$1006,0)), HYPERLINK("#",""), HYPERLINK(CONCATENATE("#metadata!", ADDRESS(INDEX($P$2:$P$1001,MATCH(ROWS($N$2:N544),$N$2:$N$1001,0),0), INDEX($U$1004:$AC$1004,1,MATCH(COLUMNS($U$1006:V1006),$U$1006:$AC$1006,0)))),"Fix")))</f>
        <v>0</v>
      </c>
      <c r="D544" s="3">
        <f>IF(OR(INDEX($O$2:$O$1001,MATCH(ROWS($N$2:N544),$N$2:$N$1001,0),1)&gt;=100000,INDEX($U$1005:$AC$1005,1,MATCH(COLUMNS($U$1006:W1006),$U$1006:$AC$1006,0))&gt;=100000), " ",IF(INDEX($U$2:$AC$1001,MATCH(ROWS($N$2:N544),$N$2:$N$1001,0),MATCH(COLUMNS($U$1006:W1006),$U$1006:$AC$1006,0)), HYPERLINK("#",""), HYPERLINK(CONCATENATE("#metadata!", ADDRESS(INDEX($P$2:$P$1001,MATCH(ROWS($N$2:N544),$N$2:$N$1001,0),0), INDEX($U$1004:$AC$1004,1,MATCH(COLUMNS($U$1006:W1006),$U$1006:$AC$1006,0)))),"Fix")))</f>
        <v>0</v>
      </c>
      <c r="E544" s="3">
        <f>IF(OR(INDEX($O$2:$O$1001,MATCH(ROWS($N$2:N544),$N$2:$N$1001,0),1)&gt;=100000,INDEX($U$1005:$AC$1005,1,MATCH(COLUMNS($U$1006:X1006),$U$1006:$AC$1006,0))&gt;=100000), " ",IF(INDEX($U$2:$AC$1001,MATCH(ROWS($N$2:N544),$N$2:$N$1001,0),MATCH(COLUMNS($U$1006:X1006),$U$1006:$AC$1006,0)), HYPERLINK("#",""), HYPERLINK(CONCATENATE("#metadata!", ADDRESS(INDEX($P$2:$P$1001,MATCH(ROWS($N$2:N544),$N$2:$N$1001,0),0), INDEX($U$1004:$AC$1004,1,MATCH(COLUMNS($U$1006:X1006),$U$1006:$AC$1006,0)))),"Fix")))</f>
        <v>0</v>
      </c>
      <c r="F544" s="3">
        <f>IF(OR(INDEX($O$2:$O$1001,MATCH(ROWS($N$2:N544),$N$2:$N$1001,0),1)&gt;=100000,INDEX($U$1005:$AC$1005,1,MATCH(COLUMNS($U$1006:Y1006),$U$1006:$AC$1006,0))&gt;=100000), " ",IF(INDEX($U$2:$AC$1001,MATCH(ROWS($N$2:N544),$N$2:$N$1001,0),MATCH(COLUMNS($U$1006:Y1006),$U$1006:$AC$1006,0)), HYPERLINK("#",""), HYPERLINK(CONCATENATE("#metadata!", ADDRESS(INDEX($P$2:$P$1001,MATCH(ROWS($N$2:N544),$N$2:$N$1001,0),0), INDEX($U$1004:$AC$1004,1,MATCH(COLUMNS($U$1006:Y1006),$U$1006:$AC$1006,0)))),"Fix")))</f>
        <v>0</v>
      </c>
      <c r="G544" s="3">
        <f>IF(OR(INDEX($O$2:$O$1001,MATCH(ROWS($N$2:N544),$N$2:$N$1001,0),1)&gt;=100000,INDEX($U$1005:$AC$1005,1,MATCH(COLUMNS($U$1006:Z1006),$U$1006:$AC$1006,0))&gt;=100000), " ",IF(INDEX($U$2:$AC$1001,MATCH(ROWS($N$2:N544),$N$2:$N$1001,0),MATCH(COLUMNS($U$1006:Z1006),$U$1006:$AC$1006,0)), HYPERLINK("#",""), HYPERLINK(CONCATENATE("#metadata!", ADDRESS(INDEX($P$2:$P$1001,MATCH(ROWS($N$2:N544),$N$2:$N$1001,0),0), INDEX($U$1004:$AC$1004,1,MATCH(COLUMNS($U$1006:Z1006),$U$1006:$AC$1006,0)))),"Fix")))</f>
        <v>0</v>
      </c>
      <c r="H544" s="3">
        <f>IF(OR(INDEX($O$2:$O$1001,MATCH(ROWS($N$2:N544),$N$2:$N$1001,0),1)&gt;=100000,INDEX($U$1005:$AC$1005,1,MATCH(COLUMNS($U$1006:AA1006),$U$1006:$AC$1006,0))&gt;=100000), " ",IF(INDEX($U$2:$AC$1001,MATCH(ROWS($N$2:N544),$N$2:$N$1001,0),MATCH(COLUMNS($U$1006:AA1006),$U$1006:$AC$1006,0)), HYPERLINK("#",""), HYPERLINK(CONCATENATE("#metadata!", ADDRESS(INDEX($P$2:$P$1001,MATCH(ROWS($N$2:N544),$N$2:$N$1001,0),0), INDEX($U$1004:$AC$1004,1,MATCH(COLUMNS($U$1006:AA1006),$U$1006:$AC$1006,0)))),"Fix")))</f>
        <v>0</v>
      </c>
      <c r="I544" s="3">
        <f>IF(OR(INDEX($O$2:$O$1001,MATCH(ROWS($N$2:N544),$N$2:$N$1001,0),1)&gt;=100000,INDEX($U$1005:$AC$1005,1,MATCH(COLUMNS($U$1006:AB1006),$U$1006:$AC$1006,0))&gt;=100000), " ",IF(INDEX($U$2:$AC$1001,MATCH(ROWS($N$2:N544),$N$2:$N$1001,0),MATCH(COLUMNS($U$1006:AB1006),$U$1006:$AC$1006,0)), HYPERLINK("#",""), HYPERLINK(CONCATENATE("#metadata!", ADDRESS(INDEX($P$2:$P$1001,MATCH(ROWS($N$2:N544),$N$2:$N$1001,0),0), INDEX($U$1004:$AC$1004,1,MATCH(COLUMNS($U$1006:AB1006),$U$1006:$AC$1006,0)))),"Fix")))</f>
        <v>0</v>
      </c>
      <c r="J544" s="3">
        <f>IF(OR(INDEX($O$2:$O$1001,MATCH(ROWS($N$2:N544),$N$2:$N$1001,0),1)&gt;=100000,INDEX($U$1005:$AC$1005,1,MATCH(COLUMNS($U$1006:AC1006),$U$1006:$AC$1006,0))&gt;=100000), " ",IF(INDEX($U$2:$AC$1001,MATCH(ROWS($N$2:N544),$N$2:$N$1001,0),MATCH(COLUMNS($U$1006:AC1006),$U$1006:$AC$1006,0)), HYPERLINK("#",""), HYPERLINK(CONCATENATE("#metadata!", ADDRESS(INDEX($P$2:$P$1001,MATCH(ROWS($N$2:N544),$N$2:$N$1001,0),0), INDEX($U$1004:$AC$1004,1,MATCH(COLUMNS($U$1006:AC1006),$U$1006:$AC$1006,0)))),"Fix")))</f>
        <v>0</v>
      </c>
      <c r="N544">
        <v>0</v>
      </c>
      <c r="O544">
        <v>0</v>
      </c>
      <c r="P544">
        <v>0</v>
      </c>
      <c r="Q544">
        <f>IF(R544,TRUE,AND(U544:AC544))</f>
        <v>0</v>
      </c>
      <c r="R544">
        <f>COUNTBLANK(metadata!B544:J544)=COLUMNS(metadata!B544:J544)</f>
        <v>0</v>
      </c>
      <c r="S544">
        <v>0</v>
      </c>
      <c r="U544">
        <f>AND(IF(metadata!B544="",FALSE,TRUE),COUNTIF(metadata!B:B, metadata!B544) = 1,NOT(ISERROR(SUMPRODUCT(SEARCH(MID(metadata!B544,ROW(INDIRECT("1:"&amp;LEN(metadata!B544))), 1),"0123456789abcdefghijklmnopqrstuvwxyzABCDEFGHIJKLMNOPQRSTUVWXYZ.")))))</f>
        <v>0</v>
      </c>
      <c r="V544">
        <f>AND(IF(metadata!C544="",FALSE,TRUE),exact(metadata!C544,"UBERON:genitourinary"))</f>
        <v>0</v>
      </c>
      <c r="W544">
        <f>AND(IF(metadata!D544="",FALSE,TRUE),exact(metadata!D544,"UBERON:urine"))</f>
        <v>0</v>
      </c>
      <c r="X544">
        <f>AND(IF(metadata!E544="",FALSE,TRUE),exact(metadata!E544,"UBERON:kidney"))</f>
        <v>0</v>
      </c>
      <c r="Y544">
        <f>AND(IF(metadata!F544="",FALSE,TRUE),exact(metadata!F544,"animal corpus"))</f>
        <v>0</v>
      </c>
      <c r="Z544">
        <f>AND(IF(metadata!G544="",FALSE,TRUE),exact(metadata!G544,"urine"))</f>
        <v>0</v>
      </c>
      <c r="AA544">
        <f>AND(IF(metadata!H544="",FALSE,TRUE),exact(metadata!H544,"urine"))</f>
        <v>0</v>
      </c>
      <c r="AB544">
        <f>AND(IF(metadata!I544="",FALSE,TRUE),exact(metadata!I544,"urine metagenome"))</f>
        <v>0</v>
      </c>
      <c r="AC544">
        <f>AND(IF(metadata!J544="",FALSE,TRUE),exact(metadata!J544,"1346744"))</f>
        <v>0</v>
      </c>
    </row>
    <row r="545" spans="1:29">
      <c r="A545" s="4">
        <f>IF(B545=" "," ",HYPERLINK(CONCATENATE("#metadata!",ADDRESS(INDEX($P$2:$P$1001,MATCH(ROWS($N$2:N545),$N$2:$N$1001,0),0),1)),INDEX($S$2:$S$1001,MATCH(ROWS($N$2:N545),$N$2:$N$1001,0),0)))</f>
        <v>0</v>
      </c>
      <c r="B545" s="3">
        <f>IF(OR(INDEX($O$2:$O$1001,MATCH(ROWS($N$2:N545),$N$2:$N$1001,0),1)&gt;=100000,INDEX($U$1005:$AC$1005,1,MATCH(COLUMNS($U$1006:U1006),$U$1006:$AC$1006,0))&gt;=100000), " ",IF(INDEX($U$2:$AC$1001,MATCH(ROWS($N$2:N545),$N$2:$N$1001,0),MATCH(COLUMNS($U$1006:U1006),$U$1006:$AC$1006,0)), HYPERLINK("#",""), HYPERLINK(CONCATENATE("#metadata!", ADDRESS(INDEX($P$2:$P$1001,MATCH(ROWS($N$2:N545),$N$2:$N$1001,0),0), INDEX($U$1004:$AC$1004,1,MATCH(COLUMNS($U$1006:U1006),$U$1006:$AC$1006,0)))),"Fix")))</f>
        <v>0</v>
      </c>
      <c r="C545" s="3">
        <f>IF(OR(INDEX($O$2:$O$1001,MATCH(ROWS($N$2:N545),$N$2:$N$1001,0),1)&gt;=100000,INDEX($U$1005:$AC$1005,1,MATCH(COLUMNS($U$1006:V1006),$U$1006:$AC$1006,0))&gt;=100000), " ",IF(INDEX($U$2:$AC$1001,MATCH(ROWS($N$2:N545),$N$2:$N$1001,0),MATCH(COLUMNS($U$1006:V1006),$U$1006:$AC$1006,0)), HYPERLINK("#",""), HYPERLINK(CONCATENATE("#metadata!", ADDRESS(INDEX($P$2:$P$1001,MATCH(ROWS($N$2:N545),$N$2:$N$1001,0),0), INDEX($U$1004:$AC$1004,1,MATCH(COLUMNS($U$1006:V1006),$U$1006:$AC$1006,0)))),"Fix")))</f>
        <v>0</v>
      </c>
      <c r="D545" s="3">
        <f>IF(OR(INDEX($O$2:$O$1001,MATCH(ROWS($N$2:N545),$N$2:$N$1001,0),1)&gt;=100000,INDEX($U$1005:$AC$1005,1,MATCH(COLUMNS($U$1006:W1006),$U$1006:$AC$1006,0))&gt;=100000), " ",IF(INDEX($U$2:$AC$1001,MATCH(ROWS($N$2:N545),$N$2:$N$1001,0),MATCH(COLUMNS($U$1006:W1006),$U$1006:$AC$1006,0)), HYPERLINK("#",""), HYPERLINK(CONCATENATE("#metadata!", ADDRESS(INDEX($P$2:$P$1001,MATCH(ROWS($N$2:N545),$N$2:$N$1001,0),0), INDEX($U$1004:$AC$1004,1,MATCH(COLUMNS($U$1006:W1006),$U$1006:$AC$1006,0)))),"Fix")))</f>
        <v>0</v>
      </c>
      <c r="E545" s="3">
        <f>IF(OR(INDEX($O$2:$O$1001,MATCH(ROWS($N$2:N545),$N$2:$N$1001,0),1)&gt;=100000,INDEX($U$1005:$AC$1005,1,MATCH(COLUMNS($U$1006:X1006),$U$1006:$AC$1006,0))&gt;=100000), " ",IF(INDEX($U$2:$AC$1001,MATCH(ROWS($N$2:N545),$N$2:$N$1001,0),MATCH(COLUMNS($U$1006:X1006),$U$1006:$AC$1006,0)), HYPERLINK("#",""), HYPERLINK(CONCATENATE("#metadata!", ADDRESS(INDEX($P$2:$P$1001,MATCH(ROWS($N$2:N545),$N$2:$N$1001,0),0), INDEX($U$1004:$AC$1004,1,MATCH(COLUMNS($U$1006:X1006),$U$1006:$AC$1006,0)))),"Fix")))</f>
        <v>0</v>
      </c>
      <c r="F545" s="3">
        <f>IF(OR(INDEX($O$2:$O$1001,MATCH(ROWS($N$2:N545),$N$2:$N$1001,0),1)&gt;=100000,INDEX($U$1005:$AC$1005,1,MATCH(COLUMNS($U$1006:Y1006),$U$1006:$AC$1006,0))&gt;=100000), " ",IF(INDEX($U$2:$AC$1001,MATCH(ROWS($N$2:N545),$N$2:$N$1001,0),MATCH(COLUMNS($U$1006:Y1006),$U$1006:$AC$1006,0)), HYPERLINK("#",""), HYPERLINK(CONCATENATE("#metadata!", ADDRESS(INDEX($P$2:$P$1001,MATCH(ROWS($N$2:N545),$N$2:$N$1001,0),0), INDEX($U$1004:$AC$1004,1,MATCH(COLUMNS($U$1006:Y1006),$U$1006:$AC$1006,0)))),"Fix")))</f>
        <v>0</v>
      </c>
      <c r="G545" s="3">
        <f>IF(OR(INDEX($O$2:$O$1001,MATCH(ROWS($N$2:N545),$N$2:$N$1001,0),1)&gt;=100000,INDEX($U$1005:$AC$1005,1,MATCH(COLUMNS($U$1006:Z1006),$U$1006:$AC$1006,0))&gt;=100000), " ",IF(INDEX($U$2:$AC$1001,MATCH(ROWS($N$2:N545),$N$2:$N$1001,0),MATCH(COLUMNS($U$1006:Z1006),$U$1006:$AC$1006,0)), HYPERLINK("#",""), HYPERLINK(CONCATENATE("#metadata!", ADDRESS(INDEX($P$2:$P$1001,MATCH(ROWS($N$2:N545),$N$2:$N$1001,0),0), INDEX($U$1004:$AC$1004,1,MATCH(COLUMNS($U$1006:Z1006),$U$1006:$AC$1006,0)))),"Fix")))</f>
        <v>0</v>
      </c>
      <c r="H545" s="3">
        <f>IF(OR(INDEX($O$2:$O$1001,MATCH(ROWS($N$2:N545),$N$2:$N$1001,0),1)&gt;=100000,INDEX($U$1005:$AC$1005,1,MATCH(COLUMNS($U$1006:AA1006),$U$1006:$AC$1006,0))&gt;=100000), " ",IF(INDEX($U$2:$AC$1001,MATCH(ROWS($N$2:N545),$N$2:$N$1001,0),MATCH(COLUMNS($U$1006:AA1006),$U$1006:$AC$1006,0)), HYPERLINK("#",""), HYPERLINK(CONCATENATE("#metadata!", ADDRESS(INDEX($P$2:$P$1001,MATCH(ROWS($N$2:N545),$N$2:$N$1001,0),0), INDEX($U$1004:$AC$1004,1,MATCH(COLUMNS($U$1006:AA1006),$U$1006:$AC$1006,0)))),"Fix")))</f>
        <v>0</v>
      </c>
      <c r="I545" s="3">
        <f>IF(OR(INDEX($O$2:$O$1001,MATCH(ROWS($N$2:N545),$N$2:$N$1001,0),1)&gt;=100000,INDEX($U$1005:$AC$1005,1,MATCH(COLUMNS($U$1006:AB1006),$U$1006:$AC$1006,0))&gt;=100000), " ",IF(INDEX($U$2:$AC$1001,MATCH(ROWS($N$2:N545),$N$2:$N$1001,0),MATCH(COLUMNS($U$1006:AB1006),$U$1006:$AC$1006,0)), HYPERLINK("#",""), HYPERLINK(CONCATENATE("#metadata!", ADDRESS(INDEX($P$2:$P$1001,MATCH(ROWS($N$2:N545),$N$2:$N$1001,0),0), INDEX($U$1004:$AC$1004,1,MATCH(COLUMNS($U$1006:AB1006),$U$1006:$AC$1006,0)))),"Fix")))</f>
        <v>0</v>
      </c>
      <c r="J545" s="3">
        <f>IF(OR(INDEX($O$2:$O$1001,MATCH(ROWS($N$2:N545),$N$2:$N$1001,0),1)&gt;=100000,INDEX($U$1005:$AC$1005,1,MATCH(COLUMNS($U$1006:AC1006),$U$1006:$AC$1006,0))&gt;=100000), " ",IF(INDEX($U$2:$AC$1001,MATCH(ROWS($N$2:N545),$N$2:$N$1001,0),MATCH(COLUMNS($U$1006:AC1006),$U$1006:$AC$1006,0)), HYPERLINK("#",""), HYPERLINK(CONCATENATE("#metadata!", ADDRESS(INDEX($P$2:$P$1001,MATCH(ROWS($N$2:N545),$N$2:$N$1001,0),0), INDEX($U$1004:$AC$1004,1,MATCH(COLUMNS($U$1006:AC1006),$U$1006:$AC$1006,0)))),"Fix")))</f>
        <v>0</v>
      </c>
      <c r="N545">
        <v>0</v>
      </c>
      <c r="O545">
        <v>0</v>
      </c>
      <c r="P545">
        <v>0</v>
      </c>
      <c r="Q545">
        <f>IF(R545,TRUE,AND(U545:AC545))</f>
        <v>0</v>
      </c>
      <c r="R545">
        <f>COUNTBLANK(metadata!B545:J545)=COLUMNS(metadata!B545:J545)</f>
        <v>0</v>
      </c>
      <c r="S545">
        <v>0</v>
      </c>
      <c r="U545">
        <f>AND(IF(metadata!B545="",FALSE,TRUE),COUNTIF(metadata!B:B, metadata!B545) = 1,NOT(ISERROR(SUMPRODUCT(SEARCH(MID(metadata!B545,ROW(INDIRECT("1:"&amp;LEN(metadata!B545))), 1),"0123456789abcdefghijklmnopqrstuvwxyzABCDEFGHIJKLMNOPQRSTUVWXYZ.")))))</f>
        <v>0</v>
      </c>
      <c r="V545">
        <f>AND(IF(metadata!C545="",FALSE,TRUE),exact(metadata!C545,"UBERON:genitourinary"))</f>
        <v>0</v>
      </c>
      <c r="W545">
        <f>AND(IF(metadata!D545="",FALSE,TRUE),exact(metadata!D545,"UBERON:urine"))</f>
        <v>0</v>
      </c>
      <c r="X545">
        <f>AND(IF(metadata!E545="",FALSE,TRUE),exact(metadata!E545,"UBERON:kidney"))</f>
        <v>0</v>
      </c>
      <c r="Y545">
        <f>AND(IF(metadata!F545="",FALSE,TRUE),exact(metadata!F545,"animal corpus"))</f>
        <v>0</v>
      </c>
      <c r="Z545">
        <f>AND(IF(metadata!G545="",FALSE,TRUE),exact(metadata!G545,"urine"))</f>
        <v>0</v>
      </c>
      <c r="AA545">
        <f>AND(IF(metadata!H545="",FALSE,TRUE),exact(metadata!H545,"urine"))</f>
        <v>0</v>
      </c>
      <c r="AB545">
        <f>AND(IF(metadata!I545="",FALSE,TRUE),exact(metadata!I545,"urine metagenome"))</f>
        <v>0</v>
      </c>
      <c r="AC545">
        <f>AND(IF(metadata!J545="",FALSE,TRUE),exact(metadata!J545,"1346744"))</f>
        <v>0</v>
      </c>
    </row>
    <row r="546" spans="1:29">
      <c r="A546" s="4">
        <f>IF(B546=" "," ",HYPERLINK(CONCATENATE("#metadata!",ADDRESS(INDEX($P$2:$P$1001,MATCH(ROWS($N$2:N546),$N$2:$N$1001,0),0),1)),INDEX($S$2:$S$1001,MATCH(ROWS($N$2:N546),$N$2:$N$1001,0),0)))</f>
        <v>0</v>
      </c>
      <c r="B546" s="3">
        <f>IF(OR(INDEX($O$2:$O$1001,MATCH(ROWS($N$2:N546),$N$2:$N$1001,0),1)&gt;=100000,INDEX($U$1005:$AC$1005,1,MATCH(COLUMNS($U$1006:U1006),$U$1006:$AC$1006,0))&gt;=100000), " ",IF(INDEX($U$2:$AC$1001,MATCH(ROWS($N$2:N546),$N$2:$N$1001,0),MATCH(COLUMNS($U$1006:U1006),$U$1006:$AC$1006,0)), HYPERLINK("#",""), HYPERLINK(CONCATENATE("#metadata!", ADDRESS(INDEX($P$2:$P$1001,MATCH(ROWS($N$2:N546),$N$2:$N$1001,0),0), INDEX($U$1004:$AC$1004,1,MATCH(COLUMNS($U$1006:U1006),$U$1006:$AC$1006,0)))),"Fix")))</f>
        <v>0</v>
      </c>
      <c r="C546" s="3">
        <f>IF(OR(INDEX($O$2:$O$1001,MATCH(ROWS($N$2:N546),$N$2:$N$1001,0),1)&gt;=100000,INDEX($U$1005:$AC$1005,1,MATCH(COLUMNS($U$1006:V1006),$U$1006:$AC$1006,0))&gt;=100000), " ",IF(INDEX($U$2:$AC$1001,MATCH(ROWS($N$2:N546),$N$2:$N$1001,0),MATCH(COLUMNS($U$1006:V1006),$U$1006:$AC$1006,0)), HYPERLINK("#",""), HYPERLINK(CONCATENATE("#metadata!", ADDRESS(INDEX($P$2:$P$1001,MATCH(ROWS($N$2:N546),$N$2:$N$1001,0),0), INDEX($U$1004:$AC$1004,1,MATCH(COLUMNS($U$1006:V1006),$U$1006:$AC$1006,0)))),"Fix")))</f>
        <v>0</v>
      </c>
      <c r="D546" s="3">
        <f>IF(OR(INDEX($O$2:$O$1001,MATCH(ROWS($N$2:N546),$N$2:$N$1001,0),1)&gt;=100000,INDEX($U$1005:$AC$1005,1,MATCH(COLUMNS($U$1006:W1006),$U$1006:$AC$1006,0))&gt;=100000), " ",IF(INDEX($U$2:$AC$1001,MATCH(ROWS($N$2:N546),$N$2:$N$1001,0),MATCH(COLUMNS($U$1006:W1006),$U$1006:$AC$1006,0)), HYPERLINK("#",""), HYPERLINK(CONCATENATE("#metadata!", ADDRESS(INDEX($P$2:$P$1001,MATCH(ROWS($N$2:N546),$N$2:$N$1001,0),0), INDEX($U$1004:$AC$1004,1,MATCH(COLUMNS($U$1006:W1006),$U$1006:$AC$1006,0)))),"Fix")))</f>
        <v>0</v>
      </c>
      <c r="E546" s="3">
        <f>IF(OR(INDEX($O$2:$O$1001,MATCH(ROWS($N$2:N546),$N$2:$N$1001,0),1)&gt;=100000,INDEX($U$1005:$AC$1005,1,MATCH(COLUMNS($U$1006:X1006),$U$1006:$AC$1006,0))&gt;=100000), " ",IF(INDEX($U$2:$AC$1001,MATCH(ROWS($N$2:N546),$N$2:$N$1001,0),MATCH(COLUMNS($U$1006:X1006),$U$1006:$AC$1006,0)), HYPERLINK("#",""), HYPERLINK(CONCATENATE("#metadata!", ADDRESS(INDEX($P$2:$P$1001,MATCH(ROWS($N$2:N546),$N$2:$N$1001,0),0), INDEX($U$1004:$AC$1004,1,MATCH(COLUMNS($U$1006:X1006),$U$1006:$AC$1006,0)))),"Fix")))</f>
        <v>0</v>
      </c>
      <c r="F546" s="3">
        <f>IF(OR(INDEX($O$2:$O$1001,MATCH(ROWS($N$2:N546),$N$2:$N$1001,0),1)&gt;=100000,INDEX($U$1005:$AC$1005,1,MATCH(COLUMNS($U$1006:Y1006),$U$1006:$AC$1006,0))&gt;=100000), " ",IF(INDEX($U$2:$AC$1001,MATCH(ROWS($N$2:N546),$N$2:$N$1001,0),MATCH(COLUMNS($U$1006:Y1006),$U$1006:$AC$1006,0)), HYPERLINK("#",""), HYPERLINK(CONCATENATE("#metadata!", ADDRESS(INDEX($P$2:$P$1001,MATCH(ROWS($N$2:N546),$N$2:$N$1001,0),0), INDEX($U$1004:$AC$1004,1,MATCH(COLUMNS($U$1006:Y1006),$U$1006:$AC$1006,0)))),"Fix")))</f>
        <v>0</v>
      </c>
      <c r="G546" s="3">
        <f>IF(OR(INDEX($O$2:$O$1001,MATCH(ROWS($N$2:N546),$N$2:$N$1001,0),1)&gt;=100000,INDEX($U$1005:$AC$1005,1,MATCH(COLUMNS($U$1006:Z1006),$U$1006:$AC$1006,0))&gt;=100000), " ",IF(INDEX($U$2:$AC$1001,MATCH(ROWS($N$2:N546),$N$2:$N$1001,0),MATCH(COLUMNS($U$1006:Z1006),$U$1006:$AC$1006,0)), HYPERLINK("#",""), HYPERLINK(CONCATENATE("#metadata!", ADDRESS(INDEX($P$2:$P$1001,MATCH(ROWS($N$2:N546),$N$2:$N$1001,0),0), INDEX($U$1004:$AC$1004,1,MATCH(COLUMNS($U$1006:Z1006),$U$1006:$AC$1006,0)))),"Fix")))</f>
        <v>0</v>
      </c>
      <c r="H546" s="3">
        <f>IF(OR(INDEX($O$2:$O$1001,MATCH(ROWS($N$2:N546),$N$2:$N$1001,0),1)&gt;=100000,INDEX($U$1005:$AC$1005,1,MATCH(COLUMNS($U$1006:AA1006),$U$1006:$AC$1006,0))&gt;=100000), " ",IF(INDEX($U$2:$AC$1001,MATCH(ROWS($N$2:N546),$N$2:$N$1001,0),MATCH(COLUMNS($U$1006:AA1006),$U$1006:$AC$1006,0)), HYPERLINK("#",""), HYPERLINK(CONCATENATE("#metadata!", ADDRESS(INDEX($P$2:$P$1001,MATCH(ROWS($N$2:N546),$N$2:$N$1001,0),0), INDEX($U$1004:$AC$1004,1,MATCH(COLUMNS($U$1006:AA1006),$U$1006:$AC$1006,0)))),"Fix")))</f>
        <v>0</v>
      </c>
      <c r="I546" s="3">
        <f>IF(OR(INDEX($O$2:$O$1001,MATCH(ROWS($N$2:N546),$N$2:$N$1001,0),1)&gt;=100000,INDEX($U$1005:$AC$1005,1,MATCH(COLUMNS($U$1006:AB1006),$U$1006:$AC$1006,0))&gt;=100000), " ",IF(INDEX($U$2:$AC$1001,MATCH(ROWS($N$2:N546),$N$2:$N$1001,0),MATCH(COLUMNS($U$1006:AB1006),$U$1006:$AC$1006,0)), HYPERLINK("#",""), HYPERLINK(CONCATENATE("#metadata!", ADDRESS(INDEX($P$2:$P$1001,MATCH(ROWS($N$2:N546),$N$2:$N$1001,0),0), INDEX($U$1004:$AC$1004,1,MATCH(COLUMNS($U$1006:AB1006),$U$1006:$AC$1006,0)))),"Fix")))</f>
        <v>0</v>
      </c>
      <c r="J546" s="3">
        <f>IF(OR(INDEX($O$2:$O$1001,MATCH(ROWS($N$2:N546),$N$2:$N$1001,0),1)&gt;=100000,INDEX($U$1005:$AC$1005,1,MATCH(COLUMNS($U$1006:AC1006),$U$1006:$AC$1006,0))&gt;=100000), " ",IF(INDEX($U$2:$AC$1001,MATCH(ROWS($N$2:N546),$N$2:$N$1001,0),MATCH(COLUMNS($U$1006:AC1006),$U$1006:$AC$1006,0)), HYPERLINK("#",""), HYPERLINK(CONCATENATE("#metadata!", ADDRESS(INDEX($P$2:$P$1001,MATCH(ROWS($N$2:N546),$N$2:$N$1001,0),0), INDEX($U$1004:$AC$1004,1,MATCH(COLUMNS($U$1006:AC1006),$U$1006:$AC$1006,0)))),"Fix")))</f>
        <v>0</v>
      </c>
      <c r="N546">
        <v>0</v>
      </c>
      <c r="O546">
        <v>0</v>
      </c>
      <c r="P546">
        <v>0</v>
      </c>
      <c r="Q546">
        <f>IF(R546,TRUE,AND(U546:AC546))</f>
        <v>0</v>
      </c>
      <c r="R546">
        <f>COUNTBLANK(metadata!B546:J546)=COLUMNS(metadata!B546:J546)</f>
        <v>0</v>
      </c>
      <c r="S546">
        <v>0</v>
      </c>
      <c r="U546">
        <f>AND(IF(metadata!B546="",FALSE,TRUE),COUNTIF(metadata!B:B, metadata!B546) = 1,NOT(ISERROR(SUMPRODUCT(SEARCH(MID(metadata!B546,ROW(INDIRECT("1:"&amp;LEN(metadata!B546))), 1),"0123456789abcdefghijklmnopqrstuvwxyzABCDEFGHIJKLMNOPQRSTUVWXYZ.")))))</f>
        <v>0</v>
      </c>
      <c r="V546">
        <f>AND(IF(metadata!C546="",FALSE,TRUE),exact(metadata!C546,"UBERON:genitourinary"))</f>
        <v>0</v>
      </c>
      <c r="W546">
        <f>AND(IF(metadata!D546="",FALSE,TRUE),exact(metadata!D546,"UBERON:urine"))</f>
        <v>0</v>
      </c>
      <c r="X546">
        <f>AND(IF(metadata!E546="",FALSE,TRUE),exact(metadata!E546,"UBERON:kidney"))</f>
        <v>0</v>
      </c>
      <c r="Y546">
        <f>AND(IF(metadata!F546="",FALSE,TRUE),exact(metadata!F546,"animal corpus"))</f>
        <v>0</v>
      </c>
      <c r="Z546">
        <f>AND(IF(metadata!G546="",FALSE,TRUE),exact(metadata!G546,"urine"))</f>
        <v>0</v>
      </c>
      <c r="AA546">
        <f>AND(IF(metadata!H546="",FALSE,TRUE),exact(metadata!H546,"urine"))</f>
        <v>0</v>
      </c>
      <c r="AB546">
        <f>AND(IF(metadata!I546="",FALSE,TRUE),exact(metadata!I546,"urine metagenome"))</f>
        <v>0</v>
      </c>
      <c r="AC546">
        <f>AND(IF(metadata!J546="",FALSE,TRUE),exact(metadata!J546,"1346744"))</f>
        <v>0</v>
      </c>
    </row>
    <row r="547" spans="1:29">
      <c r="A547" s="4">
        <f>IF(B547=" "," ",HYPERLINK(CONCATENATE("#metadata!",ADDRESS(INDEX($P$2:$P$1001,MATCH(ROWS($N$2:N547),$N$2:$N$1001,0),0),1)),INDEX($S$2:$S$1001,MATCH(ROWS($N$2:N547),$N$2:$N$1001,0),0)))</f>
        <v>0</v>
      </c>
      <c r="B547" s="3">
        <f>IF(OR(INDEX($O$2:$O$1001,MATCH(ROWS($N$2:N547),$N$2:$N$1001,0),1)&gt;=100000,INDEX($U$1005:$AC$1005,1,MATCH(COLUMNS($U$1006:U1006),$U$1006:$AC$1006,0))&gt;=100000), " ",IF(INDEX($U$2:$AC$1001,MATCH(ROWS($N$2:N547),$N$2:$N$1001,0),MATCH(COLUMNS($U$1006:U1006),$U$1006:$AC$1006,0)), HYPERLINK("#",""), HYPERLINK(CONCATENATE("#metadata!", ADDRESS(INDEX($P$2:$P$1001,MATCH(ROWS($N$2:N547),$N$2:$N$1001,0),0), INDEX($U$1004:$AC$1004,1,MATCH(COLUMNS($U$1006:U1006),$U$1006:$AC$1006,0)))),"Fix")))</f>
        <v>0</v>
      </c>
      <c r="C547" s="3">
        <f>IF(OR(INDEX($O$2:$O$1001,MATCH(ROWS($N$2:N547),$N$2:$N$1001,0),1)&gt;=100000,INDEX($U$1005:$AC$1005,1,MATCH(COLUMNS($U$1006:V1006),$U$1006:$AC$1006,0))&gt;=100000), " ",IF(INDEX($U$2:$AC$1001,MATCH(ROWS($N$2:N547),$N$2:$N$1001,0),MATCH(COLUMNS($U$1006:V1006),$U$1006:$AC$1006,0)), HYPERLINK("#",""), HYPERLINK(CONCATENATE("#metadata!", ADDRESS(INDEX($P$2:$P$1001,MATCH(ROWS($N$2:N547),$N$2:$N$1001,0),0), INDEX($U$1004:$AC$1004,1,MATCH(COLUMNS($U$1006:V1006),$U$1006:$AC$1006,0)))),"Fix")))</f>
        <v>0</v>
      </c>
      <c r="D547" s="3">
        <f>IF(OR(INDEX($O$2:$O$1001,MATCH(ROWS($N$2:N547),$N$2:$N$1001,0),1)&gt;=100000,INDEX($U$1005:$AC$1005,1,MATCH(COLUMNS($U$1006:W1006),$U$1006:$AC$1006,0))&gt;=100000), " ",IF(INDEX($U$2:$AC$1001,MATCH(ROWS($N$2:N547),$N$2:$N$1001,0),MATCH(COLUMNS($U$1006:W1006),$U$1006:$AC$1006,0)), HYPERLINK("#",""), HYPERLINK(CONCATENATE("#metadata!", ADDRESS(INDEX($P$2:$P$1001,MATCH(ROWS($N$2:N547),$N$2:$N$1001,0),0), INDEX($U$1004:$AC$1004,1,MATCH(COLUMNS($U$1006:W1006),$U$1006:$AC$1006,0)))),"Fix")))</f>
        <v>0</v>
      </c>
      <c r="E547" s="3">
        <f>IF(OR(INDEX($O$2:$O$1001,MATCH(ROWS($N$2:N547),$N$2:$N$1001,0),1)&gt;=100000,INDEX($U$1005:$AC$1005,1,MATCH(COLUMNS($U$1006:X1006),$U$1006:$AC$1006,0))&gt;=100000), " ",IF(INDEX($U$2:$AC$1001,MATCH(ROWS($N$2:N547),$N$2:$N$1001,0),MATCH(COLUMNS($U$1006:X1006),$U$1006:$AC$1006,0)), HYPERLINK("#",""), HYPERLINK(CONCATENATE("#metadata!", ADDRESS(INDEX($P$2:$P$1001,MATCH(ROWS($N$2:N547),$N$2:$N$1001,0),0), INDEX($U$1004:$AC$1004,1,MATCH(COLUMNS($U$1006:X1006),$U$1006:$AC$1006,0)))),"Fix")))</f>
        <v>0</v>
      </c>
      <c r="F547" s="3">
        <f>IF(OR(INDEX($O$2:$O$1001,MATCH(ROWS($N$2:N547),$N$2:$N$1001,0),1)&gt;=100000,INDEX($U$1005:$AC$1005,1,MATCH(COLUMNS($U$1006:Y1006),$U$1006:$AC$1006,0))&gt;=100000), " ",IF(INDEX($U$2:$AC$1001,MATCH(ROWS($N$2:N547),$N$2:$N$1001,0),MATCH(COLUMNS($U$1006:Y1006),$U$1006:$AC$1006,0)), HYPERLINK("#",""), HYPERLINK(CONCATENATE("#metadata!", ADDRESS(INDEX($P$2:$P$1001,MATCH(ROWS($N$2:N547),$N$2:$N$1001,0),0), INDEX($U$1004:$AC$1004,1,MATCH(COLUMNS($U$1006:Y1006),$U$1006:$AC$1006,0)))),"Fix")))</f>
        <v>0</v>
      </c>
      <c r="G547" s="3">
        <f>IF(OR(INDEX($O$2:$O$1001,MATCH(ROWS($N$2:N547),$N$2:$N$1001,0),1)&gt;=100000,INDEX($U$1005:$AC$1005,1,MATCH(COLUMNS($U$1006:Z1006),$U$1006:$AC$1006,0))&gt;=100000), " ",IF(INDEX($U$2:$AC$1001,MATCH(ROWS($N$2:N547),$N$2:$N$1001,0),MATCH(COLUMNS($U$1006:Z1006),$U$1006:$AC$1006,0)), HYPERLINK("#",""), HYPERLINK(CONCATENATE("#metadata!", ADDRESS(INDEX($P$2:$P$1001,MATCH(ROWS($N$2:N547),$N$2:$N$1001,0),0), INDEX($U$1004:$AC$1004,1,MATCH(COLUMNS($U$1006:Z1006),$U$1006:$AC$1006,0)))),"Fix")))</f>
        <v>0</v>
      </c>
      <c r="H547" s="3">
        <f>IF(OR(INDEX($O$2:$O$1001,MATCH(ROWS($N$2:N547),$N$2:$N$1001,0),1)&gt;=100000,INDEX($U$1005:$AC$1005,1,MATCH(COLUMNS($U$1006:AA1006),$U$1006:$AC$1006,0))&gt;=100000), " ",IF(INDEX($U$2:$AC$1001,MATCH(ROWS($N$2:N547),$N$2:$N$1001,0),MATCH(COLUMNS($U$1006:AA1006),$U$1006:$AC$1006,0)), HYPERLINK("#",""), HYPERLINK(CONCATENATE("#metadata!", ADDRESS(INDEX($P$2:$P$1001,MATCH(ROWS($N$2:N547),$N$2:$N$1001,0),0), INDEX($U$1004:$AC$1004,1,MATCH(COLUMNS($U$1006:AA1006),$U$1006:$AC$1006,0)))),"Fix")))</f>
        <v>0</v>
      </c>
      <c r="I547" s="3">
        <f>IF(OR(INDEX($O$2:$O$1001,MATCH(ROWS($N$2:N547),$N$2:$N$1001,0),1)&gt;=100000,INDEX($U$1005:$AC$1005,1,MATCH(COLUMNS($U$1006:AB1006),$U$1006:$AC$1006,0))&gt;=100000), " ",IF(INDEX($U$2:$AC$1001,MATCH(ROWS($N$2:N547),$N$2:$N$1001,0),MATCH(COLUMNS($U$1006:AB1006),$U$1006:$AC$1006,0)), HYPERLINK("#",""), HYPERLINK(CONCATENATE("#metadata!", ADDRESS(INDEX($P$2:$P$1001,MATCH(ROWS($N$2:N547),$N$2:$N$1001,0),0), INDEX($U$1004:$AC$1004,1,MATCH(COLUMNS($U$1006:AB1006),$U$1006:$AC$1006,0)))),"Fix")))</f>
        <v>0</v>
      </c>
      <c r="J547" s="3">
        <f>IF(OR(INDEX($O$2:$O$1001,MATCH(ROWS($N$2:N547),$N$2:$N$1001,0),1)&gt;=100000,INDEX($U$1005:$AC$1005,1,MATCH(COLUMNS($U$1006:AC1006),$U$1006:$AC$1006,0))&gt;=100000), " ",IF(INDEX($U$2:$AC$1001,MATCH(ROWS($N$2:N547),$N$2:$N$1001,0),MATCH(COLUMNS($U$1006:AC1006),$U$1006:$AC$1006,0)), HYPERLINK("#",""), HYPERLINK(CONCATENATE("#metadata!", ADDRESS(INDEX($P$2:$P$1001,MATCH(ROWS($N$2:N547),$N$2:$N$1001,0),0), INDEX($U$1004:$AC$1004,1,MATCH(COLUMNS($U$1006:AC1006),$U$1006:$AC$1006,0)))),"Fix")))</f>
        <v>0</v>
      </c>
      <c r="N547">
        <v>0</v>
      </c>
      <c r="O547">
        <v>0</v>
      </c>
      <c r="P547">
        <v>0</v>
      </c>
      <c r="Q547">
        <f>IF(R547,TRUE,AND(U547:AC547))</f>
        <v>0</v>
      </c>
      <c r="R547">
        <f>COUNTBLANK(metadata!B547:J547)=COLUMNS(metadata!B547:J547)</f>
        <v>0</v>
      </c>
      <c r="S547">
        <v>0</v>
      </c>
      <c r="U547">
        <f>AND(IF(metadata!B547="",FALSE,TRUE),COUNTIF(metadata!B:B, metadata!B547) = 1,NOT(ISERROR(SUMPRODUCT(SEARCH(MID(metadata!B547,ROW(INDIRECT("1:"&amp;LEN(metadata!B547))), 1),"0123456789abcdefghijklmnopqrstuvwxyzABCDEFGHIJKLMNOPQRSTUVWXYZ.")))))</f>
        <v>0</v>
      </c>
      <c r="V547">
        <f>AND(IF(metadata!C547="",FALSE,TRUE),exact(metadata!C547,"UBERON:genitourinary"))</f>
        <v>0</v>
      </c>
      <c r="W547">
        <f>AND(IF(metadata!D547="",FALSE,TRUE),exact(metadata!D547,"UBERON:urine"))</f>
        <v>0</v>
      </c>
      <c r="X547">
        <f>AND(IF(metadata!E547="",FALSE,TRUE),exact(metadata!E547,"UBERON:kidney"))</f>
        <v>0</v>
      </c>
      <c r="Y547">
        <f>AND(IF(metadata!F547="",FALSE,TRUE),exact(metadata!F547,"animal corpus"))</f>
        <v>0</v>
      </c>
      <c r="Z547">
        <f>AND(IF(metadata!G547="",FALSE,TRUE),exact(metadata!G547,"urine"))</f>
        <v>0</v>
      </c>
      <c r="AA547">
        <f>AND(IF(metadata!H547="",FALSE,TRUE),exact(metadata!H547,"urine"))</f>
        <v>0</v>
      </c>
      <c r="AB547">
        <f>AND(IF(metadata!I547="",FALSE,TRUE),exact(metadata!I547,"urine metagenome"))</f>
        <v>0</v>
      </c>
      <c r="AC547">
        <f>AND(IF(metadata!J547="",FALSE,TRUE),exact(metadata!J547,"1346744"))</f>
        <v>0</v>
      </c>
    </row>
    <row r="548" spans="1:29">
      <c r="A548" s="4">
        <f>IF(B548=" "," ",HYPERLINK(CONCATENATE("#metadata!",ADDRESS(INDEX($P$2:$P$1001,MATCH(ROWS($N$2:N548),$N$2:$N$1001,0),0),1)),INDEX($S$2:$S$1001,MATCH(ROWS($N$2:N548),$N$2:$N$1001,0),0)))</f>
        <v>0</v>
      </c>
      <c r="B548" s="3">
        <f>IF(OR(INDEX($O$2:$O$1001,MATCH(ROWS($N$2:N548),$N$2:$N$1001,0),1)&gt;=100000,INDEX($U$1005:$AC$1005,1,MATCH(COLUMNS($U$1006:U1006),$U$1006:$AC$1006,0))&gt;=100000), " ",IF(INDEX($U$2:$AC$1001,MATCH(ROWS($N$2:N548),$N$2:$N$1001,0),MATCH(COLUMNS($U$1006:U1006),$U$1006:$AC$1006,0)), HYPERLINK("#",""), HYPERLINK(CONCATENATE("#metadata!", ADDRESS(INDEX($P$2:$P$1001,MATCH(ROWS($N$2:N548),$N$2:$N$1001,0),0), INDEX($U$1004:$AC$1004,1,MATCH(COLUMNS($U$1006:U1006),$U$1006:$AC$1006,0)))),"Fix")))</f>
        <v>0</v>
      </c>
      <c r="C548" s="3">
        <f>IF(OR(INDEX($O$2:$O$1001,MATCH(ROWS($N$2:N548),$N$2:$N$1001,0),1)&gt;=100000,INDEX($U$1005:$AC$1005,1,MATCH(COLUMNS($U$1006:V1006),$U$1006:$AC$1006,0))&gt;=100000), " ",IF(INDEX($U$2:$AC$1001,MATCH(ROWS($N$2:N548),$N$2:$N$1001,0),MATCH(COLUMNS($U$1006:V1006),$U$1006:$AC$1006,0)), HYPERLINK("#",""), HYPERLINK(CONCATENATE("#metadata!", ADDRESS(INDEX($P$2:$P$1001,MATCH(ROWS($N$2:N548),$N$2:$N$1001,0),0), INDEX($U$1004:$AC$1004,1,MATCH(COLUMNS($U$1006:V1006),$U$1006:$AC$1006,0)))),"Fix")))</f>
        <v>0</v>
      </c>
      <c r="D548" s="3">
        <f>IF(OR(INDEX($O$2:$O$1001,MATCH(ROWS($N$2:N548),$N$2:$N$1001,0),1)&gt;=100000,INDEX($U$1005:$AC$1005,1,MATCH(COLUMNS($U$1006:W1006),$U$1006:$AC$1006,0))&gt;=100000), " ",IF(INDEX($U$2:$AC$1001,MATCH(ROWS($N$2:N548),$N$2:$N$1001,0),MATCH(COLUMNS($U$1006:W1006),$U$1006:$AC$1006,0)), HYPERLINK("#",""), HYPERLINK(CONCATENATE("#metadata!", ADDRESS(INDEX($P$2:$P$1001,MATCH(ROWS($N$2:N548),$N$2:$N$1001,0),0), INDEX($U$1004:$AC$1004,1,MATCH(COLUMNS($U$1006:W1006),$U$1006:$AC$1006,0)))),"Fix")))</f>
        <v>0</v>
      </c>
      <c r="E548" s="3">
        <f>IF(OR(INDEX($O$2:$O$1001,MATCH(ROWS($N$2:N548),$N$2:$N$1001,0),1)&gt;=100000,INDEX($U$1005:$AC$1005,1,MATCH(COLUMNS($U$1006:X1006),$U$1006:$AC$1006,0))&gt;=100000), " ",IF(INDEX($U$2:$AC$1001,MATCH(ROWS($N$2:N548),$N$2:$N$1001,0),MATCH(COLUMNS($U$1006:X1006),$U$1006:$AC$1006,0)), HYPERLINK("#",""), HYPERLINK(CONCATENATE("#metadata!", ADDRESS(INDEX($P$2:$P$1001,MATCH(ROWS($N$2:N548),$N$2:$N$1001,0),0), INDEX($U$1004:$AC$1004,1,MATCH(COLUMNS($U$1006:X1006),$U$1006:$AC$1006,0)))),"Fix")))</f>
        <v>0</v>
      </c>
      <c r="F548" s="3">
        <f>IF(OR(INDEX($O$2:$O$1001,MATCH(ROWS($N$2:N548),$N$2:$N$1001,0),1)&gt;=100000,INDEX($U$1005:$AC$1005,1,MATCH(COLUMNS($U$1006:Y1006),$U$1006:$AC$1006,0))&gt;=100000), " ",IF(INDEX($U$2:$AC$1001,MATCH(ROWS($N$2:N548),$N$2:$N$1001,0),MATCH(COLUMNS($U$1006:Y1006),$U$1006:$AC$1006,0)), HYPERLINK("#",""), HYPERLINK(CONCATENATE("#metadata!", ADDRESS(INDEX($P$2:$P$1001,MATCH(ROWS($N$2:N548),$N$2:$N$1001,0),0), INDEX($U$1004:$AC$1004,1,MATCH(COLUMNS($U$1006:Y1006),$U$1006:$AC$1006,0)))),"Fix")))</f>
        <v>0</v>
      </c>
      <c r="G548" s="3">
        <f>IF(OR(INDEX($O$2:$O$1001,MATCH(ROWS($N$2:N548),$N$2:$N$1001,0),1)&gt;=100000,INDEX($U$1005:$AC$1005,1,MATCH(COLUMNS($U$1006:Z1006),$U$1006:$AC$1006,0))&gt;=100000), " ",IF(INDEX($U$2:$AC$1001,MATCH(ROWS($N$2:N548),$N$2:$N$1001,0),MATCH(COLUMNS($U$1006:Z1006),$U$1006:$AC$1006,0)), HYPERLINK("#",""), HYPERLINK(CONCATENATE("#metadata!", ADDRESS(INDEX($P$2:$P$1001,MATCH(ROWS($N$2:N548),$N$2:$N$1001,0),0), INDEX($U$1004:$AC$1004,1,MATCH(COLUMNS($U$1006:Z1006),$U$1006:$AC$1006,0)))),"Fix")))</f>
        <v>0</v>
      </c>
      <c r="H548" s="3">
        <f>IF(OR(INDEX($O$2:$O$1001,MATCH(ROWS($N$2:N548),$N$2:$N$1001,0),1)&gt;=100000,INDEX($U$1005:$AC$1005,1,MATCH(COLUMNS($U$1006:AA1006),$U$1006:$AC$1006,0))&gt;=100000), " ",IF(INDEX($U$2:$AC$1001,MATCH(ROWS($N$2:N548),$N$2:$N$1001,0),MATCH(COLUMNS($U$1006:AA1006),$U$1006:$AC$1006,0)), HYPERLINK("#",""), HYPERLINK(CONCATENATE("#metadata!", ADDRESS(INDEX($P$2:$P$1001,MATCH(ROWS($N$2:N548),$N$2:$N$1001,0),0), INDEX($U$1004:$AC$1004,1,MATCH(COLUMNS($U$1006:AA1006),$U$1006:$AC$1006,0)))),"Fix")))</f>
        <v>0</v>
      </c>
      <c r="I548" s="3">
        <f>IF(OR(INDEX($O$2:$O$1001,MATCH(ROWS($N$2:N548),$N$2:$N$1001,0),1)&gt;=100000,INDEX($U$1005:$AC$1005,1,MATCH(COLUMNS($U$1006:AB1006),$U$1006:$AC$1006,0))&gt;=100000), " ",IF(INDEX($U$2:$AC$1001,MATCH(ROWS($N$2:N548),$N$2:$N$1001,0),MATCH(COLUMNS($U$1006:AB1006),$U$1006:$AC$1006,0)), HYPERLINK("#",""), HYPERLINK(CONCATENATE("#metadata!", ADDRESS(INDEX($P$2:$P$1001,MATCH(ROWS($N$2:N548),$N$2:$N$1001,0),0), INDEX($U$1004:$AC$1004,1,MATCH(COLUMNS($U$1006:AB1006),$U$1006:$AC$1006,0)))),"Fix")))</f>
        <v>0</v>
      </c>
      <c r="J548" s="3">
        <f>IF(OR(INDEX($O$2:$O$1001,MATCH(ROWS($N$2:N548),$N$2:$N$1001,0),1)&gt;=100000,INDEX($U$1005:$AC$1005,1,MATCH(COLUMNS($U$1006:AC1006),$U$1006:$AC$1006,0))&gt;=100000), " ",IF(INDEX($U$2:$AC$1001,MATCH(ROWS($N$2:N548),$N$2:$N$1001,0),MATCH(COLUMNS($U$1006:AC1006),$U$1006:$AC$1006,0)), HYPERLINK("#",""), HYPERLINK(CONCATENATE("#metadata!", ADDRESS(INDEX($P$2:$P$1001,MATCH(ROWS($N$2:N548),$N$2:$N$1001,0),0), INDEX($U$1004:$AC$1004,1,MATCH(COLUMNS($U$1006:AC1006),$U$1006:$AC$1006,0)))),"Fix")))</f>
        <v>0</v>
      </c>
      <c r="N548">
        <v>0</v>
      </c>
      <c r="O548">
        <v>0</v>
      </c>
      <c r="P548">
        <v>0</v>
      </c>
      <c r="Q548">
        <f>IF(R548,TRUE,AND(U548:AC548))</f>
        <v>0</v>
      </c>
      <c r="R548">
        <f>COUNTBLANK(metadata!B548:J548)=COLUMNS(metadata!B548:J548)</f>
        <v>0</v>
      </c>
      <c r="S548">
        <v>0</v>
      </c>
      <c r="U548">
        <f>AND(IF(metadata!B548="",FALSE,TRUE),COUNTIF(metadata!B:B, metadata!B548) = 1,NOT(ISERROR(SUMPRODUCT(SEARCH(MID(metadata!B548,ROW(INDIRECT("1:"&amp;LEN(metadata!B548))), 1),"0123456789abcdefghijklmnopqrstuvwxyzABCDEFGHIJKLMNOPQRSTUVWXYZ.")))))</f>
        <v>0</v>
      </c>
      <c r="V548">
        <f>AND(IF(metadata!C548="",FALSE,TRUE),exact(metadata!C548,"UBERON:genitourinary"))</f>
        <v>0</v>
      </c>
      <c r="W548">
        <f>AND(IF(metadata!D548="",FALSE,TRUE),exact(metadata!D548,"UBERON:urine"))</f>
        <v>0</v>
      </c>
      <c r="X548">
        <f>AND(IF(metadata!E548="",FALSE,TRUE),exact(metadata!E548,"UBERON:kidney"))</f>
        <v>0</v>
      </c>
      <c r="Y548">
        <f>AND(IF(metadata!F548="",FALSE,TRUE),exact(metadata!F548,"animal corpus"))</f>
        <v>0</v>
      </c>
      <c r="Z548">
        <f>AND(IF(metadata!G548="",FALSE,TRUE),exact(metadata!G548,"urine"))</f>
        <v>0</v>
      </c>
      <c r="AA548">
        <f>AND(IF(metadata!H548="",FALSE,TRUE),exact(metadata!H548,"urine"))</f>
        <v>0</v>
      </c>
      <c r="AB548">
        <f>AND(IF(metadata!I548="",FALSE,TRUE),exact(metadata!I548,"urine metagenome"))</f>
        <v>0</v>
      </c>
      <c r="AC548">
        <f>AND(IF(metadata!J548="",FALSE,TRUE),exact(metadata!J548,"1346744"))</f>
        <v>0</v>
      </c>
    </row>
    <row r="549" spans="1:29">
      <c r="A549" s="4">
        <f>IF(B549=" "," ",HYPERLINK(CONCATENATE("#metadata!",ADDRESS(INDEX($P$2:$P$1001,MATCH(ROWS($N$2:N549),$N$2:$N$1001,0),0),1)),INDEX($S$2:$S$1001,MATCH(ROWS($N$2:N549),$N$2:$N$1001,0),0)))</f>
        <v>0</v>
      </c>
      <c r="B549" s="3">
        <f>IF(OR(INDEX($O$2:$O$1001,MATCH(ROWS($N$2:N549),$N$2:$N$1001,0),1)&gt;=100000,INDEX($U$1005:$AC$1005,1,MATCH(COLUMNS($U$1006:U1006),$U$1006:$AC$1006,0))&gt;=100000), " ",IF(INDEX($U$2:$AC$1001,MATCH(ROWS($N$2:N549),$N$2:$N$1001,0),MATCH(COLUMNS($U$1006:U1006),$U$1006:$AC$1006,0)), HYPERLINK("#",""), HYPERLINK(CONCATENATE("#metadata!", ADDRESS(INDEX($P$2:$P$1001,MATCH(ROWS($N$2:N549),$N$2:$N$1001,0),0), INDEX($U$1004:$AC$1004,1,MATCH(COLUMNS($U$1006:U1006),$U$1006:$AC$1006,0)))),"Fix")))</f>
        <v>0</v>
      </c>
      <c r="C549" s="3">
        <f>IF(OR(INDEX($O$2:$O$1001,MATCH(ROWS($N$2:N549),$N$2:$N$1001,0),1)&gt;=100000,INDEX($U$1005:$AC$1005,1,MATCH(COLUMNS($U$1006:V1006),$U$1006:$AC$1006,0))&gt;=100000), " ",IF(INDEX($U$2:$AC$1001,MATCH(ROWS($N$2:N549),$N$2:$N$1001,0),MATCH(COLUMNS($U$1006:V1006),$U$1006:$AC$1006,0)), HYPERLINK("#",""), HYPERLINK(CONCATENATE("#metadata!", ADDRESS(INDEX($P$2:$P$1001,MATCH(ROWS($N$2:N549),$N$2:$N$1001,0),0), INDEX($U$1004:$AC$1004,1,MATCH(COLUMNS($U$1006:V1006),$U$1006:$AC$1006,0)))),"Fix")))</f>
        <v>0</v>
      </c>
      <c r="D549" s="3">
        <f>IF(OR(INDEX($O$2:$O$1001,MATCH(ROWS($N$2:N549),$N$2:$N$1001,0),1)&gt;=100000,INDEX($U$1005:$AC$1005,1,MATCH(COLUMNS($U$1006:W1006),$U$1006:$AC$1006,0))&gt;=100000), " ",IF(INDEX($U$2:$AC$1001,MATCH(ROWS($N$2:N549),$N$2:$N$1001,0),MATCH(COLUMNS($U$1006:W1006),$U$1006:$AC$1006,0)), HYPERLINK("#",""), HYPERLINK(CONCATENATE("#metadata!", ADDRESS(INDEX($P$2:$P$1001,MATCH(ROWS($N$2:N549),$N$2:$N$1001,0),0), INDEX($U$1004:$AC$1004,1,MATCH(COLUMNS($U$1006:W1006),$U$1006:$AC$1006,0)))),"Fix")))</f>
        <v>0</v>
      </c>
      <c r="E549" s="3">
        <f>IF(OR(INDEX($O$2:$O$1001,MATCH(ROWS($N$2:N549),$N$2:$N$1001,0),1)&gt;=100000,INDEX($U$1005:$AC$1005,1,MATCH(COLUMNS($U$1006:X1006),$U$1006:$AC$1006,0))&gt;=100000), " ",IF(INDEX($U$2:$AC$1001,MATCH(ROWS($N$2:N549),$N$2:$N$1001,0),MATCH(COLUMNS($U$1006:X1006),$U$1006:$AC$1006,0)), HYPERLINK("#",""), HYPERLINK(CONCATENATE("#metadata!", ADDRESS(INDEX($P$2:$P$1001,MATCH(ROWS($N$2:N549),$N$2:$N$1001,0),0), INDEX($U$1004:$AC$1004,1,MATCH(COLUMNS($U$1006:X1006),$U$1006:$AC$1006,0)))),"Fix")))</f>
        <v>0</v>
      </c>
      <c r="F549" s="3">
        <f>IF(OR(INDEX($O$2:$O$1001,MATCH(ROWS($N$2:N549),$N$2:$N$1001,0),1)&gt;=100000,INDEX($U$1005:$AC$1005,1,MATCH(COLUMNS($U$1006:Y1006),$U$1006:$AC$1006,0))&gt;=100000), " ",IF(INDEX($U$2:$AC$1001,MATCH(ROWS($N$2:N549),$N$2:$N$1001,0),MATCH(COLUMNS($U$1006:Y1006),$U$1006:$AC$1006,0)), HYPERLINK("#",""), HYPERLINK(CONCATENATE("#metadata!", ADDRESS(INDEX($P$2:$P$1001,MATCH(ROWS($N$2:N549),$N$2:$N$1001,0),0), INDEX($U$1004:$AC$1004,1,MATCH(COLUMNS($U$1006:Y1006),$U$1006:$AC$1006,0)))),"Fix")))</f>
        <v>0</v>
      </c>
      <c r="G549" s="3">
        <f>IF(OR(INDEX($O$2:$O$1001,MATCH(ROWS($N$2:N549),$N$2:$N$1001,0),1)&gt;=100000,INDEX($U$1005:$AC$1005,1,MATCH(COLUMNS($U$1006:Z1006),$U$1006:$AC$1006,0))&gt;=100000), " ",IF(INDEX($U$2:$AC$1001,MATCH(ROWS($N$2:N549),$N$2:$N$1001,0),MATCH(COLUMNS($U$1006:Z1006),$U$1006:$AC$1006,0)), HYPERLINK("#",""), HYPERLINK(CONCATENATE("#metadata!", ADDRESS(INDEX($P$2:$P$1001,MATCH(ROWS($N$2:N549),$N$2:$N$1001,0),0), INDEX($U$1004:$AC$1004,1,MATCH(COLUMNS($U$1006:Z1006),$U$1006:$AC$1006,0)))),"Fix")))</f>
        <v>0</v>
      </c>
      <c r="H549" s="3">
        <f>IF(OR(INDEX($O$2:$O$1001,MATCH(ROWS($N$2:N549),$N$2:$N$1001,0),1)&gt;=100000,INDEX($U$1005:$AC$1005,1,MATCH(COLUMNS($U$1006:AA1006),$U$1006:$AC$1006,0))&gt;=100000), " ",IF(INDEX($U$2:$AC$1001,MATCH(ROWS($N$2:N549),$N$2:$N$1001,0),MATCH(COLUMNS($U$1006:AA1006),$U$1006:$AC$1006,0)), HYPERLINK("#",""), HYPERLINK(CONCATENATE("#metadata!", ADDRESS(INDEX($P$2:$P$1001,MATCH(ROWS($N$2:N549),$N$2:$N$1001,0),0), INDEX($U$1004:$AC$1004,1,MATCH(COLUMNS($U$1006:AA1006),$U$1006:$AC$1006,0)))),"Fix")))</f>
        <v>0</v>
      </c>
      <c r="I549" s="3">
        <f>IF(OR(INDEX($O$2:$O$1001,MATCH(ROWS($N$2:N549),$N$2:$N$1001,0),1)&gt;=100000,INDEX($U$1005:$AC$1005,1,MATCH(COLUMNS($U$1006:AB1006),$U$1006:$AC$1006,0))&gt;=100000), " ",IF(INDEX($U$2:$AC$1001,MATCH(ROWS($N$2:N549),$N$2:$N$1001,0),MATCH(COLUMNS($U$1006:AB1006),$U$1006:$AC$1006,0)), HYPERLINK("#",""), HYPERLINK(CONCATENATE("#metadata!", ADDRESS(INDEX($P$2:$P$1001,MATCH(ROWS($N$2:N549),$N$2:$N$1001,0),0), INDEX($U$1004:$AC$1004,1,MATCH(COLUMNS($U$1006:AB1006),$U$1006:$AC$1006,0)))),"Fix")))</f>
        <v>0</v>
      </c>
      <c r="J549" s="3">
        <f>IF(OR(INDEX($O$2:$O$1001,MATCH(ROWS($N$2:N549),$N$2:$N$1001,0),1)&gt;=100000,INDEX($U$1005:$AC$1005,1,MATCH(COLUMNS($U$1006:AC1006),$U$1006:$AC$1006,0))&gt;=100000), " ",IF(INDEX($U$2:$AC$1001,MATCH(ROWS($N$2:N549),$N$2:$N$1001,0),MATCH(COLUMNS($U$1006:AC1006),$U$1006:$AC$1006,0)), HYPERLINK("#",""), HYPERLINK(CONCATENATE("#metadata!", ADDRESS(INDEX($P$2:$P$1001,MATCH(ROWS($N$2:N549),$N$2:$N$1001,0),0), INDEX($U$1004:$AC$1004,1,MATCH(COLUMNS($U$1006:AC1006),$U$1006:$AC$1006,0)))),"Fix")))</f>
        <v>0</v>
      </c>
      <c r="N549">
        <v>0</v>
      </c>
      <c r="O549">
        <v>0</v>
      </c>
      <c r="P549">
        <v>0</v>
      </c>
      <c r="Q549">
        <f>IF(R549,TRUE,AND(U549:AC549))</f>
        <v>0</v>
      </c>
      <c r="R549">
        <f>COUNTBLANK(metadata!B549:J549)=COLUMNS(metadata!B549:J549)</f>
        <v>0</v>
      </c>
      <c r="S549">
        <v>0</v>
      </c>
      <c r="U549">
        <f>AND(IF(metadata!B549="",FALSE,TRUE),COUNTIF(metadata!B:B, metadata!B549) = 1,NOT(ISERROR(SUMPRODUCT(SEARCH(MID(metadata!B549,ROW(INDIRECT("1:"&amp;LEN(metadata!B549))), 1),"0123456789abcdefghijklmnopqrstuvwxyzABCDEFGHIJKLMNOPQRSTUVWXYZ.")))))</f>
        <v>0</v>
      </c>
      <c r="V549">
        <f>AND(IF(metadata!C549="",FALSE,TRUE),exact(metadata!C549,"UBERON:genitourinary"))</f>
        <v>0</v>
      </c>
      <c r="W549">
        <f>AND(IF(metadata!D549="",FALSE,TRUE),exact(metadata!D549,"UBERON:urine"))</f>
        <v>0</v>
      </c>
      <c r="X549">
        <f>AND(IF(metadata!E549="",FALSE,TRUE),exact(metadata!E549,"UBERON:kidney"))</f>
        <v>0</v>
      </c>
      <c r="Y549">
        <f>AND(IF(metadata!F549="",FALSE,TRUE),exact(metadata!F549,"animal corpus"))</f>
        <v>0</v>
      </c>
      <c r="Z549">
        <f>AND(IF(metadata!G549="",FALSE,TRUE),exact(metadata!G549,"urine"))</f>
        <v>0</v>
      </c>
      <c r="AA549">
        <f>AND(IF(metadata!H549="",FALSE,TRUE),exact(metadata!H549,"urine"))</f>
        <v>0</v>
      </c>
      <c r="AB549">
        <f>AND(IF(metadata!I549="",FALSE,TRUE),exact(metadata!I549,"urine metagenome"))</f>
        <v>0</v>
      </c>
      <c r="AC549">
        <f>AND(IF(metadata!J549="",FALSE,TRUE),exact(metadata!J549,"1346744"))</f>
        <v>0</v>
      </c>
    </row>
    <row r="550" spans="1:29">
      <c r="A550" s="4">
        <f>IF(B550=" "," ",HYPERLINK(CONCATENATE("#metadata!",ADDRESS(INDEX($P$2:$P$1001,MATCH(ROWS($N$2:N550),$N$2:$N$1001,0),0),1)),INDEX($S$2:$S$1001,MATCH(ROWS($N$2:N550),$N$2:$N$1001,0),0)))</f>
        <v>0</v>
      </c>
      <c r="B550" s="3">
        <f>IF(OR(INDEX($O$2:$O$1001,MATCH(ROWS($N$2:N550),$N$2:$N$1001,0),1)&gt;=100000,INDEX($U$1005:$AC$1005,1,MATCH(COLUMNS($U$1006:U1006),$U$1006:$AC$1006,0))&gt;=100000), " ",IF(INDEX($U$2:$AC$1001,MATCH(ROWS($N$2:N550),$N$2:$N$1001,0),MATCH(COLUMNS($U$1006:U1006),$U$1006:$AC$1006,0)), HYPERLINK("#",""), HYPERLINK(CONCATENATE("#metadata!", ADDRESS(INDEX($P$2:$P$1001,MATCH(ROWS($N$2:N550),$N$2:$N$1001,0),0), INDEX($U$1004:$AC$1004,1,MATCH(COLUMNS($U$1006:U1006),$U$1006:$AC$1006,0)))),"Fix")))</f>
        <v>0</v>
      </c>
      <c r="C550" s="3">
        <f>IF(OR(INDEX($O$2:$O$1001,MATCH(ROWS($N$2:N550),$N$2:$N$1001,0),1)&gt;=100000,INDEX($U$1005:$AC$1005,1,MATCH(COLUMNS($U$1006:V1006),$U$1006:$AC$1006,0))&gt;=100000), " ",IF(INDEX($U$2:$AC$1001,MATCH(ROWS($N$2:N550),$N$2:$N$1001,0),MATCH(COLUMNS($U$1006:V1006),$U$1006:$AC$1006,0)), HYPERLINK("#",""), HYPERLINK(CONCATENATE("#metadata!", ADDRESS(INDEX($P$2:$P$1001,MATCH(ROWS($N$2:N550),$N$2:$N$1001,0),0), INDEX($U$1004:$AC$1004,1,MATCH(COLUMNS($U$1006:V1006),$U$1006:$AC$1006,0)))),"Fix")))</f>
        <v>0</v>
      </c>
      <c r="D550" s="3">
        <f>IF(OR(INDEX($O$2:$O$1001,MATCH(ROWS($N$2:N550),$N$2:$N$1001,0),1)&gt;=100000,INDEX($U$1005:$AC$1005,1,MATCH(COLUMNS($U$1006:W1006),$U$1006:$AC$1006,0))&gt;=100000), " ",IF(INDEX($U$2:$AC$1001,MATCH(ROWS($N$2:N550),$N$2:$N$1001,0),MATCH(COLUMNS($U$1006:W1006),$U$1006:$AC$1006,0)), HYPERLINK("#",""), HYPERLINK(CONCATENATE("#metadata!", ADDRESS(INDEX($P$2:$P$1001,MATCH(ROWS($N$2:N550),$N$2:$N$1001,0),0), INDEX($U$1004:$AC$1004,1,MATCH(COLUMNS($U$1006:W1006),$U$1006:$AC$1006,0)))),"Fix")))</f>
        <v>0</v>
      </c>
      <c r="E550" s="3">
        <f>IF(OR(INDEX($O$2:$O$1001,MATCH(ROWS($N$2:N550),$N$2:$N$1001,0),1)&gt;=100000,INDEX($U$1005:$AC$1005,1,MATCH(COLUMNS($U$1006:X1006),$U$1006:$AC$1006,0))&gt;=100000), " ",IF(INDEX($U$2:$AC$1001,MATCH(ROWS($N$2:N550),$N$2:$N$1001,0),MATCH(COLUMNS($U$1006:X1006),$U$1006:$AC$1006,0)), HYPERLINK("#",""), HYPERLINK(CONCATENATE("#metadata!", ADDRESS(INDEX($P$2:$P$1001,MATCH(ROWS($N$2:N550),$N$2:$N$1001,0),0), INDEX($U$1004:$AC$1004,1,MATCH(COLUMNS($U$1006:X1006),$U$1006:$AC$1006,0)))),"Fix")))</f>
        <v>0</v>
      </c>
      <c r="F550" s="3">
        <f>IF(OR(INDEX($O$2:$O$1001,MATCH(ROWS($N$2:N550),$N$2:$N$1001,0),1)&gt;=100000,INDEX($U$1005:$AC$1005,1,MATCH(COLUMNS($U$1006:Y1006),$U$1006:$AC$1006,0))&gt;=100000), " ",IF(INDEX($U$2:$AC$1001,MATCH(ROWS($N$2:N550),$N$2:$N$1001,0),MATCH(COLUMNS($U$1006:Y1006),$U$1006:$AC$1006,0)), HYPERLINK("#",""), HYPERLINK(CONCATENATE("#metadata!", ADDRESS(INDEX($P$2:$P$1001,MATCH(ROWS($N$2:N550),$N$2:$N$1001,0),0), INDEX($U$1004:$AC$1004,1,MATCH(COLUMNS($U$1006:Y1006),$U$1006:$AC$1006,0)))),"Fix")))</f>
        <v>0</v>
      </c>
      <c r="G550" s="3">
        <f>IF(OR(INDEX($O$2:$O$1001,MATCH(ROWS($N$2:N550),$N$2:$N$1001,0),1)&gt;=100000,INDEX($U$1005:$AC$1005,1,MATCH(COLUMNS($U$1006:Z1006),$U$1006:$AC$1006,0))&gt;=100000), " ",IF(INDEX($U$2:$AC$1001,MATCH(ROWS($N$2:N550),$N$2:$N$1001,0),MATCH(COLUMNS($U$1006:Z1006),$U$1006:$AC$1006,0)), HYPERLINK("#",""), HYPERLINK(CONCATENATE("#metadata!", ADDRESS(INDEX($P$2:$P$1001,MATCH(ROWS($N$2:N550),$N$2:$N$1001,0),0), INDEX($U$1004:$AC$1004,1,MATCH(COLUMNS($U$1006:Z1006),$U$1006:$AC$1006,0)))),"Fix")))</f>
        <v>0</v>
      </c>
      <c r="H550" s="3">
        <f>IF(OR(INDEX($O$2:$O$1001,MATCH(ROWS($N$2:N550),$N$2:$N$1001,0),1)&gt;=100000,INDEX($U$1005:$AC$1005,1,MATCH(COLUMNS($U$1006:AA1006),$U$1006:$AC$1006,0))&gt;=100000), " ",IF(INDEX($U$2:$AC$1001,MATCH(ROWS($N$2:N550),$N$2:$N$1001,0),MATCH(COLUMNS($U$1006:AA1006),$U$1006:$AC$1006,0)), HYPERLINK("#",""), HYPERLINK(CONCATENATE("#metadata!", ADDRESS(INDEX($P$2:$P$1001,MATCH(ROWS($N$2:N550),$N$2:$N$1001,0),0), INDEX($U$1004:$AC$1004,1,MATCH(COLUMNS($U$1006:AA1006),$U$1006:$AC$1006,0)))),"Fix")))</f>
        <v>0</v>
      </c>
      <c r="I550" s="3">
        <f>IF(OR(INDEX($O$2:$O$1001,MATCH(ROWS($N$2:N550),$N$2:$N$1001,0),1)&gt;=100000,INDEX($U$1005:$AC$1005,1,MATCH(COLUMNS($U$1006:AB1006),$U$1006:$AC$1006,0))&gt;=100000), " ",IF(INDEX($U$2:$AC$1001,MATCH(ROWS($N$2:N550),$N$2:$N$1001,0),MATCH(COLUMNS($U$1006:AB1006),$U$1006:$AC$1006,0)), HYPERLINK("#",""), HYPERLINK(CONCATENATE("#metadata!", ADDRESS(INDEX($P$2:$P$1001,MATCH(ROWS($N$2:N550),$N$2:$N$1001,0),0), INDEX($U$1004:$AC$1004,1,MATCH(COLUMNS($U$1006:AB1006),$U$1006:$AC$1006,0)))),"Fix")))</f>
        <v>0</v>
      </c>
      <c r="J550" s="3">
        <f>IF(OR(INDEX($O$2:$O$1001,MATCH(ROWS($N$2:N550),$N$2:$N$1001,0),1)&gt;=100000,INDEX($U$1005:$AC$1005,1,MATCH(COLUMNS($U$1006:AC1006),$U$1006:$AC$1006,0))&gt;=100000), " ",IF(INDEX($U$2:$AC$1001,MATCH(ROWS($N$2:N550),$N$2:$N$1001,0),MATCH(COLUMNS($U$1006:AC1006),$U$1006:$AC$1006,0)), HYPERLINK("#",""), HYPERLINK(CONCATENATE("#metadata!", ADDRESS(INDEX($P$2:$P$1001,MATCH(ROWS($N$2:N550),$N$2:$N$1001,0),0), INDEX($U$1004:$AC$1004,1,MATCH(COLUMNS($U$1006:AC1006),$U$1006:$AC$1006,0)))),"Fix")))</f>
        <v>0</v>
      </c>
      <c r="N550">
        <v>0</v>
      </c>
      <c r="O550">
        <v>0</v>
      </c>
      <c r="P550">
        <v>0</v>
      </c>
      <c r="Q550">
        <f>IF(R550,TRUE,AND(U550:AC550))</f>
        <v>0</v>
      </c>
      <c r="R550">
        <f>COUNTBLANK(metadata!B550:J550)=COLUMNS(metadata!B550:J550)</f>
        <v>0</v>
      </c>
      <c r="S550">
        <v>0</v>
      </c>
      <c r="U550">
        <f>AND(IF(metadata!B550="",FALSE,TRUE),COUNTIF(metadata!B:B, metadata!B550) = 1,NOT(ISERROR(SUMPRODUCT(SEARCH(MID(metadata!B550,ROW(INDIRECT("1:"&amp;LEN(metadata!B550))), 1),"0123456789abcdefghijklmnopqrstuvwxyzABCDEFGHIJKLMNOPQRSTUVWXYZ.")))))</f>
        <v>0</v>
      </c>
      <c r="V550">
        <f>AND(IF(metadata!C550="",FALSE,TRUE),exact(metadata!C550,"UBERON:genitourinary"))</f>
        <v>0</v>
      </c>
      <c r="W550">
        <f>AND(IF(metadata!D550="",FALSE,TRUE),exact(metadata!D550,"UBERON:urine"))</f>
        <v>0</v>
      </c>
      <c r="X550">
        <f>AND(IF(metadata!E550="",FALSE,TRUE),exact(metadata!E550,"UBERON:kidney"))</f>
        <v>0</v>
      </c>
      <c r="Y550">
        <f>AND(IF(metadata!F550="",FALSE,TRUE),exact(metadata!F550,"animal corpus"))</f>
        <v>0</v>
      </c>
      <c r="Z550">
        <f>AND(IF(metadata!G550="",FALSE,TRUE),exact(metadata!G550,"urine"))</f>
        <v>0</v>
      </c>
      <c r="AA550">
        <f>AND(IF(metadata!H550="",FALSE,TRUE),exact(metadata!H550,"urine"))</f>
        <v>0</v>
      </c>
      <c r="AB550">
        <f>AND(IF(metadata!I550="",FALSE,TRUE),exact(metadata!I550,"urine metagenome"))</f>
        <v>0</v>
      </c>
      <c r="AC550">
        <f>AND(IF(metadata!J550="",FALSE,TRUE),exact(metadata!J550,"1346744"))</f>
        <v>0</v>
      </c>
    </row>
    <row r="551" spans="1:29">
      <c r="A551" s="4">
        <f>IF(B551=" "," ",HYPERLINK(CONCATENATE("#metadata!",ADDRESS(INDEX($P$2:$P$1001,MATCH(ROWS($N$2:N551),$N$2:$N$1001,0),0),1)),INDEX($S$2:$S$1001,MATCH(ROWS($N$2:N551),$N$2:$N$1001,0),0)))</f>
        <v>0</v>
      </c>
      <c r="B551" s="3">
        <f>IF(OR(INDEX($O$2:$O$1001,MATCH(ROWS($N$2:N551),$N$2:$N$1001,0),1)&gt;=100000,INDEX($U$1005:$AC$1005,1,MATCH(COLUMNS($U$1006:U1006),$U$1006:$AC$1006,0))&gt;=100000), " ",IF(INDEX($U$2:$AC$1001,MATCH(ROWS($N$2:N551),$N$2:$N$1001,0),MATCH(COLUMNS($U$1006:U1006),$U$1006:$AC$1006,0)), HYPERLINK("#",""), HYPERLINK(CONCATENATE("#metadata!", ADDRESS(INDEX($P$2:$P$1001,MATCH(ROWS($N$2:N551),$N$2:$N$1001,0),0), INDEX($U$1004:$AC$1004,1,MATCH(COLUMNS($U$1006:U1006),$U$1006:$AC$1006,0)))),"Fix")))</f>
        <v>0</v>
      </c>
      <c r="C551" s="3">
        <f>IF(OR(INDEX($O$2:$O$1001,MATCH(ROWS($N$2:N551),$N$2:$N$1001,0),1)&gt;=100000,INDEX($U$1005:$AC$1005,1,MATCH(COLUMNS($U$1006:V1006),$U$1006:$AC$1006,0))&gt;=100000), " ",IF(INDEX($U$2:$AC$1001,MATCH(ROWS($N$2:N551),$N$2:$N$1001,0),MATCH(COLUMNS($U$1006:V1006),$U$1006:$AC$1006,0)), HYPERLINK("#",""), HYPERLINK(CONCATENATE("#metadata!", ADDRESS(INDEX($P$2:$P$1001,MATCH(ROWS($N$2:N551),$N$2:$N$1001,0),0), INDEX($U$1004:$AC$1004,1,MATCH(COLUMNS($U$1006:V1006),$U$1006:$AC$1006,0)))),"Fix")))</f>
        <v>0</v>
      </c>
      <c r="D551" s="3">
        <f>IF(OR(INDEX($O$2:$O$1001,MATCH(ROWS($N$2:N551),$N$2:$N$1001,0),1)&gt;=100000,INDEX($U$1005:$AC$1005,1,MATCH(COLUMNS($U$1006:W1006),$U$1006:$AC$1006,0))&gt;=100000), " ",IF(INDEX($U$2:$AC$1001,MATCH(ROWS($N$2:N551),$N$2:$N$1001,0),MATCH(COLUMNS($U$1006:W1006),$U$1006:$AC$1006,0)), HYPERLINK("#",""), HYPERLINK(CONCATENATE("#metadata!", ADDRESS(INDEX($P$2:$P$1001,MATCH(ROWS($N$2:N551),$N$2:$N$1001,0),0), INDEX($U$1004:$AC$1004,1,MATCH(COLUMNS($U$1006:W1006),$U$1006:$AC$1006,0)))),"Fix")))</f>
        <v>0</v>
      </c>
      <c r="E551" s="3">
        <f>IF(OR(INDEX($O$2:$O$1001,MATCH(ROWS($N$2:N551),$N$2:$N$1001,0),1)&gt;=100000,INDEX($U$1005:$AC$1005,1,MATCH(COLUMNS($U$1006:X1006),$U$1006:$AC$1006,0))&gt;=100000), " ",IF(INDEX($U$2:$AC$1001,MATCH(ROWS($N$2:N551),$N$2:$N$1001,0),MATCH(COLUMNS($U$1006:X1006),$U$1006:$AC$1006,0)), HYPERLINK("#",""), HYPERLINK(CONCATENATE("#metadata!", ADDRESS(INDEX($P$2:$P$1001,MATCH(ROWS($N$2:N551),$N$2:$N$1001,0),0), INDEX($U$1004:$AC$1004,1,MATCH(COLUMNS($U$1006:X1006),$U$1006:$AC$1006,0)))),"Fix")))</f>
        <v>0</v>
      </c>
      <c r="F551" s="3">
        <f>IF(OR(INDEX($O$2:$O$1001,MATCH(ROWS($N$2:N551),$N$2:$N$1001,0),1)&gt;=100000,INDEX($U$1005:$AC$1005,1,MATCH(COLUMNS($U$1006:Y1006),$U$1006:$AC$1006,0))&gt;=100000), " ",IF(INDEX($U$2:$AC$1001,MATCH(ROWS($N$2:N551),$N$2:$N$1001,0),MATCH(COLUMNS($U$1006:Y1006),$U$1006:$AC$1006,0)), HYPERLINK("#",""), HYPERLINK(CONCATENATE("#metadata!", ADDRESS(INDEX($P$2:$P$1001,MATCH(ROWS($N$2:N551),$N$2:$N$1001,0),0), INDEX($U$1004:$AC$1004,1,MATCH(COLUMNS($U$1006:Y1006),$U$1006:$AC$1006,0)))),"Fix")))</f>
        <v>0</v>
      </c>
      <c r="G551" s="3">
        <f>IF(OR(INDEX($O$2:$O$1001,MATCH(ROWS($N$2:N551),$N$2:$N$1001,0),1)&gt;=100000,INDEX($U$1005:$AC$1005,1,MATCH(COLUMNS($U$1006:Z1006),$U$1006:$AC$1006,0))&gt;=100000), " ",IF(INDEX($U$2:$AC$1001,MATCH(ROWS($N$2:N551),$N$2:$N$1001,0),MATCH(COLUMNS($U$1006:Z1006),$U$1006:$AC$1006,0)), HYPERLINK("#",""), HYPERLINK(CONCATENATE("#metadata!", ADDRESS(INDEX($P$2:$P$1001,MATCH(ROWS($N$2:N551),$N$2:$N$1001,0),0), INDEX($U$1004:$AC$1004,1,MATCH(COLUMNS($U$1006:Z1006),$U$1006:$AC$1006,0)))),"Fix")))</f>
        <v>0</v>
      </c>
      <c r="H551" s="3">
        <f>IF(OR(INDEX($O$2:$O$1001,MATCH(ROWS($N$2:N551),$N$2:$N$1001,0),1)&gt;=100000,INDEX($U$1005:$AC$1005,1,MATCH(COLUMNS($U$1006:AA1006),$U$1006:$AC$1006,0))&gt;=100000), " ",IF(INDEX($U$2:$AC$1001,MATCH(ROWS($N$2:N551),$N$2:$N$1001,0),MATCH(COLUMNS($U$1006:AA1006),$U$1006:$AC$1006,0)), HYPERLINK("#",""), HYPERLINK(CONCATENATE("#metadata!", ADDRESS(INDEX($P$2:$P$1001,MATCH(ROWS($N$2:N551),$N$2:$N$1001,0),0), INDEX($U$1004:$AC$1004,1,MATCH(COLUMNS($U$1006:AA1006),$U$1006:$AC$1006,0)))),"Fix")))</f>
        <v>0</v>
      </c>
      <c r="I551" s="3">
        <f>IF(OR(INDEX($O$2:$O$1001,MATCH(ROWS($N$2:N551),$N$2:$N$1001,0),1)&gt;=100000,INDEX($U$1005:$AC$1005,1,MATCH(COLUMNS($U$1006:AB1006),$U$1006:$AC$1006,0))&gt;=100000), " ",IF(INDEX($U$2:$AC$1001,MATCH(ROWS($N$2:N551),$N$2:$N$1001,0),MATCH(COLUMNS($U$1006:AB1006),$U$1006:$AC$1006,0)), HYPERLINK("#",""), HYPERLINK(CONCATENATE("#metadata!", ADDRESS(INDEX($P$2:$P$1001,MATCH(ROWS($N$2:N551),$N$2:$N$1001,0),0), INDEX($U$1004:$AC$1004,1,MATCH(COLUMNS($U$1006:AB1006),$U$1006:$AC$1006,0)))),"Fix")))</f>
        <v>0</v>
      </c>
      <c r="J551" s="3">
        <f>IF(OR(INDEX($O$2:$O$1001,MATCH(ROWS($N$2:N551),$N$2:$N$1001,0),1)&gt;=100000,INDEX($U$1005:$AC$1005,1,MATCH(COLUMNS($U$1006:AC1006),$U$1006:$AC$1006,0))&gt;=100000), " ",IF(INDEX($U$2:$AC$1001,MATCH(ROWS($N$2:N551),$N$2:$N$1001,0),MATCH(COLUMNS($U$1006:AC1006),$U$1006:$AC$1006,0)), HYPERLINK("#",""), HYPERLINK(CONCATENATE("#metadata!", ADDRESS(INDEX($P$2:$P$1001,MATCH(ROWS($N$2:N551),$N$2:$N$1001,0),0), INDEX($U$1004:$AC$1004,1,MATCH(COLUMNS($U$1006:AC1006),$U$1006:$AC$1006,0)))),"Fix")))</f>
        <v>0</v>
      </c>
      <c r="N551">
        <v>0</v>
      </c>
      <c r="O551">
        <v>0</v>
      </c>
      <c r="P551">
        <v>0</v>
      </c>
      <c r="Q551">
        <f>IF(R551,TRUE,AND(U551:AC551))</f>
        <v>0</v>
      </c>
      <c r="R551">
        <f>COUNTBLANK(metadata!B551:J551)=COLUMNS(metadata!B551:J551)</f>
        <v>0</v>
      </c>
      <c r="S551">
        <v>0</v>
      </c>
      <c r="U551">
        <f>AND(IF(metadata!B551="",FALSE,TRUE),COUNTIF(metadata!B:B, metadata!B551) = 1,NOT(ISERROR(SUMPRODUCT(SEARCH(MID(metadata!B551,ROW(INDIRECT("1:"&amp;LEN(metadata!B551))), 1),"0123456789abcdefghijklmnopqrstuvwxyzABCDEFGHIJKLMNOPQRSTUVWXYZ.")))))</f>
        <v>0</v>
      </c>
      <c r="V551">
        <f>AND(IF(metadata!C551="",FALSE,TRUE),exact(metadata!C551,"UBERON:genitourinary"))</f>
        <v>0</v>
      </c>
      <c r="W551">
        <f>AND(IF(metadata!D551="",FALSE,TRUE),exact(metadata!D551,"UBERON:urine"))</f>
        <v>0</v>
      </c>
      <c r="X551">
        <f>AND(IF(metadata!E551="",FALSE,TRUE),exact(metadata!E551,"UBERON:kidney"))</f>
        <v>0</v>
      </c>
      <c r="Y551">
        <f>AND(IF(metadata!F551="",FALSE,TRUE),exact(metadata!F551,"animal corpus"))</f>
        <v>0</v>
      </c>
      <c r="Z551">
        <f>AND(IF(metadata!G551="",FALSE,TRUE),exact(metadata!G551,"urine"))</f>
        <v>0</v>
      </c>
      <c r="AA551">
        <f>AND(IF(metadata!H551="",FALSE,TRUE),exact(metadata!H551,"urine"))</f>
        <v>0</v>
      </c>
      <c r="AB551">
        <f>AND(IF(metadata!I551="",FALSE,TRUE),exact(metadata!I551,"urine metagenome"))</f>
        <v>0</v>
      </c>
      <c r="AC551">
        <f>AND(IF(metadata!J551="",FALSE,TRUE),exact(metadata!J551,"1346744"))</f>
        <v>0</v>
      </c>
    </row>
    <row r="552" spans="1:29">
      <c r="A552" s="4">
        <f>IF(B552=" "," ",HYPERLINK(CONCATENATE("#metadata!",ADDRESS(INDEX($P$2:$P$1001,MATCH(ROWS($N$2:N552),$N$2:$N$1001,0),0),1)),INDEX($S$2:$S$1001,MATCH(ROWS($N$2:N552),$N$2:$N$1001,0),0)))</f>
        <v>0</v>
      </c>
      <c r="B552" s="3">
        <f>IF(OR(INDEX($O$2:$O$1001,MATCH(ROWS($N$2:N552),$N$2:$N$1001,0),1)&gt;=100000,INDEX($U$1005:$AC$1005,1,MATCH(COLUMNS($U$1006:U1006),$U$1006:$AC$1006,0))&gt;=100000), " ",IF(INDEX($U$2:$AC$1001,MATCH(ROWS($N$2:N552),$N$2:$N$1001,0),MATCH(COLUMNS($U$1006:U1006),$U$1006:$AC$1006,0)), HYPERLINK("#",""), HYPERLINK(CONCATENATE("#metadata!", ADDRESS(INDEX($P$2:$P$1001,MATCH(ROWS($N$2:N552),$N$2:$N$1001,0),0), INDEX($U$1004:$AC$1004,1,MATCH(COLUMNS($U$1006:U1006),$U$1006:$AC$1006,0)))),"Fix")))</f>
        <v>0</v>
      </c>
      <c r="C552" s="3">
        <f>IF(OR(INDEX($O$2:$O$1001,MATCH(ROWS($N$2:N552),$N$2:$N$1001,0),1)&gt;=100000,INDEX($U$1005:$AC$1005,1,MATCH(COLUMNS($U$1006:V1006),$U$1006:$AC$1006,0))&gt;=100000), " ",IF(INDEX($U$2:$AC$1001,MATCH(ROWS($N$2:N552),$N$2:$N$1001,0),MATCH(COLUMNS($U$1006:V1006),$U$1006:$AC$1006,0)), HYPERLINK("#",""), HYPERLINK(CONCATENATE("#metadata!", ADDRESS(INDEX($P$2:$P$1001,MATCH(ROWS($N$2:N552),$N$2:$N$1001,0),0), INDEX($U$1004:$AC$1004,1,MATCH(COLUMNS($U$1006:V1006),$U$1006:$AC$1006,0)))),"Fix")))</f>
        <v>0</v>
      </c>
      <c r="D552" s="3">
        <f>IF(OR(INDEX($O$2:$O$1001,MATCH(ROWS($N$2:N552),$N$2:$N$1001,0),1)&gt;=100000,INDEX($U$1005:$AC$1005,1,MATCH(COLUMNS($U$1006:W1006),$U$1006:$AC$1006,0))&gt;=100000), " ",IF(INDEX($U$2:$AC$1001,MATCH(ROWS($N$2:N552),$N$2:$N$1001,0),MATCH(COLUMNS($U$1006:W1006),$U$1006:$AC$1006,0)), HYPERLINK("#",""), HYPERLINK(CONCATENATE("#metadata!", ADDRESS(INDEX($P$2:$P$1001,MATCH(ROWS($N$2:N552),$N$2:$N$1001,0),0), INDEX($U$1004:$AC$1004,1,MATCH(COLUMNS($U$1006:W1006),$U$1006:$AC$1006,0)))),"Fix")))</f>
        <v>0</v>
      </c>
      <c r="E552" s="3">
        <f>IF(OR(INDEX($O$2:$O$1001,MATCH(ROWS($N$2:N552),$N$2:$N$1001,0),1)&gt;=100000,INDEX($U$1005:$AC$1005,1,MATCH(COLUMNS($U$1006:X1006),$U$1006:$AC$1006,0))&gt;=100000), " ",IF(INDEX($U$2:$AC$1001,MATCH(ROWS($N$2:N552),$N$2:$N$1001,0),MATCH(COLUMNS($U$1006:X1006),$U$1006:$AC$1006,0)), HYPERLINK("#",""), HYPERLINK(CONCATENATE("#metadata!", ADDRESS(INDEX($P$2:$P$1001,MATCH(ROWS($N$2:N552),$N$2:$N$1001,0),0), INDEX($U$1004:$AC$1004,1,MATCH(COLUMNS($U$1006:X1006),$U$1006:$AC$1006,0)))),"Fix")))</f>
        <v>0</v>
      </c>
      <c r="F552" s="3">
        <f>IF(OR(INDEX($O$2:$O$1001,MATCH(ROWS($N$2:N552),$N$2:$N$1001,0),1)&gt;=100000,INDEX($U$1005:$AC$1005,1,MATCH(COLUMNS($U$1006:Y1006),$U$1006:$AC$1006,0))&gt;=100000), " ",IF(INDEX($U$2:$AC$1001,MATCH(ROWS($N$2:N552),$N$2:$N$1001,0),MATCH(COLUMNS($U$1006:Y1006),$U$1006:$AC$1006,0)), HYPERLINK("#",""), HYPERLINK(CONCATENATE("#metadata!", ADDRESS(INDEX($P$2:$P$1001,MATCH(ROWS($N$2:N552),$N$2:$N$1001,0),0), INDEX($U$1004:$AC$1004,1,MATCH(COLUMNS($U$1006:Y1006),$U$1006:$AC$1006,0)))),"Fix")))</f>
        <v>0</v>
      </c>
      <c r="G552" s="3">
        <f>IF(OR(INDEX($O$2:$O$1001,MATCH(ROWS($N$2:N552),$N$2:$N$1001,0),1)&gt;=100000,INDEX($U$1005:$AC$1005,1,MATCH(COLUMNS($U$1006:Z1006),$U$1006:$AC$1006,0))&gt;=100000), " ",IF(INDEX($U$2:$AC$1001,MATCH(ROWS($N$2:N552),$N$2:$N$1001,0),MATCH(COLUMNS($U$1006:Z1006),$U$1006:$AC$1006,0)), HYPERLINK("#",""), HYPERLINK(CONCATENATE("#metadata!", ADDRESS(INDEX($P$2:$P$1001,MATCH(ROWS($N$2:N552),$N$2:$N$1001,0),0), INDEX($U$1004:$AC$1004,1,MATCH(COLUMNS($U$1006:Z1006),$U$1006:$AC$1006,0)))),"Fix")))</f>
        <v>0</v>
      </c>
      <c r="H552" s="3">
        <f>IF(OR(INDEX($O$2:$O$1001,MATCH(ROWS($N$2:N552),$N$2:$N$1001,0),1)&gt;=100000,INDEX($U$1005:$AC$1005,1,MATCH(COLUMNS($U$1006:AA1006),$U$1006:$AC$1006,0))&gt;=100000), " ",IF(INDEX($U$2:$AC$1001,MATCH(ROWS($N$2:N552),$N$2:$N$1001,0),MATCH(COLUMNS($U$1006:AA1006),$U$1006:$AC$1006,0)), HYPERLINK("#",""), HYPERLINK(CONCATENATE("#metadata!", ADDRESS(INDEX($P$2:$P$1001,MATCH(ROWS($N$2:N552),$N$2:$N$1001,0),0), INDEX($U$1004:$AC$1004,1,MATCH(COLUMNS($U$1006:AA1006),$U$1006:$AC$1006,0)))),"Fix")))</f>
        <v>0</v>
      </c>
      <c r="I552" s="3">
        <f>IF(OR(INDEX($O$2:$O$1001,MATCH(ROWS($N$2:N552),$N$2:$N$1001,0),1)&gt;=100000,INDEX($U$1005:$AC$1005,1,MATCH(COLUMNS($U$1006:AB1006),$U$1006:$AC$1006,0))&gt;=100000), " ",IF(INDEX($U$2:$AC$1001,MATCH(ROWS($N$2:N552),$N$2:$N$1001,0),MATCH(COLUMNS($U$1006:AB1006),$U$1006:$AC$1006,0)), HYPERLINK("#",""), HYPERLINK(CONCATENATE("#metadata!", ADDRESS(INDEX($P$2:$P$1001,MATCH(ROWS($N$2:N552),$N$2:$N$1001,0),0), INDEX($U$1004:$AC$1004,1,MATCH(COLUMNS($U$1006:AB1006),$U$1006:$AC$1006,0)))),"Fix")))</f>
        <v>0</v>
      </c>
      <c r="J552" s="3">
        <f>IF(OR(INDEX($O$2:$O$1001,MATCH(ROWS($N$2:N552),$N$2:$N$1001,0),1)&gt;=100000,INDEX($U$1005:$AC$1005,1,MATCH(COLUMNS($U$1006:AC1006),$U$1006:$AC$1006,0))&gt;=100000), " ",IF(INDEX($U$2:$AC$1001,MATCH(ROWS($N$2:N552),$N$2:$N$1001,0),MATCH(COLUMNS($U$1006:AC1006),$U$1006:$AC$1006,0)), HYPERLINK("#",""), HYPERLINK(CONCATENATE("#metadata!", ADDRESS(INDEX($P$2:$P$1001,MATCH(ROWS($N$2:N552),$N$2:$N$1001,0),0), INDEX($U$1004:$AC$1004,1,MATCH(COLUMNS($U$1006:AC1006),$U$1006:$AC$1006,0)))),"Fix")))</f>
        <v>0</v>
      </c>
      <c r="N552">
        <v>0</v>
      </c>
      <c r="O552">
        <v>0</v>
      </c>
      <c r="P552">
        <v>0</v>
      </c>
      <c r="Q552">
        <f>IF(R552,TRUE,AND(U552:AC552))</f>
        <v>0</v>
      </c>
      <c r="R552">
        <f>COUNTBLANK(metadata!B552:J552)=COLUMNS(metadata!B552:J552)</f>
        <v>0</v>
      </c>
      <c r="S552">
        <v>0</v>
      </c>
      <c r="U552">
        <f>AND(IF(metadata!B552="",FALSE,TRUE),COUNTIF(metadata!B:B, metadata!B552) = 1,NOT(ISERROR(SUMPRODUCT(SEARCH(MID(metadata!B552,ROW(INDIRECT("1:"&amp;LEN(metadata!B552))), 1),"0123456789abcdefghijklmnopqrstuvwxyzABCDEFGHIJKLMNOPQRSTUVWXYZ.")))))</f>
        <v>0</v>
      </c>
      <c r="V552">
        <f>AND(IF(metadata!C552="",FALSE,TRUE),exact(metadata!C552,"UBERON:genitourinary"))</f>
        <v>0</v>
      </c>
      <c r="W552">
        <f>AND(IF(metadata!D552="",FALSE,TRUE),exact(metadata!D552,"UBERON:urine"))</f>
        <v>0</v>
      </c>
      <c r="X552">
        <f>AND(IF(metadata!E552="",FALSE,TRUE),exact(metadata!E552,"UBERON:kidney"))</f>
        <v>0</v>
      </c>
      <c r="Y552">
        <f>AND(IF(metadata!F552="",FALSE,TRUE),exact(metadata!F552,"animal corpus"))</f>
        <v>0</v>
      </c>
      <c r="Z552">
        <f>AND(IF(metadata!G552="",FALSE,TRUE),exact(metadata!G552,"urine"))</f>
        <v>0</v>
      </c>
      <c r="AA552">
        <f>AND(IF(metadata!H552="",FALSE,TRUE),exact(metadata!H552,"urine"))</f>
        <v>0</v>
      </c>
      <c r="AB552">
        <f>AND(IF(metadata!I552="",FALSE,TRUE),exact(metadata!I552,"urine metagenome"))</f>
        <v>0</v>
      </c>
      <c r="AC552">
        <f>AND(IF(metadata!J552="",FALSE,TRUE),exact(metadata!J552,"1346744"))</f>
        <v>0</v>
      </c>
    </row>
    <row r="553" spans="1:29">
      <c r="A553" s="4">
        <f>IF(B553=" "," ",HYPERLINK(CONCATENATE("#metadata!",ADDRESS(INDEX($P$2:$P$1001,MATCH(ROWS($N$2:N553),$N$2:$N$1001,0),0),1)),INDEX($S$2:$S$1001,MATCH(ROWS($N$2:N553),$N$2:$N$1001,0),0)))</f>
        <v>0</v>
      </c>
      <c r="B553" s="3">
        <f>IF(OR(INDEX($O$2:$O$1001,MATCH(ROWS($N$2:N553),$N$2:$N$1001,0),1)&gt;=100000,INDEX($U$1005:$AC$1005,1,MATCH(COLUMNS($U$1006:U1006),$U$1006:$AC$1006,0))&gt;=100000), " ",IF(INDEX($U$2:$AC$1001,MATCH(ROWS($N$2:N553),$N$2:$N$1001,0),MATCH(COLUMNS($U$1006:U1006),$U$1006:$AC$1006,0)), HYPERLINK("#",""), HYPERLINK(CONCATENATE("#metadata!", ADDRESS(INDEX($P$2:$P$1001,MATCH(ROWS($N$2:N553),$N$2:$N$1001,0),0), INDEX($U$1004:$AC$1004,1,MATCH(COLUMNS($U$1006:U1006),$U$1006:$AC$1006,0)))),"Fix")))</f>
        <v>0</v>
      </c>
      <c r="C553" s="3">
        <f>IF(OR(INDEX($O$2:$O$1001,MATCH(ROWS($N$2:N553),$N$2:$N$1001,0),1)&gt;=100000,INDEX($U$1005:$AC$1005,1,MATCH(COLUMNS($U$1006:V1006),$U$1006:$AC$1006,0))&gt;=100000), " ",IF(INDEX($U$2:$AC$1001,MATCH(ROWS($N$2:N553),$N$2:$N$1001,0),MATCH(COLUMNS($U$1006:V1006),$U$1006:$AC$1006,0)), HYPERLINK("#",""), HYPERLINK(CONCATENATE("#metadata!", ADDRESS(INDEX($P$2:$P$1001,MATCH(ROWS($N$2:N553),$N$2:$N$1001,0),0), INDEX($U$1004:$AC$1004,1,MATCH(COLUMNS($U$1006:V1006),$U$1006:$AC$1006,0)))),"Fix")))</f>
        <v>0</v>
      </c>
      <c r="D553" s="3">
        <f>IF(OR(INDEX($O$2:$O$1001,MATCH(ROWS($N$2:N553),$N$2:$N$1001,0),1)&gt;=100000,INDEX($U$1005:$AC$1005,1,MATCH(COLUMNS($U$1006:W1006),$U$1006:$AC$1006,0))&gt;=100000), " ",IF(INDEX($U$2:$AC$1001,MATCH(ROWS($N$2:N553),$N$2:$N$1001,0),MATCH(COLUMNS($U$1006:W1006),$U$1006:$AC$1006,0)), HYPERLINK("#",""), HYPERLINK(CONCATENATE("#metadata!", ADDRESS(INDEX($P$2:$P$1001,MATCH(ROWS($N$2:N553),$N$2:$N$1001,0),0), INDEX($U$1004:$AC$1004,1,MATCH(COLUMNS($U$1006:W1006),$U$1006:$AC$1006,0)))),"Fix")))</f>
        <v>0</v>
      </c>
      <c r="E553" s="3">
        <f>IF(OR(INDEX($O$2:$O$1001,MATCH(ROWS($N$2:N553),$N$2:$N$1001,0),1)&gt;=100000,INDEX($U$1005:$AC$1005,1,MATCH(COLUMNS($U$1006:X1006),$U$1006:$AC$1006,0))&gt;=100000), " ",IF(INDEX($U$2:$AC$1001,MATCH(ROWS($N$2:N553),$N$2:$N$1001,0),MATCH(COLUMNS($U$1006:X1006),$U$1006:$AC$1006,0)), HYPERLINK("#",""), HYPERLINK(CONCATENATE("#metadata!", ADDRESS(INDEX($P$2:$P$1001,MATCH(ROWS($N$2:N553),$N$2:$N$1001,0),0), INDEX($U$1004:$AC$1004,1,MATCH(COLUMNS($U$1006:X1006),$U$1006:$AC$1006,0)))),"Fix")))</f>
        <v>0</v>
      </c>
      <c r="F553" s="3">
        <f>IF(OR(INDEX($O$2:$O$1001,MATCH(ROWS($N$2:N553),$N$2:$N$1001,0),1)&gt;=100000,INDEX($U$1005:$AC$1005,1,MATCH(COLUMNS($U$1006:Y1006),$U$1006:$AC$1006,0))&gt;=100000), " ",IF(INDEX($U$2:$AC$1001,MATCH(ROWS($N$2:N553),$N$2:$N$1001,0),MATCH(COLUMNS($U$1006:Y1006),$U$1006:$AC$1006,0)), HYPERLINK("#",""), HYPERLINK(CONCATENATE("#metadata!", ADDRESS(INDEX($P$2:$P$1001,MATCH(ROWS($N$2:N553),$N$2:$N$1001,0),0), INDEX($U$1004:$AC$1004,1,MATCH(COLUMNS($U$1006:Y1006),$U$1006:$AC$1006,0)))),"Fix")))</f>
        <v>0</v>
      </c>
      <c r="G553" s="3">
        <f>IF(OR(INDEX($O$2:$O$1001,MATCH(ROWS($N$2:N553),$N$2:$N$1001,0),1)&gt;=100000,INDEX($U$1005:$AC$1005,1,MATCH(COLUMNS($U$1006:Z1006),$U$1006:$AC$1006,0))&gt;=100000), " ",IF(INDEX($U$2:$AC$1001,MATCH(ROWS($N$2:N553),$N$2:$N$1001,0),MATCH(COLUMNS($U$1006:Z1006),$U$1006:$AC$1006,0)), HYPERLINK("#",""), HYPERLINK(CONCATENATE("#metadata!", ADDRESS(INDEX($P$2:$P$1001,MATCH(ROWS($N$2:N553),$N$2:$N$1001,0),0), INDEX($U$1004:$AC$1004,1,MATCH(COLUMNS($U$1006:Z1006),$U$1006:$AC$1006,0)))),"Fix")))</f>
        <v>0</v>
      </c>
      <c r="H553" s="3">
        <f>IF(OR(INDEX($O$2:$O$1001,MATCH(ROWS($N$2:N553),$N$2:$N$1001,0),1)&gt;=100000,INDEX($U$1005:$AC$1005,1,MATCH(COLUMNS($U$1006:AA1006),$U$1006:$AC$1006,0))&gt;=100000), " ",IF(INDEX($U$2:$AC$1001,MATCH(ROWS($N$2:N553),$N$2:$N$1001,0),MATCH(COLUMNS($U$1006:AA1006),$U$1006:$AC$1006,0)), HYPERLINK("#",""), HYPERLINK(CONCATENATE("#metadata!", ADDRESS(INDEX($P$2:$P$1001,MATCH(ROWS($N$2:N553),$N$2:$N$1001,0),0), INDEX($U$1004:$AC$1004,1,MATCH(COLUMNS($U$1006:AA1006),$U$1006:$AC$1006,0)))),"Fix")))</f>
        <v>0</v>
      </c>
      <c r="I553" s="3">
        <f>IF(OR(INDEX($O$2:$O$1001,MATCH(ROWS($N$2:N553),$N$2:$N$1001,0),1)&gt;=100000,INDEX($U$1005:$AC$1005,1,MATCH(COLUMNS($U$1006:AB1006),$U$1006:$AC$1006,0))&gt;=100000), " ",IF(INDEX($U$2:$AC$1001,MATCH(ROWS($N$2:N553),$N$2:$N$1001,0),MATCH(COLUMNS($U$1006:AB1006),$U$1006:$AC$1006,0)), HYPERLINK("#",""), HYPERLINK(CONCATENATE("#metadata!", ADDRESS(INDEX($P$2:$P$1001,MATCH(ROWS($N$2:N553),$N$2:$N$1001,0),0), INDEX($U$1004:$AC$1004,1,MATCH(COLUMNS($U$1006:AB1006),$U$1006:$AC$1006,0)))),"Fix")))</f>
        <v>0</v>
      </c>
      <c r="J553" s="3">
        <f>IF(OR(INDEX($O$2:$O$1001,MATCH(ROWS($N$2:N553),$N$2:$N$1001,0),1)&gt;=100000,INDEX($U$1005:$AC$1005,1,MATCH(COLUMNS($U$1006:AC1006),$U$1006:$AC$1006,0))&gt;=100000), " ",IF(INDEX($U$2:$AC$1001,MATCH(ROWS($N$2:N553),$N$2:$N$1001,0),MATCH(COLUMNS($U$1006:AC1006),$U$1006:$AC$1006,0)), HYPERLINK("#",""), HYPERLINK(CONCATENATE("#metadata!", ADDRESS(INDEX($P$2:$P$1001,MATCH(ROWS($N$2:N553),$N$2:$N$1001,0),0), INDEX($U$1004:$AC$1004,1,MATCH(COLUMNS($U$1006:AC1006),$U$1006:$AC$1006,0)))),"Fix")))</f>
        <v>0</v>
      </c>
      <c r="N553">
        <v>0</v>
      </c>
      <c r="O553">
        <v>0</v>
      </c>
      <c r="P553">
        <v>0</v>
      </c>
      <c r="Q553">
        <f>IF(R553,TRUE,AND(U553:AC553))</f>
        <v>0</v>
      </c>
      <c r="R553">
        <f>COUNTBLANK(metadata!B553:J553)=COLUMNS(metadata!B553:J553)</f>
        <v>0</v>
      </c>
      <c r="S553">
        <v>0</v>
      </c>
      <c r="U553">
        <f>AND(IF(metadata!B553="",FALSE,TRUE),COUNTIF(metadata!B:B, metadata!B553) = 1,NOT(ISERROR(SUMPRODUCT(SEARCH(MID(metadata!B553,ROW(INDIRECT("1:"&amp;LEN(metadata!B553))), 1),"0123456789abcdefghijklmnopqrstuvwxyzABCDEFGHIJKLMNOPQRSTUVWXYZ.")))))</f>
        <v>0</v>
      </c>
      <c r="V553">
        <f>AND(IF(metadata!C553="",FALSE,TRUE),exact(metadata!C553,"UBERON:genitourinary"))</f>
        <v>0</v>
      </c>
      <c r="W553">
        <f>AND(IF(metadata!D553="",FALSE,TRUE),exact(metadata!D553,"UBERON:urine"))</f>
        <v>0</v>
      </c>
      <c r="X553">
        <f>AND(IF(metadata!E553="",FALSE,TRUE),exact(metadata!E553,"UBERON:kidney"))</f>
        <v>0</v>
      </c>
      <c r="Y553">
        <f>AND(IF(metadata!F553="",FALSE,TRUE),exact(metadata!F553,"animal corpus"))</f>
        <v>0</v>
      </c>
      <c r="Z553">
        <f>AND(IF(metadata!G553="",FALSE,TRUE),exact(metadata!G553,"urine"))</f>
        <v>0</v>
      </c>
      <c r="AA553">
        <f>AND(IF(metadata!H553="",FALSE,TRUE),exact(metadata!H553,"urine"))</f>
        <v>0</v>
      </c>
      <c r="AB553">
        <f>AND(IF(metadata!I553="",FALSE,TRUE),exact(metadata!I553,"urine metagenome"))</f>
        <v>0</v>
      </c>
      <c r="AC553">
        <f>AND(IF(metadata!J553="",FALSE,TRUE),exact(metadata!J553,"1346744"))</f>
        <v>0</v>
      </c>
    </row>
    <row r="554" spans="1:29">
      <c r="A554" s="4">
        <f>IF(B554=" "," ",HYPERLINK(CONCATENATE("#metadata!",ADDRESS(INDEX($P$2:$P$1001,MATCH(ROWS($N$2:N554),$N$2:$N$1001,0),0),1)),INDEX($S$2:$S$1001,MATCH(ROWS($N$2:N554),$N$2:$N$1001,0),0)))</f>
        <v>0</v>
      </c>
      <c r="B554" s="3">
        <f>IF(OR(INDEX($O$2:$O$1001,MATCH(ROWS($N$2:N554),$N$2:$N$1001,0),1)&gt;=100000,INDEX($U$1005:$AC$1005,1,MATCH(COLUMNS($U$1006:U1006),$U$1006:$AC$1006,0))&gt;=100000), " ",IF(INDEX($U$2:$AC$1001,MATCH(ROWS($N$2:N554),$N$2:$N$1001,0),MATCH(COLUMNS($U$1006:U1006),$U$1006:$AC$1006,0)), HYPERLINK("#",""), HYPERLINK(CONCATENATE("#metadata!", ADDRESS(INDEX($P$2:$P$1001,MATCH(ROWS($N$2:N554),$N$2:$N$1001,0),0), INDEX($U$1004:$AC$1004,1,MATCH(COLUMNS($U$1006:U1006),$U$1006:$AC$1006,0)))),"Fix")))</f>
        <v>0</v>
      </c>
      <c r="C554" s="3">
        <f>IF(OR(INDEX($O$2:$O$1001,MATCH(ROWS($N$2:N554),$N$2:$N$1001,0),1)&gt;=100000,INDEX($U$1005:$AC$1005,1,MATCH(COLUMNS($U$1006:V1006),$U$1006:$AC$1006,0))&gt;=100000), " ",IF(INDEX($U$2:$AC$1001,MATCH(ROWS($N$2:N554),$N$2:$N$1001,0),MATCH(COLUMNS($U$1006:V1006),$U$1006:$AC$1006,0)), HYPERLINK("#",""), HYPERLINK(CONCATENATE("#metadata!", ADDRESS(INDEX($P$2:$P$1001,MATCH(ROWS($N$2:N554),$N$2:$N$1001,0),0), INDEX($U$1004:$AC$1004,1,MATCH(COLUMNS($U$1006:V1006),$U$1006:$AC$1006,0)))),"Fix")))</f>
        <v>0</v>
      </c>
      <c r="D554" s="3">
        <f>IF(OR(INDEX($O$2:$O$1001,MATCH(ROWS($N$2:N554),$N$2:$N$1001,0),1)&gt;=100000,INDEX($U$1005:$AC$1005,1,MATCH(COLUMNS($U$1006:W1006),$U$1006:$AC$1006,0))&gt;=100000), " ",IF(INDEX($U$2:$AC$1001,MATCH(ROWS($N$2:N554),$N$2:$N$1001,0),MATCH(COLUMNS($U$1006:W1006),$U$1006:$AC$1006,0)), HYPERLINK("#",""), HYPERLINK(CONCATENATE("#metadata!", ADDRESS(INDEX($P$2:$P$1001,MATCH(ROWS($N$2:N554),$N$2:$N$1001,0),0), INDEX($U$1004:$AC$1004,1,MATCH(COLUMNS($U$1006:W1006),$U$1006:$AC$1006,0)))),"Fix")))</f>
        <v>0</v>
      </c>
      <c r="E554" s="3">
        <f>IF(OR(INDEX($O$2:$O$1001,MATCH(ROWS($N$2:N554),$N$2:$N$1001,0),1)&gt;=100000,INDEX($U$1005:$AC$1005,1,MATCH(COLUMNS($U$1006:X1006),$U$1006:$AC$1006,0))&gt;=100000), " ",IF(INDEX($U$2:$AC$1001,MATCH(ROWS($N$2:N554),$N$2:$N$1001,0),MATCH(COLUMNS($U$1006:X1006),$U$1006:$AC$1006,0)), HYPERLINK("#",""), HYPERLINK(CONCATENATE("#metadata!", ADDRESS(INDEX($P$2:$P$1001,MATCH(ROWS($N$2:N554),$N$2:$N$1001,0),0), INDEX($U$1004:$AC$1004,1,MATCH(COLUMNS($U$1006:X1006),$U$1006:$AC$1006,0)))),"Fix")))</f>
        <v>0</v>
      </c>
      <c r="F554" s="3">
        <f>IF(OR(INDEX($O$2:$O$1001,MATCH(ROWS($N$2:N554),$N$2:$N$1001,0),1)&gt;=100000,INDEX($U$1005:$AC$1005,1,MATCH(COLUMNS($U$1006:Y1006),$U$1006:$AC$1006,0))&gt;=100000), " ",IF(INDEX($U$2:$AC$1001,MATCH(ROWS($N$2:N554),$N$2:$N$1001,0),MATCH(COLUMNS($U$1006:Y1006),$U$1006:$AC$1006,0)), HYPERLINK("#",""), HYPERLINK(CONCATENATE("#metadata!", ADDRESS(INDEX($P$2:$P$1001,MATCH(ROWS($N$2:N554),$N$2:$N$1001,0),0), INDEX($U$1004:$AC$1004,1,MATCH(COLUMNS($U$1006:Y1006),$U$1006:$AC$1006,0)))),"Fix")))</f>
        <v>0</v>
      </c>
      <c r="G554" s="3">
        <f>IF(OR(INDEX($O$2:$O$1001,MATCH(ROWS($N$2:N554),$N$2:$N$1001,0),1)&gt;=100000,INDEX($U$1005:$AC$1005,1,MATCH(COLUMNS($U$1006:Z1006),$U$1006:$AC$1006,0))&gt;=100000), " ",IF(INDEX($U$2:$AC$1001,MATCH(ROWS($N$2:N554),$N$2:$N$1001,0),MATCH(COLUMNS($U$1006:Z1006),$U$1006:$AC$1006,0)), HYPERLINK("#",""), HYPERLINK(CONCATENATE("#metadata!", ADDRESS(INDEX($P$2:$P$1001,MATCH(ROWS($N$2:N554),$N$2:$N$1001,0),0), INDEX($U$1004:$AC$1004,1,MATCH(COLUMNS($U$1006:Z1006),$U$1006:$AC$1006,0)))),"Fix")))</f>
        <v>0</v>
      </c>
      <c r="H554" s="3">
        <f>IF(OR(INDEX($O$2:$O$1001,MATCH(ROWS($N$2:N554),$N$2:$N$1001,0),1)&gt;=100000,INDEX($U$1005:$AC$1005,1,MATCH(COLUMNS($U$1006:AA1006),$U$1006:$AC$1006,0))&gt;=100000), " ",IF(INDEX($U$2:$AC$1001,MATCH(ROWS($N$2:N554),$N$2:$N$1001,0),MATCH(COLUMNS($U$1006:AA1006),$U$1006:$AC$1006,0)), HYPERLINK("#",""), HYPERLINK(CONCATENATE("#metadata!", ADDRESS(INDEX($P$2:$P$1001,MATCH(ROWS($N$2:N554),$N$2:$N$1001,0),0), INDEX($U$1004:$AC$1004,1,MATCH(COLUMNS($U$1006:AA1006),$U$1006:$AC$1006,0)))),"Fix")))</f>
        <v>0</v>
      </c>
      <c r="I554" s="3">
        <f>IF(OR(INDEX($O$2:$O$1001,MATCH(ROWS($N$2:N554),$N$2:$N$1001,0),1)&gt;=100000,INDEX($U$1005:$AC$1005,1,MATCH(COLUMNS($U$1006:AB1006),$U$1006:$AC$1006,0))&gt;=100000), " ",IF(INDEX($U$2:$AC$1001,MATCH(ROWS($N$2:N554),$N$2:$N$1001,0),MATCH(COLUMNS($U$1006:AB1006),$U$1006:$AC$1006,0)), HYPERLINK("#",""), HYPERLINK(CONCATENATE("#metadata!", ADDRESS(INDEX($P$2:$P$1001,MATCH(ROWS($N$2:N554),$N$2:$N$1001,0),0), INDEX($U$1004:$AC$1004,1,MATCH(COLUMNS($U$1006:AB1006),$U$1006:$AC$1006,0)))),"Fix")))</f>
        <v>0</v>
      </c>
      <c r="J554" s="3">
        <f>IF(OR(INDEX($O$2:$O$1001,MATCH(ROWS($N$2:N554),$N$2:$N$1001,0),1)&gt;=100000,INDEX($U$1005:$AC$1005,1,MATCH(COLUMNS($U$1006:AC1006),$U$1006:$AC$1006,0))&gt;=100000), " ",IF(INDEX($U$2:$AC$1001,MATCH(ROWS($N$2:N554),$N$2:$N$1001,0),MATCH(COLUMNS($U$1006:AC1006),$U$1006:$AC$1006,0)), HYPERLINK("#",""), HYPERLINK(CONCATENATE("#metadata!", ADDRESS(INDEX($P$2:$P$1001,MATCH(ROWS($N$2:N554),$N$2:$N$1001,0),0), INDEX($U$1004:$AC$1004,1,MATCH(COLUMNS($U$1006:AC1006),$U$1006:$AC$1006,0)))),"Fix")))</f>
        <v>0</v>
      </c>
      <c r="N554">
        <v>0</v>
      </c>
      <c r="O554">
        <v>0</v>
      </c>
      <c r="P554">
        <v>0</v>
      </c>
      <c r="Q554">
        <f>IF(R554,TRUE,AND(U554:AC554))</f>
        <v>0</v>
      </c>
      <c r="R554">
        <f>COUNTBLANK(metadata!B554:J554)=COLUMNS(metadata!B554:J554)</f>
        <v>0</v>
      </c>
      <c r="S554">
        <v>0</v>
      </c>
      <c r="U554">
        <f>AND(IF(metadata!B554="",FALSE,TRUE),COUNTIF(metadata!B:B, metadata!B554) = 1,NOT(ISERROR(SUMPRODUCT(SEARCH(MID(metadata!B554,ROW(INDIRECT("1:"&amp;LEN(metadata!B554))), 1),"0123456789abcdefghijklmnopqrstuvwxyzABCDEFGHIJKLMNOPQRSTUVWXYZ.")))))</f>
        <v>0</v>
      </c>
      <c r="V554">
        <f>AND(IF(metadata!C554="",FALSE,TRUE),exact(metadata!C554,"UBERON:genitourinary"))</f>
        <v>0</v>
      </c>
      <c r="W554">
        <f>AND(IF(metadata!D554="",FALSE,TRUE),exact(metadata!D554,"UBERON:urine"))</f>
        <v>0</v>
      </c>
      <c r="X554">
        <f>AND(IF(metadata!E554="",FALSE,TRUE),exact(metadata!E554,"UBERON:kidney"))</f>
        <v>0</v>
      </c>
      <c r="Y554">
        <f>AND(IF(metadata!F554="",FALSE,TRUE),exact(metadata!F554,"animal corpus"))</f>
        <v>0</v>
      </c>
      <c r="Z554">
        <f>AND(IF(metadata!G554="",FALSE,TRUE),exact(metadata!G554,"urine"))</f>
        <v>0</v>
      </c>
      <c r="AA554">
        <f>AND(IF(metadata!H554="",FALSE,TRUE),exact(metadata!H554,"urine"))</f>
        <v>0</v>
      </c>
      <c r="AB554">
        <f>AND(IF(metadata!I554="",FALSE,TRUE),exact(metadata!I554,"urine metagenome"))</f>
        <v>0</v>
      </c>
      <c r="AC554">
        <f>AND(IF(metadata!J554="",FALSE,TRUE),exact(metadata!J554,"1346744"))</f>
        <v>0</v>
      </c>
    </row>
    <row r="555" spans="1:29">
      <c r="A555" s="4">
        <f>IF(B555=" "," ",HYPERLINK(CONCATENATE("#metadata!",ADDRESS(INDEX($P$2:$P$1001,MATCH(ROWS($N$2:N555),$N$2:$N$1001,0),0),1)),INDEX($S$2:$S$1001,MATCH(ROWS($N$2:N555),$N$2:$N$1001,0),0)))</f>
        <v>0</v>
      </c>
      <c r="B555" s="3">
        <f>IF(OR(INDEX($O$2:$O$1001,MATCH(ROWS($N$2:N555),$N$2:$N$1001,0),1)&gt;=100000,INDEX($U$1005:$AC$1005,1,MATCH(COLUMNS($U$1006:U1006),$U$1006:$AC$1006,0))&gt;=100000), " ",IF(INDEX($U$2:$AC$1001,MATCH(ROWS($N$2:N555),$N$2:$N$1001,0),MATCH(COLUMNS($U$1006:U1006),$U$1006:$AC$1006,0)), HYPERLINK("#",""), HYPERLINK(CONCATENATE("#metadata!", ADDRESS(INDEX($P$2:$P$1001,MATCH(ROWS($N$2:N555),$N$2:$N$1001,0),0), INDEX($U$1004:$AC$1004,1,MATCH(COLUMNS($U$1006:U1006),$U$1006:$AC$1006,0)))),"Fix")))</f>
        <v>0</v>
      </c>
      <c r="C555" s="3">
        <f>IF(OR(INDEX($O$2:$O$1001,MATCH(ROWS($N$2:N555),$N$2:$N$1001,0),1)&gt;=100000,INDEX($U$1005:$AC$1005,1,MATCH(COLUMNS($U$1006:V1006),$U$1006:$AC$1006,0))&gt;=100000), " ",IF(INDEX($U$2:$AC$1001,MATCH(ROWS($N$2:N555),$N$2:$N$1001,0),MATCH(COLUMNS($U$1006:V1006),$U$1006:$AC$1006,0)), HYPERLINK("#",""), HYPERLINK(CONCATENATE("#metadata!", ADDRESS(INDEX($P$2:$P$1001,MATCH(ROWS($N$2:N555),$N$2:$N$1001,0),0), INDEX($U$1004:$AC$1004,1,MATCH(COLUMNS($U$1006:V1006),$U$1006:$AC$1006,0)))),"Fix")))</f>
        <v>0</v>
      </c>
      <c r="D555" s="3">
        <f>IF(OR(INDEX($O$2:$O$1001,MATCH(ROWS($N$2:N555),$N$2:$N$1001,0),1)&gt;=100000,INDEX($U$1005:$AC$1005,1,MATCH(COLUMNS($U$1006:W1006),$U$1006:$AC$1006,0))&gt;=100000), " ",IF(INDEX($U$2:$AC$1001,MATCH(ROWS($N$2:N555),$N$2:$N$1001,0),MATCH(COLUMNS($U$1006:W1006),$U$1006:$AC$1006,0)), HYPERLINK("#",""), HYPERLINK(CONCATENATE("#metadata!", ADDRESS(INDEX($P$2:$P$1001,MATCH(ROWS($N$2:N555),$N$2:$N$1001,0),0), INDEX($U$1004:$AC$1004,1,MATCH(COLUMNS($U$1006:W1006),$U$1006:$AC$1006,0)))),"Fix")))</f>
        <v>0</v>
      </c>
      <c r="E555" s="3">
        <f>IF(OR(INDEX($O$2:$O$1001,MATCH(ROWS($N$2:N555),$N$2:$N$1001,0),1)&gt;=100000,INDEX($U$1005:$AC$1005,1,MATCH(COLUMNS($U$1006:X1006),$U$1006:$AC$1006,0))&gt;=100000), " ",IF(INDEX($U$2:$AC$1001,MATCH(ROWS($N$2:N555),$N$2:$N$1001,0),MATCH(COLUMNS($U$1006:X1006),$U$1006:$AC$1006,0)), HYPERLINK("#",""), HYPERLINK(CONCATENATE("#metadata!", ADDRESS(INDEX($P$2:$P$1001,MATCH(ROWS($N$2:N555),$N$2:$N$1001,0),0), INDEX($U$1004:$AC$1004,1,MATCH(COLUMNS($U$1006:X1006),$U$1006:$AC$1006,0)))),"Fix")))</f>
        <v>0</v>
      </c>
      <c r="F555" s="3">
        <f>IF(OR(INDEX($O$2:$O$1001,MATCH(ROWS($N$2:N555),$N$2:$N$1001,0),1)&gt;=100000,INDEX($U$1005:$AC$1005,1,MATCH(COLUMNS($U$1006:Y1006),$U$1006:$AC$1006,0))&gt;=100000), " ",IF(INDEX($U$2:$AC$1001,MATCH(ROWS($N$2:N555),$N$2:$N$1001,0),MATCH(COLUMNS($U$1006:Y1006),$U$1006:$AC$1006,0)), HYPERLINK("#",""), HYPERLINK(CONCATENATE("#metadata!", ADDRESS(INDEX($P$2:$P$1001,MATCH(ROWS($N$2:N555),$N$2:$N$1001,0),0), INDEX($U$1004:$AC$1004,1,MATCH(COLUMNS($U$1006:Y1006),$U$1006:$AC$1006,0)))),"Fix")))</f>
        <v>0</v>
      </c>
      <c r="G555" s="3">
        <f>IF(OR(INDEX($O$2:$O$1001,MATCH(ROWS($N$2:N555),$N$2:$N$1001,0),1)&gt;=100000,INDEX($U$1005:$AC$1005,1,MATCH(COLUMNS($U$1006:Z1006),$U$1006:$AC$1006,0))&gt;=100000), " ",IF(INDEX($U$2:$AC$1001,MATCH(ROWS($N$2:N555),$N$2:$N$1001,0),MATCH(COLUMNS($U$1006:Z1006),$U$1006:$AC$1006,0)), HYPERLINK("#",""), HYPERLINK(CONCATENATE("#metadata!", ADDRESS(INDEX($P$2:$P$1001,MATCH(ROWS($N$2:N555),$N$2:$N$1001,0),0), INDEX($U$1004:$AC$1004,1,MATCH(COLUMNS($U$1006:Z1006),$U$1006:$AC$1006,0)))),"Fix")))</f>
        <v>0</v>
      </c>
      <c r="H555" s="3">
        <f>IF(OR(INDEX($O$2:$O$1001,MATCH(ROWS($N$2:N555),$N$2:$N$1001,0),1)&gt;=100000,INDEX($U$1005:$AC$1005,1,MATCH(COLUMNS($U$1006:AA1006),$U$1006:$AC$1006,0))&gt;=100000), " ",IF(INDEX($U$2:$AC$1001,MATCH(ROWS($N$2:N555),$N$2:$N$1001,0),MATCH(COLUMNS($U$1006:AA1006),$U$1006:$AC$1006,0)), HYPERLINK("#",""), HYPERLINK(CONCATENATE("#metadata!", ADDRESS(INDEX($P$2:$P$1001,MATCH(ROWS($N$2:N555),$N$2:$N$1001,0),0), INDEX($U$1004:$AC$1004,1,MATCH(COLUMNS($U$1006:AA1006),$U$1006:$AC$1006,0)))),"Fix")))</f>
        <v>0</v>
      </c>
      <c r="I555" s="3">
        <f>IF(OR(INDEX($O$2:$O$1001,MATCH(ROWS($N$2:N555),$N$2:$N$1001,0),1)&gt;=100000,INDEX($U$1005:$AC$1005,1,MATCH(COLUMNS($U$1006:AB1006),$U$1006:$AC$1006,0))&gt;=100000), " ",IF(INDEX($U$2:$AC$1001,MATCH(ROWS($N$2:N555),$N$2:$N$1001,0),MATCH(COLUMNS($U$1006:AB1006),$U$1006:$AC$1006,0)), HYPERLINK("#",""), HYPERLINK(CONCATENATE("#metadata!", ADDRESS(INDEX($P$2:$P$1001,MATCH(ROWS($N$2:N555),$N$2:$N$1001,0),0), INDEX($U$1004:$AC$1004,1,MATCH(COLUMNS($U$1006:AB1006),$U$1006:$AC$1006,0)))),"Fix")))</f>
        <v>0</v>
      </c>
      <c r="J555" s="3">
        <f>IF(OR(INDEX($O$2:$O$1001,MATCH(ROWS($N$2:N555),$N$2:$N$1001,0),1)&gt;=100000,INDEX($U$1005:$AC$1005,1,MATCH(COLUMNS($U$1006:AC1006),$U$1006:$AC$1006,0))&gt;=100000), " ",IF(INDEX($U$2:$AC$1001,MATCH(ROWS($N$2:N555),$N$2:$N$1001,0),MATCH(COLUMNS($U$1006:AC1006),$U$1006:$AC$1006,0)), HYPERLINK("#",""), HYPERLINK(CONCATENATE("#metadata!", ADDRESS(INDEX($P$2:$P$1001,MATCH(ROWS($N$2:N555),$N$2:$N$1001,0),0), INDEX($U$1004:$AC$1004,1,MATCH(COLUMNS($U$1006:AC1006),$U$1006:$AC$1006,0)))),"Fix")))</f>
        <v>0</v>
      </c>
      <c r="N555">
        <v>0</v>
      </c>
      <c r="O555">
        <v>0</v>
      </c>
      <c r="P555">
        <v>0</v>
      </c>
      <c r="Q555">
        <f>IF(R555,TRUE,AND(U555:AC555))</f>
        <v>0</v>
      </c>
      <c r="R555">
        <f>COUNTBLANK(metadata!B555:J555)=COLUMNS(metadata!B555:J555)</f>
        <v>0</v>
      </c>
      <c r="S555">
        <v>0</v>
      </c>
      <c r="U555">
        <f>AND(IF(metadata!B555="",FALSE,TRUE),COUNTIF(metadata!B:B, metadata!B555) = 1,NOT(ISERROR(SUMPRODUCT(SEARCH(MID(metadata!B555,ROW(INDIRECT("1:"&amp;LEN(metadata!B555))), 1),"0123456789abcdefghijklmnopqrstuvwxyzABCDEFGHIJKLMNOPQRSTUVWXYZ.")))))</f>
        <v>0</v>
      </c>
      <c r="V555">
        <f>AND(IF(metadata!C555="",FALSE,TRUE),exact(metadata!C555,"UBERON:genitourinary"))</f>
        <v>0</v>
      </c>
      <c r="W555">
        <f>AND(IF(metadata!D555="",FALSE,TRUE),exact(metadata!D555,"UBERON:urine"))</f>
        <v>0</v>
      </c>
      <c r="X555">
        <f>AND(IF(metadata!E555="",FALSE,TRUE),exact(metadata!E555,"UBERON:kidney"))</f>
        <v>0</v>
      </c>
      <c r="Y555">
        <f>AND(IF(metadata!F555="",FALSE,TRUE),exact(metadata!F555,"animal corpus"))</f>
        <v>0</v>
      </c>
      <c r="Z555">
        <f>AND(IF(metadata!G555="",FALSE,TRUE),exact(metadata!G555,"urine"))</f>
        <v>0</v>
      </c>
      <c r="AA555">
        <f>AND(IF(metadata!H555="",FALSE,TRUE),exact(metadata!H555,"urine"))</f>
        <v>0</v>
      </c>
      <c r="AB555">
        <f>AND(IF(metadata!I555="",FALSE,TRUE),exact(metadata!I555,"urine metagenome"))</f>
        <v>0</v>
      </c>
      <c r="AC555">
        <f>AND(IF(metadata!J555="",FALSE,TRUE),exact(metadata!J555,"1346744"))</f>
        <v>0</v>
      </c>
    </row>
    <row r="556" spans="1:29">
      <c r="A556" s="4">
        <f>IF(B556=" "," ",HYPERLINK(CONCATENATE("#metadata!",ADDRESS(INDEX($P$2:$P$1001,MATCH(ROWS($N$2:N556),$N$2:$N$1001,0),0),1)),INDEX($S$2:$S$1001,MATCH(ROWS($N$2:N556),$N$2:$N$1001,0),0)))</f>
        <v>0</v>
      </c>
      <c r="B556" s="3">
        <f>IF(OR(INDEX($O$2:$O$1001,MATCH(ROWS($N$2:N556),$N$2:$N$1001,0),1)&gt;=100000,INDEX($U$1005:$AC$1005,1,MATCH(COLUMNS($U$1006:U1006),$U$1006:$AC$1006,0))&gt;=100000), " ",IF(INDEX($U$2:$AC$1001,MATCH(ROWS($N$2:N556),$N$2:$N$1001,0),MATCH(COLUMNS($U$1006:U1006),$U$1006:$AC$1006,0)), HYPERLINK("#",""), HYPERLINK(CONCATENATE("#metadata!", ADDRESS(INDEX($P$2:$P$1001,MATCH(ROWS($N$2:N556),$N$2:$N$1001,0),0), INDEX($U$1004:$AC$1004,1,MATCH(COLUMNS($U$1006:U1006),$U$1006:$AC$1006,0)))),"Fix")))</f>
        <v>0</v>
      </c>
      <c r="C556" s="3">
        <f>IF(OR(INDEX($O$2:$O$1001,MATCH(ROWS($N$2:N556),$N$2:$N$1001,0),1)&gt;=100000,INDEX($U$1005:$AC$1005,1,MATCH(COLUMNS($U$1006:V1006),$U$1006:$AC$1006,0))&gt;=100000), " ",IF(INDEX($U$2:$AC$1001,MATCH(ROWS($N$2:N556),$N$2:$N$1001,0),MATCH(COLUMNS($U$1006:V1006),$U$1006:$AC$1006,0)), HYPERLINK("#",""), HYPERLINK(CONCATENATE("#metadata!", ADDRESS(INDEX($P$2:$P$1001,MATCH(ROWS($N$2:N556),$N$2:$N$1001,0),0), INDEX($U$1004:$AC$1004,1,MATCH(COLUMNS($U$1006:V1006),$U$1006:$AC$1006,0)))),"Fix")))</f>
        <v>0</v>
      </c>
      <c r="D556" s="3">
        <f>IF(OR(INDEX($O$2:$O$1001,MATCH(ROWS($N$2:N556),$N$2:$N$1001,0),1)&gt;=100000,INDEX($U$1005:$AC$1005,1,MATCH(COLUMNS($U$1006:W1006),$U$1006:$AC$1006,0))&gt;=100000), " ",IF(INDEX($U$2:$AC$1001,MATCH(ROWS($N$2:N556),$N$2:$N$1001,0),MATCH(COLUMNS($U$1006:W1006),$U$1006:$AC$1006,0)), HYPERLINK("#",""), HYPERLINK(CONCATENATE("#metadata!", ADDRESS(INDEX($P$2:$P$1001,MATCH(ROWS($N$2:N556),$N$2:$N$1001,0),0), INDEX($U$1004:$AC$1004,1,MATCH(COLUMNS($U$1006:W1006),$U$1006:$AC$1006,0)))),"Fix")))</f>
        <v>0</v>
      </c>
      <c r="E556" s="3">
        <f>IF(OR(INDEX($O$2:$O$1001,MATCH(ROWS($N$2:N556),$N$2:$N$1001,0),1)&gt;=100000,INDEX($U$1005:$AC$1005,1,MATCH(COLUMNS($U$1006:X1006),$U$1006:$AC$1006,0))&gt;=100000), " ",IF(INDEX($U$2:$AC$1001,MATCH(ROWS($N$2:N556),$N$2:$N$1001,0),MATCH(COLUMNS($U$1006:X1006),$U$1006:$AC$1006,0)), HYPERLINK("#",""), HYPERLINK(CONCATENATE("#metadata!", ADDRESS(INDEX($P$2:$P$1001,MATCH(ROWS($N$2:N556),$N$2:$N$1001,0),0), INDEX($U$1004:$AC$1004,1,MATCH(COLUMNS($U$1006:X1006),$U$1006:$AC$1006,0)))),"Fix")))</f>
        <v>0</v>
      </c>
      <c r="F556" s="3">
        <f>IF(OR(INDEX($O$2:$O$1001,MATCH(ROWS($N$2:N556),$N$2:$N$1001,0),1)&gt;=100000,INDEX($U$1005:$AC$1005,1,MATCH(COLUMNS($U$1006:Y1006),$U$1006:$AC$1006,0))&gt;=100000), " ",IF(INDEX($U$2:$AC$1001,MATCH(ROWS($N$2:N556),$N$2:$N$1001,0),MATCH(COLUMNS($U$1006:Y1006),$U$1006:$AC$1006,0)), HYPERLINK("#",""), HYPERLINK(CONCATENATE("#metadata!", ADDRESS(INDEX($P$2:$P$1001,MATCH(ROWS($N$2:N556),$N$2:$N$1001,0),0), INDEX($U$1004:$AC$1004,1,MATCH(COLUMNS($U$1006:Y1006),$U$1006:$AC$1006,0)))),"Fix")))</f>
        <v>0</v>
      </c>
      <c r="G556" s="3">
        <f>IF(OR(INDEX($O$2:$O$1001,MATCH(ROWS($N$2:N556),$N$2:$N$1001,0),1)&gt;=100000,INDEX($U$1005:$AC$1005,1,MATCH(COLUMNS($U$1006:Z1006),$U$1006:$AC$1006,0))&gt;=100000), " ",IF(INDEX($U$2:$AC$1001,MATCH(ROWS($N$2:N556),$N$2:$N$1001,0),MATCH(COLUMNS($U$1006:Z1006),$U$1006:$AC$1006,0)), HYPERLINK("#",""), HYPERLINK(CONCATENATE("#metadata!", ADDRESS(INDEX($P$2:$P$1001,MATCH(ROWS($N$2:N556),$N$2:$N$1001,0),0), INDEX($U$1004:$AC$1004,1,MATCH(COLUMNS($U$1006:Z1006),$U$1006:$AC$1006,0)))),"Fix")))</f>
        <v>0</v>
      </c>
      <c r="H556" s="3">
        <f>IF(OR(INDEX($O$2:$O$1001,MATCH(ROWS($N$2:N556),$N$2:$N$1001,0),1)&gt;=100000,INDEX($U$1005:$AC$1005,1,MATCH(COLUMNS($U$1006:AA1006),$U$1006:$AC$1006,0))&gt;=100000), " ",IF(INDEX($U$2:$AC$1001,MATCH(ROWS($N$2:N556),$N$2:$N$1001,0),MATCH(COLUMNS($U$1006:AA1006),$U$1006:$AC$1006,0)), HYPERLINK("#",""), HYPERLINK(CONCATENATE("#metadata!", ADDRESS(INDEX($P$2:$P$1001,MATCH(ROWS($N$2:N556),$N$2:$N$1001,0),0), INDEX($U$1004:$AC$1004,1,MATCH(COLUMNS($U$1006:AA1006),$U$1006:$AC$1006,0)))),"Fix")))</f>
        <v>0</v>
      </c>
      <c r="I556" s="3">
        <f>IF(OR(INDEX($O$2:$O$1001,MATCH(ROWS($N$2:N556),$N$2:$N$1001,0),1)&gt;=100000,INDEX($U$1005:$AC$1005,1,MATCH(COLUMNS($U$1006:AB1006),$U$1006:$AC$1006,0))&gt;=100000), " ",IF(INDEX($U$2:$AC$1001,MATCH(ROWS($N$2:N556),$N$2:$N$1001,0),MATCH(COLUMNS($U$1006:AB1006),$U$1006:$AC$1006,0)), HYPERLINK("#",""), HYPERLINK(CONCATENATE("#metadata!", ADDRESS(INDEX($P$2:$P$1001,MATCH(ROWS($N$2:N556),$N$2:$N$1001,0),0), INDEX($U$1004:$AC$1004,1,MATCH(COLUMNS($U$1006:AB1006),$U$1006:$AC$1006,0)))),"Fix")))</f>
        <v>0</v>
      </c>
      <c r="J556" s="3">
        <f>IF(OR(INDEX($O$2:$O$1001,MATCH(ROWS($N$2:N556),$N$2:$N$1001,0),1)&gt;=100000,INDEX($U$1005:$AC$1005,1,MATCH(COLUMNS($U$1006:AC1006),$U$1006:$AC$1006,0))&gt;=100000), " ",IF(INDEX($U$2:$AC$1001,MATCH(ROWS($N$2:N556),$N$2:$N$1001,0),MATCH(COLUMNS($U$1006:AC1006),$U$1006:$AC$1006,0)), HYPERLINK("#",""), HYPERLINK(CONCATENATE("#metadata!", ADDRESS(INDEX($P$2:$P$1001,MATCH(ROWS($N$2:N556),$N$2:$N$1001,0),0), INDEX($U$1004:$AC$1004,1,MATCH(COLUMNS($U$1006:AC1006),$U$1006:$AC$1006,0)))),"Fix")))</f>
        <v>0</v>
      </c>
      <c r="N556">
        <v>0</v>
      </c>
      <c r="O556">
        <v>0</v>
      </c>
      <c r="P556">
        <v>0</v>
      </c>
      <c r="Q556">
        <f>IF(R556,TRUE,AND(U556:AC556))</f>
        <v>0</v>
      </c>
      <c r="R556">
        <f>COUNTBLANK(metadata!B556:J556)=COLUMNS(metadata!B556:J556)</f>
        <v>0</v>
      </c>
      <c r="S556">
        <v>0</v>
      </c>
      <c r="U556">
        <f>AND(IF(metadata!B556="",FALSE,TRUE),COUNTIF(metadata!B:B, metadata!B556) = 1,NOT(ISERROR(SUMPRODUCT(SEARCH(MID(metadata!B556,ROW(INDIRECT("1:"&amp;LEN(metadata!B556))), 1),"0123456789abcdefghijklmnopqrstuvwxyzABCDEFGHIJKLMNOPQRSTUVWXYZ.")))))</f>
        <v>0</v>
      </c>
      <c r="V556">
        <f>AND(IF(metadata!C556="",FALSE,TRUE),exact(metadata!C556,"UBERON:genitourinary"))</f>
        <v>0</v>
      </c>
      <c r="W556">
        <f>AND(IF(metadata!D556="",FALSE,TRUE),exact(metadata!D556,"UBERON:urine"))</f>
        <v>0</v>
      </c>
      <c r="X556">
        <f>AND(IF(metadata!E556="",FALSE,TRUE),exact(metadata!E556,"UBERON:kidney"))</f>
        <v>0</v>
      </c>
      <c r="Y556">
        <f>AND(IF(metadata!F556="",FALSE,TRUE),exact(metadata!F556,"animal corpus"))</f>
        <v>0</v>
      </c>
      <c r="Z556">
        <f>AND(IF(metadata!G556="",FALSE,TRUE),exact(metadata!G556,"urine"))</f>
        <v>0</v>
      </c>
      <c r="AA556">
        <f>AND(IF(metadata!H556="",FALSE,TRUE),exact(metadata!H556,"urine"))</f>
        <v>0</v>
      </c>
      <c r="AB556">
        <f>AND(IF(metadata!I556="",FALSE,TRUE),exact(metadata!I556,"urine metagenome"))</f>
        <v>0</v>
      </c>
      <c r="AC556">
        <f>AND(IF(metadata!J556="",FALSE,TRUE),exact(metadata!J556,"1346744"))</f>
        <v>0</v>
      </c>
    </row>
    <row r="557" spans="1:29">
      <c r="A557" s="4">
        <f>IF(B557=" "," ",HYPERLINK(CONCATENATE("#metadata!",ADDRESS(INDEX($P$2:$P$1001,MATCH(ROWS($N$2:N557),$N$2:$N$1001,0),0),1)),INDEX($S$2:$S$1001,MATCH(ROWS($N$2:N557),$N$2:$N$1001,0),0)))</f>
        <v>0</v>
      </c>
      <c r="B557" s="3">
        <f>IF(OR(INDEX($O$2:$O$1001,MATCH(ROWS($N$2:N557),$N$2:$N$1001,0),1)&gt;=100000,INDEX($U$1005:$AC$1005,1,MATCH(COLUMNS($U$1006:U1006),$U$1006:$AC$1006,0))&gt;=100000), " ",IF(INDEX($U$2:$AC$1001,MATCH(ROWS($N$2:N557),$N$2:$N$1001,0),MATCH(COLUMNS($U$1006:U1006),$U$1006:$AC$1006,0)), HYPERLINK("#",""), HYPERLINK(CONCATENATE("#metadata!", ADDRESS(INDEX($P$2:$P$1001,MATCH(ROWS($N$2:N557),$N$2:$N$1001,0),0), INDEX($U$1004:$AC$1004,1,MATCH(COLUMNS($U$1006:U1006),$U$1006:$AC$1006,0)))),"Fix")))</f>
        <v>0</v>
      </c>
      <c r="C557" s="3">
        <f>IF(OR(INDEX($O$2:$O$1001,MATCH(ROWS($N$2:N557),$N$2:$N$1001,0),1)&gt;=100000,INDEX($U$1005:$AC$1005,1,MATCH(COLUMNS($U$1006:V1006),$U$1006:$AC$1006,0))&gt;=100000), " ",IF(INDEX($U$2:$AC$1001,MATCH(ROWS($N$2:N557),$N$2:$N$1001,0),MATCH(COLUMNS($U$1006:V1006),$U$1006:$AC$1006,0)), HYPERLINK("#",""), HYPERLINK(CONCATENATE("#metadata!", ADDRESS(INDEX($P$2:$P$1001,MATCH(ROWS($N$2:N557),$N$2:$N$1001,0),0), INDEX($U$1004:$AC$1004,1,MATCH(COLUMNS($U$1006:V1006),$U$1006:$AC$1006,0)))),"Fix")))</f>
        <v>0</v>
      </c>
      <c r="D557" s="3">
        <f>IF(OR(INDEX($O$2:$O$1001,MATCH(ROWS($N$2:N557),$N$2:$N$1001,0),1)&gt;=100000,INDEX($U$1005:$AC$1005,1,MATCH(COLUMNS($U$1006:W1006),$U$1006:$AC$1006,0))&gt;=100000), " ",IF(INDEX($U$2:$AC$1001,MATCH(ROWS($N$2:N557),$N$2:$N$1001,0),MATCH(COLUMNS($U$1006:W1006),$U$1006:$AC$1006,0)), HYPERLINK("#",""), HYPERLINK(CONCATENATE("#metadata!", ADDRESS(INDEX($P$2:$P$1001,MATCH(ROWS($N$2:N557),$N$2:$N$1001,0),0), INDEX($U$1004:$AC$1004,1,MATCH(COLUMNS($U$1006:W1006),$U$1006:$AC$1006,0)))),"Fix")))</f>
        <v>0</v>
      </c>
      <c r="E557" s="3">
        <f>IF(OR(INDEX($O$2:$O$1001,MATCH(ROWS($N$2:N557),$N$2:$N$1001,0),1)&gt;=100000,INDEX($U$1005:$AC$1005,1,MATCH(COLUMNS($U$1006:X1006),$U$1006:$AC$1006,0))&gt;=100000), " ",IF(INDEX($U$2:$AC$1001,MATCH(ROWS($N$2:N557),$N$2:$N$1001,0),MATCH(COLUMNS($U$1006:X1006),$U$1006:$AC$1006,0)), HYPERLINK("#",""), HYPERLINK(CONCATENATE("#metadata!", ADDRESS(INDEX($P$2:$P$1001,MATCH(ROWS($N$2:N557),$N$2:$N$1001,0),0), INDEX($U$1004:$AC$1004,1,MATCH(COLUMNS($U$1006:X1006),$U$1006:$AC$1006,0)))),"Fix")))</f>
        <v>0</v>
      </c>
      <c r="F557" s="3">
        <f>IF(OR(INDEX($O$2:$O$1001,MATCH(ROWS($N$2:N557),$N$2:$N$1001,0),1)&gt;=100000,INDEX($U$1005:$AC$1005,1,MATCH(COLUMNS($U$1006:Y1006),$U$1006:$AC$1006,0))&gt;=100000), " ",IF(INDEX($U$2:$AC$1001,MATCH(ROWS($N$2:N557),$N$2:$N$1001,0),MATCH(COLUMNS($U$1006:Y1006),$U$1006:$AC$1006,0)), HYPERLINK("#",""), HYPERLINK(CONCATENATE("#metadata!", ADDRESS(INDEX($P$2:$P$1001,MATCH(ROWS($N$2:N557),$N$2:$N$1001,0),0), INDEX($U$1004:$AC$1004,1,MATCH(COLUMNS($U$1006:Y1006),$U$1006:$AC$1006,0)))),"Fix")))</f>
        <v>0</v>
      </c>
      <c r="G557" s="3">
        <f>IF(OR(INDEX($O$2:$O$1001,MATCH(ROWS($N$2:N557),$N$2:$N$1001,0),1)&gt;=100000,INDEX($U$1005:$AC$1005,1,MATCH(COLUMNS($U$1006:Z1006),$U$1006:$AC$1006,0))&gt;=100000), " ",IF(INDEX($U$2:$AC$1001,MATCH(ROWS($N$2:N557),$N$2:$N$1001,0),MATCH(COLUMNS($U$1006:Z1006),$U$1006:$AC$1006,0)), HYPERLINK("#",""), HYPERLINK(CONCATENATE("#metadata!", ADDRESS(INDEX($P$2:$P$1001,MATCH(ROWS($N$2:N557),$N$2:$N$1001,0),0), INDEX($U$1004:$AC$1004,1,MATCH(COLUMNS($U$1006:Z1006),$U$1006:$AC$1006,0)))),"Fix")))</f>
        <v>0</v>
      </c>
      <c r="H557" s="3">
        <f>IF(OR(INDEX($O$2:$O$1001,MATCH(ROWS($N$2:N557),$N$2:$N$1001,0),1)&gt;=100000,INDEX($U$1005:$AC$1005,1,MATCH(COLUMNS($U$1006:AA1006),$U$1006:$AC$1006,0))&gt;=100000), " ",IF(INDEX($U$2:$AC$1001,MATCH(ROWS($N$2:N557),$N$2:$N$1001,0),MATCH(COLUMNS($U$1006:AA1006),$U$1006:$AC$1006,0)), HYPERLINK("#",""), HYPERLINK(CONCATENATE("#metadata!", ADDRESS(INDEX($P$2:$P$1001,MATCH(ROWS($N$2:N557),$N$2:$N$1001,0),0), INDEX($U$1004:$AC$1004,1,MATCH(COLUMNS($U$1006:AA1006),$U$1006:$AC$1006,0)))),"Fix")))</f>
        <v>0</v>
      </c>
      <c r="I557" s="3">
        <f>IF(OR(INDEX($O$2:$O$1001,MATCH(ROWS($N$2:N557),$N$2:$N$1001,0),1)&gt;=100000,INDEX($U$1005:$AC$1005,1,MATCH(COLUMNS($U$1006:AB1006),$U$1006:$AC$1006,0))&gt;=100000), " ",IF(INDEX($U$2:$AC$1001,MATCH(ROWS($N$2:N557),$N$2:$N$1001,0),MATCH(COLUMNS($U$1006:AB1006),$U$1006:$AC$1006,0)), HYPERLINK("#",""), HYPERLINK(CONCATENATE("#metadata!", ADDRESS(INDEX($P$2:$P$1001,MATCH(ROWS($N$2:N557),$N$2:$N$1001,0),0), INDEX($U$1004:$AC$1004,1,MATCH(COLUMNS($U$1006:AB1006),$U$1006:$AC$1006,0)))),"Fix")))</f>
        <v>0</v>
      </c>
      <c r="J557" s="3">
        <f>IF(OR(INDEX($O$2:$O$1001,MATCH(ROWS($N$2:N557),$N$2:$N$1001,0),1)&gt;=100000,INDEX($U$1005:$AC$1005,1,MATCH(COLUMNS($U$1006:AC1006),$U$1006:$AC$1006,0))&gt;=100000), " ",IF(INDEX($U$2:$AC$1001,MATCH(ROWS($N$2:N557),$N$2:$N$1001,0),MATCH(COLUMNS($U$1006:AC1006),$U$1006:$AC$1006,0)), HYPERLINK("#",""), HYPERLINK(CONCATENATE("#metadata!", ADDRESS(INDEX($P$2:$P$1001,MATCH(ROWS($N$2:N557),$N$2:$N$1001,0),0), INDEX($U$1004:$AC$1004,1,MATCH(COLUMNS($U$1006:AC1006),$U$1006:$AC$1006,0)))),"Fix")))</f>
        <v>0</v>
      </c>
      <c r="N557">
        <v>0</v>
      </c>
      <c r="O557">
        <v>0</v>
      </c>
      <c r="P557">
        <v>0</v>
      </c>
      <c r="Q557">
        <f>IF(R557,TRUE,AND(U557:AC557))</f>
        <v>0</v>
      </c>
      <c r="R557">
        <f>COUNTBLANK(metadata!B557:J557)=COLUMNS(metadata!B557:J557)</f>
        <v>0</v>
      </c>
      <c r="S557">
        <v>0</v>
      </c>
      <c r="U557">
        <f>AND(IF(metadata!B557="",FALSE,TRUE),COUNTIF(metadata!B:B, metadata!B557) = 1,NOT(ISERROR(SUMPRODUCT(SEARCH(MID(metadata!B557,ROW(INDIRECT("1:"&amp;LEN(metadata!B557))), 1),"0123456789abcdefghijklmnopqrstuvwxyzABCDEFGHIJKLMNOPQRSTUVWXYZ.")))))</f>
        <v>0</v>
      </c>
      <c r="V557">
        <f>AND(IF(metadata!C557="",FALSE,TRUE),exact(metadata!C557,"UBERON:genitourinary"))</f>
        <v>0</v>
      </c>
      <c r="W557">
        <f>AND(IF(metadata!D557="",FALSE,TRUE),exact(metadata!D557,"UBERON:urine"))</f>
        <v>0</v>
      </c>
      <c r="X557">
        <f>AND(IF(metadata!E557="",FALSE,TRUE),exact(metadata!E557,"UBERON:kidney"))</f>
        <v>0</v>
      </c>
      <c r="Y557">
        <f>AND(IF(metadata!F557="",FALSE,TRUE),exact(metadata!F557,"animal corpus"))</f>
        <v>0</v>
      </c>
      <c r="Z557">
        <f>AND(IF(metadata!G557="",FALSE,TRUE),exact(metadata!G557,"urine"))</f>
        <v>0</v>
      </c>
      <c r="AA557">
        <f>AND(IF(metadata!H557="",FALSE,TRUE),exact(metadata!H557,"urine"))</f>
        <v>0</v>
      </c>
      <c r="AB557">
        <f>AND(IF(metadata!I557="",FALSE,TRUE),exact(metadata!I557,"urine metagenome"))</f>
        <v>0</v>
      </c>
      <c r="AC557">
        <f>AND(IF(metadata!J557="",FALSE,TRUE),exact(metadata!J557,"1346744"))</f>
        <v>0</v>
      </c>
    </row>
    <row r="558" spans="1:29">
      <c r="A558" s="4">
        <f>IF(B558=" "," ",HYPERLINK(CONCATENATE("#metadata!",ADDRESS(INDEX($P$2:$P$1001,MATCH(ROWS($N$2:N558),$N$2:$N$1001,0),0),1)),INDEX($S$2:$S$1001,MATCH(ROWS($N$2:N558),$N$2:$N$1001,0),0)))</f>
        <v>0</v>
      </c>
      <c r="B558" s="3">
        <f>IF(OR(INDEX($O$2:$O$1001,MATCH(ROWS($N$2:N558),$N$2:$N$1001,0),1)&gt;=100000,INDEX($U$1005:$AC$1005,1,MATCH(COLUMNS($U$1006:U1006),$U$1006:$AC$1006,0))&gt;=100000), " ",IF(INDEX($U$2:$AC$1001,MATCH(ROWS($N$2:N558),$N$2:$N$1001,0),MATCH(COLUMNS($U$1006:U1006),$U$1006:$AC$1006,0)), HYPERLINK("#",""), HYPERLINK(CONCATENATE("#metadata!", ADDRESS(INDEX($P$2:$P$1001,MATCH(ROWS($N$2:N558),$N$2:$N$1001,0),0), INDEX($U$1004:$AC$1004,1,MATCH(COLUMNS($U$1006:U1006),$U$1006:$AC$1006,0)))),"Fix")))</f>
        <v>0</v>
      </c>
      <c r="C558" s="3">
        <f>IF(OR(INDEX($O$2:$O$1001,MATCH(ROWS($N$2:N558),$N$2:$N$1001,0),1)&gt;=100000,INDEX($U$1005:$AC$1005,1,MATCH(COLUMNS($U$1006:V1006),$U$1006:$AC$1006,0))&gt;=100000), " ",IF(INDEX($U$2:$AC$1001,MATCH(ROWS($N$2:N558),$N$2:$N$1001,0),MATCH(COLUMNS($U$1006:V1006),$U$1006:$AC$1006,0)), HYPERLINK("#",""), HYPERLINK(CONCATENATE("#metadata!", ADDRESS(INDEX($P$2:$P$1001,MATCH(ROWS($N$2:N558),$N$2:$N$1001,0),0), INDEX($U$1004:$AC$1004,1,MATCH(COLUMNS($U$1006:V1006),$U$1006:$AC$1006,0)))),"Fix")))</f>
        <v>0</v>
      </c>
      <c r="D558" s="3">
        <f>IF(OR(INDEX($O$2:$O$1001,MATCH(ROWS($N$2:N558),$N$2:$N$1001,0),1)&gt;=100000,INDEX($U$1005:$AC$1005,1,MATCH(COLUMNS($U$1006:W1006),$U$1006:$AC$1006,0))&gt;=100000), " ",IF(INDEX($U$2:$AC$1001,MATCH(ROWS($N$2:N558),$N$2:$N$1001,0),MATCH(COLUMNS($U$1006:W1006),$U$1006:$AC$1006,0)), HYPERLINK("#",""), HYPERLINK(CONCATENATE("#metadata!", ADDRESS(INDEX($P$2:$P$1001,MATCH(ROWS($N$2:N558),$N$2:$N$1001,0),0), INDEX($U$1004:$AC$1004,1,MATCH(COLUMNS($U$1006:W1006),$U$1006:$AC$1006,0)))),"Fix")))</f>
        <v>0</v>
      </c>
      <c r="E558" s="3">
        <f>IF(OR(INDEX($O$2:$O$1001,MATCH(ROWS($N$2:N558),$N$2:$N$1001,0),1)&gt;=100000,INDEX($U$1005:$AC$1005,1,MATCH(COLUMNS($U$1006:X1006),$U$1006:$AC$1006,0))&gt;=100000), " ",IF(INDEX($U$2:$AC$1001,MATCH(ROWS($N$2:N558),$N$2:$N$1001,0),MATCH(COLUMNS($U$1006:X1006),$U$1006:$AC$1006,0)), HYPERLINK("#",""), HYPERLINK(CONCATENATE("#metadata!", ADDRESS(INDEX($P$2:$P$1001,MATCH(ROWS($N$2:N558),$N$2:$N$1001,0),0), INDEX($U$1004:$AC$1004,1,MATCH(COLUMNS($U$1006:X1006),$U$1006:$AC$1006,0)))),"Fix")))</f>
        <v>0</v>
      </c>
      <c r="F558" s="3">
        <f>IF(OR(INDEX($O$2:$O$1001,MATCH(ROWS($N$2:N558),$N$2:$N$1001,0),1)&gt;=100000,INDEX($U$1005:$AC$1005,1,MATCH(COLUMNS($U$1006:Y1006),$U$1006:$AC$1006,0))&gt;=100000), " ",IF(INDEX($U$2:$AC$1001,MATCH(ROWS($N$2:N558),$N$2:$N$1001,0),MATCH(COLUMNS($U$1006:Y1006),$U$1006:$AC$1006,0)), HYPERLINK("#",""), HYPERLINK(CONCATENATE("#metadata!", ADDRESS(INDEX($P$2:$P$1001,MATCH(ROWS($N$2:N558),$N$2:$N$1001,0),0), INDEX($U$1004:$AC$1004,1,MATCH(COLUMNS($U$1006:Y1006),$U$1006:$AC$1006,0)))),"Fix")))</f>
        <v>0</v>
      </c>
      <c r="G558" s="3">
        <f>IF(OR(INDEX($O$2:$O$1001,MATCH(ROWS($N$2:N558),$N$2:$N$1001,0),1)&gt;=100000,INDEX($U$1005:$AC$1005,1,MATCH(COLUMNS($U$1006:Z1006),$U$1006:$AC$1006,0))&gt;=100000), " ",IF(INDEX($U$2:$AC$1001,MATCH(ROWS($N$2:N558),$N$2:$N$1001,0),MATCH(COLUMNS($U$1006:Z1006),$U$1006:$AC$1006,0)), HYPERLINK("#",""), HYPERLINK(CONCATENATE("#metadata!", ADDRESS(INDEX($P$2:$P$1001,MATCH(ROWS($N$2:N558),$N$2:$N$1001,0),0), INDEX($U$1004:$AC$1004,1,MATCH(COLUMNS($U$1006:Z1006),$U$1006:$AC$1006,0)))),"Fix")))</f>
        <v>0</v>
      </c>
      <c r="H558" s="3">
        <f>IF(OR(INDEX($O$2:$O$1001,MATCH(ROWS($N$2:N558),$N$2:$N$1001,0),1)&gt;=100000,INDEX($U$1005:$AC$1005,1,MATCH(COLUMNS($U$1006:AA1006),$U$1006:$AC$1006,0))&gt;=100000), " ",IF(INDEX($U$2:$AC$1001,MATCH(ROWS($N$2:N558),$N$2:$N$1001,0),MATCH(COLUMNS($U$1006:AA1006),$U$1006:$AC$1006,0)), HYPERLINK("#",""), HYPERLINK(CONCATENATE("#metadata!", ADDRESS(INDEX($P$2:$P$1001,MATCH(ROWS($N$2:N558),$N$2:$N$1001,0),0), INDEX($U$1004:$AC$1004,1,MATCH(COLUMNS($U$1006:AA1006),$U$1006:$AC$1006,0)))),"Fix")))</f>
        <v>0</v>
      </c>
      <c r="I558" s="3">
        <f>IF(OR(INDEX($O$2:$O$1001,MATCH(ROWS($N$2:N558),$N$2:$N$1001,0),1)&gt;=100000,INDEX($U$1005:$AC$1005,1,MATCH(COLUMNS($U$1006:AB1006),$U$1006:$AC$1006,0))&gt;=100000), " ",IF(INDEX($U$2:$AC$1001,MATCH(ROWS($N$2:N558),$N$2:$N$1001,0),MATCH(COLUMNS($U$1006:AB1006),$U$1006:$AC$1006,0)), HYPERLINK("#",""), HYPERLINK(CONCATENATE("#metadata!", ADDRESS(INDEX($P$2:$P$1001,MATCH(ROWS($N$2:N558),$N$2:$N$1001,0),0), INDEX($U$1004:$AC$1004,1,MATCH(COLUMNS($U$1006:AB1006),$U$1006:$AC$1006,0)))),"Fix")))</f>
        <v>0</v>
      </c>
      <c r="J558" s="3">
        <f>IF(OR(INDEX($O$2:$O$1001,MATCH(ROWS($N$2:N558),$N$2:$N$1001,0),1)&gt;=100000,INDEX($U$1005:$AC$1005,1,MATCH(COLUMNS($U$1006:AC1006),$U$1006:$AC$1006,0))&gt;=100000), " ",IF(INDEX($U$2:$AC$1001,MATCH(ROWS($N$2:N558),$N$2:$N$1001,0),MATCH(COLUMNS($U$1006:AC1006),$U$1006:$AC$1006,0)), HYPERLINK("#",""), HYPERLINK(CONCATENATE("#metadata!", ADDRESS(INDEX($P$2:$P$1001,MATCH(ROWS($N$2:N558),$N$2:$N$1001,0),0), INDEX($U$1004:$AC$1004,1,MATCH(COLUMNS($U$1006:AC1006),$U$1006:$AC$1006,0)))),"Fix")))</f>
        <v>0</v>
      </c>
      <c r="N558">
        <v>0</v>
      </c>
      <c r="O558">
        <v>0</v>
      </c>
      <c r="P558">
        <v>0</v>
      </c>
      <c r="Q558">
        <f>IF(R558,TRUE,AND(U558:AC558))</f>
        <v>0</v>
      </c>
      <c r="R558">
        <f>COUNTBLANK(metadata!B558:J558)=COLUMNS(metadata!B558:J558)</f>
        <v>0</v>
      </c>
      <c r="S558">
        <v>0</v>
      </c>
      <c r="U558">
        <f>AND(IF(metadata!B558="",FALSE,TRUE),COUNTIF(metadata!B:B, metadata!B558) = 1,NOT(ISERROR(SUMPRODUCT(SEARCH(MID(metadata!B558,ROW(INDIRECT("1:"&amp;LEN(metadata!B558))), 1),"0123456789abcdefghijklmnopqrstuvwxyzABCDEFGHIJKLMNOPQRSTUVWXYZ.")))))</f>
        <v>0</v>
      </c>
      <c r="V558">
        <f>AND(IF(metadata!C558="",FALSE,TRUE),exact(metadata!C558,"UBERON:genitourinary"))</f>
        <v>0</v>
      </c>
      <c r="W558">
        <f>AND(IF(metadata!D558="",FALSE,TRUE),exact(metadata!D558,"UBERON:urine"))</f>
        <v>0</v>
      </c>
      <c r="X558">
        <f>AND(IF(metadata!E558="",FALSE,TRUE),exact(metadata!E558,"UBERON:kidney"))</f>
        <v>0</v>
      </c>
      <c r="Y558">
        <f>AND(IF(metadata!F558="",FALSE,TRUE),exact(metadata!F558,"animal corpus"))</f>
        <v>0</v>
      </c>
      <c r="Z558">
        <f>AND(IF(metadata!G558="",FALSE,TRUE),exact(metadata!G558,"urine"))</f>
        <v>0</v>
      </c>
      <c r="AA558">
        <f>AND(IF(metadata!H558="",FALSE,TRUE),exact(metadata!H558,"urine"))</f>
        <v>0</v>
      </c>
      <c r="AB558">
        <f>AND(IF(metadata!I558="",FALSE,TRUE),exact(metadata!I558,"urine metagenome"))</f>
        <v>0</v>
      </c>
      <c r="AC558">
        <f>AND(IF(metadata!J558="",FALSE,TRUE),exact(metadata!J558,"1346744"))</f>
        <v>0</v>
      </c>
    </row>
    <row r="559" spans="1:29">
      <c r="A559" s="4">
        <f>IF(B559=" "," ",HYPERLINK(CONCATENATE("#metadata!",ADDRESS(INDEX($P$2:$P$1001,MATCH(ROWS($N$2:N559),$N$2:$N$1001,0),0),1)),INDEX($S$2:$S$1001,MATCH(ROWS($N$2:N559),$N$2:$N$1001,0),0)))</f>
        <v>0</v>
      </c>
      <c r="B559" s="3">
        <f>IF(OR(INDEX($O$2:$O$1001,MATCH(ROWS($N$2:N559),$N$2:$N$1001,0),1)&gt;=100000,INDEX($U$1005:$AC$1005,1,MATCH(COLUMNS($U$1006:U1006),$U$1006:$AC$1006,0))&gt;=100000), " ",IF(INDEX($U$2:$AC$1001,MATCH(ROWS($N$2:N559),$N$2:$N$1001,0),MATCH(COLUMNS($U$1006:U1006),$U$1006:$AC$1006,0)), HYPERLINK("#",""), HYPERLINK(CONCATENATE("#metadata!", ADDRESS(INDEX($P$2:$P$1001,MATCH(ROWS($N$2:N559),$N$2:$N$1001,0),0), INDEX($U$1004:$AC$1004,1,MATCH(COLUMNS($U$1006:U1006),$U$1006:$AC$1006,0)))),"Fix")))</f>
        <v>0</v>
      </c>
      <c r="C559" s="3">
        <f>IF(OR(INDEX($O$2:$O$1001,MATCH(ROWS($N$2:N559),$N$2:$N$1001,0),1)&gt;=100000,INDEX($U$1005:$AC$1005,1,MATCH(COLUMNS($U$1006:V1006),$U$1006:$AC$1006,0))&gt;=100000), " ",IF(INDEX($U$2:$AC$1001,MATCH(ROWS($N$2:N559),$N$2:$N$1001,0),MATCH(COLUMNS($U$1006:V1006),$U$1006:$AC$1006,0)), HYPERLINK("#",""), HYPERLINK(CONCATENATE("#metadata!", ADDRESS(INDEX($P$2:$P$1001,MATCH(ROWS($N$2:N559),$N$2:$N$1001,0),0), INDEX($U$1004:$AC$1004,1,MATCH(COLUMNS($U$1006:V1006),$U$1006:$AC$1006,0)))),"Fix")))</f>
        <v>0</v>
      </c>
      <c r="D559" s="3">
        <f>IF(OR(INDEX($O$2:$O$1001,MATCH(ROWS($N$2:N559),$N$2:$N$1001,0),1)&gt;=100000,INDEX($U$1005:$AC$1005,1,MATCH(COLUMNS($U$1006:W1006),$U$1006:$AC$1006,0))&gt;=100000), " ",IF(INDEX($U$2:$AC$1001,MATCH(ROWS($N$2:N559),$N$2:$N$1001,0),MATCH(COLUMNS($U$1006:W1006),$U$1006:$AC$1006,0)), HYPERLINK("#",""), HYPERLINK(CONCATENATE("#metadata!", ADDRESS(INDEX($P$2:$P$1001,MATCH(ROWS($N$2:N559),$N$2:$N$1001,0),0), INDEX($U$1004:$AC$1004,1,MATCH(COLUMNS($U$1006:W1006),$U$1006:$AC$1006,0)))),"Fix")))</f>
        <v>0</v>
      </c>
      <c r="E559" s="3">
        <f>IF(OR(INDEX($O$2:$O$1001,MATCH(ROWS($N$2:N559),$N$2:$N$1001,0),1)&gt;=100000,INDEX($U$1005:$AC$1005,1,MATCH(COLUMNS($U$1006:X1006),$U$1006:$AC$1006,0))&gt;=100000), " ",IF(INDEX($U$2:$AC$1001,MATCH(ROWS($N$2:N559),$N$2:$N$1001,0),MATCH(COLUMNS($U$1006:X1006),$U$1006:$AC$1006,0)), HYPERLINK("#",""), HYPERLINK(CONCATENATE("#metadata!", ADDRESS(INDEX($P$2:$P$1001,MATCH(ROWS($N$2:N559),$N$2:$N$1001,0),0), INDEX($U$1004:$AC$1004,1,MATCH(COLUMNS($U$1006:X1006),$U$1006:$AC$1006,0)))),"Fix")))</f>
        <v>0</v>
      </c>
      <c r="F559" s="3">
        <f>IF(OR(INDEX($O$2:$O$1001,MATCH(ROWS($N$2:N559),$N$2:$N$1001,0),1)&gt;=100000,INDEX($U$1005:$AC$1005,1,MATCH(COLUMNS($U$1006:Y1006),$U$1006:$AC$1006,0))&gt;=100000), " ",IF(INDEX($U$2:$AC$1001,MATCH(ROWS($N$2:N559),$N$2:$N$1001,0),MATCH(COLUMNS($U$1006:Y1006),$U$1006:$AC$1006,0)), HYPERLINK("#",""), HYPERLINK(CONCATENATE("#metadata!", ADDRESS(INDEX($P$2:$P$1001,MATCH(ROWS($N$2:N559),$N$2:$N$1001,0),0), INDEX($U$1004:$AC$1004,1,MATCH(COLUMNS($U$1006:Y1006),$U$1006:$AC$1006,0)))),"Fix")))</f>
        <v>0</v>
      </c>
      <c r="G559" s="3">
        <f>IF(OR(INDEX($O$2:$O$1001,MATCH(ROWS($N$2:N559),$N$2:$N$1001,0),1)&gt;=100000,INDEX($U$1005:$AC$1005,1,MATCH(COLUMNS($U$1006:Z1006),$U$1006:$AC$1006,0))&gt;=100000), " ",IF(INDEX($U$2:$AC$1001,MATCH(ROWS($N$2:N559),$N$2:$N$1001,0),MATCH(COLUMNS($U$1006:Z1006),$U$1006:$AC$1006,0)), HYPERLINK("#",""), HYPERLINK(CONCATENATE("#metadata!", ADDRESS(INDEX($P$2:$P$1001,MATCH(ROWS($N$2:N559),$N$2:$N$1001,0),0), INDEX($U$1004:$AC$1004,1,MATCH(COLUMNS($U$1006:Z1006),$U$1006:$AC$1006,0)))),"Fix")))</f>
        <v>0</v>
      </c>
      <c r="H559" s="3">
        <f>IF(OR(INDEX($O$2:$O$1001,MATCH(ROWS($N$2:N559),$N$2:$N$1001,0),1)&gt;=100000,INDEX($U$1005:$AC$1005,1,MATCH(COLUMNS($U$1006:AA1006),$U$1006:$AC$1006,0))&gt;=100000), " ",IF(INDEX($U$2:$AC$1001,MATCH(ROWS($N$2:N559),$N$2:$N$1001,0),MATCH(COLUMNS($U$1006:AA1006),$U$1006:$AC$1006,0)), HYPERLINK("#",""), HYPERLINK(CONCATENATE("#metadata!", ADDRESS(INDEX($P$2:$P$1001,MATCH(ROWS($N$2:N559),$N$2:$N$1001,0),0), INDEX($U$1004:$AC$1004,1,MATCH(COLUMNS($U$1006:AA1006),$U$1006:$AC$1006,0)))),"Fix")))</f>
        <v>0</v>
      </c>
      <c r="I559" s="3">
        <f>IF(OR(INDEX($O$2:$O$1001,MATCH(ROWS($N$2:N559),$N$2:$N$1001,0),1)&gt;=100000,INDEX($U$1005:$AC$1005,1,MATCH(COLUMNS($U$1006:AB1006),$U$1006:$AC$1006,0))&gt;=100000), " ",IF(INDEX($U$2:$AC$1001,MATCH(ROWS($N$2:N559),$N$2:$N$1001,0),MATCH(COLUMNS($U$1006:AB1006),$U$1006:$AC$1006,0)), HYPERLINK("#",""), HYPERLINK(CONCATENATE("#metadata!", ADDRESS(INDEX($P$2:$P$1001,MATCH(ROWS($N$2:N559),$N$2:$N$1001,0),0), INDEX($U$1004:$AC$1004,1,MATCH(COLUMNS($U$1006:AB1006),$U$1006:$AC$1006,0)))),"Fix")))</f>
        <v>0</v>
      </c>
      <c r="J559" s="3">
        <f>IF(OR(INDEX($O$2:$O$1001,MATCH(ROWS($N$2:N559),$N$2:$N$1001,0),1)&gt;=100000,INDEX($U$1005:$AC$1005,1,MATCH(COLUMNS($U$1006:AC1006),$U$1006:$AC$1006,0))&gt;=100000), " ",IF(INDEX($U$2:$AC$1001,MATCH(ROWS($N$2:N559),$N$2:$N$1001,0),MATCH(COLUMNS($U$1006:AC1006),$U$1006:$AC$1006,0)), HYPERLINK("#",""), HYPERLINK(CONCATENATE("#metadata!", ADDRESS(INDEX($P$2:$P$1001,MATCH(ROWS($N$2:N559),$N$2:$N$1001,0),0), INDEX($U$1004:$AC$1004,1,MATCH(COLUMNS($U$1006:AC1006),$U$1006:$AC$1006,0)))),"Fix")))</f>
        <v>0</v>
      </c>
      <c r="N559">
        <v>0</v>
      </c>
      <c r="O559">
        <v>0</v>
      </c>
      <c r="P559">
        <v>0</v>
      </c>
      <c r="Q559">
        <f>IF(R559,TRUE,AND(U559:AC559))</f>
        <v>0</v>
      </c>
      <c r="R559">
        <f>COUNTBLANK(metadata!B559:J559)=COLUMNS(metadata!B559:J559)</f>
        <v>0</v>
      </c>
      <c r="S559">
        <v>0</v>
      </c>
      <c r="U559">
        <f>AND(IF(metadata!B559="",FALSE,TRUE),COUNTIF(metadata!B:B, metadata!B559) = 1,NOT(ISERROR(SUMPRODUCT(SEARCH(MID(metadata!B559,ROW(INDIRECT("1:"&amp;LEN(metadata!B559))), 1),"0123456789abcdefghijklmnopqrstuvwxyzABCDEFGHIJKLMNOPQRSTUVWXYZ.")))))</f>
        <v>0</v>
      </c>
      <c r="V559">
        <f>AND(IF(metadata!C559="",FALSE,TRUE),exact(metadata!C559,"UBERON:genitourinary"))</f>
        <v>0</v>
      </c>
      <c r="W559">
        <f>AND(IF(metadata!D559="",FALSE,TRUE),exact(metadata!D559,"UBERON:urine"))</f>
        <v>0</v>
      </c>
      <c r="X559">
        <f>AND(IF(metadata!E559="",FALSE,TRUE),exact(metadata!E559,"UBERON:kidney"))</f>
        <v>0</v>
      </c>
      <c r="Y559">
        <f>AND(IF(metadata!F559="",FALSE,TRUE),exact(metadata!F559,"animal corpus"))</f>
        <v>0</v>
      </c>
      <c r="Z559">
        <f>AND(IF(metadata!G559="",FALSE,TRUE),exact(metadata!G559,"urine"))</f>
        <v>0</v>
      </c>
      <c r="AA559">
        <f>AND(IF(metadata!H559="",FALSE,TRUE),exact(metadata!H559,"urine"))</f>
        <v>0</v>
      </c>
      <c r="AB559">
        <f>AND(IF(metadata!I559="",FALSE,TRUE),exact(metadata!I559,"urine metagenome"))</f>
        <v>0</v>
      </c>
      <c r="AC559">
        <f>AND(IF(metadata!J559="",FALSE,TRUE),exact(metadata!J559,"1346744"))</f>
        <v>0</v>
      </c>
    </row>
    <row r="560" spans="1:29">
      <c r="A560" s="4">
        <f>IF(B560=" "," ",HYPERLINK(CONCATENATE("#metadata!",ADDRESS(INDEX($P$2:$P$1001,MATCH(ROWS($N$2:N560),$N$2:$N$1001,0),0),1)),INDEX($S$2:$S$1001,MATCH(ROWS($N$2:N560),$N$2:$N$1001,0),0)))</f>
        <v>0</v>
      </c>
      <c r="B560" s="3">
        <f>IF(OR(INDEX($O$2:$O$1001,MATCH(ROWS($N$2:N560),$N$2:$N$1001,0),1)&gt;=100000,INDEX($U$1005:$AC$1005,1,MATCH(COLUMNS($U$1006:U1006),$U$1006:$AC$1006,0))&gt;=100000), " ",IF(INDEX($U$2:$AC$1001,MATCH(ROWS($N$2:N560),$N$2:$N$1001,0),MATCH(COLUMNS($U$1006:U1006),$U$1006:$AC$1006,0)), HYPERLINK("#",""), HYPERLINK(CONCATENATE("#metadata!", ADDRESS(INDEX($P$2:$P$1001,MATCH(ROWS($N$2:N560),$N$2:$N$1001,0),0), INDEX($U$1004:$AC$1004,1,MATCH(COLUMNS($U$1006:U1006),$U$1006:$AC$1006,0)))),"Fix")))</f>
        <v>0</v>
      </c>
      <c r="C560" s="3">
        <f>IF(OR(INDEX($O$2:$O$1001,MATCH(ROWS($N$2:N560),$N$2:$N$1001,0),1)&gt;=100000,INDEX($U$1005:$AC$1005,1,MATCH(COLUMNS($U$1006:V1006),$U$1006:$AC$1006,0))&gt;=100000), " ",IF(INDEX($U$2:$AC$1001,MATCH(ROWS($N$2:N560),$N$2:$N$1001,0),MATCH(COLUMNS($U$1006:V1006),$U$1006:$AC$1006,0)), HYPERLINK("#",""), HYPERLINK(CONCATENATE("#metadata!", ADDRESS(INDEX($P$2:$P$1001,MATCH(ROWS($N$2:N560),$N$2:$N$1001,0),0), INDEX($U$1004:$AC$1004,1,MATCH(COLUMNS($U$1006:V1006),$U$1006:$AC$1006,0)))),"Fix")))</f>
        <v>0</v>
      </c>
      <c r="D560" s="3">
        <f>IF(OR(INDEX($O$2:$O$1001,MATCH(ROWS($N$2:N560),$N$2:$N$1001,0),1)&gt;=100000,INDEX($U$1005:$AC$1005,1,MATCH(COLUMNS($U$1006:W1006),$U$1006:$AC$1006,0))&gt;=100000), " ",IF(INDEX($U$2:$AC$1001,MATCH(ROWS($N$2:N560),$N$2:$N$1001,0),MATCH(COLUMNS($U$1006:W1006),$U$1006:$AC$1006,0)), HYPERLINK("#",""), HYPERLINK(CONCATENATE("#metadata!", ADDRESS(INDEX($P$2:$P$1001,MATCH(ROWS($N$2:N560),$N$2:$N$1001,0),0), INDEX($U$1004:$AC$1004,1,MATCH(COLUMNS($U$1006:W1006),$U$1006:$AC$1006,0)))),"Fix")))</f>
        <v>0</v>
      </c>
      <c r="E560" s="3">
        <f>IF(OR(INDEX($O$2:$O$1001,MATCH(ROWS($N$2:N560),$N$2:$N$1001,0),1)&gt;=100000,INDEX($U$1005:$AC$1005,1,MATCH(COLUMNS($U$1006:X1006),$U$1006:$AC$1006,0))&gt;=100000), " ",IF(INDEX($U$2:$AC$1001,MATCH(ROWS($N$2:N560),$N$2:$N$1001,0),MATCH(COLUMNS($U$1006:X1006),$U$1006:$AC$1006,0)), HYPERLINK("#",""), HYPERLINK(CONCATENATE("#metadata!", ADDRESS(INDEX($P$2:$P$1001,MATCH(ROWS($N$2:N560),$N$2:$N$1001,0),0), INDEX($U$1004:$AC$1004,1,MATCH(COLUMNS($U$1006:X1006),$U$1006:$AC$1006,0)))),"Fix")))</f>
        <v>0</v>
      </c>
      <c r="F560" s="3">
        <f>IF(OR(INDEX($O$2:$O$1001,MATCH(ROWS($N$2:N560),$N$2:$N$1001,0),1)&gt;=100000,INDEX($U$1005:$AC$1005,1,MATCH(COLUMNS($U$1006:Y1006),$U$1006:$AC$1006,0))&gt;=100000), " ",IF(INDEX($U$2:$AC$1001,MATCH(ROWS($N$2:N560),$N$2:$N$1001,0),MATCH(COLUMNS($U$1006:Y1006),$U$1006:$AC$1006,0)), HYPERLINK("#",""), HYPERLINK(CONCATENATE("#metadata!", ADDRESS(INDEX($P$2:$P$1001,MATCH(ROWS($N$2:N560),$N$2:$N$1001,0),0), INDEX($U$1004:$AC$1004,1,MATCH(COLUMNS($U$1006:Y1006),$U$1006:$AC$1006,0)))),"Fix")))</f>
        <v>0</v>
      </c>
      <c r="G560" s="3">
        <f>IF(OR(INDEX($O$2:$O$1001,MATCH(ROWS($N$2:N560),$N$2:$N$1001,0),1)&gt;=100000,INDEX($U$1005:$AC$1005,1,MATCH(COLUMNS($U$1006:Z1006),$U$1006:$AC$1006,0))&gt;=100000), " ",IF(INDEX($U$2:$AC$1001,MATCH(ROWS($N$2:N560),$N$2:$N$1001,0),MATCH(COLUMNS($U$1006:Z1006),$U$1006:$AC$1006,0)), HYPERLINK("#",""), HYPERLINK(CONCATENATE("#metadata!", ADDRESS(INDEX($P$2:$P$1001,MATCH(ROWS($N$2:N560),$N$2:$N$1001,0),0), INDEX($U$1004:$AC$1004,1,MATCH(COLUMNS($U$1006:Z1006),$U$1006:$AC$1006,0)))),"Fix")))</f>
        <v>0</v>
      </c>
      <c r="H560" s="3">
        <f>IF(OR(INDEX($O$2:$O$1001,MATCH(ROWS($N$2:N560),$N$2:$N$1001,0),1)&gt;=100000,INDEX($U$1005:$AC$1005,1,MATCH(COLUMNS($U$1006:AA1006),$U$1006:$AC$1006,0))&gt;=100000), " ",IF(INDEX($U$2:$AC$1001,MATCH(ROWS($N$2:N560),$N$2:$N$1001,0),MATCH(COLUMNS($U$1006:AA1006),$U$1006:$AC$1006,0)), HYPERLINK("#",""), HYPERLINK(CONCATENATE("#metadata!", ADDRESS(INDEX($P$2:$P$1001,MATCH(ROWS($N$2:N560),$N$2:$N$1001,0),0), INDEX($U$1004:$AC$1004,1,MATCH(COLUMNS($U$1006:AA1006),$U$1006:$AC$1006,0)))),"Fix")))</f>
        <v>0</v>
      </c>
      <c r="I560" s="3">
        <f>IF(OR(INDEX($O$2:$O$1001,MATCH(ROWS($N$2:N560),$N$2:$N$1001,0),1)&gt;=100000,INDEX($U$1005:$AC$1005,1,MATCH(COLUMNS($U$1006:AB1006),$U$1006:$AC$1006,0))&gt;=100000), " ",IF(INDEX($U$2:$AC$1001,MATCH(ROWS($N$2:N560),$N$2:$N$1001,0),MATCH(COLUMNS($U$1006:AB1006),$U$1006:$AC$1006,0)), HYPERLINK("#",""), HYPERLINK(CONCATENATE("#metadata!", ADDRESS(INDEX($P$2:$P$1001,MATCH(ROWS($N$2:N560),$N$2:$N$1001,0),0), INDEX($U$1004:$AC$1004,1,MATCH(COLUMNS($U$1006:AB1006),$U$1006:$AC$1006,0)))),"Fix")))</f>
        <v>0</v>
      </c>
      <c r="J560" s="3">
        <f>IF(OR(INDEX($O$2:$O$1001,MATCH(ROWS($N$2:N560),$N$2:$N$1001,0),1)&gt;=100000,INDEX($U$1005:$AC$1005,1,MATCH(COLUMNS($U$1006:AC1006),$U$1006:$AC$1006,0))&gt;=100000), " ",IF(INDEX($U$2:$AC$1001,MATCH(ROWS($N$2:N560),$N$2:$N$1001,0),MATCH(COLUMNS($U$1006:AC1006),$U$1006:$AC$1006,0)), HYPERLINK("#",""), HYPERLINK(CONCATENATE("#metadata!", ADDRESS(INDEX($P$2:$P$1001,MATCH(ROWS($N$2:N560),$N$2:$N$1001,0),0), INDEX($U$1004:$AC$1004,1,MATCH(COLUMNS($U$1006:AC1006),$U$1006:$AC$1006,0)))),"Fix")))</f>
        <v>0</v>
      </c>
      <c r="N560">
        <v>0</v>
      </c>
      <c r="O560">
        <v>0</v>
      </c>
      <c r="P560">
        <v>0</v>
      </c>
      <c r="Q560">
        <f>IF(R560,TRUE,AND(U560:AC560))</f>
        <v>0</v>
      </c>
      <c r="R560">
        <f>COUNTBLANK(metadata!B560:J560)=COLUMNS(metadata!B560:J560)</f>
        <v>0</v>
      </c>
      <c r="S560">
        <v>0</v>
      </c>
      <c r="U560">
        <f>AND(IF(metadata!B560="",FALSE,TRUE),COUNTIF(metadata!B:B, metadata!B560) = 1,NOT(ISERROR(SUMPRODUCT(SEARCH(MID(metadata!B560,ROW(INDIRECT("1:"&amp;LEN(metadata!B560))), 1),"0123456789abcdefghijklmnopqrstuvwxyzABCDEFGHIJKLMNOPQRSTUVWXYZ.")))))</f>
        <v>0</v>
      </c>
      <c r="V560">
        <f>AND(IF(metadata!C560="",FALSE,TRUE),exact(metadata!C560,"UBERON:genitourinary"))</f>
        <v>0</v>
      </c>
      <c r="W560">
        <f>AND(IF(metadata!D560="",FALSE,TRUE),exact(metadata!D560,"UBERON:urine"))</f>
        <v>0</v>
      </c>
      <c r="X560">
        <f>AND(IF(metadata!E560="",FALSE,TRUE),exact(metadata!E560,"UBERON:kidney"))</f>
        <v>0</v>
      </c>
      <c r="Y560">
        <f>AND(IF(metadata!F560="",FALSE,TRUE),exact(metadata!F560,"animal corpus"))</f>
        <v>0</v>
      </c>
      <c r="Z560">
        <f>AND(IF(metadata!G560="",FALSE,TRUE),exact(metadata!G560,"urine"))</f>
        <v>0</v>
      </c>
      <c r="AA560">
        <f>AND(IF(metadata!H560="",FALSE,TRUE),exact(metadata!H560,"urine"))</f>
        <v>0</v>
      </c>
      <c r="AB560">
        <f>AND(IF(metadata!I560="",FALSE,TRUE),exact(metadata!I560,"urine metagenome"))</f>
        <v>0</v>
      </c>
      <c r="AC560">
        <f>AND(IF(metadata!J560="",FALSE,TRUE),exact(metadata!J560,"1346744"))</f>
        <v>0</v>
      </c>
    </row>
    <row r="561" spans="1:29">
      <c r="A561" s="4">
        <f>IF(B561=" "," ",HYPERLINK(CONCATENATE("#metadata!",ADDRESS(INDEX($P$2:$P$1001,MATCH(ROWS($N$2:N561),$N$2:$N$1001,0),0),1)),INDEX($S$2:$S$1001,MATCH(ROWS($N$2:N561),$N$2:$N$1001,0),0)))</f>
        <v>0</v>
      </c>
      <c r="B561" s="3">
        <f>IF(OR(INDEX($O$2:$O$1001,MATCH(ROWS($N$2:N561),$N$2:$N$1001,0),1)&gt;=100000,INDEX($U$1005:$AC$1005,1,MATCH(COLUMNS($U$1006:U1006),$U$1006:$AC$1006,0))&gt;=100000), " ",IF(INDEX($U$2:$AC$1001,MATCH(ROWS($N$2:N561),$N$2:$N$1001,0),MATCH(COLUMNS($U$1006:U1006),$U$1006:$AC$1006,0)), HYPERLINK("#",""), HYPERLINK(CONCATENATE("#metadata!", ADDRESS(INDEX($P$2:$P$1001,MATCH(ROWS($N$2:N561),$N$2:$N$1001,0),0), INDEX($U$1004:$AC$1004,1,MATCH(COLUMNS($U$1006:U1006),$U$1006:$AC$1006,0)))),"Fix")))</f>
        <v>0</v>
      </c>
      <c r="C561" s="3">
        <f>IF(OR(INDEX($O$2:$O$1001,MATCH(ROWS($N$2:N561),$N$2:$N$1001,0),1)&gt;=100000,INDEX($U$1005:$AC$1005,1,MATCH(COLUMNS($U$1006:V1006),$U$1006:$AC$1006,0))&gt;=100000), " ",IF(INDEX($U$2:$AC$1001,MATCH(ROWS($N$2:N561),$N$2:$N$1001,0),MATCH(COLUMNS($U$1006:V1006),$U$1006:$AC$1006,0)), HYPERLINK("#",""), HYPERLINK(CONCATENATE("#metadata!", ADDRESS(INDEX($P$2:$P$1001,MATCH(ROWS($N$2:N561),$N$2:$N$1001,0),0), INDEX($U$1004:$AC$1004,1,MATCH(COLUMNS($U$1006:V1006),$U$1006:$AC$1006,0)))),"Fix")))</f>
        <v>0</v>
      </c>
      <c r="D561" s="3">
        <f>IF(OR(INDEX($O$2:$O$1001,MATCH(ROWS($N$2:N561),$N$2:$N$1001,0),1)&gt;=100000,INDEX($U$1005:$AC$1005,1,MATCH(COLUMNS($U$1006:W1006),$U$1006:$AC$1006,0))&gt;=100000), " ",IF(INDEX($U$2:$AC$1001,MATCH(ROWS($N$2:N561),$N$2:$N$1001,0),MATCH(COLUMNS($U$1006:W1006),$U$1006:$AC$1006,0)), HYPERLINK("#",""), HYPERLINK(CONCATENATE("#metadata!", ADDRESS(INDEX($P$2:$P$1001,MATCH(ROWS($N$2:N561),$N$2:$N$1001,0),0), INDEX($U$1004:$AC$1004,1,MATCH(COLUMNS($U$1006:W1006),$U$1006:$AC$1006,0)))),"Fix")))</f>
        <v>0</v>
      </c>
      <c r="E561" s="3">
        <f>IF(OR(INDEX($O$2:$O$1001,MATCH(ROWS($N$2:N561),$N$2:$N$1001,0),1)&gt;=100000,INDEX($U$1005:$AC$1005,1,MATCH(COLUMNS($U$1006:X1006),$U$1006:$AC$1006,0))&gt;=100000), " ",IF(INDEX($U$2:$AC$1001,MATCH(ROWS($N$2:N561),$N$2:$N$1001,0),MATCH(COLUMNS($U$1006:X1006),$U$1006:$AC$1006,0)), HYPERLINK("#",""), HYPERLINK(CONCATENATE("#metadata!", ADDRESS(INDEX($P$2:$P$1001,MATCH(ROWS($N$2:N561),$N$2:$N$1001,0),0), INDEX($U$1004:$AC$1004,1,MATCH(COLUMNS($U$1006:X1006),$U$1006:$AC$1006,0)))),"Fix")))</f>
        <v>0</v>
      </c>
      <c r="F561" s="3">
        <f>IF(OR(INDEX($O$2:$O$1001,MATCH(ROWS($N$2:N561),$N$2:$N$1001,0),1)&gt;=100000,INDEX($U$1005:$AC$1005,1,MATCH(COLUMNS($U$1006:Y1006),$U$1006:$AC$1006,0))&gt;=100000), " ",IF(INDEX($U$2:$AC$1001,MATCH(ROWS($N$2:N561),$N$2:$N$1001,0),MATCH(COLUMNS($U$1006:Y1006),$U$1006:$AC$1006,0)), HYPERLINK("#",""), HYPERLINK(CONCATENATE("#metadata!", ADDRESS(INDEX($P$2:$P$1001,MATCH(ROWS($N$2:N561),$N$2:$N$1001,0),0), INDEX($U$1004:$AC$1004,1,MATCH(COLUMNS($U$1006:Y1006),$U$1006:$AC$1006,0)))),"Fix")))</f>
        <v>0</v>
      </c>
      <c r="G561" s="3">
        <f>IF(OR(INDEX($O$2:$O$1001,MATCH(ROWS($N$2:N561),$N$2:$N$1001,0),1)&gt;=100000,INDEX($U$1005:$AC$1005,1,MATCH(COLUMNS($U$1006:Z1006),$U$1006:$AC$1006,0))&gt;=100000), " ",IF(INDEX($U$2:$AC$1001,MATCH(ROWS($N$2:N561),$N$2:$N$1001,0),MATCH(COLUMNS($U$1006:Z1006),$U$1006:$AC$1006,0)), HYPERLINK("#",""), HYPERLINK(CONCATENATE("#metadata!", ADDRESS(INDEX($P$2:$P$1001,MATCH(ROWS($N$2:N561),$N$2:$N$1001,0),0), INDEX($U$1004:$AC$1004,1,MATCH(COLUMNS($U$1006:Z1006),$U$1006:$AC$1006,0)))),"Fix")))</f>
        <v>0</v>
      </c>
      <c r="H561" s="3">
        <f>IF(OR(INDEX($O$2:$O$1001,MATCH(ROWS($N$2:N561),$N$2:$N$1001,0),1)&gt;=100000,INDEX($U$1005:$AC$1005,1,MATCH(COLUMNS($U$1006:AA1006),$U$1006:$AC$1006,0))&gt;=100000), " ",IF(INDEX($U$2:$AC$1001,MATCH(ROWS($N$2:N561),$N$2:$N$1001,0),MATCH(COLUMNS($U$1006:AA1006),$U$1006:$AC$1006,0)), HYPERLINK("#",""), HYPERLINK(CONCATENATE("#metadata!", ADDRESS(INDEX($P$2:$P$1001,MATCH(ROWS($N$2:N561),$N$2:$N$1001,0),0), INDEX($U$1004:$AC$1004,1,MATCH(COLUMNS($U$1006:AA1006),$U$1006:$AC$1006,0)))),"Fix")))</f>
        <v>0</v>
      </c>
      <c r="I561" s="3">
        <f>IF(OR(INDEX($O$2:$O$1001,MATCH(ROWS($N$2:N561),$N$2:$N$1001,0),1)&gt;=100000,INDEX($U$1005:$AC$1005,1,MATCH(COLUMNS($U$1006:AB1006),$U$1006:$AC$1006,0))&gt;=100000), " ",IF(INDEX($U$2:$AC$1001,MATCH(ROWS($N$2:N561),$N$2:$N$1001,0),MATCH(COLUMNS($U$1006:AB1006),$U$1006:$AC$1006,0)), HYPERLINK("#",""), HYPERLINK(CONCATENATE("#metadata!", ADDRESS(INDEX($P$2:$P$1001,MATCH(ROWS($N$2:N561),$N$2:$N$1001,0),0), INDEX($U$1004:$AC$1004,1,MATCH(COLUMNS($U$1006:AB1006),$U$1006:$AC$1006,0)))),"Fix")))</f>
        <v>0</v>
      </c>
      <c r="J561" s="3">
        <f>IF(OR(INDEX($O$2:$O$1001,MATCH(ROWS($N$2:N561),$N$2:$N$1001,0),1)&gt;=100000,INDEX($U$1005:$AC$1005,1,MATCH(COLUMNS($U$1006:AC1006),$U$1006:$AC$1006,0))&gt;=100000), " ",IF(INDEX($U$2:$AC$1001,MATCH(ROWS($N$2:N561),$N$2:$N$1001,0),MATCH(COLUMNS($U$1006:AC1006),$U$1006:$AC$1006,0)), HYPERLINK("#",""), HYPERLINK(CONCATENATE("#metadata!", ADDRESS(INDEX($P$2:$P$1001,MATCH(ROWS($N$2:N561),$N$2:$N$1001,0),0), INDEX($U$1004:$AC$1004,1,MATCH(COLUMNS($U$1006:AC1006),$U$1006:$AC$1006,0)))),"Fix")))</f>
        <v>0</v>
      </c>
      <c r="N561">
        <v>0</v>
      </c>
      <c r="O561">
        <v>0</v>
      </c>
      <c r="P561">
        <v>0</v>
      </c>
      <c r="Q561">
        <f>IF(R561,TRUE,AND(U561:AC561))</f>
        <v>0</v>
      </c>
      <c r="R561">
        <f>COUNTBLANK(metadata!B561:J561)=COLUMNS(metadata!B561:J561)</f>
        <v>0</v>
      </c>
      <c r="S561">
        <v>0</v>
      </c>
      <c r="U561">
        <f>AND(IF(metadata!B561="",FALSE,TRUE),COUNTIF(metadata!B:B, metadata!B561) = 1,NOT(ISERROR(SUMPRODUCT(SEARCH(MID(metadata!B561,ROW(INDIRECT("1:"&amp;LEN(metadata!B561))), 1),"0123456789abcdefghijklmnopqrstuvwxyzABCDEFGHIJKLMNOPQRSTUVWXYZ.")))))</f>
        <v>0</v>
      </c>
      <c r="V561">
        <f>AND(IF(metadata!C561="",FALSE,TRUE),exact(metadata!C561,"UBERON:genitourinary"))</f>
        <v>0</v>
      </c>
      <c r="W561">
        <f>AND(IF(metadata!D561="",FALSE,TRUE),exact(metadata!D561,"UBERON:urine"))</f>
        <v>0</v>
      </c>
      <c r="X561">
        <f>AND(IF(metadata!E561="",FALSE,TRUE),exact(metadata!E561,"UBERON:kidney"))</f>
        <v>0</v>
      </c>
      <c r="Y561">
        <f>AND(IF(metadata!F561="",FALSE,TRUE),exact(metadata!F561,"animal corpus"))</f>
        <v>0</v>
      </c>
      <c r="Z561">
        <f>AND(IF(metadata!G561="",FALSE,TRUE),exact(metadata!G561,"urine"))</f>
        <v>0</v>
      </c>
      <c r="AA561">
        <f>AND(IF(metadata!H561="",FALSE,TRUE),exact(metadata!H561,"urine"))</f>
        <v>0</v>
      </c>
      <c r="AB561">
        <f>AND(IF(metadata!I561="",FALSE,TRUE),exact(metadata!I561,"urine metagenome"))</f>
        <v>0</v>
      </c>
      <c r="AC561">
        <f>AND(IF(metadata!J561="",FALSE,TRUE),exact(metadata!J561,"1346744"))</f>
        <v>0</v>
      </c>
    </row>
    <row r="562" spans="1:29">
      <c r="A562" s="4">
        <f>IF(B562=" "," ",HYPERLINK(CONCATENATE("#metadata!",ADDRESS(INDEX($P$2:$P$1001,MATCH(ROWS($N$2:N562),$N$2:$N$1001,0),0),1)),INDEX($S$2:$S$1001,MATCH(ROWS($N$2:N562),$N$2:$N$1001,0),0)))</f>
        <v>0</v>
      </c>
      <c r="B562" s="3">
        <f>IF(OR(INDEX($O$2:$O$1001,MATCH(ROWS($N$2:N562),$N$2:$N$1001,0),1)&gt;=100000,INDEX($U$1005:$AC$1005,1,MATCH(COLUMNS($U$1006:U1006),$U$1006:$AC$1006,0))&gt;=100000), " ",IF(INDEX($U$2:$AC$1001,MATCH(ROWS($N$2:N562),$N$2:$N$1001,0),MATCH(COLUMNS($U$1006:U1006),$U$1006:$AC$1006,0)), HYPERLINK("#",""), HYPERLINK(CONCATENATE("#metadata!", ADDRESS(INDEX($P$2:$P$1001,MATCH(ROWS($N$2:N562),$N$2:$N$1001,0),0), INDEX($U$1004:$AC$1004,1,MATCH(COLUMNS($U$1006:U1006),$U$1006:$AC$1006,0)))),"Fix")))</f>
        <v>0</v>
      </c>
      <c r="C562" s="3">
        <f>IF(OR(INDEX($O$2:$O$1001,MATCH(ROWS($N$2:N562),$N$2:$N$1001,0),1)&gt;=100000,INDEX($U$1005:$AC$1005,1,MATCH(COLUMNS($U$1006:V1006),$U$1006:$AC$1006,0))&gt;=100000), " ",IF(INDEX($U$2:$AC$1001,MATCH(ROWS($N$2:N562),$N$2:$N$1001,0),MATCH(COLUMNS($U$1006:V1006),$U$1006:$AC$1006,0)), HYPERLINK("#",""), HYPERLINK(CONCATENATE("#metadata!", ADDRESS(INDEX($P$2:$P$1001,MATCH(ROWS($N$2:N562),$N$2:$N$1001,0),0), INDEX($U$1004:$AC$1004,1,MATCH(COLUMNS($U$1006:V1006),$U$1006:$AC$1006,0)))),"Fix")))</f>
        <v>0</v>
      </c>
      <c r="D562" s="3">
        <f>IF(OR(INDEX($O$2:$O$1001,MATCH(ROWS($N$2:N562),$N$2:$N$1001,0),1)&gt;=100000,INDEX($U$1005:$AC$1005,1,MATCH(COLUMNS($U$1006:W1006),$U$1006:$AC$1006,0))&gt;=100000), " ",IF(INDEX($U$2:$AC$1001,MATCH(ROWS($N$2:N562),$N$2:$N$1001,0),MATCH(COLUMNS($U$1006:W1006),$U$1006:$AC$1006,0)), HYPERLINK("#",""), HYPERLINK(CONCATENATE("#metadata!", ADDRESS(INDEX($P$2:$P$1001,MATCH(ROWS($N$2:N562),$N$2:$N$1001,0),0), INDEX($U$1004:$AC$1004,1,MATCH(COLUMNS($U$1006:W1006),$U$1006:$AC$1006,0)))),"Fix")))</f>
        <v>0</v>
      </c>
      <c r="E562" s="3">
        <f>IF(OR(INDEX($O$2:$O$1001,MATCH(ROWS($N$2:N562),$N$2:$N$1001,0),1)&gt;=100000,INDEX($U$1005:$AC$1005,1,MATCH(COLUMNS($U$1006:X1006),$U$1006:$AC$1006,0))&gt;=100000), " ",IF(INDEX($U$2:$AC$1001,MATCH(ROWS($N$2:N562),$N$2:$N$1001,0),MATCH(COLUMNS($U$1006:X1006),$U$1006:$AC$1006,0)), HYPERLINK("#",""), HYPERLINK(CONCATENATE("#metadata!", ADDRESS(INDEX($P$2:$P$1001,MATCH(ROWS($N$2:N562),$N$2:$N$1001,0),0), INDEX($U$1004:$AC$1004,1,MATCH(COLUMNS($U$1006:X1006),$U$1006:$AC$1006,0)))),"Fix")))</f>
        <v>0</v>
      </c>
      <c r="F562" s="3">
        <f>IF(OR(INDEX($O$2:$O$1001,MATCH(ROWS($N$2:N562),$N$2:$N$1001,0),1)&gt;=100000,INDEX($U$1005:$AC$1005,1,MATCH(COLUMNS($U$1006:Y1006),$U$1006:$AC$1006,0))&gt;=100000), " ",IF(INDEX($U$2:$AC$1001,MATCH(ROWS($N$2:N562),$N$2:$N$1001,0),MATCH(COLUMNS($U$1006:Y1006),$U$1006:$AC$1006,0)), HYPERLINK("#",""), HYPERLINK(CONCATENATE("#metadata!", ADDRESS(INDEX($P$2:$P$1001,MATCH(ROWS($N$2:N562),$N$2:$N$1001,0),0), INDEX($U$1004:$AC$1004,1,MATCH(COLUMNS($U$1006:Y1006),$U$1006:$AC$1006,0)))),"Fix")))</f>
        <v>0</v>
      </c>
      <c r="G562" s="3">
        <f>IF(OR(INDEX($O$2:$O$1001,MATCH(ROWS($N$2:N562),$N$2:$N$1001,0),1)&gt;=100000,INDEX($U$1005:$AC$1005,1,MATCH(COLUMNS($U$1006:Z1006),$U$1006:$AC$1006,0))&gt;=100000), " ",IF(INDEX($U$2:$AC$1001,MATCH(ROWS($N$2:N562),$N$2:$N$1001,0),MATCH(COLUMNS($U$1006:Z1006),$U$1006:$AC$1006,0)), HYPERLINK("#",""), HYPERLINK(CONCATENATE("#metadata!", ADDRESS(INDEX($P$2:$P$1001,MATCH(ROWS($N$2:N562),$N$2:$N$1001,0),0), INDEX($U$1004:$AC$1004,1,MATCH(COLUMNS($U$1006:Z1006),$U$1006:$AC$1006,0)))),"Fix")))</f>
        <v>0</v>
      </c>
      <c r="H562" s="3">
        <f>IF(OR(INDEX($O$2:$O$1001,MATCH(ROWS($N$2:N562),$N$2:$N$1001,0),1)&gt;=100000,INDEX($U$1005:$AC$1005,1,MATCH(COLUMNS($U$1006:AA1006),$U$1006:$AC$1006,0))&gt;=100000), " ",IF(INDEX($U$2:$AC$1001,MATCH(ROWS($N$2:N562),$N$2:$N$1001,0),MATCH(COLUMNS($U$1006:AA1006),$U$1006:$AC$1006,0)), HYPERLINK("#",""), HYPERLINK(CONCATENATE("#metadata!", ADDRESS(INDEX($P$2:$P$1001,MATCH(ROWS($N$2:N562),$N$2:$N$1001,0),0), INDEX($U$1004:$AC$1004,1,MATCH(COLUMNS($U$1006:AA1006),$U$1006:$AC$1006,0)))),"Fix")))</f>
        <v>0</v>
      </c>
      <c r="I562" s="3">
        <f>IF(OR(INDEX($O$2:$O$1001,MATCH(ROWS($N$2:N562),$N$2:$N$1001,0),1)&gt;=100000,INDEX($U$1005:$AC$1005,1,MATCH(COLUMNS($U$1006:AB1006),$U$1006:$AC$1006,0))&gt;=100000), " ",IF(INDEX($U$2:$AC$1001,MATCH(ROWS($N$2:N562),$N$2:$N$1001,0),MATCH(COLUMNS($U$1006:AB1006),$U$1006:$AC$1006,0)), HYPERLINK("#",""), HYPERLINK(CONCATENATE("#metadata!", ADDRESS(INDEX($P$2:$P$1001,MATCH(ROWS($N$2:N562),$N$2:$N$1001,0),0), INDEX($U$1004:$AC$1004,1,MATCH(COLUMNS($U$1006:AB1006),$U$1006:$AC$1006,0)))),"Fix")))</f>
        <v>0</v>
      </c>
      <c r="J562" s="3">
        <f>IF(OR(INDEX($O$2:$O$1001,MATCH(ROWS($N$2:N562),$N$2:$N$1001,0),1)&gt;=100000,INDEX($U$1005:$AC$1005,1,MATCH(COLUMNS($U$1006:AC1006),$U$1006:$AC$1006,0))&gt;=100000), " ",IF(INDEX($U$2:$AC$1001,MATCH(ROWS($N$2:N562),$N$2:$N$1001,0),MATCH(COLUMNS($U$1006:AC1006),$U$1006:$AC$1006,0)), HYPERLINK("#",""), HYPERLINK(CONCATENATE("#metadata!", ADDRESS(INDEX($P$2:$P$1001,MATCH(ROWS($N$2:N562),$N$2:$N$1001,0),0), INDEX($U$1004:$AC$1004,1,MATCH(COLUMNS($U$1006:AC1006),$U$1006:$AC$1006,0)))),"Fix")))</f>
        <v>0</v>
      </c>
      <c r="N562">
        <v>0</v>
      </c>
      <c r="O562">
        <v>0</v>
      </c>
      <c r="P562">
        <v>0</v>
      </c>
      <c r="Q562">
        <f>IF(R562,TRUE,AND(U562:AC562))</f>
        <v>0</v>
      </c>
      <c r="R562">
        <f>COUNTBLANK(metadata!B562:J562)=COLUMNS(metadata!B562:J562)</f>
        <v>0</v>
      </c>
      <c r="S562">
        <v>0</v>
      </c>
      <c r="U562">
        <f>AND(IF(metadata!B562="",FALSE,TRUE),COUNTIF(metadata!B:B, metadata!B562) = 1,NOT(ISERROR(SUMPRODUCT(SEARCH(MID(metadata!B562,ROW(INDIRECT("1:"&amp;LEN(metadata!B562))), 1),"0123456789abcdefghijklmnopqrstuvwxyzABCDEFGHIJKLMNOPQRSTUVWXYZ.")))))</f>
        <v>0</v>
      </c>
      <c r="V562">
        <f>AND(IF(metadata!C562="",FALSE,TRUE),exact(metadata!C562,"UBERON:genitourinary"))</f>
        <v>0</v>
      </c>
      <c r="W562">
        <f>AND(IF(metadata!D562="",FALSE,TRUE),exact(metadata!D562,"UBERON:urine"))</f>
        <v>0</v>
      </c>
      <c r="X562">
        <f>AND(IF(metadata!E562="",FALSE,TRUE),exact(metadata!E562,"UBERON:kidney"))</f>
        <v>0</v>
      </c>
      <c r="Y562">
        <f>AND(IF(metadata!F562="",FALSE,TRUE),exact(metadata!F562,"animal corpus"))</f>
        <v>0</v>
      </c>
      <c r="Z562">
        <f>AND(IF(metadata!G562="",FALSE,TRUE),exact(metadata!G562,"urine"))</f>
        <v>0</v>
      </c>
      <c r="AA562">
        <f>AND(IF(metadata!H562="",FALSE,TRUE),exact(metadata!H562,"urine"))</f>
        <v>0</v>
      </c>
      <c r="AB562">
        <f>AND(IF(metadata!I562="",FALSE,TRUE),exact(metadata!I562,"urine metagenome"))</f>
        <v>0</v>
      </c>
      <c r="AC562">
        <f>AND(IF(metadata!J562="",FALSE,TRUE),exact(metadata!J562,"1346744"))</f>
        <v>0</v>
      </c>
    </row>
    <row r="563" spans="1:29">
      <c r="A563" s="4">
        <f>IF(B563=" "," ",HYPERLINK(CONCATENATE("#metadata!",ADDRESS(INDEX($P$2:$P$1001,MATCH(ROWS($N$2:N563),$N$2:$N$1001,0),0),1)),INDEX($S$2:$S$1001,MATCH(ROWS($N$2:N563),$N$2:$N$1001,0),0)))</f>
        <v>0</v>
      </c>
      <c r="B563" s="3">
        <f>IF(OR(INDEX($O$2:$O$1001,MATCH(ROWS($N$2:N563),$N$2:$N$1001,0),1)&gt;=100000,INDEX($U$1005:$AC$1005,1,MATCH(COLUMNS($U$1006:U1006),$U$1006:$AC$1006,0))&gt;=100000), " ",IF(INDEX($U$2:$AC$1001,MATCH(ROWS($N$2:N563),$N$2:$N$1001,0),MATCH(COLUMNS($U$1006:U1006),$U$1006:$AC$1006,0)), HYPERLINK("#",""), HYPERLINK(CONCATENATE("#metadata!", ADDRESS(INDEX($P$2:$P$1001,MATCH(ROWS($N$2:N563),$N$2:$N$1001,0),0), INDEX($U$1004:$AC$1004,1,MATCH(COLUMNS($U$1006:U1006),$U$1006:$AC$1006,0)))),"Fix")))</f>
        <v>0</v>
      </c>
      <c r="C563" s="3">
        <f>IF(OR(INDEX($O$2:$O$1001,MATCH(ROWS($N$2:N563),$N$2:$N$1001,0),1)&gt;=100000,INDEX($U$1005:$AC$1005,1,MATCH(COLUMNS($U$1006:V1006),$U$1006:$AC$1006,0))&gt;=100000), " ",IF(INDEX($U$2:$AC$1001,MATCH(ROWS($N$2:N563),$N$2:$N$1001,0),MATCH(COLUMNS($U$1006:V1006),$U$1006:$AC$1006,0)), HYPERLINK("#",""), HYPERLINK(CONCATENATE("#metadata!", ADDRESS(INDEX($P$2:$P$1001,MATCH(ROWS($N$2:N563),$N$2:$N$1001,0),0), INDEX($U$1004:$AC$1004,1,MATCH(COLUMNS($U$1006:V1006),$U$1006:$AC$1006,0)))),"Fix")))</f>
        <v>0</v>
      </c>
      <c r="D563" s="3">
        <f>IF(OR(INDEX($O$2:$O$1001,MATCH(ROWS($N$2:N563),$N$2:$N$1001,0),1)&gt;=100000,INDEX($U$1005:$AC$1005,1,MATCH(COLUMNS($U$1006:W1006),$U$1006:$AC$1006,0))&gt;=100000), " ",IF(INDEX($U$2:$AC$1001,MATCH(ROWS($N$2:N563),$N$2:$N$1001,0),MATCH(COLUMNS($U$1006:W1006),$U$1006:$AC$1006,0)), HYPERLINK("#",""), HYPERLINK(CONCATENATE("#metadata!", ADDRESS(INDEX($P$2:$P$1001,MATCH(ROWS($N$2:N563),$N$2:$N$1001,0),0), INDEX($U$1004:$AC$1004,1,MATCH(COLUMNS($U$1006:W1006),$U$1006:$AC$1006,0)))),"Fix")))</f>
        <v>0</v>
      </c>
      <c r="E563" s="3">
        <f>IF(OR(INDEX($O$2:$O$1001,MATCH(ROWS($N$2:N563),$N$2:$N$1001,0),1)&gt;=100000,INDEX($U$1005:$AC$1005,1,MATCH(COLUMNS($U$1006:X1006),$U$1006:$AC$1006,0))&gt;=100000), " ",IF(INDEX($U$2:$AC$1001,MATCH(ROWS($N$2:N563),$N$2:$N$1001,0),MATCH(COLUMNS($U$1006:X1006),$U$1006:$AC$1006,0)), HYPERLINK("#",""), HYPERLINK(CONCATENATE("#metadata!", ADDRESS(INDEX($P$2:$P$1001,MATCH(ROWS($N$2:N563),$N$2:$N$1001,0),0), INDEX($U$1004:$AC$1004,1,MATCH(COLUMNS($U$1006:X1006),$U$1006:$AC$1006,0)))),"Fix")))</f>
        <v>0</v>
      </c>
      <c r="F563" s="3">
        <f>IF(OR(INDEX($O$2:$O$1001,MATCH(ROWS($N$2:N563),$N$2:$N$1001,0),1)&gt;=100000,INDEX($U$1005:$AC$1005,1,MATCH(COLUMNS($U$1006:Y1006),$U$1006:$AC$1006,0))&gt;=100000), " ",IF(INDEX($U$2:$AC$1001,MATCH(ROWS($N$2:N563),$N$2:$N$1001,0),MATCH(COLUMNS($U$1006:Y1006),$U$1006:$AC$1006,0)), HYPERLINK("#",""), HYPERLINK(CONCATENATE("#metadata!", ADDRESS(INDEX($P$2:$P$1001,MATCH(ROWS($N$2:N563),$N$2:$N$1001,0),0), INDEX($U$1004:$AC$1004,1,MATCH(COLUMNS($U$1006:Y1006),$U$1006:$AC$1006,0)))),"Fix")))</f>
        <v>0</v>
      </c>
      <c r="G563" s="3">
        <f>IF(OR(INDEX($O$2:$O$1001,MATCH(ROWS($N$2:N563),$N$2:$N$1001,0),1)&gt;=100000,INDEX($U$1005:$AC$1005,1,MATCH(COLUMNS($U$1006:Z1006),$U$1006:$AC$1006,0))&gt;=100000), " ",IF(INDEX($U$2:$AC$1001,MATCH(ROWS($N$2:N563),$N$2:$N$1001,0),MATCH(COLUMNS($U$1006:Z1006),$U$1006:$AC$1006,0)), HYPERLINK("#",""), HYPERLINK(CONCATENATE("#metadata!", ADDRESS(INDEX($P$2:$P$1001,MATCH(ROWS($N$2:N563),$N$2:$N$1001,0),0), INDEX($U$1004:$AC$1004,1,MATCH(COLUMNS($U$1006:Z1006),$U$1006:$AC$1006,0)))),"Fix")))</f>
        <v>0</v>
      </c>
      <c r="H563" s="3">
        <f>IF(OR(INDEX($O$2:$O$1001,MATCH(ROWS($N$2:N563),$N$2:$N$1001,0),1)&gt;=100000,INDEX($U$1005:$AC$1005,1,MATCH(COLUMNS($U$1006:AA1006),$U$1006:$AC$1006,0))&gt;=100000), " ",IF(INDEX($U$2:$AC$1001,MATCH(ROWS($N$2:N563),$N$2:$N$1001,0),MATCH(COLUMNS($U$1006:AA1006),$U$1006:$AC$1006,0)), HYPERLINK("#",""), HYPERLINK(CONCATENATE("#metadata!", ADDRESS(INDEX($P$2:$P$1001,MATCH(ROWS($N$2:N563),$N$2:$N$1001,0),0), INDEX($U$1004:$AC$1004,1,MATCH(COLUMNS($U$1006:AA1006),$U$1006:$AC$1006,0)))),"Fix")))</f>
        <v>0</v>
      </c>
      <c r="I563" s="3">
        <f>IF(OR(INDEX($O$2:$O$1001,MATCH(ROWS($N$2:N563),$N$2:$N$1001,0),1)&gt;=100000,INDEX($U$1005:$AC$1005,1,MATCH(COLUMNS($U$1006:AB1006),$U$1006:$AC$1006,0))&gt;=100000), " ",IF(INDEX($U$2:$AC$1001,MATCH(ROWS($N$2:N563),$N$2:$N$1001,0),MATCH(COLUMNS($U$1006:AB1006),$U$1006:$AC$1006,0)), HYPERLINK("#",""), HYPERLINK(CONCATENATE("#metadata!", ADDRESS(INDEX($P$2:$P$1001,MATCH(ROWS($N$2:N563),$N$2:$N$1001,0),0), INDEX($U$1004:$AC$1004,1,MATCH(COLUMNS($U$1006:AB1006),$U$1006:$AC$1006,0)))),"Fix")))</f>
        <v>0</v>
      </c>
      <c r="J563" s="3">
        <f>IF(OR(INDEX($O$2:$O$1001,MATCH(ROWS($N$2:N563),$N$2:$N$1001,0),1)&gt;=100000,INDEX($U$1005:$AC$1005,1,MATCH(COLUMNS($U$1006:AC1006),$U$1006:$AC$1006,0))&gt;=100000), " ",IF(INDEX($U$2:$AC$1001,MATCH(ROWS($N$2:N563),$N$2:$N$1001,0),MATCH(COLUMNS($U$1006:AC1006),$U$1006:$AC$1006,0)), HYPERLINK("#",""), HYPERLINK(CONCATENATE("#metadata!", ADDRESS(INDEX($P$2:$P$1001,MATCH(ROWS($N$2:N563),$N$2:$N$1001,0),0), INDEX($U$1004:$AC$1004,1,MATCH(COLUMNS($U$1006:AC1006),$U$1006:$AC$1006,0)))),"Fix")))</f>
        <v>0</v>
      </c>
      <c r="N563">
        <v>0</v>
      </c>
      <c r="O563">
        <v>0</v>
      </c>
      <c r="P563">
        <v>0</v>
      </c>
      <c r="Q563">
        <f>IF(R563,TRUE,AND(U563:AC563))</f>
        <v>0</v>
      </c>
      <c r="R563">
        <f>COUNTBLANK(metadata!B563:J563)=COLUMNS(metadata!B563:J563)</f>
        <v>0</v>
      </c>
      <c r="S563">
        <v>0</v>
      </c>
      <c r="U563">
        <f>AND(IF(metadata!B563="",FALSE,TRUE),COUNTIF(metadata!B:B, metadata!B563) = 1,NOT(ISERROR(SUMPRODUCT(SEARCH(MID(metadata!B563,ROW(INDIRECT("1:"&amp;LEN(metadata!B563))), 1),"0123456789abcdefghijklmnopqrstuvwxyzABCDEFGHIJKLMNOPQRSTUVWXYZ.")))))</f>
        <v>0</v>
      </c>
      <c r="V563">
        <f>AND(IF(metadata!C563="",FALSE,TRUE),exact(metadata!C563,"UBERON:genitourinary"))</f>
        <v>0</v>
      </c>
      <c r="W563">
        <f>AND(IF(metadata!D563="",FALSE,TRUE),exact(metadata!D563,"UBERON:urine"))</f>
        <v>0</v>
      </c>
      <c r="X563">
        <f>AND(IF(metadata!E563="",FALSE,TRUE),exact(metadata!E563,"UBERON:kidney"))</f>
        <v>0</v>
      </c>
      <c r="Y563">
        <f>AND(IF(metadata!F563="",FALSE,TRUE),exact(metadata!F563,"animal corpus"))</f>
        <v>0</v>
      </c>
      <c r="Z563">
        <f>AND(IF(metadata!G563="",FALSE,TRUE),exact(metadata!G563,"urine"))</f>
        <v>0</v>
      </c>
      <c r="AA563">
        <f>AND(IF(metadata!H563="",FALSE,TRUE),exact(metadata!H563,"urine"))</f>
        <v>0</v>
      </c>
      <c r="AB563">
        <f>AND(IF(metadata!I563="",FALSE,TRUE),exact(metadata!I563,"urine metagenome"))</f>
        <v>0</v>
      </c>
      <c r="AC563">
        <f>AND(IF(metadata!J563="",FALSE,TRUE),exact(metadata!J563,"1346744"))</f>
        <v>0</v>
      </c>
    </row>
    <row r="564" spans="1:29">
      <c r="A564" s="4">
        <f>IF(B564=" "," ",HYPERLINK(CONCATENATE("#metadata!",ADDRESS(INDEX($P$2:$P$1001,MATCH(ROWS($N$2:N564),$N$2:$N$1001,0),0),1)),INDEX($S$2:$S$1001,MATCH(ROWS($N$2:N564),$N$2:$N$1001,0),0)))</f>
        <v>0</v>
      </c>
      <c r="B564" s="3">
        <f>IF(OR(INDEX($O$2:$O$1001,MATCH(ROWS($N$2:N564),$N$2:$N$1001,0),1)&gt;=100000,INDEX($U$1005:$AC$1005,1,MATCH(COLUMNS($U$1006:U1006),$U$1006:$AC$1006,0))&gt;=100000), " ",IF(INDEX($U$2:$AC$1001,MATCH(ROWS($N$2:N564),$N$2:$N$1001,0),MATCH(COLUMNS($U$1006:U1006),$U$1006:$AC$1006,0)), HYPERLINK("#",""), HYPERLINK(CONCATENATE("#metadata!", ADDRESS(INDEX($P$2:$P$1001,MATCH(ROWS($N$2:N564),$N$2:$N$1001,0),0), INDEX($U$1004:$AC$1004,1,MATCH(COLUMNS($U$1006:U1006),$U$1006:$AC$1006,0)))),"Fix")))</f>
        <v>0</v>
      </c>
      <c r="C564" s="3">
        <f>IF(OR(INDEX($O$2:$O$1001,MATCH(ROWS($N$2:N564),$N$2:$N$1001,0),1)&gt;=100000,INDEX($U$1005:$AC$1005,1,MATCH(COLUMNS($U$1006:V1006),$U$1006:$AC$1006,0))&gt;=100000), " ",IF(INDEX($U$2:$AC$1001,MATCH(ROWS($N$2:N564),$N$2:$N$1001,0),MATCH(COLUMNS($U$1006:V1006),$U$1006:$AC$1006,0)), HYPERLINK("#",""), HYPERLINK(CONCATENATE("#metadata!", ADDRESS(INDEX($P$2:$P$1001,MATCH(ROWS($N$2:N564),$N$2:$N$1001,0),0), INDEX($U$1004:$AC$1004,1,MATCH(COLUMNS($U$1006:V1006),$U$1006:$AC$1006,0)))),"Fix")))</f>
        <v>0</v>
      </c>
      <c r="D564" s="3">
        <f>IF(OR(INDEX($O$2:$O$1001,MATCH(ROWS($N$2:N564),$N$2:$N$1001,0),1)&gt;=100000,INDEX($U$1005:$AC$1005,1,MATCH(COLUMNS($U$1006:W1006),$U$1006:$AC$1006,0))&gt;=100000), " ",IF(INDEX($U$2:$AC$1001,MATCH(ROWS($N$2:N564),$N$2:$N$1001,0),MATCH(COLUMNS($U$1006:W1006),$U$1006:$AC$1006,0)), HYPERLINK("#",""), HYPERLINK(CONCATENATE("#metadata!", ADDRESS(INDEX($P$2:$P$1001,MATCH(ROWS($N$2:N564),$N$2:$N$1001,0),0), INDEX($U$1004:$AC$1004,1,MATCH(COLUMNS($U$1006:W1006),$U$1006:$AC$1006,0)))),"Fix")))</f>
        <v>0</v>
      </c>
      <c r="E564" s="3">
        <f>IF(OR(INDEX($O$2:$O$1001,MATCH(ROWS($N$2:N564),$N$2:$N$1001,0),1)&gt;=100000,INDEX($U$1005:$AC$1005,1,MATCH(COLUMNS($U$1006:X1006),$U$1006:$AC$1006,0))&gt;=100000), " ",IF(INDEX($U$2:$AC$1001,MATCH(ROWS($N$2:N564),$N$2:$N$1001,0),MATCH(COLUMNS($U$1006:X1006),$U$1006:$AC$1006,0)), HYPERLINK("#",""), HYPERLINK(CONCATENATE("#metadata!", ADDRESS(INDEX($P$2:$P$1001,MATCH(ROWS($N$2:N564),$N$2:$N$1001,0),0), INDEX($U$1004:$AC$1004,1,MATCH(COLUMNS($U$1006:X1006),$U$1006:$AC$1006,0)))),"Fix")))</f>
        <v>0</v>
      </c>
      <c r="F564" s="3">
        <f>IF(OR(INDEX($O$2:$O$1001,MATCH(ROWS($N$2:N564),$N$2:$N$1001,0),1)&gt;=100000,INDEX($U$1005:$AC$1005,1,MATCH(COLUMNS($U$1006:Y1006),$U$1006:$AC$1006,0))&gt;=100000), " ",IF(INDEX($U$2:$AC$1001,MATCH(ROWS($N$2:N564),$N$2:$N$1001,0),MATCH(COLUMNS($U$1006:Y1006),$U$1006:$AC$1006,0)), HYPERLINK("#",""), HYPERLINK(CONCATENATE("#metadata!", ADDRESS(INDEX($P$2:$P$1001,MATCH(ROWS($N$2:N564),$N$2:$N$1001,0),0), INDEX($U$1004:$AC$1004,1,MATCH(COLUMNS($U$1006:Y1006),$U$1006:$AC$1006,0)))),"Fix")))</f>
        <v>0</v>
      </c>
      <c r="G564" s="3">
        <f>IF(OR(INDEX($O$2:$O$1001,MATCH(ROWS($N$2:N564),$N$2:$N$1001,0),1)&gt;=100000,INDEX($U$1005:$AC$1005,1,MATCH(COLUMNS($U$1006:Z1006),$U$1006:$AC$1006,0))&gt;=100000), " ",IF(INDEX($U$2:$AC$1001,MATCH(ROWS($N$2:N564),$N$2:$N$1001,0),MATCH(COLUMNS($U$1006:Z1006),$U$1006:$AC$1006,0)), HYPERLINK("#",""), HYPERLINK(CONCATENATE("#metadata!", ADDRESS(INDEX($P$2:$P$1001,MATCH(ROWS($N$2:N564),$N$2:$N$1001,0),0), INDEX($U$1004:$AC$1004,1,MATCH(COLUMNS($U$1006:Z1006),$U$1006:$AC$1006,0)))),"Fix")))</f>
        <v>0</v>
      </c>
      <c r="H564" s="3">
        <f>IF(OR(INDEX($O$2:$O$1001,MATCH(ROWS($N$2:N564),$N$2:$N$1001,0),1)&gt;=100000,INDEX($U$1005:$AC$1005,1,MATCH(COLUMNS($U$1006:AA1006),$U$1006:$AC$1006,0))&gt;=100000), " ",IF(INDEX($U$2:$AC$1001,MATCH(ROWS($N$2:N564),$N$2:$N$1001,0),MATCH(COLUMNS($U$1006:AA1006),$U$1006:$AC$1006,0)), HYPERLINK("#",""), HYPERLINK(CONCATENATE("#metadata!", ADDRESS(INDEX($P$2:$P$1001,MATCH(ROWS($N$2:N564),$N$2:$N$1001,0),0), INDEX($U$1004:$AC$1004,1,MATCH(COLUMNS($U$1006:AA1006),$U$1006:$AC$1006,0)))),"Fix")))</f>
        <v>0</v>
      </c>
      <c r="I564" s="3">
        <f>IF(OR(INDEX($O$2:$O$1001,MATCH(ROWS($N$2:N564),$N$2:$N$1001,0),1)&gt;=100000,INDEX($U$1005:$AC$1005,1,MATCH(COLUMNS($U$1006:AB1006),$U$1006:$AC$1006,0))&gt;=100000), " ",IF(INDEX($U$2:$AC$1001,MATCH(ROWS($N$2:N564),$N$2:$N$1001,0),MATCH(COLUMNS($U$1006:AB1006),$U$1006:$AC$1006,0)), HYPERLINK("#",""), HYPERLINK(CONCATENATE("#metadata!", ADDRESS(INDEX($P$2:$P$1001,MATCH(ROWS($N$2:N564),$N$2:$N$1001,0),0), INDEX($U$1004:$AC$1004,1,MATCH(COLUMNS($U$1006:AB1006),$U$1006:$AC$1006,0)))),"Fix")))</f>
        <v>0</v>
      </c>
      <c r="J564" s="3">
        <f>IF(OR(INDEX($O$2:$O$1001,MATCH(ROWS($N$2:N564),$N$2:$N$1001,0),1)&gt;=100000,INDEX($U$1005:$AC$1005,1,MATCH(COLUMNS($U$1006:AC1006),$U$1006:$AC$1006,0))&gt;=100000), " ",IF(INDEX($U$2:$AC$1001,MATCH(ROWS($N$2:N564),$N$2:$N$1001,0),MATCH(COLUMNS($U$1006:AC1006),$U$1006:$AC$1006,0)), HYPERLINK("#",""), HYPERLINK(CONCATENATE("#metadata!", ADDRESS(INDEX($P$2:$P$1001,MATCH(ROWS($N$2:N564),$N$2:$N$1001,0),0), INDEX($U$1004:$AC$1004,1,MATCH(COLUMNS($U$1006:AC1006),$U$1006:$AC$1006,0)))),"Fix")))</f>
        <v>0</v>
      </c>
      <c r="N564">
        <v>0</v>
      </c>
      <c r="O564">
        <v>0</v>
      </c>
      <c r="P564">
        <v>0</v>
      </c>
      <c r="Q564">
        <f>IF(R564,TRUE,AND(U564:AC564))</f>
        <v>0</v>
      </c>
      <c r="R564">
        <f>COUNTBLANK(metadata!B564:J564)=COLUMNS(metadata!B564:J564)</f>
        <v>0</v>
      </c>
      <c r="S564">
        <v>0</v>
      </c>
      <c r="U564">
        <f>AND(IF(metadata!B564="",FALSE,TRUE),COUNTIF(metadata!B:B, metadata!B564) = 1,NOT(ISERROR(SUMPRODUCT(SEARCH(MID(metadata!B564,ROW(INDIRECT("1:"&amp;LEN(metadata!B564))), 1),"0123456789abcdefghijklmnopqrstuvwxyzABCDEFGHIJKLMNOPQRSTUVWXYZ.")))))</f>
        <v>0</v>
      </c>
      <c r="V564">
        <f>AND(IF(metadata!C564="",FALSE,TRUE),exact(metadata!C564,"UBERON:genitourinary"))</f>
        <v>0</v>
      </c>
      <c r="W564">
        <f>AND(IF(metadata!D564="",FALSE,TRUE),exact(metadata!D564,"UBERON:urine"))</f>
        <v>0</v>
      </c>
      <c r="X564">
        <f>AND(IF(metadata!E564="",FALSE,TRUE),exact(metadata!E564,"UBERON:kidney"))</f>
        <v>0</v>
      </c>
      <c r="Y564">
        <f>AND(IF(metadata!F564="",FALSE,TRUE),exact(metadata!F564,"animal corpus"))</f>
        <v>0</v>
      </c>
      <c r="Z564">
        <f>AND(IF(metadata!G564="",FALSE,TRUE),exact(metadata!G564,"urine"))</f>
        <v>0</v>
      </c>
      <c r="AA564">
        <f>AND(IF(metadata!H564="",FALSE,TRUE),exact(metadata!H564,"urine"))</f>
        <v>0</v>
      </c>
      <c r="AB564">
        <f>AND(IF(metadata!I564="",FALSE,TRUE),exact(metadata!I564,"urine metagenome"))</f>
        <v>0</v>
      </c>
      <c r="AC564">
        <f>AND(IF(metadata!J564="",FALSE,TRUE),exact(metadata!J564,"1346744"))</f>
        <v>0</v>
      </c>
    </row>
    <row r="565" spans="1:29">
      <c r="A565" s="4">
        <f>IF(B565=" "," ",HYPERLINK(CONCATENATE("#metadata!",ADDRESS(INDEX($P$2:$P$1001,MATCH(ROWS($N$2:N565),$N$2:$N$1001,0),0),1)),INDEX($S$2:$S$1001,MATCH(ROWS($N$2:N565),$N$2:$N$1001,0),0)))</f>
        <v>0</v>
      </c>
      <c r="B565" s="3">
        <f>IF(OR(INDEX($O$2:$O$1001,MATCH(ROWS($N$2:N565),$N$2:$N$1001,0),1)&gt;=100000,INDEX($U$1005:$AC$1005,1,MATCH(COLUMNS($U$1006:U1006),$U$1006:$AC$1006,0))&gt;=100000), " ",IF(INDEX($U$2:$AC$1001,MATCH(ROWS($N$2:N565),$N$2:$N$1001,0),MATCH(COLUMNS($U$1006:U1006),$U$1006:$AC$1006,0)), HYPERLINK("#",""), HYPERLINK(CONCATENATE("#metadata!", ADDRESS(INDEX($P$2:$P$1001,MATCH(ROWS($N$2:N565),$N$2:$N$1001,0),0), INDEX($U$1004:$AC$1004,1,MATCH(COLUMNS($U$1006:U1006),$U$1006:$AC$1006,0)))),"Fix")))</f>
        <v>0</v>
      </c>
      <c r="C565" s="3">
        <f>IF(OR(INDEX($O$2:$O$1001,MATCH(ROWS($N$2:N565),$N$2:$N$1001,0),1)&gt;=100000,INDEX($U$1005:$AC$1005,1,MATCH(COLUMNS($U$1006:V1006),$U$1006:$AC$1006,0))&gt;=100000), " ",IF(INDEX($U$2:$AC$1001,MATCH(ROWS($N$2:N565),$N$2:$N$1001,0),MATCH(COLUMNS($U$1006:V1006),$U$1006:$AC$1006,0)), HYPERLINK("#",""), HYPERLINK(CONCATENATE("#metadata!", ADDRESS(INDEX($P$2:$P$1001,MATCH(ROWS($N$2:N565),$N$2:$N$1001,0),0), INDEX($U$1004:$AC$1004,1,MATCH(COLUMNS($U$1006:V1006),$U$1006:$AC$1006,0)))),"Fix")))</f>
        <v>0</v>
      </c>
      <c r="D565" s="3">
        <f>IF(OR(INDEX($O$2:$O$1001,MATCH(ROWS($N$2:N565),$N$2:$N$1001,0),1)&gt;=100000,INDEX($U$1005:$AC$1005,1,MATCH(COLUMNS($U$1006:W1006),$U$1006:$AC$1006,0))&gt;=100000), " ",IF(INDEX($U$2:$AC$1001,MATCH(ROWS($N$2:N565),$N$2:$N$1001,0),MATCH(COLUMNS($U$1006:W1006),$U$1006:$AC$1006,0)), HYPERLINK("#",""), HYPERLINK(CONCATENATE("#metadata!", ADDRESS(INDEX($P$2:$P$1001,MATCH(ROWS($N$2:N565),$N$2:$N$1001,0),0), INDEX($U$1004:$AC$1004,1,MATCH(COLUMNS($U$1006:W1006),$U$1006:$AC$1006,0)))),"Fix")))</f>
        <v>0</v>
      </c>
      <c r="E565" s="3">
        <f>IF(OR(INDEX($O$2:$O$1001,MATCH(ROWS($N$2:N565),$N$2:$N$1001,0),1)&gt;=100000,INDEX($U$1005:$AC$1005,1,MATCH(COLUMNS($U$1006:X1006),$U$1006:$AC$1006,0))&gt;=100000), " ",IF(INDEX($U$2:$AC$1001,MATCH(ROWS($N$2:N565),$N$2:$N$1001,0),MATCH(COLUMNS($U$1006:X1006),$U$1006:$AC$1006,0)), HYPERLINK("#",""), HYPERLINK(CONCATENATE("#metadata!", ADDRESS(INDEX($P$2:$P$1001,MATCH(ROWS($N$2:N565),$N$2:$N$1001,0),0), INDEX($U$1004:$AC$1004,1,MATCH(COLUMNS($U$1006:X1006),$U$1006:$AC$1006,0)))),"Fix")))</f>
        <v>0</v>
      </c>
      <c r="F565" s="3">
        <f>IF(OR(INDEX($O$2:$O$1001,MATCH(ROWS($N$2:N565),$N$2:$N$1001,0),1)&gt;=100000,INDEX($U$1005:$AC$1005,1,MATCH(COLUMNS($U$1006:Y1006),$U$1006:$AC$1006,0))&gt;=100000), " ",IF(INDEX($U$2:$AC$1001,MATCH(ROWS($N$2:N565),$N$2:$N$1001,0),MATCH(COLUMNS($U$1006:Y1006),$U$1006:$AC$1006,0)), HYPERLINK("#",""), HYPERLINK(CONCATENATE("#metadata!", ADDRESS(INDEX($P$2:$P$1001,MATCH(ROWS($N$2:N565),$N$2:$N$1001,0),0), INDEX($U$1004:$AC$1004,1,MATCH(COLUMNS($U$1006:Y1006),$U$1006:$AC$1006,0)))),"Fix")))</f>
        <v>0</v>
      </c>
      <c r="G565" s="3">
        <f>IF(OR(INDEX($O$2:$O$1001,MATCH(ROWS($N$2:N565),$N$2:$N$1001,0),1)&gt;=100000,INDEX($U$1005:$AC$1005,1,MATCH(COLUMNS($U$1006:Z1006),$U$1006:$AC$1006,0))&gt;=100000), " ",IF(INDEX($U$2:$AC$1001,MATCH(ROWS($N$2:N565),$N$2:$N$1001,0),MATCH(COLUMNS($U$1006:Z1006),$U$1006:$AC$1006,0)), HYPERLINK("#",""), HYPERLINK(CONCATENATE("#metadata!", ADDRESS(INDEX($P$2:$P$1001,MATCH(ROWS($N$2:N565),$N$2:$N$1001,0),0), INDEX($U$1004:$AC$1004,1,MATCH(COLUMNS($U$1006:Z1006),$U$1006:$AC$1006,0)))),"Fix")))</f>
        <v>0</v>
      </c>
      <c r="H565" s="3">
        <f>IF(OR(INDEX($O$2:$O$1001,MATCH(ROWS($N$2:N565),$N$2:$N$1001,0),1)&gt;=100000,INDEX($U$1005:$AC$1005,1,MATCH(COLUMNS($U$1006:AA1006),$U$1006:$AC$1006,0))&gt;=100000), " ",IF(INDEX($U$2:$AC$1001,MATCH(ROWS($N$2:N565),$N$2:$N$1001,0),MATCH(COLUMNS($U$1006:AA1006),$U$1006:$AC$1006,0)), HYPERLINK("#",""), HYPERLINK(CONCATENATE("#metadata!", ADDRESS(INDEX($P$2:$P$1001,MATCH(ROWS($N$2:N565),$N$2:$N$1001,0),0), INDEX($U$1004:$AC$1004,1,MATCH(COLUMNS($U$1006:AA1006),$U$1006:$AC$1006,0)))),"Fix")))</f>
        <v>0</v>
      </c>
      <c r="I565" s="3">
        <f>IF(OR(INDEX($O$2:$O$1001,MATCH(ROWS($N$2:N565),$N$2:$N$1001,0),1)&gt;=100000,INDEX($U$1005:$AC$1005,1,MATCH(COLUMNS($U$1006:AB1006),$U$1006:$AC$1006,0))&gt;=100000), " ",IF(INDEX($U$2:$AC$1001,MATCH(ROWS($N$2:N565),$N$2:$N$1001,0),MATCH(COLUMNS($U$1006:AB1006),$U$1006:$AC$1006,0)), HYPERLINK("#",""), HYPERLINK(CONCATENATE("#metadata!", ADDRESS(INDEX($P$2:$P$1001,MATCH(ROWS($N$2:N565),$N$2:$N$1001,0),0), INDEX($U$1004:$AC$1004,1,MATCH(COLUMNS($U$1006:AB1006),$U$1006:$AC$1006,0)))),"Fix")))</f>
        <v>0</v>
      </c>
      <c r="J565" s="3">
        <f>IF(OR(INDEX($O$2:$O$1001,MATCH(ROWS($N$2:N565),$N$2:$N$1001,0),1)&gt;=100000,INDEX($U$1005:$AC$1005,1,MATCH(COLUMNS($U$1006:AC1006),$U$1006:$AC$1006,0))&gt;=100000), " ",IF(INDEX($U$2:$AC$1001,MATCH(ROWS($N$2:N565),$N$2:$N$1001,0),MATCH(COLUMNS($U$1006:AC1006),$U$1006:$AC$1006,0)), HYPERLINK("#",""), HYPERLINK(CONCATENATE("#metadata!", ADDRESS(INDEX($P$2:$P$1001,MATCH(ROWS($N$2:N565),$N$2:$N$1001,0),0), INDEX($U$1004:$AC$1004,1,MATCH(COLUMNS($U$1006:AC1006),$U$1006:$AC$1006,0)))),"Fix")))</f>
        <v>0</v>
      </c>
      <c r="N565">
        <v>0</v>
      </c>
      <c r="O565">
        <v>0</v>
      </c>
      <c r="P565">
        <v>0</v>
      </c>
      <c r="Q565">
        <f>IF(R565,TRUE,AND(U565:AC565))</f>
        <v>0</v>
      </c>
      <c r="R565">
        <f>COUNTBLANK(metadata!B565:J565)=COLUMNS(metadata!B565:J565)</f>
        <v>0</v>
      </c>
      <c r="S565">
        <v>0</v>
      </c>
      <c r="U565">
        <f>AND(IF(metadata!B565="",FALSE,TRUE),COUNTIF(metadata!B:B, metadata!B565) = 1,NOT(ISERROR(SUMPRODUCT(SEARCH(MID(metadata!B565,ROW(INDIRECT("1:"&amp;LEN(metadata!B565))), 1),"0123456789abcdefghijklmnopqrstuvwxyzABCDEFGHIJKLMNOPQRSTUVWXYZ.")))))</f>
        <v>0</v>
      </c>
      <c r="V565">
        <f>AND(IF(metadata!C565="",FALSE,TRUE),exact(metadata!C565,"UBERON:genitourinary"))</f>
        <v>0</v>
      </c>
      <c r="W565">
        <f>AND(IF(metadata!D565="",FALSE,TRUE),exact(metadata!D565,"UBERON:urine"))</f>
        <v>0</v>
      </c>
      <c r="X565">
        <f>AND(IF(metadata!E565="",FALSE,TRUE),exact(metadata!E565,"UBERON:kidney"))</f>
        <v>0</v>
      </c>
      <c r="Y565">
        <f>AND(IF(metadata!F565="",FALSE,TRUE),exact(metadata!F565,"animal corpus"))</f>
        <v>0</v>
      </c>
      <c r="Z565">
        <f>AND(IF(metadata!G565="",FALSE,TRUE),exact(metadata!G565,"urine"))</f>
        <v>0</v>
      </c>
      <c r="AA565">
        <f>AND(IF(metadata!H565="",FALSE,TRUE),exact(metadata!H565,"urine"))</f>
        <v>0</v>
      </c>
      <c r="AB565">
        <f>AND(IF(metadata!I565="",FALSE,TRUE),exact(metadata!I565,"urine metagenome"))</f>
        <v>0</v>
      </c>
      <c r="AC565">
        <f>AND(IF(metadata!J565="",FALSE,TRUE),exact(metadata!J565,"1346744"))</f>
        <v>0</v>
      </c>
    </row>
    <row r="566" spans="1:29">
      <c r="A566" s="4">
        <f>IF(B566=" "," ",HYPERLINK(CONCATENATE("#metadata!",ADDRESS(INDEX($P$2:$P$1001,MATCH(ROWS($N$2:N566),$N$2:$N$1001,0),0),1)),INDEX($S$2:$S$1001,MATCH(ROWS($N$2:N566),$N$2:$N$1001,0),0)))</f>
        <v>0</v>
      </c>
      <c r="B566" s="3">
        <f>IF(OR(INDEX($O$2:$O$1001,MATCH(ROWS($N$2:N566),$N$2:$N$1001,0),1)&gt;=100000,INDEX($U$1005:$AC$1005,1,MATCH(COLUMNS($U$1006:U1006),$U$1006:$AC$1006,0))&gt;=100000), " ",IF(INDEX($U$2:$AC$1001,MATCH(ROWS($N$2:N566),$N$2:$N$1001,0),MATCH(COLUMNS($U$1006:U1006),$U$1006:$AC$1006,0)), HYPERLINK("#",""), HYPERLINK(CONCATENATE("#metadata!", ADDRESS(INDEX($P$2:$P$1001,MATCH(ROWS($N$2:N566),$N$2:$N$1001,0),0), INDEX($U$1004:$AC$1004,1,MATCH(COLUMNS($U$1006:U1006),$U$1006:$AC$1006,0)))),"Fix")))</f>
        <v>0</v>
      </c>
      <c r="C566" s="3">
        <f>IF(OR(INDEX($O$2:$O$1001,MATCH(ROWS($N$2:N566),$N$2:$N$1001,0),1)&gt;=100000,INDEX($U$1005:$AC$1005,1,MATCH(COLUMNS($U$1006:V1006),$U$1006:$AC$1006,0))&gt;=100000), " ",IF(INDEX($U$2:$AC$1001,MATCH(ROWS($N$2:N566),$N$2:$N$1001,0),MATCH(COLUMNS($U$1006:V1006),$U$1006:$AC$1006,0)), HYPERLINK("#",""), HYPERLINK(CONCATENATE("#metadata!", ADDRESS(INDEX($P$2:$P$1001,MATCH(ROWS($N$2:N566),$N$2:$N$1001,0),0), INDEX($U$1004:$AC$1004,1,MATCH(COLUMNS($U$1006:V1006),$U$1006:$AC$1006,0)))),"Fix")))</f>
        <v>0</v>
      </c>
      <c r="D566" s="3">
        <f>IF(OR(INDEX($O$2:$O$1001,MATCH(ROWS($N$2:N566),$N$2:$N$1001,0),1)&gt;=100000,INDEX($U$1005:$AC$1005,1,MATCH(COLUMNS($U$1006:W1006),$U$1006:$AC$1006,0))&gt;=100000), " ",IF(INDEX($U$2:$AC$1001,MATCH(ROWS($N$2:N566),$N$2:$N$1001,0),MATCH(COLUMNS($U$1006:W1006),$U$1006:$AC$1006,0)), HYPERLINK("#",""), HYPERLINK(CONCATENATE("#metadata!", ADDRESS(INDEX($P$2:$P$1001,MATCH(ROWS($N$2:N566),$N$2:$N$1001,0),0), INDEX($U$1004:$AC$1004,1,MATCH(COLUMNS($U$1006:W1006),$U$1006:$AC$1006,0)))),"Fix")))</f>
        <v>0</v>
      </c>
      <c r="E566" s="3">
        <f>IF(OR(INDEX($O$2:$O$1001,MATCH(ROWS($N$2:N566),$N$2:$N$1001,0),1)&gt;=100000,INDEX($U$1005:$AC$1005,1,MATCH(COLUMNS($U$1006:X1006),$U$1006:$AC$1006,0))&gt;=100000), " ",IF(INDEX($U$2:$AC$1001,MATCH(ROWS($N$2:N566),$N$2:$N$1001,0),MATCH(COLUMNS($U$1006:X1006),$U$1006:$AC$1006,0)), HYPERLINK("#",""), HYPERLINK(CONCATENATE("#metadata!", ADDRESS(INDEX($P$2:$P$1001,MATCH(ROWS($N$2:N566),$N$2:$N$1001,0),0), INDEX($U$1004:$AC$1004,1,MATCH(COLUMNS($U$1006:X1006),$U$1006:$AC$1006,0)))),"Fix")))</f>
        <v>0</v>
      </c>
      <c r="F566" s="3">
        <f>IF(OR(INDEX($O$2:$O$1001,MATCH(ROWS($N$2:N566),$N$2:$N$1001,0),1)&gt;=100000,INDEX($U$1005:$AC$1005,1,MATCH(COLUMNS($U$1006:Y1006),$U$1006:$AC$1006,0))&gt;=100000), " ",IF(INDEX($U$2:$AC$1001,MATCH(ROWS($N$2:N566),$N$2:$N$1001,0),MATCH(COLUMNS($U$1006:Y1006),$U$1006:$AC$1006,0)), HYPERLINK("#",""), HYPERLINK(CONCATENATE("#metadata!", ADDRESS(INDEX($P$2:$P$1001,MATCH(ROWS($N$2:N566),$N$2:$N$1001,0),0), INDEX($U$1004:$AC$1004,1,MATCH(COLUMNS($U$1006:Y1006),$U$1006:$AC$1006,0)))),"Fix")))</f>
        <v>0</v>
      </c>
      <c r="G566" s="3">
        <f>IF(OR(INDEX($O$2:$O$1001,MATCH(ROWS($N$2:N566),$N$2:$N$1001,0),1)&gt;=100000,INDEX($U$1005:$AC$1005,1,MATCH(COLUMNS($U$1006:Z1006),$U$1006:$AC$1006,0))&gt;=100000), " ",IF(INDEX($U$2:$AC$1001,MATCH(ROWS($N$2:N566),$N$2:$N$1001,0),MATCH(COLUMNS($U$1006:Z1006),$U$1006:$AC$1006,0)), HYPERLINK("#",""), HYPERLINK(CONCATENATE("#metadata!", ADDRESS(INDEX($P$2:$P$1001,MATCH(ROWS($N$2:N566),$N$2:$N$1001,0),0), INDEX($U$1004:$AC$1004,1,MATCH(COLUMNS($U$1006:Z1006),$U$1006:$AC$1006,0)))),"Fix")))</f>
        <v>0</v>
      </c>
      <c r="H566" s="3">
        <f>IF(OR(INDEX($O$2:$O$1001,MATCH(ROWS($N$2:N566),$N$2:$N$1001,0),1)&gt;=100000,INDEX($U$1005:$AC$1005,1,MATCH(COLUMNS($U$1006:AA1006),$U$1006:$AC$1006,0))&gt;=100000), " ",IF(INDEX($U$2:$AC$1001,MATCH(ROWS($N$2:N566),$N$2:$N$1001,0),MATCH(COLUMNS($U$1006:AA1006),$U$1006:$AC$1006,0)), HYPERLINK("#",""), HYPERLINK(CONCATENATE("#metadata!", ADDRESS(INDEX($P$2:$P$1001,MATCH(ROWS($N$2:N566),$N$2:$N$1001,0),0), INDEX($U$1004:$AC$1004,1,MATCH(COLUMNS($U$1006:AA1006),$U$1006:$AC$1006,0)))),"Fix")))</f>
        <v>0</v>
      </c>
      <c r="I566" s="3">
        <f>IF(OR(INDEX($O$2:$O$1001,MATCH(ROWS($N$2:N566),$N$2:$N$1001,0),1)&gt;=100000,INDEX($U$1005:$AC$1005,1,MATCH(COLUMNS($U$1006:AB1006),$U$1006:$AC$1006,0))&gt;=100000), " ",IF(INDEX($U$2:$AC$1001,MATCH(ROWS($N$2:N566),$N$2:$N$1001,0),MATCH(COLUMNS($U$1006:AB1006),$U$1006:$AC$1006,0)), HYPERLINK("#",""), HYPERLINK(CONCATENATE("#metadata!", ADDRESS(INDEX($P$2:$P$1001,MATCH(ROWS($N$2:N566),$N$2:$N$1001,0),0), INDEX($U$1004:$AC$1004,1,MATCH(COLUMNS($U$1006:AB1006),$U$1006:$AC$1006,0)))),"Fix")))</f>
        <v>0</v>
      </c>
      <c r="J566" s="3">
        <f>IF(OR(INDEX($O$2:$O$1001,MATCH(ROWS($N$2:N566),$N$2:$N$1001,0),1)&gt;=100000,INDEX($U$1005:$AC$1005,1,MATCH(COLUMNS($U$1006:AC1006),$U$1006:$AC$1006,0))&gt;=100000), " ",IF(INDEX($U$2:$AC$1001,MATCH(ROWS($N$2:N566),$N$2:$N$1001,0),MATCH(COLUMNS($U$1006:AC1006),$U$1006:$AC$1006,0)), HYPERLINK("#",""), HYPERLINK(CONCATENATE("#metadata!", ADDRESS(INDEX($P$2:$P$1001,MATCH(ROWS($N$2:N566),$N$2:$N$1001,0),0), INDEX($U$1004:$AC$1004,1,MATCH(COLUMNS($U$1006:AC1006),$U$1006:$AC$1006,0)))),"Fix")))</f>
        <v>0</v>
      </c>
      <c r="N566">
        <v>0</v>
      </c>
      <c r="O566">
        <v>0</v>
      </c>
      <c r="P566">
        <v>0</v>
      </c>
      <c r="Q566">
        <f>IF(R566,TRUE,AND(U566:AC566))</f>
        <v>0</v>
      </c>
      <c r="R566">
        <f>COUNTBLANK(metadata!B566:J566)=COLUMNS(metadata!B566:J566)</f>
        <v>0</v>
      </c>
      <c r="S566">
        <v>0</v>
      </c>
      <c r="U566">
        <f>AND(IF(metadata!B566="",FALSE,TRUE),COUNTIF(metadata!B:B, metadata!B566) = 1,NOT(ISERROR(SUMPRODUCT(SEARCH(MID(metadata!B566,ROW(INDIRECT("1:"&amp;LEN(metadata!B566))), 1),"0123456789abcdefghijklmnopqrstuvwxyzABCDEFGHIJKLMNOPQRSTUVWXYZ.")))))</f>
        <v>0</v>
      </c>
      <c r="V566">
        <f>AND(IF(metadata!C566="",FALSE,TRUE),exact(metadata!C566,"UBERON:genitourinary"))</f>
        <v>0</v>
      </c>
      <c r="W566">
        <f>AND(IF(metadata!D566="",FALSE,TRUE),exact(metadata!D566,"UBERON:urine"))</f>
        <v>0</v>
      </c>
      <c r="X566">
        <f>AND(IF(metadata!E566="",FALSE,TRUE),exact(metadata!E566,"UBERON:kidney"))</f>
        <v>0</v>
      </c>
      <c r="Y566">
        <f>AND(IF(metadata!F566="",FALSE,TRUE),exact(metadata!F566,"animal corpus"))</f>
        <v>0</v>
      </c>
      <c r="Z566">
        <f>AND(IF(metadata!G566="",FALSE,TRUE),exact(metadata!G566,"urine"))</f>
        <v>0</v>
      </c>
      <c r="AA566">
        <f>AND(IF(metadata!H566="",FALSE,TRUE),exact(metadata!H566,"urine"))</f>
        <v>0</v>
      </c>
      <c r="AB566">
        <f>AND(IF(metadata!I566="",FALSE,TRUE),exact(metadata!I566,"urine metagenome"))</f>
        <v>0</v>
      </c>
      <c r="AC566">
        <f>AND(IF(metadata!J566="",FALSE,TRUE),exact(metadata!J566,"1346744"))</f>
        <v>0</v>
      </c>
    </row>
    <row r="567" spans="1:29">
      <c r="A567" s="4">
        <f>IF(B567=" "," ",HYPERLINK(CONCATENATE("#metadata!",ADDRESS(INDEX($P$2:$P$1001,MATCH(ROWS($N$2:N567),$N$2:$N$1001,0),0),1)),INDEX($S$2:$S$1001,MATCH(ROWS($N$2:N567),$N$2:$N$1001,0),0)))</f>
        <v>0</v>
      </c>
      <c r="B567" s="3">
        <f>IF(OR(INDEX($O$2:$O$1001,MATCH(ROWS($N$2:N567),$N$2:$N$1001,0),1)&gt;=100000,INDEX($U$1005:$AC$1005,1,MATCH(COLUMNS($U$1006:U1006),$U$1006:$AC$1006,0))&gt;=100000), " ",IF(INDEX($U$2:$AC$1001,MATCH(ROWS($N$2:N567),$N$2:$N$1001,0),MATCH(COLUMNS($U$1006:U1006),$U$1006:$AC$1006,0)), HYPERLINK("#",""), HYPERLINK(CONCATENATE("#metadata!", ADDRESS(INDEX($P$2:$P$1001,MATCH(ROWS($N$2:N567),$N$2:$N$1001,0),0), INDEX($U$1004:$AC$1004,1,MATCH(COLUMNS($U$1006:U1006),$U$1006:$AC$1006,0)))),"Fix")))</f>
        <v>0</v>
      </c>
      <c r="C567" s="3">
        <f>IF(OR(INDEX($O$2:$O$1001,MATCH(ROWS($N$2:N567),$N$2:$N$1001,0),1)&gt;=100000,INDEX($U$1005:$AC$1005,1,MATCH(COLUMNS($U$1006:V1006),$U$1006:$AC$1006,0))&gt;=100000), " ",IF(INDEX($U$2:$AC$1001,MATCH(ROWS($N$2:N567),$N$2:$N$1001,0),MATCH(COLUMNS($U$1006:V1006),$U$1006:$AC$1006,0)), HYPERLINK("#",""), HYPERLINK(CONCATENATE("#metadata!", ADDRESS(INDEX($P$2:$P$1001,MATCH(ROWS($N$2:N567),$N$2:$N$1001,0),0), INDEX($U$1004:$AC$1004,1,MATCH(COLUMNS($U$1006:V1006),$U$1006:$AC$1006,0)))),"Fix")))</f>
        <v>0</v>
      </c>
      <c r="D567" s="3">
        <f>IF(OR(INDEX($O$2:$O$1001,MATCH(ROWS($N$2:N567),$N$2:$N$1001,0),1)&gt;=100000,INDEX($U$1005:$AC$1005,1,MATCH(COLUMNS($U$1006:W1006),$U$1006:$AC$1006,0))&gt;=100000), " ",IF(INDEX($U$2:$AC$1001,MATCH(ROWS($N$2:N567),$N$2:$N$1001,0),MATCH(COLUMNS($U$1006:W1006),$U$1006:$AC$1006,0)), HYPERLINK("#",""), HYPERLINK(CONCATENATE("#metadata!", ADDRESS(INDEX($P$2:$P$1001,MATCH(ROWS($N$2:N567),$N$2:$N$1001,0),0), INDEX($U$1004:$AC$1004,1,MATCH(COLUMNS($U$1006:W1006),$U$1006:$AC$1006,0)))),"Fix")))</f>
        <v>0</v>
      </c>
      <c r="E567" s="3">
        <f>IF(OR(INDEX($O$2:$O$1001,MATCH(ROWS($N$2:N567),$N$2:$N$1001,0),1)&gt;=100000,INDEX($U$1005:$AC$1005,1,MATCH(COLUMNS($U$1006:X1006),$U$1006:$AC$1006,0))&gt;=100000), " ",IF(INDEX($U$2:$AC$1001,MATCH(ROWS($N$2:N567),$N$2:$N$1001,0),MATCH(COLUMNS($U$1006:X1006),$U$1006:$AC$1006,0)), HYPERLINK("#",""), HYPERLINK(CONCATENATE("#metadata!", ADDRESS(INDEX($P$2:$P$1001,MATCH(ROWS($N$2:N567),$N$2:$N$1001,0),0), INDEX($U$1004:$AC$1004,1,MATCH(COLUMNS($U$1006:X1006),$U$1006:$AC$1006,0)))),"Fix")))</f>
        <v>0</v>
      </c>
      <c r="F567" s="3">
        <f>IF(OR(INDEX($O$2:$O$1001,MATCH(ROWS($N$2:N567),$N$2:$N$1001,0),1)&gt;=100000,INDEX($U$1005:$AC$1005,1,MATCH(COLUMNS($U$1006:Y1006),$U$1006:$AC$1006,0))&gt;=100000), " ",IF(INDEX($U$2:$AC$1001,MATCH(ROWS($N$2:N567),$N$2:$N$1001,0),MATCH(COLUMNS($U$1006:Y1006),$U$1006:$AC$1006,0)), HYPERLINK("#",""), HYPERLINK(CONCATENATE("#metadata!", ADDRESS(INDEX($P$2:$P$1001,MATCH(ROWS($N$2:N567),$N$2:$N$1001,0),0), INDEX($U$1004:$AC$1004,1,MATCH(COLUMNS($U$1006:Y1006),$U$1006:$AC$1006,0)))),"Fix")))</f>
        <v>0</v>
      </c>
      <c r="G567" s="3">
        <f>IF(OR(INDEX($O$2:$O$1001,MATCH(ROWS($N$2:N567),$N$2:$N$1001,0),1)&gt;=100000,INDEX($U$1005:$AC$1005,1,MATCH(COLUMNS($U$1006:Z1006),$U$1006:$AC$1006,0))&gt;=100000), " ",IF(INDEX($U$2:$AC$1001,MATCH(ROWS($N$2:N567),$N$2:$N$1001,0),MATCH(COLUMNS($U$1006:Z1006),$U$1006:$AC$1006,0)), HYPERLINK("#",""), HYPERLINK(CONCATENATE("#metadata!", ADDRESS(INDEX($P$2:$P$1001,MATCH(ROWS($N$2:N567),$N$2:$N$1001,0),0), INDEX($U$1004:$AC$1004,1,MATCH(COLUMNS($U$1006:Z1006),$U$1006:$AC$1006,0)))),"Fix")))</f>
        <v>0</v>
      </c>
      <c r="H567" s="3">
        <f>IF(OR(INDEX($O$2:$O$1001,MATCH(ROWS($N$2:N567),$N$2:$N$1001,0),1)&gt;=100000,INDEX($U$1005:$AC$1005,1,MATCH(COLUMNS($U$1006:AA1006),$U$1006:$AC$1006,0))&gt;=100000), " ",IF(INDEX($U$2:$AC$1001,MATCH(ROWS($N$2:N567),$N$2:$N$1001,0),MATCH(COLUMNS($U$1006:AA1006),$U$1006:$AC$1006,0)), HYPERLINK("#",""), HYPERLINK(CONCATENATE("#metadata!", ADDRESS(INDEX($P$2:$P$1001,MATCH(ROWS($N$2:N567),$N$2:$N$1001,0),0), INDEX($U$1004:$AC$1004,1,MATCH(COLUMNS($U$1006:AA1006),$U$1006:$AC$1006,0)))),"Fix")))</f>
        <v>0</v>
      </c>
      <c r="I567" s="3">
        <f>IF(OR(INDEX($O$2:$O$1001,MATCH(ROWS($N$2:N567),$N$2:$N$1001,0),1)&gt;=100000,INDEX($U$1005:$AC$1005,1,MATCH(COLUMNS($U$1006:AB1006),$U$1006:$AC$1006,0))&gt;=100000), " ",IF(INDEX($U$2:$AC$1001,MATCH(ROWS($N$2:N567),$N$2:$N$1001,0),MATCH(COLUMNS($U$1006:AB1006),$U$1006:$AC$1006,0)), HYPERLINK("#",""), HYPERLINK(CONCATENATE("#metadata!", ADDRESS(INDEX($P$2:$P$1001,MATCH(ROWS($N$2:N567),$N$2:$N$1001,0),0), INDEX($U$1004:$AC$1004,1,MATCH(COLUMNS($U$1006:AB1006),$U$1006:$AC$1006,0)))),"Fix")))</f>
        <v>0</v>
      </c>
      <c r="J567" s="3">
        <f>IF(OR(INDEX($O$2:$O$1001,MATCH(ROWS($N$2:N567),$N$2:$N$1001,0),1)&gt;=100000,INDEX($U$1005:$AC$1005,1,MATCH(COLUMNS($U$1006:AC1006),$U$1006:$AC$1006,0))&gt;=100000), " ",IF(INDEX($U$2:$AC$1001,MATCH(ROWS($N$2:N567),$N$2:$N$1001,0),MATCH(COLUMNS($U$1006:AC1006),$U$1006:$AC$1006,0)), HYPERLINK("#",""), HYPERLINK(CONCATENATE("#metadata!", ADDRESS(INDEX($P$2:$P$1001,MATCH(ROWS($N$2:N567),$N$2:$N$1001,0),0), INDEX($U$1004:$AC$1004,1,MATCH(COLUMNS($U$1006:AC1006),$U$1006:$AC$1006,0)))),"Fix")))</f>
        <v>0</v>
      </c>
      <c r="N567">
        <v>0</v>
      </c>
      <c r="O567">
        <v>0</v>
      </c>
      <c r="P567">
        <v>0</v>
      </c>
      <c r="Q567">
        <f>IF(R567,TRUE,AND(U567:AC567))</f>
        <v>0</v>
      </c>
      <c r="R567">
        <f>COUNTBLANK(metadata!B567:J567)=COLUMNS(metadata!B567:J567)</f>
        <v>0</v>
      </c>
      <c r="S567">
        <v>0</v>
      </c>
      <c r="U567">
        <f>AND(IF(metadata!B567="",FALSE,TRUE),COUNTIF(metadata!B:B, metadata!B567) = 1,NOT(ISERROR(SUMPRODUCT(SEARCH(MID(metadata!B567,ROW(INDIRECT("1:"&amp;LEN(metadata!B567))), 1),"0123456789abcdefghijklmnopqrstuvwxyzABCDEFGHIJKLMNOPQRSTUVWXYZ.")))))</f>
        <v>0</v>
      </c>
      <c r="V567">
        <f>AND(IF(metadata!C567="",FALSE,TRUE),exact(metadata!C567,"UBERON:genitourinary"))</f>
        <v>0</v>
      </c>
      <c r="W567">
        <f>AND(IF(metadata!D567="",FALSE,TRUE),exact(metadata!D567,"UBERON:urine"))</f>
        <v>0</v>
      </c>
      <c r="X567">
        <f>AND(IF(metadata!E567="",FALSE,TRUE),exact(metadata!E567,"UBERON:kidney"))</f>
        <v>0</v>
      </c>
      <c r="Y567">
        <f>AND(IF(metadata!F567="",FALSE,TRUE),exact(metadata!F567,"animal corpus"))</f>
        <v>0</v>
      </c>
      <c r="Z567">
        <f>AND(IF(metadata!G567="",FALSE,TRUE),exact(metadata!G567,"urine"))</f>
        <v>0</v>
      </c>
      <c r="AA567">
        <f>AND(IF(metadata!H567="",FALSE,TRUE),exact(metadata!H567,"urine"))</f>
        <v>0</v>
      </c>
      <c r="AB567">
        <f>AND(IF(metadata!I567="",FALSE,TRUE),exact(metadata!I567,"urine metagenome"))</f>
        <v>0</v>
      </c>
      <c r="AC567">
        <f>AND(IF(metadata!J567="",FALSE,TRUE),exact(metadata!J567,"1346744"))</f>
        <v>0</v>
      </c>
    </row>
    <row r="568" spans="1:29">
      <c r="A568" s="4">
        <f>IF(B568=" "," ",HYPERLINK(CONCATENATE("#metadata!",ADDRESS(INDEX($P$2:$P$1001,MATCH(ROWS($N$2:N568),$N$2:$N$1001,0),0),1)),INDEX($S$2:$S$1001,MATCH(ROWS($N$2:N568),$N$2:$N$1001,0),0)))</f>
        <v>0</v>
      </c>
      <c r="B568" s="3">
        <f>IF(OR(INDEX($O$2:$O$1001,MATCH(ROWS($N$2:N568),$N$2:$N$1001,0),1)&gt;=100000,INDEX($U$1005:$AC$1005,1,MATCH(COLUMNS($U$1006:U1006),$U$1006:$AC$1006,0))&gt;=100000), " ",IF(INDEX($U$2:$AC$1001,MATCH(ROWS($N$2:N568),$N$2:$N$1001,0),MATCH(COLUMNS($U$1006:U1006),$U$1006:$AC$1006,0)), HYPERLINK("#",""), HYPERLINK(CONCATENATE("#metadata!", ADDRESS(INDEX($P$2:$P$1001,MATCH(ROWS($N$2:N568),$N$2:$N$1001,0),0), INDEX($U$1004:$AC$1004,1,MATCH(COLUMNS($U$1006:U1006),$U$1006:$AC$1006,0)))),"Fix")))</f>
        <v>0</v>
      </c>
      <c r="C568" s="3">
        <f>IF(OR(INDEX($O$2:$O$1001,MATCH(ROWS($N$2:N568),$N$2:$N$1001,0),1)&gt;=100000,INDEX($U$1005:$AC$1005,1,MATCH(COLUMNS($U$1006:V1006),$U$1006:$AC$1006,0))&gt;=100000), " ",IF(INDEX($U$2:$AC$1001,MATCH(ROWS($N$2:N568),$N$2:$N$1001,0),MATCH(COLUMNS($U$1006:V1006),$U$1006:$AC$1006,0)), HYPERLINK("#",""), HYPERLINK(CONCATENATE("#metadata!", ADDRESS(INDEX($P$2:$P$1001,MATCH(ROWS($N$2:N568),$N$2:$N$1001,0),0), INDEX($U$1004:$AC$1004,1,MATCH(COLUMNS($U$1006:V1006),$U$1006:$AC$1006,0)))),"Fix")))</f>
        <v>0</v>
      </c>
      <c r="D568" s="3">
        <f>IF(OR(INDEX($O$2:$O$1001,MATCH(ROWS($N$2:N568),$N$2:$N$1001,0),1)&gt;=100000,INDEX($U$1005:$AC$1005,1,MATCH(COLUMNS($U$1006:W1006),$U$1006:$AC$1006,0))&gt;=100000), " ",IF(INDEX($U$2:$AC$1001,MATCH(ROWS($N$2:N568),$N$2:$N$1001,0),MATCH(COLUMNS($U$1006:W1006),$U$1006:$AC$1006,0)), HYPERLINK("#",""), HYPERLINK(CONCATENATE("#metadata!", ADDRESS(INDEX($P$2:$P$1001,MATCH(ROWS($N$2:N568),$N$2:$N$1001,0),0), INDEX($U$1004:$AC$1004,1,MATCH(COLUMNS($U$1006:W1006),$U$1006:$AC$1006,0)))),"Fix")))</f>
        <v>0</v>
      </c>
      <c r="E568" s="3">
        <f>IF(OR(INDEX($O$2:$O$1001,MATCH(ROWS($N$2:N568),$N$2:$N$1001,0),1)&gt;=100000,INDEX($U$1005:$AC$1005,1,MATCH(COLUMNS($U$1006:X1006),$U$1006:$AC$1006,0))&gt;=100000), " ",IF(INDEX($U$2:$AC$1001,MATCH(ROWS($N$2:N568),$N$2:$N$1001,0),MATCH(COLUMNS($U$1006:X1006),$U$1006:$AC$1006,0)), HYPERLINK("#",""), HYPERLINK(CONCATENATE("#metadata!", ADDRESS(INDEX($P$2:$P$1001,MATCH(ROWS($N$2:N568),$N$2:$N$1001,0),0), INDEX($U$1004:$AC$1004,1,MATCH(COLUMNS($U$1006:X1006),$U$1006:$AC$1006,0)))),"Fix")))</f>
        <v>0</v>
      </c>
      <c r="F568" s="3">
        <f>IF(OR(INDEX($O$2:$O$1001,MATCH(ROWS($N$2:N568),$N$2:$N$1001,0),1)&gt;=100000,INDEX($U$1005:$AC$1005,1,MATCH(COLUMNS($U$1006:Y1006),$U$1006:$AC$1006,0))&gt;=100000), " ",IF(INDEX($U$2:$AC$1001,MATCH(ROWS($N$2:N568),$N$2:$N$1001,0),MATCH(COLUMNS($U$1006:Y1006),$U$1006:$AC$1006,0)), HYPERLINK("#",""), HYPERLINK(CONCATENATE("#metadata!", ADDRESS(INDEX($P$2:$P$1001,MATCH(ROWS($N$2:N568),$N$2:$N$1001,0),0), INDEX($U$1004:$AC$1004,1,MATCH(COLUMNS($U$1006:Y1006),$U$1006:$AC$1006,0)))),"Fix")))</f>
        <v>0</v>
      </c>
      <c r="G568" s="3">
        <f>IF(OR(INDEX($O$2:$O$1001,MATCH(ROWS($N$2:N568),$N$2:$N$1001,0),1)&gt;=100000,INDEX($U$1005:$AC$1005,1,MATCH(COLUMNS($U$1006:Z1006),$U$1006:$AC$1006,0))&gt;=100000), " ",IF(INDEX($U$2:$AC$1001,MATCH(ROWS($N$2:N568),$N$2:$N$1001,0),MATCH(COLUMNS($U$1006:Z1006),$U$1006:$AC$1006,0)), HYPERLINK("#",""), HYPERLINK(CONCATENATE("#metadata!", ADDRESS(INDEX($P$2:$P$1001,MATCH(ROWS($N$2:N568),$N$2:$N$1001,0),0), INDEX($U$1004:$AC$1004,1,MATCH(COLUMNS($U$1006:Z1006),$U$1006:$AC$1006,0)))),"Fix")))</f>
        <v>0</v>
      </c>
      <c r="H568" s="3">
        <f>IF(OR(INDEX($O$2:$O$1001,MATCH(ROWS($N$2:N568),$N$2:$N$1001,0),1)&gt;=100000,INDEX($U$1005:$AC$1005,1,MATCH(COLUMNS($U$1006:AA1006),$U$1006:$AC$1006,0))&gt;=100000), " ",IF(INDEX($U$2:$AC$1001,MATCH(ROWS($N$2:N568),$N$2:$N$1001,0),MATCH(COLUMNS($U$1006:AA1006),$U$1006:$AC$1006,0)), HYPERLINK("#",""), HYPERLINK(CONCATENATE("#metadata!", ADDRESS(INDEX($P$2:$P$1001,MATCH(ROWS($N$2:N568),$N$2:$N$1001,0),0), INDEX($U$1004:$AC$1004,1,MATCH(COLUMNS($U$1006:AA1006),$U$1006:$AC$1006,0)))),"Fix")))</f>
        <v>0</v>
      </c>
      <c r="I568" s="3">
        <f>IF(OR(INDEX($O$2:$O$1001,MATCH(ROWS($N$2:N568),$N$2:$N$1001,0),1)&gt;=100000,INDEX($U$1005:$AC$1005,1,MATCH(COLUMNS($U$1006:AB1006),$U$1006:$AC$1006,0))&gt;=100000), " ",IF(INDEX($U$2:$AC$1001,MATCH(ROWS($N$2:N568),$N$2:$N$1001,0),MATCH(COLUMNS($U$1006:AB1006),$U$1006:$AC$1006,0)), HYPERLINK("#",""), HYPERLINK(CONCATENATE("#metadata!", ADDRESS(INDEX($P$2:$P$1001,MATCH(ROWS($N$2:N568),$N$2:$N$1001,0),0), INDEX($U$1004:$AC$1004,1,MATCH(COLUMNS($U$1006:AB1006),$U$1006:$AC$1006,0)))),"Fix")))</f>
        <v>0</v>
      </c>
      <c r="J568" s="3">
        <f>IF(OR(INDEX($O$2:$O$1001,MATCH(ROWS($N$2:N568),$N$2:$N$1001,0),1)&gt;=100000,INDEX($U$1005:$AC$1005,1,MATCH(COLUMNS($U$1006:AC1006),$U$1006:$AC$1006,0))&gt;=100000), " ",IF(INDEX($U$2:$AC$1001,MATCH(ROWS($N$2:N568),$N$2:$N$1001,0),MATCH(COLUMNS($U$1006:AC1006),$U$1006:$AC$1006,0)), HYPERLINK("#",""), HYPERLINK(CONCATENATE("#metadata!", ADDRESS(INDEX($P$2:$P$1001,MATCH(ROWS($N$2:N568),$N$2:$N$1001,0),0), INDEX($U$1004:$AC$1004,1,MATCH(COLUMNS($U$1006:AC1006),$U$1006:$AC$1006,0)))),"Fix")))</f>
        <v>0</v>
      </c>
      <c r="N568">
        <v>0</v>
      </c>
      <c r="O568">
        <v>0</v>
      </c>
      <c r="P568">
        <v>0</v>
      </c>
      <c r="Q568">
        <f>IF(R568,TRUE,AND(U568:AC568))</f>
        <v>0</v>
      </c>
      <c r="R568">
        <f>COUNTBLANK(metadata!B568:J568)=COLUMNS(metadata!B568:J568)</f>
        <v>0</v>
      </c>
      <c r="S568">
        <v>0</v>
      </c>
      <c r="U568">
        <f>AND(IF(metadata!B568="",FALSE,TRUE),COUNTIF(metadata!B:B, metadata!B568) = 1,NOT(ISERROR(SUMPRODUCT(SEARCH(MID(metadata!B568,ROW(INDIRECT("1:"&amp;LEN(metadata!B568))), 1),"0123456789abcdefghijklmnopqrstuvwxyzABCDEFGHIJKLMNOPQRSTUVWXYZ.")))))</f>
        <v>0</v>
      </c>
      <c r="V568">
        <f>AND(IF(metadata!C568="",FALSE,TRUE),exact(metadata!C568,"UBERON:genitourinary"))</f>
        <v>0</v>
      </c>
      <c r="W568">
        <f>AND(IF(metadata!D568="",FALSE,TRUE),exact(metadata!D568,"UBERON:urine"))</f>
        <v>0</v>
      </c>
      <c r="X568">
        <f>AND(IF(metadata!E568="",FALSE,TRUE),exact(metadata!E568,"UBERON:kidney"))</f>
        <v>0</v>
      </c>
      <c r="Y568">
        <f>AND(IF(metadata!F568="",FALSE,TRUE),exact(metadata!F568,"animal corpus"))</f>
        <v>0</v>
      </c>
      <c r="Z568">
        <f>AND(IF(metadata!G568="",FALSE,TRUE),exact(metadata!G568,"urine"))</f>
        <v>0</v>
      </c>
      <c r="AA568">
        <f>AND(IF(metadata!H568="",FALSE,TRUE),exact(metadata!H568,"urine"))</f>
        <v>0</v>
      </c>
      <c r="AB568">
        <f>AND(IF(metadata!I568="",FALSE,TRUE),exact(metadata!I568,"urine metagenome"))</f>
        <v>0</v>
      </c>
      <c r="AC568">
        <f>AND(IF(metadata!J568="",FALSE,TRUE),exact(metadata!J568,"1346744"))</f>
        <v>0</v>
      </c>
    </row>
    <row r="569" spans="1:29">
      <c r="A569" s="4">
        <f>IF(B569=" "," ",HYPERLINK(CONCATENATE("#metadata!",ADDRESS(INDEX($P$2:$P$1001,MATCH(ROWS($N$2:N569),$N$2:$N$1001,0),0),1)),INDEX($S$2:$S$1001,MATCH(ROWS($N$2:N569),$N$2:$N$1001,0),0)))</f>
        <v>0</v>
      </c>
      <c r="B569" s="3">
        <f>IF(OR(INDEX($O$2:$O$1001,MATCH(ROWS($N$2:N569),$N$2:$N$1001,0),1)&gt;=100000,INDEX($U$1005:$AC$1005,1,MATCH(COLUMNS($U$1006:U1006),$U$1006:$AC$1006,0))&gt;=100000), " ",IF(INDEX($U$2:$AC$1001,MATCH(ROWS($N$2:N569),$N$2:$N$1001,0),MATCH(COLUMNS($U$1006:U1006),$U$1006:$AC$1006,0)), HYPERLINK("#",""), HYPERLINK(CONCATENATE("#metadata!", ADDRESS(INDEX($P$2:$P$1001,MATCH(ROWS($N$2:N569),$N$2:$N$1001,0),0), INDEX($U$1004:$AC$1004,1,MATCH(COLUMNS($U$1006:U1006),$U$1006:$AC$1006,0)))),"Fix")))</f>
        <v>0</v>
      </c>
      <c r="C569" s="3">
        <f>IF(OR(INDEX($O$2:$O$1001,MATCH(ROWS($N$2:N569),$N$2:$N$1001,0),1)&gt;=100000,INDEX($U$1005:$AC$1005,1,MATCH(COLUMNS($U$1006:V1006),$U$1006:$AC$1006,0))&gt;=100000), " ",IF(INDEX($U$2:$AC$1001,MATCH(ROWS($N$2:N569),$N$2:$N$1001,0),MATCH(COLUMNS($U$1006:V1006),$U$1006:$AC$1006,0)), HYPERLINK("#",""), HYPERLINK(CONCATENATE("#metadata!", ADDRESS(INDEX($P$2:$P$1001,MATCH(ROWS($N$2:N569),$N$2:$N$1001,0),0), INDEX($U$1004:$AC$1004,1,MATCH(COLUMNS($U$1006:V1006),$U$1006:$AC$1006,0)))),"Fix")))</f>
        <v>0</v>
      </c>
      <c r="D569" s="3">
        <f>IF(OR(INDEX($O$2:$O$1001,MATCH(ROWS($N$2:N569),$N$2:$N$1001,0),1)&gt;=100000,INDEX($U$1005:$AC$1005,1,MATCH(COLUMNS($U$1006:W1006),$U$1006:$AC$1006,0))&gt;=100000), " ",IF(INDEX($U$2:$AC$1001,MATCH(ROWS($N$2:N569),$N$2:$N$1001,0),MATCH(COLUMNS($U$1006:W1006),$U$1006:$AC$1006,0)), HYPERLINK("#",""), HYPERLINK(CONCATENATE("#metadata!", ADDRESS(INDEX($P$2:$P$1001,MATCH(ROWS($N$2:N569),$N$2:$N$1001,0),0), INDEX($U$1004:$AC$1004,1,MATCH(COLUMNS($U$1006:W1006),$U$1006:$AC$1006,0)))),"Fix")))</f>
        <v>0</v>
      </c>
      <c r="E569" s="3">
        <f>IF(OR(INDEX($O$2:$O$1001,MATCH(ROWS($N$2:N569),$N$2:$N$1001,0),1)&gt;=100000,INDEX($U$1005:$AC$1005,1,MATCH(COLUMNS($U$1006:X1006),$U$1006:$AC$1006,0))&gt;=100000), " ",IF(INDEX($U$2:$AC$1001,MATCH(ROWS($N$2:N569),$N$2:$N$1001,0),MATCH(COLUMNS($U$1006:X1006),$U$1006:$AC$1006,0)), HYPERLINK("#",""), HYPERLINK(CONCATENATE("#metadata!", ADDRESS(INDEX($P$2:$P$1001,MATCH(ROWS($N$2:N569),$N$2:$N$1001,0),0), INDEX($U$1004:$AC$1004,1,MATCH(COLUMNS($U$1006:X1006),$U$1006:$AC$1006,0)))),"Fix")))</f>
        <v>0</v>
      </c>
      <c r="F569" s="3">
        <f>IF(OR(INDEX($O$2:$O$1001,MATCH(ROWS($N$2:N569),$N$2:$N$1001,0),1)&gt;=100000,INDEX($U$1005:$AC$1005,1,MATCH(COLUMNS($U$1006:Y1006),$U$1006:$AC$1006,0))&gt;=100000), " ",IF(INDEX($U$2:$AC$1001,MATCH(ROWS($N$2:N569),$N$2:$N$1001,0),MATCH(COLUMNS($U$1006:Y1006),$U$1006:$AC$1006,0)), HYPERLINK("#",""), HYPERLINK(CONCATENATE("#metadata!", ADDRESS(INDEX($P$2:$P$1001,MATCH(ROWS($N$2:N569),$N$2:$N$1001,0),0), INDEX($U$1004:$AC$1004,1,MATCH(COLUMNS($U$1006:Y1006),$U$1006:$AC$1006,0)))),"Fix")))</f>
        <v>0</v>
      </c>
      <c r="G569" s="3">
        <f>IF(OR(INDEX($O$2:$O$1001,MATCH(ROWS($N$2:N569),$N$2:$N$1001,0),1)&gt;=100000,INDEX($U$1005:$AC$1005,1,MATCH(COLUMNS($U$1006:Z1006),$U$1006:$AC$1006,0))&gt;=100000), " ",IF(INDEX($U$2:$AC$1001,MATCH(ROWS($N$2:N569),$N$2:$N$1001,0),MATCH(COLUMNS($U$1006:Z1006),$U$1006:$AC$1006,0)), HYPERLINK("#",""), HYPERLINK(CONCATENATE("#metadata!", ADDRESS(INDEX($P$2:$P$1001,MATCH(ROWS($N$2:N569),$N$2:$N$1001,0),0), INDEX($U$1004:$AC$1004,1,MATCH(COLUMNS($U$1006:Z1006),$U$1006:$AC$1006,0)))),"Fix")))</f>
        <v>0</v>
      </c>
      <c r="H569" s="3">
        <f>IF(OR(INDEX($O$2:$O$1001,MATCH(ROWS($N$2:N569),$N$2:$N$1001,0),1)&gt;=100000,INDEX($U$1005:$AC$1005,1,MATCH(COLUMNS($U$1006:AA1006),$U$1006:$AC$1006,0))&gt;=100000), " ",IF(INDEX($U$2:$AC$1001,MATCH(ROWS($N$2:N569),$N$2:$N$1001,0),MATCH(COLUMNS($U$1006:AA1006),$U$1006:$AC$1006,0)), HYPERLINK("#",""), HYPERLINK(CONCATENATE("#metadata!", ADDRESS(INDEX($P$2:$P$1001,MATCH(ROWS($N$2:N569),$N$2:$N$1001,0),0), INDEX($U$1004:$AC$1004,1,MATCH(COLUMNS($U$1006:AA1006),$U$1006:$AC$1006,0)))),"Fix")))</f>
        <v>0</v>
      </c>
      <c r="I569" s="3">
        <f>IF(OR(INDEX($O$2:$O$1001,MATCH(ROWS($N$2:N569),$N$2:$N$1001,0),1)&gt;=100000,INDEX($U$1005:$AC$1005,1,MATCH(COLUMNS($U$1006:AB1006),$U$1006:$AC$1006,0))&gt;=100000), " ",IF(INDEX($U$2:$AC$1001,MATCH(ROWS($N$2:N569),$N$2:$N$1001,0),MATCH(COLUMNS($U$1006:AB1006),$U$1006:$AC$1006,0)), HYPERLINK("#",""), HYPERLINK(CONCATENATE("#metadata!", ADDRESS(INDEX($P$2:$P$1001,MATCH(ROWS($N$2:N569),$N$2:$N$1001,0),0), INDEX($U$1004:$AC$1004,1,MATCH(COLUMNS($U$1006:AB1006),$U$1006:$AC$1006,0)))),"Fix")))</f>
        <v>0</v>
      </c>
      <c r="J569" s="3">
        <f>IF(OR(INDEX($O$2:$O$1001,MATCH(ROWS($N$2:N569),$N$2:$N$1001,0),1)&gt;=100000,INDEX($U$1005:$AC$1005,1,MATCH(COLUMNS($U$1006:AC1006),$U$1006:$AC$1006,0))&gt;=100000), " ",IF(INDEX($U$2:$AC$1001,MATCH(ROWS($N$2:N569),$N$2:$N$1001,0),MATCH(COLUMNS($U$1006:AC1006),$U$1006:$AC$1006,0)), HYPERLINK("#",""), HYPERLINK(CONCATENATE("#metadata!", ADDRESS(INDEX($P$2:$P$1001,MATCH(ROWS($N$2:N569),$N$2:$N$1001,0),0), INDEX($U$1004:$AC$1004,1,MATCH(COLUMNS($U$1006:AC1006),$U$1006:$AC$1006,0)))),"Fix")))</f>
        <v>0</v>
      </c>
      <c r="N569">
        <v>0</v>
      </c>
      <c r="O569">
        <v>0</v>
      </c>
      <c r="P569">
        <v>0</v>
      </c>
      <c r="Q569">
        <f>IF(R569,TRUE,AND(U569:AC569))</f>
        <v>0</v>
      </c>
      <c r="R569">
        <f>COUNTBLANK(metadata!B569:J569)=COLUMNS(metadata!B569:J569)</f>
        <v>0</v>
      </c>
      <c r="S569">
        <v>0</v>
      </c>
      <c r="U569">
        <f>AND(IF(metadata!B569="",FALSE,TRUE),COUNTIF(metadata!B:B, metadata!B569) = 1,NOT(ISERROR(SUMPRODUCT(SEARCH(MID(metadata!B569,ROW(INDIRECT("1:"&amp;LEN(metadata!B569))), 1),"0123456789abcdefghijklmnopqrstuvwxyzABCDEFGHIJKLMNOPQRSTUVWXYZ.")))))</f>
        <v>0</v>
      </c>
      <c r="V569">
        <f>AND(IF(metadata!C569="",FALSE,TRUE),exact(metadata!C569,"UBERON:genitourinary"))</f>
        <v>0</v>
      </c>
      <c r="W569">
        <f>AND(IF(metadata!D569="",FALSE,TRUE),exact(metadata!D569,"UBERON:urine"))</f>
        <v>0</v>
      </c>
      <c r="X569">
        <f>AND(IF(metadata!E569="",FALSE,TRUE),exact(metadata!E569,"UBERON:kidney"))</f>
        <v>0</v>
      </c>
      <c r="Y569">
        <f>AND(IF(metadata!F569="",FALSE,TRUE),exact(metadata!F569,"animal corpus"))</f>
        <v>0</v>
      </c>
      <c r="Z569">
        <f>AND(IF(metadata!G569="",FALSE,TRUE),exact(metadata!G569,"urine"))</f>
        <v>0</v>
      </c>
      <c r="AA569">
        <f>AND(IF(metadata!H569="",FALSE,TRUE),exact(metadata!H569,"urine"))</f>
        <v>0</v>
      </c>
      <c r="AB569">
        <f>AND(IF(metadata!I569="",FALSE,TRUE),exact(metadata!I569,"urine metagenome"))</f>
        <v>0</v>
      </c>
      <c r="AC569">
        <f>AND(IF(metadata!J569="",FALSE,TRUE),exact(metadata!J569,"1346744"))</f>
        <v>0</v>
      </c>
    </row>
    <row r="570" spans="1:29">
      <c r="A570" s="4">
        <f>IF(B570=" "," ",HYPERLINK(CONCATENATE("#metadata!",ADDRESS(INDEX($P$2:$P$1001,MATCH(ROWS($N$2:N570),$N$2:$N$1001,0),0),1)),INDEX($S$2:$S$1001,MATCH(ROWS($N$2:N570),$N$2:$N$1001,0),0)))</f>
        <v>0</v>
      </c>
      <c r="B570" s="3">
        <f>IF(OR(INDEX($O$2:$O$1001,MATCH(ROWS($N$2:N570),$N$2:$N$1001,0),1)&gt;=100000,INDEX($U$1005:$AC$1005,1,MATCH(COLUMNS($U$1006:U1006),$U$1006:$AC$1006,0))&gt;=100000), " ",IF(INDEX($U$2:$AC$1001,MATCH(ROWS($N$2:N570),$N$2:$N$1001,0),MATCH(COLUMNS($U$1006:U1006),$U$1006:$AC$1006,0)), HYPERLINK("#",""), HYPERLINK(CONCATENATE("#metadata!", ADDRESS(INDEX($P$2:$P$1001,MATCH(ROWS($N$2:N570),$N$2:$N$1001,0),0), INDEX($U$1004:$AC$1004,1,MATCH(COLUMNS($U$1006:U1006),$U$1006:$AC$1006,0)))),"Fix")))</f>
        <v>0</v>
      </c>
      <c r="C570" s="3">
        <f>IF(OR(INDEX($O$2:$O$1001,MATCH(ROWS($N$2:N570),$N$2:$N$1001,0),1)&gt;=100000,INDEX($U$1005:$AC$1005,1,MATCH(COLUMNS($U$1006:V1006),$U$1006:$AC$1006,0))&gt;=100000), " ",IF(INDEX($U$2:$AC$1001,MATCH(ROWS($N$2:N570),$N$2:$N$1001,0),MATCH(COLUMNS($U$1006:V1006),$U$1006:$AC$1006,0)), HYPERLINK("#",""), HYPERLINK(CONCATENATE("#metadata!", ADDRESS(INDEX($P$2:$P$1001,MATCH(ROWS($N$2:N570),$N$2:$N$1001,0),0), INDEX($U$1004:$AC$1004,1,MATCH(COLUMNS($U$1006:V1006),$U$1006:$AC$1006,0)))),"Fix")))</f>
        <v>0</v>
      </c>
      <c r="D570" s="3">
        <f>IF(OR(INDEX($O$2:$O$1001,MATCH(ROWS($N$2:N570),$N$2:$N$1001,0),1)&gt;=100000,INDEX($U$1005:$AC$1005,1,MATCH(COLUMNS($U$1006:W1006),$U$1006:$AC$1006,0))&gt;=100000), " ",IF(INDEX($U$2:$AC$1001,MATCH(ROWS($N$2:N570),$N$2:$N$1001,0),MATCH(COLUMNS($U$1006:W1006),$U$1006:$AC$1006,0)), HYPERLINK("#",""), HYPERLINK(CONCATENATE("#metadata!", ADDRESS(INDEX($P$2:$P$1001,MATCH(ROWS($N$2:N570),$N$2:$N$1001,0),0), INDEX($U$1004:$AC$1004,1,MATCH(COLUMNS($U$1006:W1006),$U$1006:$AC$1006,0)))),"Fix")))</f>
        <v>0</v>
      </c>
      <c r="E570" s="3">
        <f>IF(OR(INDEX($O$2:$O$1001,MATCH(ROWS($N$2:N570),$N$2:$N$1001,0),1)&gt;=100000,INDEX($U$1005:$AC$1005,1,MATCH(COLUMNS($U$1006:X1006),$U$1006:$AC$1006,0))&gt;=100000), " ",IF(INDEX($U$2:$AC$1001,MATCH(ROWS($N$2:N570),$N$2:$N$1001,0),MATCH(COLUMNS($U$1006:X1006),$U$1006:$AC$1006,0)), HYPERLINK("#",""), HYPERLINK(CONCATENATE("#metadata!", ADDRESS(INDEX($P$2:$P$1001,MATCH(ROWS($N$2:N570),$N$2:$N$1001,0),0), INDEX($U$1004:$AC$1004,1,MATCH(COLUMNS($U$1006:X1006),$U$1006:$AC$1006,0)))),"Fix")))</f>
        <v>0</v>
      </c>
      <c r="F570" s="3">
        <f>IF(OR(INDEX($O$2:$O$1001,MATCH(ROWS($N$2:N570),$N$2:$N$1001,0),1)&gt;=100000,INDEX($U$1005:$AC$1005,1,MATCH(COLUMNS($U$1006:Y1006),$U$1006:$AC$1006,0))&gt;=100000), " ",IF(INDEX($U$2:$AC$1001,MATCH(ROWS($N$2:N570),$N$2:$N$1001,0),MATCH(COLUMNS($U$1006:Y1006),$U$1006:$AC$1006,0)), HYPERLINK("#",""), HYPERLINK(CONCATENATE("#metadata!", ADDRESS(INDEX($P$2:$P$1001,MATCH(ROWS($N$2:N570),$N$2:$N$1001,0),0), INDEX($U$1004:$AC$1004,1,MATCH(COLUMNS($U$1006:Y1006),$U$1006:$AC$1006,0)))),"Fix")))</f>
        <v>0</v>
      </c>
      <c r="G570" s="3">
        <f>IF(OR(INDEX($O$2:$O$1001,MATCH(ROWS($N$2:N570),$N$2:$N$1001,0),1)&gt;=100000,INDEX($U$1005:$AC$1005,1,MATCH(COLUMNS($U$1006:Z1006),$U$1006:$AC$1006,0))&gt;=100000), " ",IF(INDEX($U$2:$AC$1001,MATCH(ROWS($N$2:N570),$N$2:$N$1001,0),MATCH(COLUMNS($U$1006:Z1006),$U$1006:$AC$1006,0)), HYPERLINK("#",""), HYPERLINK(CONCATENATE("#metadata!", ADDRESS(INDEX($P$2:$P$1001,MATCH(ROWS($N$2:N570),$N$2:$N$1001,0),0), INDEX($U$1004:$AC$1004,1,MATCH(COLUMNS($U$1006:Z1006),$U$1006:$AC$1006,0)))),"Fix")))</f>
        <v>0</v>
      </c>
      <c r="H570" s="3">
        <f>IF(OR(INDEX($O$2:$O$1001,MATCH(ROWS($N$2:N570),$N$2:$N$1001,0),1)&gt;=100000,INDEX($U$1005:$AC$1005,1,MATCH(COLUMNS($U$1006:AA1006),$U$1006:$AC$1006,0))&gt;=100000), " ",IF(INDEX($U$2:$AC$1001,MATCH(ROWS($N$2:N570),$N$2:$N$1001,0),MATCH(COLUMNS($U$1006:AA1006),$U$1006:$AC$1006,0)), HYPERLINK("#",""), HYPERLINK(CONCATENATE("#metadata!", ADDRESS(INDEX($P$2:$P$1001,MATCH(ROWS($N$2:N570),$N$2:$N$1001,0),0), INDEX($U$1004:$AC$1004,1,MATCH(COLUMNS($U$1006:AA1006),$U$1006:$AC$1006,0)))),"Fix")))</f>
        <v>0</v>
      </c>
      <c r="I570" s="3">
        <f>IF(OR(INDEX($O$2:$O$1001,MATCH(ROWS($N$2:N570),$N$2:$N$1001,0),1)&gt;=100000,INDEX($U$1005:$AC$1005,1,MATCH(COLUMNS($U$1006:AB1006),$U$1006:$AC$1006,0))&gt;=100000), " ",IF(INDEX($U$2:$AC$1001,MATCH(ROWS($N$2:N570),$N$2:$N$1001,0),MATCH(COLUMNS($U$1006:AB1006),$U$1006:$AC$1006,0)), HYPERLINK("#",""), HYPERLINK(CONCATENATE("#metadata!", ADDRESS(INDEX($P$2:$P$1001,MATCH(ROWS($N$2:N570),$N$2:$N$1001,0),0), INDEX($U$1004:$AC$1004,1,MATCH(COLUMNS($U$1006:AB1006),$U$1006:$AC$1006,0)))),"Fix")))</f>
        <v>0</v>
      </c>
      <c r="J570" s="3">
        <f>IF(OR(INDEX($O$2:$O$1001,MATCH(ROWS($N$2:N570),$N$2:$N$1001,0),1)&gt;=100000,INDEX($U$1005:$AC$1005,1,MATCH(COLUMNS($U$1006:AC1006),$U$1006:$AC$1006,0))&gt;=100000), " ",IF(INDEX($U$2:$AC$1001,MATCH(ROWS($N$2:N570),$N$2:$N$1001,0),MATCH(COLUMNS($U$1006:AC1006),$U$1006:$AC$1006,0)), HYPERLINK("#",""), HYPERLINK(CONCATENATE("#metadata!", ADDRESS(INDEX($P$2:$P$1001,MATCH(ROWS($N$2:N570),$N$2:$N$1001,0),0), INDEX($U$1004:$AC$1004,1,MATCH(COLUMNS($U$1006:AC1006),$U$1006:$AC$1006,0)))),"Fix")))</f>
        <v>0</v>
      </c>
      <c r="N570">
        <v>0</v>
      </c>
      <c r="O570">
        <v>0</v>
      </c>
      <c r="P570">
        <v>0</v>
      </c>
      <c r="Q570">
        <f>IF(R570,TRUE,AND(U570:AC570))</f>
        <v>0</v>
      </c>
      <c r="R570">
        <f>COUNTBLANK(metadata!B570:J570)=COLUMNS(metadata!B570:J570)</f>
        <v>0</v>
      </c>
      <c r="S570">
        <v>0</v>
      </c>
      <c r="U570">
        <f>AND(IF(metadata!B570="",FALSE,TRUE),COUNTIF(metadata!B:B, metadata!B570) = 1,NOT(ISERROR(SUMPRODUCT(SEARCH(MID(metadata!B570,ROW(INDIRECT("1:"&amp;LEN(metadata!B570))), 1),"0123456789abcdefghijklmnopqrstuvwxyzABCDEFGHIJKLMNOPQRSTUVWXYZ.")))))</f>
        <v>0</v>
      </c>
      <c r="V570">
        <f>AND(IF(metadata!C570="",FALSE,TRUE),exact(metadata!C570,"UBERON:genitourinary"))</f>
        <v>0</v>
      </c>
      <c r="W570">
        <f>AND(IF(metadata!D570="",FALSE,TRUE),exact(metadata!D570,"UBERON:urine"))</f>
        <v>0</v>
      </c>
      <c r="X570">
        <f>AND(IF(metadata!E570="",FALSE,TRUE),exact(metadata!E570,"UBERON:kidney"))</f>
        <v>0</v>
      </c>
      <c r="Y570">
        <f>AND(IF(metadata!F570="",FALSE,TRUE),exact(metadata!F570,"animal corpus"))</f>
        <v>0</v>
      </c>
      <c r="Z570">
        <f>AND(IF(metadata!G570="",FALSE,TRUE),exact(metadata!G570,"urine"))</f>
        <v>0</v>
      </c>
      <c r="AA570">
        <f>AND(IF(metadata!H570="",FALSE,TRUE),exact(metadata!H570,"urine"))</f>
        <v>0</v>
      </c>
      <c r="AB570">
        <f>AND(IF(metadata!I570="",FALSE,TRUE),exact(metadata!I570,"urine metagenome"))</f>
        <v>0</v>
      </c>
      <c r="AC570">
        <f>AND(IF(metadata!J570="",FALSE,TRUE),exact(metadata!J570,"1346744"))</f>
        <v>0</v>
      </c>
    </row>
    <row r="571" spans="1:29">
      <c r="A571" s="4">
        <f>IF(B571=" "," ",HYPERLINK(CONCATENATE("#metadata!",ADDRESS(INDEX($P$2:$P$1001,MATCH(ROWS($N$2:N571),$N$2:$N$1001,0),0),1)),INDEX($S$2:$S$1001,MATCH(ROWS($N$2:N571),$N$2:$N$1001,0),0)))</f>
        <v>0</v>
      </c>
      <c r="B571" s="3">
        <f>IF(OR(INDEX($O$2:$O$1001,MATCH(ROWS($N$2:N571),$N$2:$N$1001,0),1)&gt;=100000,INDEX($U$1005:$AC$1005,1,MATCH(COLUMNS($U$1006:U1006),$U$1006:$AC$1006,0))&gt;=100000), " ",IF(INDEX($U$2:$AC$1001,MATCH(ROWS($N$2:N571),$N$2:$N$1001,0),MATCH(COLUMNS($U$1006:U1006),$U$1006:$AC$1006,0)), HYPERLINK("#",""), HYPERLINK(CONCATENATE("#metadata!", ADDRESS(INDEX($P$2:$P$1001,MATCH(ROWS($N$2:N571),$N$2:$N$1001,0),0), INDEX($U$1004:$AC$1004,1,MATCH(COLUMNS($U$1006:U1006),$U$1006:$AC$1006,0)))),"Fix")))</f>
        <v>0</v>
      </c>
      <c r="C571" s="3">
        <f>IF(OR(INDEX($O$2:$O$1001,MATCH(ROWS($N$2:N571),$N$2:$N$1001,0),1)&gt;=100000,INDEX($U$1005:$AC$1005,1,MATCH(COLUMNS($U$1006:V1006),$U$1006:$AC$1006,0))&gt;=100000), " ",IF(INDEX($U$2:$AC$1001,MATCH(ROWS($N$2:N571),$N$2:$N$1001,0),MATCH(COLUMNS($U$1006:V1006),$U$1006:$AC$1006,0)), HYPERLINK("#",""), HYPERLINK(CONCATENATE("#metadata!", ADDRESS(INDEX($P$2:$P$1001,MATCH(ROWS($N$2:N571),$N$2:$N$1001,0),0), INDEX($U$1004:$AC$1004,1,MATCH(COLUMNS($U$1006:V1006),$U$1006:$AC$1006,0)))),"Fix")))</f>
        <v>0</v>
      </c>
      <c r="D571" s="3">
        <f>IF(OR(INDEX($O$2:$O$1001,MATCH(ROWS($N$2:N571),$N$2:$N$1001,0),1)&gt;=100000,INDEX($U$1005:$AC$1005,1,MATCH(COLUMNS($U$1006:W1006),$U$1006:$AC$1006,0))&gt;=100000), " ",IF(INDEX($U$2:$AC$1001,MATCH(ROWS($N$2:N571),$N$2:$N$1001,0),MATCH(COLUMNS($U$1006:W1006),$U$1006:$AC$1006,0)), HYPERLINK("#",""), HYPERLINK(CONCATENATE("#metadata!", ADDRESS(INDEX($P$2:$P$1001,MATCH(ROWS($N$2:N571),$N$2:$N$1001,0),0), INDEX($U$1004:$AC$1004,1,MATCH(COLUMNS($U$1006:W1006),$U$1006:$AC$1006,0)))),"Fix")))</f>
        <v>0</v>
      </c>
      <c r="E571" s="3">
        <f>IF(OR(INDEX($O$2:$O$1001,MATCH(ROWS($N$2:N571),$N$2:$N$1001,0),1)&gt;=100000,INDEX($U$1005:$AC$1005,1,MATCH(COLUMNS($U$1006:X1006),$U$1006:$AC$1006,0))&gt;=100000), " ",IF(INDEX($U$2:$AC$1001,MATCH(ROWS($N$2:N571),$N$2:$N$1001,0),MATCH(COLUMNS($U$1006:X1006),$U$1006:$AC$1006,0)), HYPERLINK("#",""), HYPERLINK(CONCATENATE("#metadata!", ADDRESS(INDEX($P$2:$P$1001,MATCH(ROWS($N$2:N571),$N$2:$N$1001,0),0), INDEX($U$1004:$AC$1004,1,MATCH(COLUMNS($U$1006:X1006),$U$1006:$AC$1006,0)))),"Fix")))</f>
        <v>0</v>
      </c>
      <c r="F571" s="3">
        <f>IF(OR(INDEX($O$2:$O$1001,MATCH(ROWS($N$2:N571),$N$2:$N$1001,0),1)&gt;=100000,INDEX($U$1005:$AC$1005,1,MATCH(COLUMNS($U$1006:Y1006),$U$1006:$AC$1006,0))&gt;=100000), " ",IF(INDEX($U$2:$AC$1001,MATCH(ROWS($N$2:N571),$N$2:$N$1001,0),MATCH(COLUMNS($U$1006:Y1006),$U$1006:$AC$1006,0)), HYPERLINK("#",""), HYPERLINK(CONCATENATE("#metadata!", ADDRESS(INDEX($P$2:$P$1001,MATCH(ROWS($N$2:N571),$N$2:$N$1001,0),0), INDEX($U$1004:$AC$1004,1,MATCH(COLUMNS($U$1006:Y1006),$U$1006:$AC$1006,0)))),"Fix")))</f>
        <v>0</v>
      </c>
      <c r="G571" s="3">
        <f>IF(OR(INDEX($O$2:$O$1001,MATCH(ROWS($N$2:N571),$N$2:$N$1001,0),1)&gt;=100000,INDEX($U$1005:$AC$1005,1,MATCH(COLUMNS($U$1006:Z1006),$U$1006:$AC$1006,0))&gt;=100000), " ",IF(INDEX($U$2:$AC$1001,MATCH(ROWS($N$2:N571),$N$2:$N$1001,0),MATCH(COLUMNS($U$1006:Z1006),$U$1006:$AC$1006,0)), HYPERLINK("#",""), HYPERLINK(CONCATENATE("#metadata!", ADDRESS(INDEX($P$2:$P$1001,MATCH(ROWS($N$2:N571),$N$2:$N$1001,0),0), INDEX($U$1004:$AC$1004,1,MATCH(COLUMNS($U$1006:Z1006),$U$1006:$AC$1006,0)))),"Fix")))</f>
        <v>0</v>
      </c>
      <c r="H571" s="3">
        <f>IF(OR(INDEX($O$2:$O$1001,MATCH(ROWS($N$2:N571),$N$2:$N$1001,0),1)&gt;=100000,INDEX($U$1005:$AC$1005,1,MATCH(COLUMNS($U$1006:AA1006),$U$1006:$AC$1006,0))&gt;=100000), " ",IF(INDEX($U$2:$AC$1001,MATCH(ROWS($N$2:N571),$N$2:$N$1001,0),MATCH(COLUMNS($U$1006:AA1006),$U$1006:$AC$1006,0)), HYPERLINK("#",""), HYPERLINK(CONCATENATE("#metadata!", ADDRESS(INDEX($P$2:$P$1001,MATCH(ROWS($N$2:N571),$N$2:$N$1001,0),0), INDEX($U$1004:$AC$1004,1,MATCH(COLUMNS($U$1006:AA1006),$U$1006:$AC$1006,0)))),"Fix")))</f>
        <v>0</v>
      </c>
      <c r="I571" s="3">
        <f>IF(OR(INDEX($O$2:$O$1001,MATCH(ROWS($N$2:N571),$N$2:$N$1001,0),1)&gt;=100000,INDEX($U$1005:$AC$1005,1,MATCH(COLUMNS($U$1006:AB1006),$U$1006:$AC$1006,0))&gt;=100000), " ",IF(INDEX($U$2:$AC$1001,MATCH(ROWS($N$2:N571),$N$2:$N$1001,0),MATCH(COLUMNS($U$1006:AB1006),$U$1006:$AC$1006,0)), HYPERLINK("#",""), HYPERLINK(CONCATENATE("#metadata!", ADDRESS(INDEX($P$2:$P$1001,MATCH(ROWS($N$2:N571),$N$2:$N$1001,0),0), INDEX($U$1004:$AC$1004,1,MATCH(COLUMNS($U$1006:AB1006),$U$1006:$AC$1006,0)))),"Fix")))</f>
        <v>0</v>
      </c>
      <c r="J571" s="3">
        <f>IF(OR(INDEX($O$2:$O$1001,MATCH(ROWS($N$2:N571),$N$2:$N$1001,0),1)&gt;=100000,INDEX($U$1005:$AC$1005,1,MATCH(COLUMNS($U$1006:AC1006),$U$1006:$AC$1006,0))&gt;=100000), " ",IF(INDEX($U$2:$AC$1001,MATCH(ROWS($N$2:N571),$N$2:$N$1001,0),MATCH(COLUMNS($U$1006:AC1006),$U$1006:$AC$1006,0)), HYPERLINK("#",""), HYPERLINK(CONCATENATE("#metadata!", ADDRESS(INDEX($P$2:$P$1001,MATCH(ROWS($N$2:N571),$N$2:$N$1001,0),0), INDEX($U$1004:$AC$1004,1,MATCH(COLUMNS($U$1006:AC1006),$U$1006:$AC$1006,0)))),"Fix")))</f>
        <v>0</v>
      </c>
      <c r="N571">
        <v>0</v>
      </c>
      <c r="O571">
        <v>0</v>
      </c>
      <c r="P571">
        <v>0</v>
      </c>
      <c r="Q571">
        <f>IF(R571,TRUE,AND(U571:AC571))</f>
        <v>0</v>
      </c>
      <c r="R571">
        <f>COUNTBLANK(metadata!B571:J571)=COLUMNS(metadata!B571:J571)</f>
        <v>0</v>
      </c>
      <c r="S571">
        <v>0</v>
      </c>
      <c r="U571">
        <f>AND(IF(metadata!B571="",FALSE,TRUE),COUNTIF(metadata!B:B, metadata!B571) = 1,NOT(ISERROR(SUMPRODUCT(SEARCH(MID(metadata!B571,ROW(INDIRECT("1:"&amp;LEN(metadata!B571))), 1),"0123456789abcdefghijklmnopqrstuvwxyzABCDEFGHIJKLMNOPQRSTUVWXYZ.")))))</f>
        <v>0</v>
      </c>
      <c r="V571">
        <f>AND(IF(metadata!C571="",FALSE,TRUE),exact(metadata!C571,"UBERON:genitourinary"))</f>
        <v>0</v>
      </c>
      <c r="W571">
        <f>AND(IF(metadata!D571="",FALSE,TRUE),exact(metadata!D571,"UBERON:urine"))</f>
        <v>0</v>
      </c>
      <c r="X571">
        <f>AND(IF(metadata!E571="",FALSE,TRUE),exact(metadata!E571,"UBERON:kidney"))</f>
        <v>0</v>
      </c>
      <c r="Y571">
        <f>AND(IF(metadata!F571="",FALSE,TRUE),exact(metadata!F571,"animal corpus"))</f>
        <v>0</v>
      </c>
      <c r="Z571">
        <f>AND(IF(metadata!G571="",FALSE,TRUE),exact(metadata!G571,"urine"))</f>
        <v>0</v>
      </c>
      <c r="AA571">
        <f>AND(IF(metadata!H571="",FALSE,TRUE),exact(metadata!H571,"urine"))</f>
        <v>0</v>
      </c>
      <c r="AB571">
        <f>AND(IF(metadata!I571="",FALSE,TRUE),exact(metadata!I571,"urine metagenome"))</f>
        <v>0</v>
      </c>
      <c r="AC571">
        <f>AND(IF(metadata!J571="",FALSE,TRUE),exact(metadata!J571,"1346744"))</f>
        <v>0</v>
      </c>
    </row>
    <row r="572" spans="1:29">
      <c r="A572" s="4">
        <f>IF(B572=" "," ",HYPERLINK(CONCATENATE("#metadata!",ADDRESS(INDEX($P$2:$P$1001,MATCH(ROWS($N$2:N572),$N$2:$N$1001,0),0),1)),INDEX($S$2:$S$1001,MATCH(ROWS($N$2:N572),$N$2:$N$1001,0),0)))</f>
        <v>0</v>
      </c>
      <c r="B572" s="3">
        <f>IF(OR(INDEX($O$2:$O$1001,MATCH(ROWS($N$2:N572),$N$2:$N$1001,0),1)&gt;=100000,INDEX($U$1005:$AC$1005,1,MATCH(COLUMNS($U$1006:U1006),$U$1006:$AC$1006,0))&gt;=100000), " ",IF(INDEX($U$2:$AC$1001,MATCH(ROWS($N$2:N572),$N$2:$N$1001,0),MATCH(COLUMNS($U$1006:U1006),$U$1006:$AC$1006,0)), HYPERLINK("#",""), HYPERLINK(CONCATENATE("#metadata!", ADDRESS(INDEX($P$2:$P$1001,MATCH(ROWS($N$2:N572),$N$2:$N$1001,0),0), INDEX($U$1004:$AC$1004,1,MATCH(COLUMNS($U$1006:U1006),$U$1006:$AC$1006,0)))),"Fix")))</f>
        <v>0</v>
      </c>
      <c r="C572" s="3">
        <f>IF(OR(INDEX($O$2:$O$1001,MATCH(ROWS($N$2:N572),$N$2:$N$1001,0),1)&gt;=100000,INDEX($U$1005:$AC$1005,1,MATCH(COLUMNS($U$1006:V1006),$U$1006:$AC$1006,0))&gt;=100000), " ",IF(INDEX($U$2:$AC$1001,MATCH(ROWS($N$2:N572),$N$2:$N$1001,0),MATCH(COLUMNS($U$1006:V1006),$U$1006:$AC$1006,0)), HYPERLINK("#",""), HYPERLINK(CONCATENATE("#metadata!", ADDRESS(INDEX($P$2:$P$1001,MATCH(ROWS($N$2:N572),$N$2:$N$1001,0),0), INDEX($U$1004:$AC$1004,1,MATCH(COLUMNS($U$1006:V1006),$U$1006:$AC$1006,0)))),"Fix")))</f>
        <v>0</v>
      </c>
      <c r="D572" s="3">
        <f>IF(OR(INDEX($O$2:$O$1001,MATCH(ROWS($N$2:N572),$N$2:$N$1001,0),1)&gt;=100000,INDEX($U$1005:$AC$1005,1,MATCH(COLUMNS($U$1006:W1006),$U$1006:$AC$1006,0))&gt;=100000), " ",IF(INDEX($U$2:$AC$1001,MATCH(ROWS($N$2:N572),$N$2:$N$1001,0),MATCH(COLUMNS($U$1006:W1006),$U$1006:$AC$1006,0)), HYPERLINK("#",""), HYPERLINK(CONCATENATE("#metadata!", ADDRESS(INDEX($P$2:$P$1001,MATCH(ROWS($N$2:N572),$N$2:$N$1001,0),0), INDEX($U$1004:$AC$1004,1,MATCH(COLUMNS($U$1006:W1006),$U$1006:$AC$1006,0)))),"Fix")))</f>
        <v>0</v>
      </c>
      <c r="E572" s="3">
        <f>IF(OR(INDEX($O$2:$O$1001,MATCH(ROWS($N$2:N572),$N$2:$N$1001,0),1)&gt;=100000,INDEX($U$1005:$AC$1005,1,MATCH(COLUMNS($U$1006:X1006),$U$1006:$AC$1006,0))&gt;=100000), " ",IF(INDEX($U$2:$AC$1001,MATCH(ROWS($N$2:N572),$N$2:$N$1001,0),MATCH(COLUMNS($U$1006:X1006),$U$1006:$AC$1006,0)), HYPERLINK("#",""), HYPERLINK(CONCATENATE("#metadata!", ADDRESS(INDEX($P$2:$P$1001,MATCH(ROWS($N$2:N572),$N$2:$N$1001,0),0), INDEX($U$1004:$AC$1004,1,MATCH(COLUMNS($U$1006:X1006),$U$1006:$AC$1006,0)))),"Fix")))</f>
        <v>0</v>
      </c>
      <c r="F572" s="3">
        <f>IF(OR(INDEX($O$2:$O$1001,MATCH(ROWS($N$2:N572),$N$2:$N$1001,0),1)&gt;=100000,INDEX($U$1005:$AC$1005,1,MATCH(COLUMNS($U$1006:Y1006),$U$1006:$AC$1006,0))&gt;=100000), " ",IF(INDEX($U$2:$AC$1001,MATCH(ROWS($N$2:N572),$N$2:$N$1001,0),MATCH(COLUMNS($U$1006:Y1006),$U$1006:$AC$1006,0)), HYPERLINK("#",""), HYPERLINK(CONCATENATE("#metadata!", ADDRESS(INDEX($P$2:$P$1001,MATCH(ROWS($N$2:N572),$N$2:$N$1001,0),0), INDEX($U$1004:$AC$1004,1,MATCH(COLUMNS($U$1006:Y1006),$U$1006:$AC$1006,0)))),"Fix")))</f>
        <v>0</v>
      </c>
      <c r="G572" s="3">
        <f>IF(OR(INDEX($O$2:$O$1001,MATCH(ROWS($N$2:N572),$N$2:$N$1001,0),1)&gt;=100000,INDEX($U$1005:$AC$1005,1,MATCH(COLUMNS($U$1006:Z1006),$U$1006:$AC$1006,0))&gt;=100000), " ",IF(INDEX($U$2:$AC$1001,MATCH(ROWS($N$2:N572),$N$2:$N$1001,0),MATCH(COLUMNS($U$1006:Z1006),$U$1006:$AC$1006,0)), HYPERLINK("#",""), HYPERLINK(CONCATENATE("#metadata!", ADDRESS(INDEX($P$2:$P$1001,MATCH(ROWS($N$2:N572),$N$2:$N$1001,0),0), INDEX($U$1004:$AC$1004,1,MATCH(COLUMNS($U$1006:Z1006),$U$1006:$AC$1006,0)))),"Fix")))</f>
        <v>0</v>
      </c>
      <c r="H572" s="3">
        <f>IF(OR(INDEX($O$2:$O$1001,MATCH(ROWS($N$2:N572),$N$2:$N$1001,0),1)&gt;=100000,INDEX($U$1005:$AC$1005,1,MATCH(COLUMNS($U$1006:AA1006),$U$1006:$AC$1006,0))&gt;=100000), " ",IF(INDEX($U$2:$AC$1001,MATCH(ROWS($N$2:N572),$N$2:$N$1001,0),MATCH(COLUMNS($U$1006:AA1006),$U$1006:$AC$1006,0)), HYPERLINK("#",""), HYPERLINK(CONCATENATE("#metadata!", ADDRESS(INDEX($P$2:$P$1001,MATCH(ROWS($N$2:N572),$N$2:$N$1001,0),0), INDEX($U$1004:$AC$1004,1,MATCH(COLUMNS($U$1006:AA1006),$U$1006:$AC$1006,0)))),"Fix")))</f>
        <v>0</v>
      </c>
      <c r="I572" s="3">
        <f>IF(OR(INDEX($O$2:$O$1001,MATCH(ROWS($N$2:N572),$N$2:$N$1001,0),1)&gt;=100000,INDEX($U$1005:$AC$1005,1,MATCH(COLUMNS($U$1006:AB1006),$U$1006:$AC$1006,0))&gt;=100000), " ",IF(INDEX($U$2:$AC$1001,MATCH(ROWS($N$2:N572),$N$2:$N$1001,0),MATCH(COLUMNS($U$1006:AB1006),$U$1006:$AC$1006,0)), HYPERLINK("#",""), HYPERLINK(CONCATENATE("#metadata!", ADDRESS(INDEX($P$2:$P$1001,MATCH(ROWS($N$2:N572),$N$2:$N$1001,0),0), INDEX($U$1004:$AC$1004,1,MATCH(COLUMNS($U$1006:AB1006),$U$1006:$AC$1006,0)))),"Fix")))</f>
        <v>0</v>
      </c>
      <c r="J572" s="3">
        <f>IF(OR(INDEX($O$2:$O$1001,MATCH(ROWS($N$2:N572),$N$2:$N$1001,0),1)&gt;=100000,INDEX($U$1005:$AC$1005,1,MATCH(COLUMNS($U$1006:AC1006),$U$1006:$AC$1006,0))&gt;=100000), " ",IF(INDEX($U$2:$AC$1001,MATCH(ROWS($N$2:N572),$N$2:$N$1001,0),MATCH(COLUMNS($U$1006:AC1006),$U$1006:$AC$1006,0)), HYPERLINK("#",""), HYPERLINK(CONCATENATE("#metadata!", ADDRESS(INDEX($P$2:$P$1001,MATCH(ROWS($N$2:N572),$N$2:$N$1001,0),0), INDEX($U$1004:$AC$1004,1,MATCH(COLUMNS($U$1006:AC1006),$U$1006:$AC$1006,0)))),"Fix")))</f>
        <v>0</v>
      </c>
      <c r="N572">
        <v>0</v>
      </c>
      <c r="O572">
        <v>0</v>
      </c>
      <c r="P572">
        <v>0</v>
      </c>
      <c r="Q572">
        <f>IF(R572,TRUE,AND(U572:AC572))</f>
        <v>0</v>
      </c>
      <c r="R572">
        <f>COUNTBLANK(metadata!B572:J572)=COLUMNS(metadata!B572:J572)</f>
        <v>0</v>
      </c>
      <c r="S572">
        <v>0</v>
      </c>
      <c r="U572">
        <f>AND(IF(metadata!B572="",FALSE,TRUE),COUNTIF(metadata!B:B, metadata!B572) = 1,NOT(ISERROR(SUMPRODUCT(SEARCH(MID(metadata!B572,ROW(INDIRECT("1:"&amp;LEN(metadata!B572))), 1),"0123456789abcdefghijklmnopqrstuvwxyzABCDEFGHIJKLMNOPQRSTUVWXYZ.")))))</f>
        <v>0</v>
      </c>
      <c r="V572">
        <f>AND(IF(metadata!C572="",FALSE,TRUE),exact(metadata!C572,"UBERON:genitourinary"))</f>
        <v>0</v>
      </c>
      <c r="W572">
        <f>AND(IF(metadata!D572="",FALSE,TRUE),exact(metadata!D572,"UBERON:urine"))</f>
        <v>0</v>
      </c>
      <c r="X572">
        <f>AND(IF(metadata!E572="",FALSE,TRUE),exact(metadata!E572,"UBERON:kidney"))</f>
        <v>0</v>
      </c>
      <c r="Y572">
        <f>AND(IF(metadata!F572="",FALSE,TRUE),exact(metadata!F572,"animal corpus"))</f>
        <v>0</v>
      </c>
      <c r="Z572">
        <f>AND(IF(metadata!G572="",FALSE,TRUE),exact(metadata!G572,"urine"))</f>
        <v>0</v>
      </c>
      <c r="AA572">
        <f>AND(IF(metadata!H572="",FALSE,TRUE),exact(metadata!H572,"urine"))</f>
        <v>0</v>
      </c>
      <c r="AB572">
        <f>AND(IF(metadata!I572="",FALSE,TRUE),exact(metadata!I572,"urine metagenome"))</f>
        <v>0</v>
      </c>
      <c r="AC572">
        <f>AND(IF(metadata!J572="",FALSE,TRUE),exact(metadata!J572,"1346744"))</f>
        <v>0</v>
      </c>
    </row>
    <row r="573" spans="1:29">
      <c r="A573" s="4">
        <f>IF(B573=" "," ",HYPERLINK(CONCATENATE("#metadata!",ADDRESS(INDEX($P$2:$P$1001,MATCH(ROWS($N$2:N573),$N$2:$N$1001,0),0),1)),INDEX($S$2:$S$1001,MATCH(ROWS($N$2:N573),$N$2:$N$1001,0),0)))</f>
        <v>0</v>
      </c>
      <c r="B573" s="3">
        <f>IF(OR(INDEX($O$2:$O$1001,MATCH(ROWS($N$2:N573),$N$2:$N$1001,0),1)&gt;=100000,INDEX($U$1005:$AC$1005,1,MATCH(COLUMNS($U$1006:U1006),$U$1006:$AC$1006,0))&gt;=100000), " ",IF(INDEX($U$2:$AC$1001,MATCH(ROWS($N$2:N573),$N$2:$N$1001,0),MATCH(COLUMNS($U$1006:U1006),$U$1006:$AC$1006,0)), HYPERLINK("#",""), HYPERLINK(CONCATENATE("#metadata!", ADDRESS(INDEX($P$2:$P$1001,MATCH(ROWS($N$2:N573),$N$2:$N$1001,0),0), INDEX($U$1004:$AC$1004,1,MATCH(COLUMNS($U$1006:U1006),$U$1006:$AC$1006,0)))),"Fix")))</f>
        <v>0</v>
      </c>
      <c r="C573" s="3">
        <f>IF(OR(INDEX($O$2:$O$1001,MATCH(ROWS($N$2:N573),$N$2:$N$1001,0),1)&gt;=100000,INDEX($U$1005:$AC$1005,1,MATCH(COLUMNS($U$1006:V1006),$U$1006:$AC$1006,0))&gt;=100000), " ",IF(INDEX($U$2:$AC$1001,MATCH(ROWS($N$2:N573),$N$2:$N$1001,0),MATCH(COLUMNS($U$1006:V1006),$U$1006:$AC$1006,0)), HYPERLINK("#",""), HYPERLINK(CONCATENATE("#metadata!", ADDRESS(INDEX($P$2:$P$1001,MATCH(ROWS($N$2:N573),$N$2:$N$1001,0),0), INDEX($U$1004:$AC$1004,1,MATCH(COLUMNS($U$1006:V1006),$U$1006:$AC$1006,0)))),"Fix")))</f>
        <v>0</v>
      </c>
      <c r="D573" s="3">
        <f>IF(OR(INDEX($O$2:$O$1001,MATCH(ROWS($N$2:N573),$N$2:$N$1001,0),1)&gt;=100000,INDEX($U$1005:$AC$1005,1,MATCH(COLUMNS($U$1006:W1006),$U$1006:$AC$1006,0))&gt;=100000), " ",IF(INDEX($U$2:$AC$1001,MATCH(ROWS($N$2:N573),$N$2:$N$1001,0),MATCH(COLUMNS($U$1006:W1006),$U$1006:$AC$1006,0)), HYPERLINK("#",""), HYPERLINK(CONCATENATE("#metadata!", ADDRESS(INDEX($P$2:$P$1001,MATCH(ROWS($N$2:N573),$N$2:$N$1001,0),0), INDEX($U$1004:$AC$1004,1,MATCH(COLUMNS($U$1006:W1006),$U$1006:$AC$1006,0)))),"Fix")))</f>
        <v>0</v>
      </c>
      <c r="E573" s="3">
        <f>IF(OR(INDEX($O$2:$O$1001,MATCH(ROWS($N$2:N573),$N$2:$N$1001,0),1)&gt;=100000,INDEX($U$1005:$AC$1005,1,MATCH(COLUMNS($U$1006:X1006),$U$1006:$AC$1006,0))&gt;=100000), " ",IF(INDEX($U$2:$AC$1001,MATCH(ROWS($N$2:N573),$N$2:$N$1001,0),MATCH(COLUMNS($U$1006:X1006),$U$1006:$AC$1006,0)), HYPERLINK("#",""), HYPERLINK(CONCATENATE("#metadata!", ADDRESS(INDEX($P$2:$P$1001,MATCH(ROWS($N$2:N573),$N$2:$N$1001,0),0), INDEX($U$1004:$AC$1004,1,MATCH(COLUMNS($U$1006:X1006),$U$1006:$AC$1006,0)))),"Fix")))</f>
        <v>0</v>
      </c>
      <c r="F573" s="3">
        <f>IF(OR(INDEX($O$2:$O$1001,MATCH(ROWS($N$2:N573),$N$2:$N$1001,0),1)&gt;=100000,INDEX($U$1005:$AC$1005,1,MATCH(COLUMNS($U$1006:Y1006),$U$1006:$AC$1006,0))&gt;=100000), " ",IF(INDEX($U$2:$AC$1001,MATCH(ROWS($N$2:N573),$N$2:$N$1001,0),MATCH(COLUMNS($U$1006:Y1006),$U$1006:$AC$1006,0)), HYPERLINK("#",""), HYPERLINK(CONCATENATE("#metadata!", ADDRESS(INDEX($P$2:$P$1001,MATCH(ROWS($N$2:N573),$N$2:$N$1001,0),0), INDEX($U$1004:$AC$1004,1,MATCH(COLUMNS($U$1006:Y1006),$U$1006:$AC$1006,0)))),"Fix")))</f>
        <v>0</v>
      </c>
      <c r="G573" s="3">
        <f>IF(OR(INDEX($O$2:$O$1001,MATCH(ROWS($N$2:N573),$N$2:$N$1001,0),1)&gt;=100000,INDEX($U$1005:$AC$1005,1,MATCH(COLUMNS($U$1006:Z1006),$U$1006:$AC$1006,0))&gt;=100000), " ",IF(INDEX($U$2:$AC$1001,MATCH(ROWS($N$2:N573),$N$2:$N$1001,0),MATCH(COLUMNS($U$1006:Z1006),$U$1006:$AC$1006,0)), HYPERLINK("#",""), HYPERLINK(CONCATENATE("#metadata!", ADDRESS(INDEX($P$2:$P$1001,MATCH(ROWS($N$2:N573),$N$2:$N$1001,0),0), INDEX($U$1004:$AC$1004,1,MATCH(COLUMNS($U$1006:Z1006),$U$1006:$AC$1006,0)))),"Fix")))</f>
        <v>0</v>
      </c>
      <c r="H573" s="3">
        <f>IF(OR(INDEX($O$2:$O$1001,MATCH(ROWS($N$2:N573),$N$2:$N$1001,0),1)&gt;=100000,INDEX($U$1005:$AC$1005,1,MATCH(COLUMNS($U$1006:AA1006),$U$1006:$AC$1006,0))&gt;=100000), " ",IF(INDEX($U$2:$AC$1001,MATCH(ROWS($N$2:N573),$N$2:$N$1001,0),MATCH(COLUMNS($U$1006:AA1006),$U$1006:$AC$1006,0)), HYPERLINK("#",""), HYPERLINK(CONCATENATE("#metadata!", ADDRESS(INDEX($P$2:$P$1001,MATCH(ROWS($N$2:N573),$N$2:$N$1001,0),0), INDEX($U$1004:$AC$1004,1,MATCH(COLUMNS($U$1006:AA1006),$U$1006:$AC$1006,0)))),"Fix")))</f>
        <v>0</v>
      </c>
      <c r="I573" s="3">
        <f>IF(OR(INDEX($O$2:$O$1001,MATCH(ROWS($N$2:N573),$N$2:$N$1001,0),1)&gt;=100000,INDEX($U$1005:$AC$1005,1,MATCH(COLUMNS($U$1006:AB1006),$U$1006:$AC$1006,0))&gt;=100000), " ",IF(INDEX($U$2:$AC$1001,MATCH(ROWS($N$2:N573),$N$2:$N$1001,0),MATCH(COLUMNS($U$1006:AB1006),$U$1006:$AC$1006,0)), HYPERLINK("#",""), HYPERLINK(CONCATENATE("#metadata!", ADDRESS(INDEX($P$2:$P$1001,MATCH(ROWS($N$2:N573),$N$2:$N$1001,0),0), INDEX($U$1004:$AC$1004,1,MATCH(COLUMNS($U$1006:AB1006),$U$1006:$AC$1006,0)))),"Fix")))</f>
        <v>0</v>
      </c>
      <c r="J573" s="3">
        <f>IF(OR(INDEX($O$2:$O$1001,MATCH(ROWS($N$2:N573),$N$2:$N$1001,0),1)&gt;=100000,INDEX($U$1005:$AC$1005,1,MATCH(COLUMNS($U$1006:AC1006),$U$1006:$AC$1006,0))&gt;=100000), " ",IF(INDEX($U$2:$AC$1001,MATCH(ROWS($N$2:N573),$N$2:$N$1001,0),MATCH(COLUMNS($U$1006:AC1006),$U$1006:$AC$1006,0)), HYPERLINK("#",""), HYPERLINK(CONCATENATE("#metadata!", ADDRESS(INDEX($P$2:$P$1001,MATCH(ROWS($N$2:N573),$N$2:$N$1001,0),0), INDEX($U$1004:$AC$1004,1,MATCH(COLUMNS($U$1006:AC1006),$U$1006:$AC$1006,0)))),"Fix")))</f>
        <v>0</v>
      </c>
      <c r="N573">
        <v>0</v>
      </c>
      <c r="O573">
        <v>0</v>
      </c>
      <c r="P573">
        <v>0</v>
      </c>
      <c r="Q573">
        <f>IF(R573,TRUE,AND(U573:AC573))</f>
        <v>0</v>
      </c>
      <c r="R573">
        <f>COUNTBLANK(metadata!B573:J573)=COLUMNS(metadata!B573:J573)</f>
        <v>0</v>
      </c>
      <c r="S573">
        <v>0</v>
      </c>
      <c r="U573">
        <f>AND(IF(metadata!B573="",FALSE,TRUE),COUNTIF(metadata!B:B, metadata!B573) = 1,NOT(ISERROR(SUMPRODUCT(SEARCH(MID(metadata!B573,ROW(INDIRECT("1:"&amp;LEN(metadata!B573))), 1),"0123456789abcdefghijklmnopqrstuvwxyzABCDEFGHIJKLMNOPQRSTUVWXYZ.")))))</f>
        <v>0</v>
      </c>
      <c r="V573">
        <f>AND(IF(metadata!C573="",FALSE,TRUE),exact(metadata!C573,"UBERON:genitourinary"))</f>
        <v>0</v>
      </c>
      <c r="W573">
        <f>AND(IF(metadata!D573="",FALSE,TRUE),exact(metadata!D573,"UBERON:urine"))</f>
        <v>0</v>
      </c>
      <c r="X573">
        <f>AND(IF(metadata!E573="",FALSE,TRUE),exact(metadata!E573,"UBERON:kidney"))</f>
        <v>0</v>
      </c>
      <c r="Y573">
        <f>AND(IF(metadata!F573="",FALSE,TRUE),exact(metadata!F573,"animal corpus"))</f>
        <v>0</v>
      </c>
      <c r="Z573">
        <f>AND(IF(metadata!G573="",FALSE,TRUE),exact(metadata!G573,"urine"))</f>
        <v>0</v>
      </c>
      <c r="AA573">
        <f>AND(IF(metadata!H573="",FALSE,TRUE),exact(metadata!H573,"urine"))</f>
        <v>0</v>
      </c>
      <c r="AB573">
        <f>AND(IF(metadata!I573="",FALSE,TRUE),exact(metadata!I573,"urine metagenome"))</f>
        <v>0</v>
      </c>
      <c r="AC573">
        <f>AND(IF(metadata!J573="",FALSE,TRUE),exact(metadata!J573,"1346744"))</f>
        <v>0</v>
      </c>
    </row>
    <row r="574" spans="1:29">
      <c r="A574" s="4">
        <f>IF(B574=" "," ",HYPERLINK(CONCATENATE("#metadata!",ADDRESS(INDEX($P$2:$P$1001,MATCH(ROWS($N$2:N574),$N$2:$N$1001,0),0),1)),INDEX($S$2:$S$1001,MATCH(ROWS($N$2:N574),$N$2:$N$1001,0),0)))</f>
        <v>0</v>
      </c>
      <c r="B574" s="3">
        <f>IF(OR(INDEX($O$2:$O$1001,MATCH(ROWS($N$2:N574),$N$2:$N$1001,0),1)&gt;=100000,INDEX($U$1005:$AC$1005,1,MATCH(COLUMNS($U$1006:U1006),$U$1006:$AC$1006,0))&gt;=100000), " ",IF(INDEX($U$2:$AC$1001,MATCH(ROWS($N$2:N574),$N$2:$N$1001,0),MATCH(COLUMNS($U$1006:U1006),$U$1006:$AC$1006,0)), HYPERLINK("#",""), HYPERLINK(CONCATENATE("#metadata!", ADDRESS(INDEX($P$2:$P$1001,MATCH(ROWS($N$2:N574),$N$2:$N$1001,0),0), INDEX($U$1004:$AC$1004,1,MATCH(COLUMNS($U$1006:U1006),$U$1006:$AC$1006,0)))),"Fix")))</f>
        <v>0</v>
      </c>
      <c r="C574" s="3">
        <f>IF(OR(INDEX($O$2:$O$1001,MATCH(ROWS($N$2:N574),$N$2:$N$1001,0),1)&gt;=100000,INDEX($U$1005:$AC$1005,1,MATCH(COLUMNS($U$1006:V1006),$U$1006:$AC$1006,0))&gt;=100000), " ",IF(INDEX($U$2:$AC$1001,MATCH(ROWS($N$2:N574),$N$2:$N$1001,0),MATCH(COLUMNS($U$1006:V1006),$U$1006:$AC$1006,0)), HYPERLINK("#",""), HYPERLINK(CONCATENATE("#metadata!", ADDRESS(INDEX($P$2:$P$1001,MATCH(ROWS($N$2:N574),$N$2:$N$1001,0),0), INDEX($U$1004:$AC$1004,1,MATCH(COLUMNS($U$1006:V1006),$U$1006:$AC$1006,0)))),"Fix")))</f>
        <v>0</v>
      </c>
      <c r="D574" s="3">
        <f>IF(OR(INDEX($O$2:$O$1001,MATCH(ROWS($N$2:N574),$N$2:$N$1001,0),1)&gt;=100000,INDEX($U$1005:$AC$1005,1,MATCH(COLUMNS($U$1006:W1006),$U$1006:$AC$1006,0))&gt;=100000), " ",IF(INDEX($U$2:$AC$1001,MATCH(ROWS($N$2:N574),$N$2:$N$1001,0),MATCH(COLUMNS($U$1006:W1006),$U$1006:$AC$1006,0)), HYPERLINK("#",""), HYPERLINK(CONCATENATE("#metadata!", ADDRESS(INDEX($P$2:$P$1001,MATCH(ROWS($N$2:N574),$N$2:$N$1001,0),0), INDEX($U$1004:$AC$1004,1,MATCH(COLUMNS($U$1006:W1006),$U$1006:$AC$1006,0)))),"Fix")))</f>
        <v>0</v>
      </c>
      <c r="E574" s="3">
        <f>IF(OR(INDEX($O$2:$O$1001,MATCH(ROWS($N$2:N574),$N$2:$N$1001,0),1)&gt;=100000,INDEX($U$1005:$AC$1005,1,MATCH(COLUMNS($U$1006:X1006),$U$1006:$AC$1006,0))&gt;=100000), " ",IF(INDEX($U$2:$AC$1001,MATCH(ROWS($N$2:N574),$N$2:$N$1001,0),MATCH(COLUMNS($U$1006:X1006),$U$1006:$AC$1006,0)), HYPERLINK("#",""), HYPERLINK(CONCATENATE("#metadata!", ADDRESS(INDEX($P$2:$P$1001,MATCH(ROWS($N$2:N574),$N$2:$N$1001,0),0), INDEX($U$1004:$AC$1004,1,MATCH(COLUMNS($U$1006:X1006),$U$1006:$AC$1006,0)))),"Fix")))</f>
        <v>0</v>
      </c>
      <c r="F574" s="3">
        <f>IF(OR(INDEX($O$2:$O$1001,MATCH(ROWS($N$2:N574),$N$2:$N$1001,0),1)&gt;=100000,INDEX($U$1005:$AC$1005,1,MATCH(COLUMNS($U$1006:Y1006),$U$1006:$AC$1006,0))&gt;=100000), " ",IF(INDEX($U$2:$AC$1001,MATCH(ROWS($N$2:N574),$N$2:$N$1001,0),MATCH(COLUMNS($U$1006:Y1006),$U$1006:$AC$1006,0)), HYPERLINK("#",""), HYPERLINK(CONCATENATE("#metadata!", ADDRESS(INDEX($P$2:$P$1001,MATCH(ROWS($N$2:N574),$N$2:$N$1001,0),0), INDEX($U$1004:$AC$1004,1,MATCH(COLUMNS($U$1006:Y1006),$U$1006:$AC$1006,0)))),"Fix")))</f>
        <v>0</v>
      </c>
      <c r="G574" s="3">
        <f>IF(OR(INDEX($O$2:$O$1001,MATCH(ROWS($N$2:N574),$N$2:$N$1001,0),1)&gt;=100000,INDEX($U$1005:$AC$1005,1,MATCH(COLUMNS($U$1006:Z1006),$U$1006:$AC$1006,0))&gt;=100000), " ",IF(INDEX($U$2:$AC$1001,MATCH(ROWS($N$2:N574),$N$2:$N$1001,0),MATCH(COLUMNS($U$1006:Z1006),$U$1006:$AC$1006,0)), HYPERLINK("#",""), HYPERLINK(CONCATENATE("#metadata!", ADDRESS(INDEX($P$2:$P$1001,MATCH(ROWS($N$2:N574),$N$2:$N$1001,0),0), INDEX($U$1004:$AC$1004,1,MATCH(COLUMNS($U$1006:Z1006),$U$1006:$AC$1006,0)))),"Fix")))</f>
        <v>0</v>
      </c>
      <c r="H574" s="3">
        <f>IF(OR(INDEX($O$2:$O$1001,MATCH(ROWS($N$2:N574),$N$2:$N$1001,0),1)&gt;=100000,INDEX($U$1005:$AC$1005,1,MATCH(COLUMNS($U$1006:AA1006),$U$1006:$AC$1006,0))&gt;=100000), " ",IF(INDEX($U$2:$AC$1001,MATCH(ROWS($N$2:N574),$N$2:$N$1001,0),MATCH(COLUMNS($U$1006:AA1006),$U$1006:$AC$1006,0)), HYPERLINK("#",""), HYPERLINK(CONCATENATE("#metadata!", ADDRESS(INDEX($P$2:$P$1001,MATCH(ROWS($N$2:N574),$N$2:$N$1001,0),0), INDEX($U$1004:$AC$1004,1,MATCH(COLUMNS($U$1006:AA1006),$U$1006:$AC$1006,0)))),"Fix")))</f>
        <v>0</v>
      </c>
      <c r="I574" s="3">
        <f>IF(OR(INDEX($O$2:$O$1001,MATCH(ROWS($N$2:N574),$N$2:$N$1001,0),1)&gt;=100000,INDEX($U$1005:$AC$1005,1,MATCH(COLUMNS($U$1006:AB1006),$U$1006:$AC$1006,0))&gt;=100000), " ",IF(INDEX($U$2:$AC$1001,MATCH(ROWS($N$2:N574),$N$2:$N$1001,0),MATCH(COLUMNS($U$1006:AB1006),$U$1006:$AC$1006,0)), HYPERLINK("#",""), HYPERLINK(CONCATENATE("#metadata!", ADDRESS(INDEX($P$2:$P$1001,MATCH(ROWS($N$2:N574),$N$2:$N$1001,0),0), INDEX($U$1004:$AC$1004,1,MATCH(COLUMNS($U$1006:AB1006),$U$1006:$AC$1006,0)))),"Fix")))</f>
        <v>0</v>
      </c>
      <c r="J574" s="3">
        <f>IF(OR(INDEX($O$2:$O$1001,MATCH(ROWS($N$2:N574),$N$2:$N$1001,0),1)&gt;=100000,INDEX($U$1005:$AC$1005,1,MATCH(COLUMNS($U$1006:AC1006),$U$1006:$AC$1006,0))&gt;=100000), " ",IF(INDEX($U$2:$AC$1001,MATCH(ROWS($N$2:N574),$N$2:$N$1001,0),MATCH(COLUMNS($U$1006:AC1006),$U$1006:$AC$1006,0)), HYPERLINK("#",""), HYPERLINK(CONCATENATE("#metadata!", ADDRESS(INDEX($P$2:$P$1001,MATCH(ROWS($N$2:N574),$N$2:$N$1001,0),0), INDEX($U$1004:$AC$1004,1,MATCH(COLUMNS($U$1006:AC1006),$U$1006:$AC$1006,0)))),"Fix")))</f>
        <v>0</v>
      </c>
      <c r="N574">
        <v>0</v>
      </c>
      <c r="O574">
        <v>0</v>
      </c>
      <c r="P574">
        <v>0</v>
      </c>
      <c r="Q574">
        <f>IF(R574,TRUE,AND(U574:AC574))</f>
        <v>0</v>
      </c>
      <c r="R574">
        <f>COUNTBLANK(metadata!B574:J574)=COLUMNS(metadata!B574:J574)</f>
        <v>0</v>
      </c>
      <c r="S574">
        <v>0</v>
      </c>
      <c r="U574">
        <f>AND(IF(metadata!B574="",FALSE,TRUE),COUNTIF(metadata!B:B, metadata!B574) = 1,NOT(ISERROR(SUMPRODUCT(SEARCH(MID(metadata!B574,ROW(INDIRECT("1:"&amp;LEN(metadata!B574))), 1),"0123456789abcdefghijklmnopqrstuvwxyzABCDEFGHIJKLMNOPQRSTUVWXYZ.")))))</f>
        <v>0</v>
      </c>
      <c r="V574">
        <f>AND(IF(metadata!C574="",FALSE,TRUE),exact(metadata!C574,"UBERON:genitourinary"))</f>
        <v>0</v>
      </c>
      <c r="W574">
        <f>AND(IF(metadata!D574="",FALSE,TRUE),exact(metadata!D574,"UBERON:urine"))</f>
        <v>0</v>
      </c>
      <c r="X574">
        <f>AND(IF(metadata!E574="",FALSE,TRUE),exact(metadata!E574,"UBERON:kidney"))</f>
        <v>0</v>
      </c>
      <c r="Y574">
        <f>AND(IF(metadata!F574="",FALSE,TRUE),exact(metadata!F574,"animal corpus"))</f>
        <v>0</v>
      </c>
      <c r="Z574">
        <f>AND(IF(metadata!G574="",FALSE,TRUE),exact(metadata!G574,"urine"))</f>
        <v>0</v>
      </c>
      <c r="AA574">
        <f>AND(IF(metadata!H574="",FALSE,TRUE),exact(metadata!H574,"urine"))</f>
        <v>0</v>
      </c>
      <c r="AB574">
        <f>AND(IF(metadata!I574="",FALSE,TRUE),exact(metadata!I574,"urine metagenome"))</f>
        <v>0</v>
      </c>
      <c r="AC574">
        <f>AND(IF(metadata!J574="",FALSE,TRUE),exact(metadata!J574,"1346744"))</f>
        <v>0</v>
      </c>
    </row>
    <row r="575" spans="1:29">
      <c r="A575" s="4">
        <f>IF(B575=" "," ",HYPERLINK(CONCATENATE("#metadata!",ADDRESS(INDEX($P$2:$P$1001,MATCH(ROWS($N$2:N575),$N$2:$N$1001,0),0),1)),INDEX($S$2:$S$1001,MATCH(ROWS($N$2:N575),$N$2:$N$1001,0),0)))</f>
        <v>0</v>
      </c>
      <c r="B575" s="3">
        <f>IF(OR(INDEX($O$2:$O$1001,MATCH(ROWS($N$2:N575),$N$2:$N$1001,0),1)&gt;=100000,INDEX($U$1005:$AC$1005,1,MATCH(COLUMNS($U$1006:U1006),$U$1006:$AC$1006,0))&gt;=100000), " ",IF(INDEX($U$2:$AC$1001,MATCH(ROWS($N$2:N575),$N$2:$N$1001,0),MATCH(COLUMNS($U$1006:U1006),$U$1006:$AC$1006,0)), HYPERLINK("#",""), HYPERLINK(CONCATENATE("#metadata!", ADDRESS(INDEX($P$2:$P$1001,MATCH(ROWS($N$2:N575),$N$2:$N$1001,0),0), INDEX($U$1004:$AC$1004,1,MATCH(COLUMNS($U$1006:U1006),$U$1006:$AC$1006,0)))),"Fix")))</f>
        <v>0</v>
      </c>
      <c r="C575" s="3">
        <f>IF(OR(INDEX($O$2:$O$1001,MATCH(ROWS($N$2:N575),$N$2:$N$1001,0),1)&gt;=100000,INDEX($U$1005:$AC$1005,1,MATCH(COLUMNS($U$1006:V1006),$U$1006:$AC$1006,0))&gt;=100000), " ",IF(INDEX($U$2:$AC$1001,MATCH(ROWS($N$2:N575),$N$2:$N$1001,0),MATCH(COLUMNS($U$1006:V1006),$U$1006:$AC$1006,0)), HYPERLINK("#",""), HYPERLINK(CONCATENATE("#metadata!", ADDRESS(INDEX($P$2:$P$1001,MATCH(ROWS($N$2:N575),$N$2:$N$1001,0),0), INDEX($U$1004:$AC$1004,1,MATCH(COLUMNS($U$1006:V1006),$U$1006:$AC$1006,0)))),"Fix")))</f>
        <v>0</v>
      </c>
      <c r="D575" s="3">
        <f>IF(OR(INDEX($O$2:$O$1001,MATCH(ROWS($N$2:N575),$N$2:$N$1001,0),1)&gt;=100000,INDEX($U$1005:$AC$1005,1,MATCH(COLUMNS($U$1006:W1006),$U$1006:$AC$1006,0))&gt;=100000), " ",IF(INDEX($U$2:$AC$1001,MATCH(ROWS($N$2:N575),$N$2:$N$1001,0),MATCH(COLUMNS($U$1006:W1006),$U$1006:$AC$1006,0)), HYPERLINK("#",""), HYPERLINK(CONCATENATE("#metadata!", ADDRESS(INDEX($P$2:$P$1001,MATCH(ROWS($N$2:N575),$N$2:$N$1001,0),0), INDEX($U$1004:$AC$1004,1,MATCH(COLUMNS($U$1006:W1006),$U$1006:$AC$1006,0)))),"Fix")))</f>
        <v>0</v>
      </c>
      <c r="E575" s="3">
        <f>IF(OR(INDEX($O$2:$O$1001,MATCH(ROWS($N$2:N575),$N$2:$N$1001,0),1)&gt;=100000,INDEX($U$1005:$AC$1005,1,MATCH(COLUMNS($U$1006:X1006),$U$1006:$AC$1006,0))&gt;=100000), " ",IF(INDEX($U$2:$AC$1001,MATCH(ROWS($N$2:N575),$N$2:$N$1001,0),MATCH(COLUMNS($U$1006:X1006),$U$1006:$AC$1006,0)), HYPERLINK("#",""), HYPERLINK(CONCATENATE("#metadata!", ADDRESS(INDEX($P$2:$P$1001,MATCH(ROWS($N$2:N575),$N$2:$N$1001,0),0), INDEX($U$1004:$AC$1004,1,MATCH(COLUMNS($U$1006:X1006),$U$1006:$AC$1006,0)))),"Fix")))</f>
        <v>0</v>
      </c>
      <c r="F575" s="3">
        <f>IF(OR(INDEX($O$2:$O$1001,MATCH(ROWS($N$2:N575),$N$2:$N$1001,0),1)&gt;=100000,INDEX($U$1005:$AC$1005,1,MATCH(COLUMNS($U$1006:Y1006),$U$1006:$AC$1006,0))&gt;=100000), " ",IF(INDEX($U$2:$AC$1001,MATCH(ROWS($N$2:N575),$N$2:$N$1001,0),MATCH(COLUMNS($U$1006:Y1006),$U$1006:$AC$1006,0)), HYPERLINK("#",""), HYPERLINK(CONCATENATE("#metadata!", ADDRESS(INDEX($P$2:$P$1001,MATCH(ROWS($N$2:N575),$N$2:$N$1001,0),0), INDEX($U$1004:$AC$1004,1,MATCH(COLUMNS($U$1006:Y1006),$U$1006:$AC$1006,0)))),"Fix")))</f>
        <v>0</v>
      </c>
      <c r="G575" s="3">
        <f>IF(OR(INDEX($O$2:$O$1001,MATCH(ROWS($N$2:N575),$N$2:$N$1001,0),1)&gt;=100000,INDEX($U$1005:$AC$1005,1,MATCH(COLUMNS($U$1006:Z1006),$U$1006:$AC$1006,0))&gt;=100000), " ",IF(INDEX($U$2:$AC$1001,MATCH(ROWS($N$2:N575),$N$2:$N$1001,0),MATCH(COLUMNS($U$1006:Z1006),$U$1006:$AC$1006,0)), HYPERLINK("#",""), HYPERLINK(CONCATENATE("#metadata!", ADDRESS(INDEX($P$2:$P$1001,MATCH(ROWS($N$2:N575),$N$2:$N$1001,0),0), INDEX($U$1004:$AC$1004,1,MATCH(COLUMNS($U$1006:Z1006),$U$1006:$AC$1006,0)))),"Fix")))</f>
        <v>0</v>
      </c>
      <c r="H575" s="3">
        <f>IF(OR(INDEX($O$2:$O$1001,MATCH(ROWS($N$2:N575),$N$2:$N$1001,0),1)&gt;=100000,INDEX($U$1005:$AC$1005,1,MATCH(COLUMNS($U$1006:AA1006),$U$1006:$AC$1006,0))&gt;=100000), " ",IF(INDEX($U$2:$AC$1001,MATCH(ROWS($N$2:N575),$N$2:$N$1001,0),MATCH(COLUMNS($U$1006:AA1006),$U$1006:$AC$1006,0)), HYPERLINK("#",""), HYPERLINK(CONCATENATE("#metadata!", ADDRESS(INDEX($P$2:$P$1001,MATCH(ROWS($N$2:N575),$N$2:$N$1001,0),0), INDEX($U$1004:$AC$1004,1,MATCH(COLUMNS($U$1006:AA1006),$U$1006:$AC$1006,0)))),"Fix")))</f>
        <v>0</v>
      </c>
      <c r="I575" s="3">
        <f>IF(OR(INDEX($O$2:$O$1001,MATCH(ROWS($N$2:N575),$N$2:$N$1001,0),1)&gt;=100000,INDEX($U$1005:$AC$1005,1,MATCH(COLUMNS($U$1006:AB1006),$U$1006:$AC$1006,0))&gt;=100000), " ",IF(INDEX($U$2:$AC$1001,MATCH(ROWS($N$2:N575),$N$2:$N$1001,0),MATCH(COLUMNS($U$1006:AB1006),$U$1006:$AC$1006,0)), HYPERLINK("#",""), HYPERLINK(CONCATENATE("#metadata!", ADDRESS(INDEX($P$2:$P$1001,MATCH(ROWS($N$2:N575),$N$2:$N$1001,0),0), INDEX($U$1004:$AC$1004,1,MATCH(COLUMNS($U$1006:AB1006),$U$1006:$AC$1006,0)))),"Fix")))</f>
        <v>0</v>
      </c>
      <c r="J575" s="3">
        <f>IF(OR(INDEX($O$2:$O$1001,MATCH(ROWS($N$2:N575),$N$2:$N$1001,0),1)&gt;=100000,INDEX($U$1005:$AC$1005,1,MATCH(COLUMNS($U$1006:AC1006),$U$1006:$AC$1006,0))&gt;=100000), " ",IF(INDEX($U$2:$AC$1001,MATCH(ROWS($N$2:N575),$N$2:$N$1001,0),MATCH(COLUMNS($U$1006:AC1006),$U$1006:$AC$1006,0)), HYPERLINK("#",""), HYPERLINK(CONCATENATE("#metadata!", ADDRESS(INDEX($P$2:$P$1001,MATCH(ROWS($N$2:N575),$N$2:$N$1001,0),0), INDEX($U$1004:$AC$1004,1,MATCH(COLUMNS($U$1006:AC1006),$U$1006:$AC$1006,0)))),"Fix")))</f>
        <v>0</v>
      </c>
      <c r="N575">
        <v>0</v>
      </c>
      <c r="O575">
        <v>0</v>
      </c>
      <c r="P575">
        <v>0</v>
      </c>
      <c r="Q575">
        <f>IF(R575,TRUE,AND(U575:AC575))</f>
        <v>0</v>
      </c>
      <c r="R575">
        <f>COUNTBLANK(metadata!B575:J575)=COLUMNS(metadata!B575:J575)</f>
        <v>0</v>
      </c>
      <c r="S575">
        <v>0</v>
      </c>
      <c r="U575">
        <f>AND(IF(metadata!B575="",FALSE,TRUE),COUNTIF(metadata!B:B, metadata!B575) = 1,NOT(ISERROR(SUMPRODUCT(SEARCH(MID(metadata!B575,ROW(INDIRECT("1:"&amp;LEN(metadata!B575))), 1),"0123456789abcdefghijklmnopqrstuvwxyzABCDEFGHIJKLMNOPQRSTUVWXYZ.")))))</f>
        <v>0</v>
      </c>
      <c r="V575">
        <f>AND(IF(metadata!C575="",FALSE,TRUE),exact(metadata!C575,"UBERON:genitourinary"))</f>
        <v>0</v>
      </c>
      <c r="W575">
        <f>AND(IF(metadata!D575="",FALSE,TRUE),exact(metadata!D575,"UBERON:urine"))</f>
        <v>0</v>
      </c>
      <c r="X575">
        <f>AND(IF(metadata!E575="",FALSE,TRUE),exact(metadata!E575,"UBERON:kidney"))</f>
        <v>0</v>
      </c>
      <c r="Y575">
        <f>AND(IF(metadata!F575="",FALSE,TRUE),exact(metadata!F575,"animal corpus"))</f>
        <v>0</v>
      </c>
      <c r="Z575">
        <f>AND(IF(metadata!G575="",FALSE,TRUE),exact(metadata!G575,"urine"))</f>
        <v>0</v>
      </c>
      <c r="AA575">
        <f>AND(IF(metadata!H575="",FALSE,TRUE),exact(metadata!H575,"urine"))</f>
        <v>0</v>
      </c>
      <c r="AB575">
        <f>AND(IF(metadata!I575="",FALSE,TRUE),exact(metadata!I575,"urine metagenome"))</f>
        <v>0</v>
      </c>
      <c r="AC575">
        <f>AND(IF(metadata!J575="",FALSE,TRUE),exact(metadata!J575,"1346744"))</f>
        <v>0</v>
      </c>
    </row>
    <row r="576" spans="1:29">
      <c r="A576" s="4">
        <f>IF(B576=" "," ",HYPERLINK(CONCATENATE("#metadata!",ADDRESS(INDEX($P$2:$P$1001,MATCH(ROWS($N$2:N576),$N$2:$N$1001,0),0),1)),INDEX($S$2:$S$1001,MATCH(ROWS($N$2:N576),$N$2:$N$1001,0),0)))</f>
        <v>0</v>
      </c>
      <c r="B576" s="3">
        <f>IF(OR(INDEX($O$2:$O$1001,MATCH(ROWS($N$2:N576),$N$2:$N$1001,0),1)&gt;=100000,INDEX($U$1005:$AC$1005,1,MATCH(COLUMNS($U$1006:U1006),$U$1006:$AC$1006,0))&gt;=100000), " ",IF(INDEX($U$2:$AC$1001,MATCH(ROWS($N$2:N576),$N$2:$N$1001,0),MATCH(COLUMNS($U$1006:U1006),$U$1006:$AC$1006,0)), HYPERLINK("#",""), HYPERLINK(CONCATENATE("#metadata!", ADDRESS(INDEX($P$2:$P$1001,MATCH(ROWS($N$2:N576),$N$2:$N$1001,0),0), INDEX($U$1004:$AC$1004,1,MATCH(COLUMNS($U$1006:U1006),$U$1006:$AC$1006,0)))),"Fix")))</f>
        <v>0</v>
      </c>
      <c r="C576" s="3">
        <f>IF(OR(INDEX($O$2:$O$1001,MATCH(ROWS($N$2:N576),$N$2:$N$1001,0),1)&gt;=100000,INDEX($U$1005:$AC$1005,1,MATCH(COLUMNS($U$1006:V1006),$U$1006:$AC$1006,0))&gt;=100000), " ",IF(INDEX($U$2:$AC$1001,MATCH(ROWS($N$2:N576),$N$2:$N$1001,0),MATCH(COLUMNS($U$1006:V1006),$U$1006:$AC$1006,0)), HYPERLINK("#",""), HYPERLINK(CONCATENATE("#metadata!", ADDRESS(INDEX($P$2:$P$1001,MATCH(ROWS($N$2:N576),$N$2:$N$1001,0),0), INDEX($U$1004:$AC$1004,1,MATCH(COLUMNS($U$1006:V1006),$U$1006:$AC$1006,0)))),"Fix")))</f>
        <v>0</v>
      </c>
      <c r="D576" s="3">
        <f>IF(OR(INDEX($O$2:$O$1001,MATCH(ROWS($N$2:N576),$N$2:$N$1001,0),1)&gt;=100000,INDEX($U$1005:$AC$1005,1,MATCH(COLUMNS($U$1006:W1006),$U$1006:$AC$1006,0))&gt;=100000), " ",IF(INDEX($U$2:$AC$1001,MATCH(ROWS($N$2:N576),$N$2:$N$1001,0),MATCH(COLUMNS($U$1006:W1006),$U$1006:$AC$1006,0)), HYPERLINK("#",""), HYPERLINK(CONCATENATE("#metadata!", ADDRESS(INDEX($P$2:$P$1001,MATCH(ROWS($N$2:N576),$N$2:$N$1001,0),0), INDEX($U$1004:$AC$1004,1,MATCH(COLUMNS($U$1006:W1006),$U$1006:$AC$1006,0)))),"Fix")))</f>
        <v>0</v>
      </c>
      <c r="E576" s="3">
        <f>IF(OR(INDEX($O$2:$O$1001,MATCH(ROWS($N$2:N576),$N$2:$N$1001,0),1)&gt;=100000,INDEX($U$1005:$AC$1005,1,MATCH(COLUMNS($U$1006:X1006),$U$1006:$AC$1006,0))&gt;=100000), " ",IF(INDEX($U$2:$AC$1001,MATCH(ROWS($N$2:N576),$N$2:$N$1001,0),MATCH(COLUMNS($U$1006:X1006),$U$1006:$AC$1006,0)), HYPERLINK("#",""), HYPERLINK(CONCATENATE("#metadata!", ADDRESS(INDEX($P$2:$P$1001,MATCH(ROWS($N$2:N576),$N$2:$N$1001,0),0), INDEX($U$1004:$AC$1004,1,MATCH(COLUMNS($U$1006:X1006),$U$1006:$AC$1006,0)))),"Fix")))</f>
        <v>0</v>
      </c>
      <c r="F576" s="3">
        <f>IF(OR(INDEX($O$2:$O$1001,MATCH(ROWS($N$2:N576),$N$2:$N$1001,0),1)&gt;=100000,INDEX($U$1005:$AC$1005,1,MATCH(COLUMNS($U$1006:Y1006),$U$1006:$AC$1006,0))&gt;=100000), " ",IF(INDEX($U$2:$AC$1001,MATCH(ROWS($N$2:N576),$N$2:$N$1001,0),MATCH(COLUMNS($U$1006:Y1006),$U$1006:$AC$1006,0)), HYPERLINK("#",""), HYPERLINK(CONCATENATE("#metadata!", ADDRESS(INDEX($P$2:$P$1001,MATCH(ROWS($N$2:N576),$N$2:$N$1001,0),0), INDEX($U$1004:$AC$1004,1,MATCH(COLUMNS($U$1006:Y1006),$U$1006:$AC$1006,0)))),"Fix")))</f>
        <v>0</v>
      </c>
      <c r="G576" s="3">
        <f>IF(OR(INDEX($O$2:$O$1001,MATCH(ROWS($N$2:N576),$N$2:$N$1001,0),1)&gt;=100000,INDEX($U$1005:$AC$1005,1,MATCH(COLUMNS($U$1006:Z1006),$U$1006:$AC$1006,0))&gt;=100000), " ",IF(INDEX($U$2:$AC$1001,MATCH(ROWS($N$2:N576),$N$2:$N$1001,0),MATCH(COLUMNS($U$1006:Z1006),$U$1006:$AC$1006,0)), HYPERLINK("#",""), HYPERLINK(CONCATENATE("#metadata!", ADDRESS(INDEX($P$2:$P$1001,MATCH(ROWS($N$2:N576),$N$2:$N$1001,0),0), INDEX($U$1004:$AC$1004,1,MATCH(COLUMNS($U$1006:Z1006),$U$1006:$AC$1006,0)))),"Fix")))</f>
        <v>0</v>
      </c>
      <c r="H576" s="3">
        <f>IF(OR(INDEX($O$2:$O$1001,MATCH(ROWS($N$2:N576),$N$2:$N$1001,0),1)&gt;=100000,INDEX($U$1005:$AC$1005,1,MATCH(COLUMNS($U$1006:AA1006),$U$1006:$AC$1006,0))&gt;=100000), " ",IF(INDEX($U$2:$AC$1001,MATCH(ROWS($N$2:N576),$N$2:$N$1001,0),MATCH(COLUMNS($U$1006:AA1006),$U$1006:$AC$1006,0)), HYPERLINK("#",""), HYPERLINK(CONCATENATE("#metadata!", ADDRESS(INDEX($P$2:$P$1001,MATCH(ROWS($N$2:N576),$N$2:$N$1001,0),0), INDEX($U$1004:$AC$1004,1,MATCH(COLUMNS($U$1006:AA1006),$U$1006:$AC$1006,0)))),"Fix")))</f>
        <v>0</v>
      </c>
      <c r="I576" s="3">
        <f>IF(OR(INDEX($O$2:$O$1001,MATCH(ROWS($N$2:N576),$N$2:$N$1001,0),1)&gt;=100000,INDEX($U$1005:$AC$1005,1,MATCH(COLUMNS($U$1006:AB1006),$U$1006:$AC$1006,0))&gt;=100000), " ",IF(INDEX($U$2:$AC$1001,MATCH(ROWS($N$2:N576),$N$2:$N$1001,0),MATCH(COLUMNS($U$1006:AB1006),$U$1006:$AC$1006,0)), HYPERLINK("#",""), HYPERLINK(CONCATENATE("#metadata!", ADDRESS(INDEX($P$2:$P$1001,MATCH(ROWS($N$2:N576),$N$2:$N$1001,0),0), INDEX($U$1004:$AC$1004,1,MATCH(COLUMNS($U$1006:AB1006),$U$1006:$AC$1006,0)))),"Fix")))</f>
        <v>0</v>
      </c>
      <c r="J576" s="3">
        <f>IF(OR(INDEX($O$2:$O$1001,MATCH(ROWS($N$2:N576),$N$2:$N$1001,0),1)&gt;=100000,INDEX($U$1005:$AC$1005,1,MATCH(COLUMNS($U$1006:AC1006),$U$1006:$AC$1006,0))&gt;=100000), " ",IF(INDEX($U$2:$AC$1001,MATCH(ROWS($N$2:N576),$N$2:$N$1001,0),MATCH(COLUMNS($U$1006:AC1006),$U$1006:$AC$1006,0)), HYPERLINK("#",""), HYPERLINK(CONCATENATE("#metadata!", ADDRESS(INDEX($P$2:$P$1001,MATCH(ROWS($N$2:N576),$N$2:$N$1001,0),0), INDEX($U$1004:$AC$1004,1,MATCH(COLUMNS($U$1006:AC1006),$U$1006:$AC$1006,0)))),"Fix")))</f>
        <v>0</v>
      </c>
      <c r="N576">
        <v>0</v>
      </c>
      <c r="O576">
        <v>0</v>
      </c>
      <c r="P576">
        <v>0</v>
      </c>
      <c r="Q576">
        <f>IF(R576,TRUE,AND(U576:AC576))</f>
        <v>0</v>
      </c>
      <c r="R576">
        <f>COUNTBLANK(metadata!B576:J576)=COLUMNS(metadata!B576:J576)</f>
        <v>0</v>
      </c>
      <c r="S576">
        <v>0</v>
      </c>
      <c r="U576">
        <f>AND(IF(metadata!B576="",FALSE,TRUE),COUNTIF(metadata!B:B, metadata!B576) = 1,NOT(ISERROR(SUMPRODUCT(SEARCH(MID(metadata!B576,ROW(INDIRECT("1:"&amp;LEN(metadata!B576))), 1),"0123456789abcdefghijklmnopqrstuvwxyzABCDEFGHIJKLMNOPQRSTUVWXYZ.")))))</f>
        <v>0</v>
      </c>
      <c r="V576">
        <f>AND(IF(metadata!C576="",FALSE,TRUE),exact(metadata!C576,"UBERON:genitourinary"))</f>
        <v>0</v>
      </c>
      <c r="W576">
        <f>AND(IF(metadata!D576="",FALSE,TRUE),exact(metadata!D576,"UBERON:urine"))</f>
        <v>0</v>
      </c>
      <c r="X576">
        <f>AND(IF(metadata!E576="",FALSE,TRUE),exact(metadata!E576,"UBERON:kidney"))</f>
        <v>0</v>
      </c>
      <c r="Y576">
        <f>AND(IF(metadata!F576="",FALSE,TRUE),exact(metadata!F576,"animal corpus"))</f>
        <v>0</v>
      </c>
      <c r="Z576">
        <f>AND(IF(metadata!G576="",FALSE,TRUE),exact(metadata!G576,"urine"))</f>
        <v>0</v>
      </c>
      <c r="AA576">
        <f>AND(IF(metadata!H576="",FALSE,TRUE),exact(metadata!H576,"urine"))</f>
        <v>0</v>
      </c>
      <c r="AB576">
        <f>AND(IF(metadata!I576="",FALSE,TRUE),exact(metadata!I576,"urine metagenome"))</f>
        <v>0</v>
      </c>
      <c r="AC576">
        <f>AND(IF(metadata!J576="",FALSE,TRUE),exact(metadata!J576,"1346744"))</f>
        <v>0</v>
      </c>
    </row>
    <row r="577" spans="1:29">
      <c r="A577" s="4">
        <f>IF(B577=" "," ",HYPERLINK(CONCATENATE("#metadata!",ADDRESS(INDEX($P$2:$P$1001,MATCH(ROWS($N$2:N577),$N$2:$N$1001,0),0),1)),INDEX($S$2:$S$1001,MATCH(ROWS($N$2:N577),$N$2:$N$1001,0),0)))</f>
        <v>0</v>
      </c>
      <c r="B577" s="3">
        <f>IF(OR(INDEX($O$2:$O$1001,MATCH(ROWS($N$2:N577),$N$2:$N$1001,0),1)&gt;=100000,INDEX($U$1005:$AC$1005,1,MATCH(COLUMNS($U$1006:U1006),$U$1006:$AC$1006,0))&gt;=100000), " ",IF(INDEX($U$2:$AC$1001,MATCH(ROWS($N$2:N577),$N$2:$N$1001,0),MATCH(COLUMNS($U$1006:U1006),$U$1006:$AC$1006,0)), HYPERLINK("#",""), HYPERLINK(CONCATENATE("#metadata!", ADDRESS(INDEX($P$2:$P$1001,MATCH(ROWS($N$2:N577),$N$2:$N$1001,0),0), INDEX($U$1004:$AC$1004,1,MATCH(COLUMNS($U$1006:U1006),$U$1006:$AC$1006,0)))),"Fix")))</f>
        <v>0</v>
      </c>
      <c r="C577" s="3">
        <f>IF(OR(INDEX($O$2:$O$1001,MATCH(ROWS($N$2:N577),$N$2:$N$1001,0),1)&gt;=100000,INDEX($U$1005:$AC$1005,1,MATCH(COLUMNS($U$1006:V1006),$U$1006:$AC$1006,0))&gt;=100000), " ",IF(INDEX($U$2:$AC$1001,MATCH(ROWS($N$2:N577),$N$2:$N$1001,0),MATCH(COLUMNS($U$1006:V1006),$U$1006:$AC$1006,0)), HYPERLINK("#",""), HYPERLINK(CONCATENATE("#metadata!", ADDRESS(INDEX($P$2:$P$1001,MATCH(ROWS($N$2:N577),$N$2:$N$1001,0),0), INDEX($U$1004:$AC$1004,1,MATCH(COLUMNS($U$1006:V1006),$U$1006:$AC$1006,0)))),"Fix")))</f>
        <v>0</v>
      </c>
      <c r="D577" s="3">
        <f>IF(OR(INDEX($O$2:$O$1001,MATCH(ROWS($N$2:N577),$N$2:$N$1001,0),1)&gt;=100000,INDEX($U$1005:$AC$1005,1,MATCH(COLUMNS($U$1006:W1006),$U$1006:$AC$1006,0))&gt;=100000), " ",IF(INDEX($U$2:$AC$1001,MATCH(ROWS($N$2:N577),$N$2:$N$1001,0),MATCH(COLUMNS($U$1006:W1006),$U$1006:$AC$1006,0)), HYPERLINK("#",""), HYPERLINK(CONCATENATE("#metadata!", ADDRESS(INDEX($P$2:$P$1001,MATCH(ROWS($N$2:N577),$N$2:$N$1001,0),0), INDEX($U$1004:$AC$1004,1,MATCH(COLUMNS($U$1006:W1006),$U$1006:$AC$1006,0)))),"Fix")))</f>
        <v>0</v>
      </c>
      <c r="E577" s="3">
        <f>IF(OR(INDEX($O$2:$O$1001,MATCH(ROWS($N$2:N577),$N$2:$N$1001,0),1)&gt;=100000,INDEX($U$1005:$AC$1005,1,MATCH(COLUMNS($U$1006:X1006),$U$1006:$AC$1006,0))&gt;=100000), " ",IF(INDEX($U$2:$AC$1001,MATCH(ROWS($N$2:N577),$N$2:$N$1001,0),MATCH(COLUMNS($U$1006:X1006),$U$1006:$AC$1006,0)), HYPERLINK("#",""), HYPERLINK(CONCATENATE("#metadata!", ADDRESS(INDEX($P$2:$P$1001,MATCH(ROWS($N$2:N577),$N$2:$N$1001,0),0), INDEX($U$1004:$AC$1004,1,MATCH(COLUMNS($U$1006:X1006),$U$1006:$AC$1006,0)))),"Fix")))</f>
        <v>0</v>
      </c>
      <c r="F577" s="3">
        <f>IF(OR(INDEX($O$2:$O$1001,MATCH(ROWS($N$2:N577),$N$2:$N$1001,0),1)&gt;=100000,INDEX($U$1005:$AC$1005,1,MATCH(COLUMNS($U$1006:Y1006),$U$1006:$AC$1006,0))&gt;=100000), " ",IF(INDEX($U$2:$AC$1001,MATCH(ROWS($N$2:N577),$N$2:$N$1001,0),MATCH(COLUMNS($U$1006:Y1006),$U$1006:$AC$1006,0)), HYPERLINK("#",""), HYPERLINK(CONCATENATE("#metadata!", ADDRESS(INDEX($P$2:$P$1001,MATCH(ROWS($N$2:N577),$N$2:$N$1001,0),0), INDEX($U$1004:$AC$1004,1,MATCH(COLUMNS($U$1006:Y1006),$U$1006:$AC$1006,0)))),"Fix")))</f>
        <v>0</v>
      </c>
      <c r="G577" s="3">
        <f>IF(OR(INDEX($O$2:$O$1001,MATCH(ROWS($N$2:N577),$N$2:$N$1001,0),1)&gt;=100000,INDEX($U$1005:$AC$1005,1,MATCH(COLUMNS($U$1006:Z1006),$U$1006:$AC$1006,0))&gt;=100000), " ",IF(INDEX($U$2:$AC$1001,MATCH(ROWS($N$2:N577),$N$2:$N$1001,0),MATCH(COLUMNS($U$1006:Z1006),$U$1006:$AC$1006,0)), HYPERLINK("#",""), HYPERLINK(CONCATENATE("#metadata!", ADDRESS(INDEX($P$2:$P$1001,MATCH(ROWS($N$2:N577),$N$2:$N$1001,0),0), INDEX($U$1004:$AC$1004,1,MATCH(COLUMNS($U$1006:Z1006),$U$1006:$AC$1006,0)))),"Fix")))</f>
        <v>0</v>
      </c>
      <c r="H577" s="3">
        <f>IF(OR(INDEX($O$2:$O$1001,MATCH(ROWS($N$2:N577),$N$2:$N$1001,0),1)&gt;=100000,INDEX($U$1005:$AC$1005,1,MATCH(COLUMNS($U$1006:AA1006),$U$1006:$AC$1006,0))&gt;=100000), " ",IF(INDEX($U$2:$AC$1001,MATCH(ROWS($N$2:N577),$N$2:$N$1001,0),MATCH(COLUMNS($U$1006:AA1006),$U$1006:$AC$1006,0)), HYPERLINK("#",""), HYPERLINK(CONCATENATE("#metadata!", ADDRESS(INDEX($P$2:$P$1001,MATCH(ROWS($N$2:N577),$N$2:$N$1001,0),0), INDEX($U$1004:$AC$1004,1,MATCH(COLUMNS($U$1006:AA1006),$U$1006:$AC$1006,0)))),"Fix")))</f>
        <v>0</v>
      </c>
      <c r="I577" s="3">
        <f>IF(OR(INDEX($O$2:$O$1001,MATCH(ROWS($N$2:N577),$N$2:$N$1001,0),1)&gt;=100000,INDEX($U$1005:$AC$1005,1,MATCH(COLUMNS($U$1006:AB1006),$U$1006:$AC$1006,0))&gt;=100000), " ",IF(INDEX($U$2:$AC$1001,MATCH(ROWS($N$2:N577),$N$2:$N$1001,0),MATCH(COLUMNS($U$1006:AB1006),$U$1006:$AC$1006,0)), HYPERLINK("#",""), HYPERLINK(CONCATENATE("#metadata!", ADDRESS(INDEX($P$2:$P$1001,MATCH(ROWS($N$2:N577),$N$2:$N$1001,0),0), INDEX($U$1004:$AC$1004,1,MATCH(COLUMNS($U$1006:AB1006),$U$1006:$AC$1006,0)))),"Fix")))</f>
        <v>0</v>
      </c>
      <c r="J577" s="3">
        <f>IF(OR(INDEX($O$2:$O$1001,MATCH(ROWS($N$2:N577),$N$2:$N$1001,0),1)&gt;=100000,INDEX($U$1005:$AC$1005,1,MATCH(COLUMNS($U$1006:AC1006),$U$1006:$AC$1006,0))&gt;=100000), " ",IF(INDEX($U$2:$AC$1001,MATCH(ROWS($N$2:N577),$N$2:$N$1001,0),MATCH(COLUMNS($U$1006:AC1006),$U$1006:$AC$1006,0)), HYPERLINK("#",""), HYPERLINK(CONCATENATE("#metadata!", ADDRESS(INDEX($P$2:$P$1001,MATCH(ROWS($N$2:N577),$N$2:$N$1001,0),0), INDEX($U$1004:$AC$1004,1,MATCH(COLUMNS($U$1006:AC1006),$U$1006:$AC$1006,0)))),"Fix")))</f>
        <v>0</v>
      </c>
      <c r="N577">
        <v>0</v>
      </c>
      <c r="O577">
        <v>0</v>
      </c>
      <c r="P577">
        <v>0</v>
      </c>
      <c r="Q577">
        <f>IF(R577,TRUE,AND(U577:AC577))</f>
        <v>0</v>
      </c>
      <c r="R577">
        <f>COUNTBLANK(metadata!B577:J577)=COLUMNS(metadata!B577:J577)</f>
        <v>0</v>
      </c>
      <c r="S577">
        <v>0</v>
      </c>
      <c r="U577">
        <f>AND(IF(metadata!B577="",FALSE,TRUE),COUNTIF(metadata!B:B, metadata!B577) = 1,NOT(ISERROR(SUMPRODUCT(SEARCH(MID(metadata!B577,ROW(INDIRECT("1:"&amp;LEN(metadata!B577))), 1),"0123456789abcdefghijklmnopqrstuvwxyzABCDEFGHIJKLMNOPQRSTUVWXYZ.")))))</f>
        <v>0</v>
      </c>
      <c r="V577">
        <f>AND(IF(metadata!C577="",FALSE,TRUE),exact(metadata!C577,"UBERON:genitourinary"))</f>
        <v>0</v>
      </c>
      <c r="W577">
        <f>AND(IF(metadata!D577="",FALSE,TRUE),exact(metadata!D577,"UBERON:urine"))</f>
        <v>0</v>
      </c>
      <c r="X577">
        <f>AND(IF(metadata!E577="",FALSE,TRUE),exact(metadata!E577,"UBERON:kidney"))</f>
        <v>0</v>
      </c>
      <c r="Y577">
        <f>AND(IF(metadata!F577="",FALSE,TRUE),exact(metadata!F577,"animal corpus"))</f>
        <v>0</v>
      </c>
      <c r="Z577">
        <f>AND(IF(metadata!G577="",FALSE,TRUE),exact(metadata!G577,"urine"))</f>
        <v>0</v>
      </c>
      <c r="AA577">
        <f>AND(IF(metadata!H577="",FALSE,TRUE),exact(metadata!H577,"urine"))</f>
        <v>0</v>
      </c>
      <c r="AB577">
        <f>AND(IF(metadata!I577="",FALSE,TRUE),exact(metadata!I577,"urine metagenome"))</f>
        <v>0</v>
      </c>
      <c r="AC577">
        <f>AND(IF(metadata!J577="",FALSE,TRUE),exact(metadata!J577,"1346744"))</f>
        <v>0</v>
      </c>
    </row>
    <row r="578" spans="1:29">
      <c r="A578" s="4">
        <f>IF(B578=" "," ",HYPERLINK(CONCATENATE("#metadata!",ADDRESS(INDEX($P$2:$P$1001,MATCH(ROWS($N$2:N578),$N$2:$N$1001,0),0),1)),INDEX($S$2:$S$1001,MATCH(ROWS($N$2:N578),$N$2:$N$1001,0),0)))</f>
        <v>0</v>
      </c>
      <c r="B578" s="3">
        <f>IF(OR(INDEX($O$2:$O$1001,MATCH(ROWS($N$2:N578),$N$2:$N$1001,0),1)&gt;=100000,INDEX($U$1005:$AC$1005,1,MATCH(COLUMNS($U$1006:U1006),$U$1006:$AC$1006,0))&gt;=100000), " ",IF(INDEX($U$2:$AC$1001,MATCH(ROWS($N$2:N578),$N$2:$N$1001,0),MATCH(COLUMNS($U$1006:U1006),$U$1006:$AC$1006,0)), HYPERLINK("#",""), HYPERLINK(CONCATENATE("#metadata!", ADDRESS(INDEX($P$2:$P$1001,MATCH(ROWS($N$2:N578),$N$2:$N$1001,0),0), INDEX($U$1004:$AC$1004,1,MATCH(COLUMNS($U$1006:U1006),$U$1006:$AC$1006,0)))),"Fix")))</f>
        <v>0</v>
      </c>
      <c r="C578" s="3">
        <f>IF(OR(INDEX($O$2:$O$1001,MATCH(ROWS($N$2:N578),$N$2:$N$1001,0),1)&gt;=100000,INDEX($U$1005:$AC$1005,1,MATCH(COLUMNS($U$1006:V1006),$U$1006:$AC$1006,0))&gt;=100000), " ",IF(INDEX($U$2:$AC$1001,MATCH(ROWS($N$2:N578),$N$2:$N$1001,0),MATCH(COLUMNS($U$1006:V1006),$U$1006:$AC$1006,0)), HYPERLINK("#",""), HYPERLINK(CONCATENATE("#metadata!", ADDRESS(INDEX($P$2:$P$1001,MATCH(ROWS($N$2:N578),$N$2:$N$1001,0),0), INDEX($U$1004:$AC$1004,1,MATCH(COLUMNS($U$1006:V1006),$U$1006:$AC$1006,0)))),"Fix")))</f>
        <v>0</v>
      </c>
      <c r="D578" s="3">
        <f>IF(OR(INDEX($O$2:$O$1001,MATCH(ROWS($N$2:N578),$N$2:$N$1001,0),1)&gt;=100000,INDEX($U$1005:$AC$1005,1,MATCH(COLUMNS($U$1006:W1006),$U$1006:$AC$1006,0))&gt;=100000), " ",IF(INDEX($U$2:$AC$1001,MATCH(ROWS($N$2:N578),$N$2:$N$1001,0),MATCH(COLUMNS($U$1006:W1006),$U$1006:$AC$1006,0)), HYPERLINK("#",""), HYPERLINK(CONCATENATE("#metadata!", ADDRESS(INDEX($P$2:$P$1001,MATCH(ROWS($N$2:N578),$N$2:$N$1001,0),0), INDEX($U$1004:$AC$1004,1,MATCH(COLUMNS($U$1006:W1006),$U$1006:$AC$1006,0)))),"Fix")))</f>
        <v>0</v>
      </c>
      <c r="E578" s="3">
        <f>IF(OR(INDEX($O$2:$O$1001,MATCH(ROWS($N$2:N578),$N$2:$N$1001,0),1)&gt;=100000,INDEX($U$1005:$AC$1005,1,MATCH(COLUMNS($U$1006:X1006),$U$1006:$AC$1006,0))&gt;=100000), " ",IF(INDEX($U$2:$AC$1001,MATCH(ROWS($N$2:N578),$N$2:$N$1001,0),MATCH(COLUMNS($U$1006:X1006),$U$1006:$AC$1006,0)), HYPERLINK("#",""), HYPERLINK(CONCATENATE("#metadata!", ADDRESS(INDEX($P$2:$P$1001,MATCH(ROWS($N$2:N578),$N$2:$N$1001,0),0), INDEX($U$1004:$AC$1004,1,MATCH(COLUMNS($U$1006:X1006),$U$1006:$AC$1006,0)))),"Fix")))</f>
        <v>0</v>
      </c>
      <c r="F578" s="3">
        <f>IF(OR(INDEX($O$2:$O$1001,MATCH(ROWS($N$2:N578),$N$2:$N$1001,0),1)&gt;=100000,INDEX($U$1005:$AC$1005,1,MATCH(COLUMNS($U$1006:Y1006),$U$1006:$AC$1006,0))&gt;=100000), " ",IF(INDEX($U$2:$AC$1001,MATCH(ROWS($N$2:N578),$N$2:$N$1001,0),MATCH(COLUMNS($U$1006:Y1006),$U$1006:$AC$1006,0)), HYPERLINK("#",""), HYPERLINK(CONCATENATE("#metadata!", ADDRESS(INDEX($P$2:$P$1001,MATCH(ROWS($N$2:N578),$N$2:$N$1001,0),0), INDEX($U$1004:$AC$1004,1,MATCH(COLUMNS($U$1006:Y1006),$U$1006:$AC$1006,0)))),"Fix")))</f>
        <v>0</v>
      </c>
      <c r="G578" s="3">
        <f>IF(OR(INDEX($O$2:$O$1001,MATCH(ROWS($N$2:N578),$N$2:$N$1001,0),1)&gt;=100000,INDEX($U$1005:$AC$1005,1,MATCH(COLUMNS($U$1006:Z1006),$U$1006:$AC$1006,0))&gt;=100000), " ",IF(INDEX($U$2:$AC$1001,MATCH(ROWS($N$2:N578),$N$2:$N$1001,0),MATCH(COLUMNS($U$1006:Z1006),$U$1006:$AC$1006,0)), HYPERLINK("#",""), HYPERLINK(CONCATENATE("#metadata!", ADDRESS(INDEX($P$2:$P$1001,MATCH(ROWS($N$2:N578),$N$2:$N$1001,0),0), INDEX($U$1004:$AC$1004,1,MATCH(COLUMNS($U$1006:Z1006),$U$1006:$AC$1006,0)))),"Fix")))</f>
        <v>0</v>
      </c>
      <c r="H578" s="3">
        <f>IF(OR(INDEX($O$2:$O$1001,MATCH(ROWS($N$2:N578),$N$2:$N$1001,0),1)&gt;=100000,INDEX($U$1005:$AC$1005,1,MATCH(COLUMNS($U$1006:AA1006),$U$1006:$AC$1006,0))&gt;=100000), " ",IF(INDEX($U$2:$AC$1001,MATCH(ROWS($N$2:N578),$N$2:$N$1001,0),MATCH(COLUMNS($U$1006:AA1006),$U$1006:$AC$1006,0)), HYPERLINK("#",""), HYPERLINK(CONCATENATE("#metadata!", ADDRESS(INDEX($P$2:$P$1001,MATCH(ROWS($N$2:N578),$N$2:$N$1001,0),0), INDEX($U$1004:$AC$1004,1,MATCH(COLUMNS($U$1006:AA1006),$U$1006:$AC$1006,0)))),"Fix")))</f>
        <v>0</v>
      </c>
      <c r="I578" s="3">
        <f>IF(OR(INDEX($O$2:$O$1001,MATCH(ROWS($N$2:N578),$N$2:$N$1001,0),1)&gt;=100000,INDEX($U$1005:$AC$1005,1,MATCH(COLUMNS($U$1006:AB1006),$U$1006:$AC$1006,0))&gt;=100000), " ",IF(INDEX($U$2:$AC$1001,MATCH(ROWS($N$2:N578),$N$2:$N$1001,0),MATCH(COLUMNS($U$1006:AB1006),$U$1006:$AC$1006,0)), HYPERLINK("#",""), HYPERLINK(CONCATENATE("#metadata!", ADDRESS(INDEX($P$2:$P$1001,MATCH(ROWS($N$2:N578),$N$2:$N$1001,0),0), INDEX($U$1004:$AC$1004,1,MATCH(COLUMNS($U$1006:AB1006),$U$1006:$AC$1006,0)))),"Fix")))</f>
        <v>0</v>
      </c>
      <c r="J578" s="3">
        <f>IF(OR(INDEX($O$2:$O$1001,MATCH(ROWS($N$2:N578),$N$2:$N$1001,0),1)&gt;=100000,INDEX($U$1005:$AC$1005,1,MATCH(COLUMNS($U$1006:AC1006),$U$1006:$AC$1006,0))&gt;=100000), " ",IF(INDEX($U$2:$AC$1001,MATCH(ROWS($N$2:N578),$N$2:$N$1001,0),MATCH(COLUMNS($U$1006:AC1006),$U$1006:$AC$1006,0)), HYPERLINK("#",""), HYPERLINK(CONCATENATE("#metadata!", ADDRESS(INDEX($P$2:$P$1001,MATCH(ROWS($N$2:N578),$N$2:$N$1001,0),0), INDEX($U$1004:$AC$1004,1,MATCH(COLUMNS($U$1006:AC1006),$U$1006:$AC$1006,0)))),"Fix")))</f>
        <v>0</v>
      </c>
      <c r="N578">
        <v>0</v>
      </c>
      <c r="O578">
        <v>0</v>
      </c>
      <c r="P578">
        <v>0</v>
      </c>
      <c r="Q578">
        <f>IF(R578,TRUE,AND(U578:AC578))</f>
        <v>0</v>
      </c>
      <c r="R578">
        <f>COUNTBLANK(metadata!B578:J578)=COLUMNS(metadata!B578:J578)</f>
        <v>0</v>
      </c>
      <c r="S578">
        <v>0</v>
      </c>
      <c r="U578">
        <f>AND(IF(metadata!B578="",FALSE,TRUE),COUNTIF(metadata!B:B, metadata!B578) = 1,NOT(ISERROR(SUMPRODUCT(SEARCH(MID(metadata!B578,ROW(INDIRECT("1:"&amp;LEN(metadata!B578))), 1),"0123456789abcdefghijklmnopqrstuvwxyzABCDEFGHIJKLMNOPQRSTUVWXYZ.")))))</f>
        <v>0</v>
      </c>
      <c r="V578">
        <f>AND(IF(metadata!C578="",FALSE,TRUE),exact(metadata!C578,"UBERON:genitourinary"))</f>
        <v>0</v>
      </c>
      <c r="W578">
        <f>AND(IF(metadata!D578="",FALSE,TRUE),exact(metadata!D578,"UBERON:urine"))</f>
        <v>0</v>
      </c>
      <c r="X578">
        <f>AND(IF(metadata!E578="",FALSE,TRUE),exact(metadata!E578,"UBERON:kidney"))</f>
        <v>0</v>
      </c>
      <c r="Y578">
        <f>AND(IF(metadata!F578="",FALSE,TRUE),exact(metadata!F578,"animal corpus"))</f>
        <v>0</v>
      </c>
      <c r="Z578">
        <f>AND(IF(metadata!G578="",FALSE,TRUE),exact(metadata!G578,"urine"))</f>
        <v>0</v>
      </c>
      <c r="AA578">
        <f>AND(IF(metadata!H578="",FALSE,TRUE),exact(metadata!H578,"urine"))</f>
        <v>0</v>
      </c>
      <c r="AB578">
        <f>AND(IF(metadata!I578="",FALSE,TRUE),exact(metadata!I578,"urine metagenome"))</f>
        <v>0</v>
      </c>
      <c r="AC578">
        <f>AND(IF(metadata!J578="",FALSE,TRUE),exact(metadata!J578,"1346744"))</f>
        <v>0</v>
      </c>
    </row>
    <row r="579" spans="1:29">
      <c r="A579" s="4">
        <f>IF(B579=" "," ",HYPERLINK(CONCATENATE("#metadata!",ADDRESS(INDEX($P$2:$P$1001,MATCH(ROWS($N$2:N579),$N$2:$N$1001,0),0),1)),INDEX($S$2:$S$1001,MATCH(ROWS($N$2:N579),$N$2:$N$1001,0),0)))</f>
        <v>0</v>
      </c>
      <c r="B579" s="3">
        <f>IF(OR(INDEX($O$2:$O$1001,MATCH(ROWS($N$2:N579),$N$2:$N$1001,0),1)&gt;=100000,INDEX($U$1005:$AC$1005,1,MATCH(COLUMNS($U$1006:U1006),$U$1006:$AC$1006,0))&gt;=100000), " ",IF(INDEX($U$2:$AC$1001,MATCH(ROWS($N$2:N579),$N$2:$N$1001,0),MATCH(COLUMNS($U$1006:U1006),$U$1006:$AC$1006,0)), HYPERLINK("#",""), HYPERLINK(CONCATENATE("#metadata!", ADDRESS(INDEX($P$2:$P$1001,MATCH(ROWS($N$2:N579),$N$2:$N$1001,0),0), INDEX($U$1004:$AC$1004,1,MATCH(COLUMNS($U$1006:U1006),$U$1006:$AC$1006,0)))),"Fix")))</f>
        <v>0</v>
      </c>
      <c r="C579" s="3">
        <f>IF(OR(INDEX($O$2:$O$1001,MATCH(ROWS($N$2:N579),$N$2:$N$1001,0),1)&gt;=100000,INDEX($U$1005:$AC$1005,1,MATCH(COLUMNS($U$1006:V1006),$U$1006:$AC$1006,0))&gt;=100000), " ",IF(INDEX($U$2:$AC$1001,MATCH(ROWS($N$2:N579),$N$2:$N$1001,0),MATCH(COLUMNS($U$1006:V1006),$U$1006:$AC$1006,0)), HYPERLINK("#",""), HYPERLINK(CONCATENATE("#metadata!", ADDRESS(INDEX($P$2:$P$1001,MATCH(ROWS($N$2:N579),$N$2:$N$1001,0),0), INDEX($U$1004:$AC$1004,1,MATCH(COLUMNS($U$1006:V1006),$U$1006:$AC$1006,0)))),"Fix")))</f>
        <v>0</v>
      </c>
      <c r="D579" s="3">
        <f>IF(OR(INDEX($O$2:$O$1001,MATCH(ROWS($N$2:N579),$N$2:$N$1001,0),1)&gt;=100000,INDEX($U$1005:$AC$1005,1,MATCH(COLUMNS($U$1006:W1006),$U$1006:$AC$1006,0))&gt;=100000), " ",IF(INDEX($U$2:$AC$1001,MATCH(ROWS($N$2:N579),$N$2:$N$1001,0),MATCH(COLUMNS($U$1006:W1006),$U$1006:$AC$1006,0)), HYPERLINK("#",""), HYPERLINK(CONCATENATE("#metadata!", ADDRESS(INDEX($P$2:$P$1001,MATCH(ROWS($N$2:N579),$N$2:$N$1001,0),0), INDEX($U$1004:$AC$1004,1,MATCH(COLUMNS($U$1006:W1006),$U$1006:$AC$1006,0)))),"Fix")))</f>
        <v>0</v>
      </c>
      <c r="E579" s="3">
        <f>IF(OR(INDEX($O$2:$O$1001,MATCH(ROWS($N$2:N579),$N$2:$N$1001,0),1)&gt;=100000,INDEX($U$1005:$AC$1005,1,MATCH(COLUMNS($U$1006:X1006),$U$1006:$AC$1006,0))&gt;=100000), " ",IF(INDEX($U$2:$AC$1001,MATCH(ROWS($N$2:N579),$N$2:$N$1001,0),MATCH(COLUMNS($U$1006:X1006),$U$1006:$AC$1006,0)), HYPERLINK("#",""), HYPERLINK(CONCATENATE("#metadata!", ADDRESS(INDEX($P$2:$P$1001,MATCH(ROWS($N$2:N579),$N$2:$N$1001,0),0), INDEX($U$1004:$AC$1004,1,MATCH(COLUMNS($U$1006:X1006),$U$1006:$AC$1006,0)))),"Fix")))</f>
        <v>0</v>
      </c>
      <c r="F579" s="3">
        <f>IF(OR(INDEX($O$2:$O$1001,MATCH(ROWS($N$2:N579),$N$2:$N$1001,0),1)&gt;=100000,INDEX($U$1005:$AC$1005,1,MATCH(COLUMNS($U$1006:Y1006),$U$1006:$AC$1006,0))&gt;=100000), " ",IF(INDEX($U$2:$AC$1001,MATCH(ROWS($N$2:N579),$N$2:$N$1001,0),MATCH(COLUMNS($U$1006:Y1006),$U$1006:$AC$1006,0)), HYPERLINK("#",""), HYPERLINK(CONCATENATE("#metadata!", ADDRESS(INDEX($P$2:$P$1001,MATCH(ROWS($N$2:N579),$N$2:$N$1001,0),0), INDEX($U$1004:$AC$1004,1,MATCH(COLUMNS($U$1006:Y1006),$U$1006:$AC$1006,0)))),"Fix")))</f>
        <v>0</v>
      </c>
      <c r="G579" s="3">
        <f>IF(OR(INDEX($O$2:$O$1001,MATCH(ROWS($N$2:N579),$N$2:$N$1001,0),1)&gt;=100000,INDEX($U$1005:$AC$1005,1,MATCH(COLUMNS($U$1006:Z1006),$U$1006:$AC$1006,0))&gt;=100000), " ",IF(INDEX($U$2:$AC$1001,MATCH(ROWS($N$2:N579),$N$2:$N$1001,0),MATCH(COLUMNS($U$1006:Z1006),$U$1006:$AC$1006,0)), HYPERLINK("#",""), HYPERLINK(CONCATENATE("#metadata!", ADDRESS(INDEX($P$2:$P$1001,MATCH(ROWS($N$2:N579),$N$2:$N$1001,0),0), INDEX($U$1004:$AC$1004,1,MATCH(COLUMNS($U$1006:Z1006),$U$1006:$AC$1006,0)))),"Fix")))</f>
        <v>0</v>
      </c>
      <c r="H579" s="3">
        <f>IF(OR(INDEX($O$2:$O$1001,MATCH(ROWS($N$2:N579),$N$2:$N$1001,0),1)&gt;=100000,INDEX($U$1005:$AC$1005,1,MATCH(COLUMNS($U$1006:AA1006),$U$1006:$AC$1006,0))&gt;=100000), " ",IF(INDEX($U$2:$AC$1001,MATCH(ROWS($N$2:N579),$N$2:$N$1001,0),MATCH(COLUMNS($U$1006:AA1006),$U$1006:$AC$1006,0)), HYPERLINK("#",""), HYPERLINK(CONCATENATE("#metadata!", ADDRESS(INDEX($P$2:$P$1001,MATCH(ROWS($N$2:N579),$N$2:$N$1001,0),0), INDEX($U$1004:$AC$1004,1,MATCH(COLUMNS($U$1006:AA1006),$U$1006:$AC$1006,0)))),"Fix")))</f>
        <v>0</v>
      </c>
      <c r="I579" s="3">
        <f>IF(OR(INDEX($O$2:$O$1001,MATCH(ROWS($N$2:N579),$N$2:$N$1001,0),1)&gt;=100000,INDEX($U$1005:$AC$1005,1,MATCH(COLUMNS($U$1006:AB1006),$U$1006:$AC$1006,0))&gt;=100000), " ",IF(INDEX($U$2:$AC$1001,MATCH(ROWS($N$2:N579),$N$2:$N$1001,0),MATCH(COLUMNS($U$1006:AB1006),$U$1006:$AC$1006,0)), HYPERLINK("#",""), HYPERLINK(CONCATENATE("#metadata!", ADDRESS(INDEX($P$2:$P$1001,MATCH(ROWS($N$2:N579),$N$2:$N$1001,0),0), INDEX($U$1004:$AC$1004,1,MATCH(COLUMNS($U$1006:AB1006),$U$1006:$AC$1006,0)))),"Fix")))</f>
        <v>0</v>
      </c>
      <c r="J579" s="3">
        <f>IF(OR(INDEX($O$2:$O$1001,MATCH(ROWS($N$2:N579),$N$2:$N$1001,0),1)&gt;=100000,INDEX($U$1005:$AC$1005,1,MATCH(COLUMNS($U$1006:AC1006),$U$1006:$AC$1006,0))&gt;=100000), " ",IF(INDEX($U$2:$AC$1001,MATCH(ROWS($N$2:N579),$N$2:$N$1001,0),MATCH(COLUMNS($U$1006:AC1006),$U$1006:$AC$1006,0)), HYPERLINK("#",""), HYPERLINK(CONCATENATE("#metadata!", ADDRESS(INDEX($P$2:$P$1001,MATCH(ROWS($N$2:N579),$N$2:$N$1001,0),0), INDEX($U$1004:$AC$1004,1,MATCH(COLUMNS($U$1006:AC1006),$U$1006:$AC$1006,0)))),"Fix")))</f>
        <v>0</v>
      </c>
      <c r="N579">
        <v>0</v>
      </c>
      <c r="O579">
        <v>0</v>
      </c>
      <c r="P579">
        <v>0</v>
      </c>
      <c r="Q579">
        <f>IF(R579,TRUE,AND(U579:AC579))</f>
        <v>0</v>
      </c>
      <c r="R579">
        <f>COUNTBLANK(metadata!B579:J579)=COLUMNS(metadata!B579:J579)</f>
        <v>0</v>
      </c>
      <c r="S579">
        <v>0</v>
      </c>
      <c r="U579">
        <f>AND(IF(metadata!B579="",FALSE,TRUE),COUNTIF(metadata!B:B, metadata!B579) = 1,NOT(ISERROR(SUMPRODUCT(SEARCH(MID(metadata!B579,ROW(INDIRECT("1:"&amp;LEN(metadata!B579))), 1),"0123456789abcdefghijklmnopqrstuvwxyzABCDEFGHIJKLMNOPQRSTUVWXYZ.")))))</f>
        <v>0</v>
      </c>
      <c r="V579">
        <f>AND(IF(metadata!C579="",FALSE,TRUE),exact(metadata!C579,"UBERON:genitourinary"))</f>
        <v>0</v>
      </c>
      <c r="W579">
        <f>AND(IF(metadata!D579="",FALSE,TRUE),exact(metadata!D579,"UBERON:urine"))</f>
        <v>0</v>
      </c>
      <c r="X579">
        <f>AND(IF(metadata!E579="",FALSE,TRUE),exact(metadata!E579,"UBERON:kidney"))</f>
        <v>0</v>
      </c>
      <c r="Y579">
        <f>AND(IF(metadata!F579="",FALSE,TRUE),exact(metadata!F579,"animal corpus"))</f>
        <v>0</v>
      </c>
      <c r="Z579">
        <f>AND(IF(metadata!G579="",FALSE,TRUE),exact(metadata!G579,"urine"))</f>
        <v>0</v>
      </c>
      <c r="AA579">
        <f>AND(IF(metadata!H579="",FALSE,TRUE),exact(metadata!H579,"urine"))</f>
        <v>0</v>
      </c>
      <c r="AB579">
        <f>AND(IF(metadata!I579="",FALSE,TRUE),exact(metadata!I579,"urine metagenome"))</f>
        <v>0</v>
      </c>
      <c r="AC579">
        <f>AND(IF(metadata!J579="",FALSE,TRUE),exact(metadata!J579,"1346744"))</f>
        <v>0</v>
      </c>
    </row>
    <row r="580" spans="1:29">
      <c r="A580" s="4">
        <f>IF(B580=" "," ",HYPERLINK(CONCATENATE("#metadata!",ADDRESS(INDEX($P$2:$P$1001,MATCH(ROWS($N$2:N580),$N$2:$N$1001,0),0),1)),INDEX($S$2:$S$1001,MATCH(ROWS($N$2:N580),$N$2:$N$1001,0),0)))</f>
        <v>0</v>
      </c>
      <c r="B580" s="3">
        <f>IF(OR(INDEX($O$2:$O$1001,MATCH(ROWS($N$2:N580),$N$2:$N$1001,0),1)&gt;=100000,INDEX($U$1005:$AC$1005,1,MATCH(COLUMNS($U$1006:U1006),$U$1006:$AC$1006,0))&gt;=100000), " ",IF(INDEX($U$2:$AC$1001,MATCH(ROWS($N$2:N580),$N$2:$N$1001,0),MATCH(COLUMNS($U$1006:U1006),$U$1006:$AC$1006,0)), HYPERLINK("#",""), HYPERLINK(CONCATENATE("#metadata!", ADDRESS(INDEX($P$2:$P$1001,MATCH(ROWS($N$2:N580),$N$2:$N$1001,0),0), INDEX($U$1004:$AC$1004,1,MATCH(COLUMNS($U$1006:U1006),$U$1006:$AC$1006,0)))),"Fix")))</f>
        <v>0</v>
      </c>
      <c r="C580" s="3">
        <f>IF(OR(INDEX($O$2:$O$1001,MATCH(ROWS($N$2:N580),$N$2:$N$1001,0),1)&gt;=100000,INDEX($U$1005:$AC$1005,1,MATCH(COLUMNS($U$1006:V1006),$U$1006:$AC$1006,0))&gt;=100000), " ",IF(INDEX($U$2:$AC$1001,MATCH(ROWS($N$2:N580),$N$2:$N$1001,0),MATCH(COLUMNS($U$1006:V1006),$U$1006:$AC$1006,0)), HYPERLINK("#",""), HYPERLINK(CONCATENATE("#metadata!", ADDRESS(INDEX($P$2:$P$1001,MATCH(ROWS($N$2:N580),$N$2:$N$1001,0),0), INDEX($U$1004:$AC$1004,1,MATCH(COLUMNS($U$1006:V1006),$U$1006:$AC$1006,0)))),"Fix")))</f>
        <v>0</v>
      </c>
      <c r="D580" s="3">
        <f>IF(OR(INDEX($O$2:$O$1001,MATCH(ROWS($N$2:N580),$N$2:$N$1001,0),1)&gt;=100000,INDEX($U$1005:$AC$1005,1,MATCH(COLUMNS($U$1006:W1006),$U$1006:$AC$1006,0))&gt;=100000), " ",IF(INDEX($U$2:$AC$1001,MATCH(ROWS($N$2:N580),$N$2:$N$1001,0),MATCH(COLUMNS($U$1006:W1006),$U$1006:$AC$1006,0)), HYPERLINK("#",""), HYPERLINK(CONCATENATE("#metadata!", ADDRESS(INDEX($P$2:$P$1001,MATCH(ROWS($N$2:N580),$N$2:$N$1001,0),0), INDEX($U$1004:$AC$1004,1,MATCH(COLUMNS($U$1006:W1006),$U$1006:$AC$1006,0)))),"Fix")))</f>
        <v>0</v>
      </c>
      <c r="E580" s="3">
        <f>IF(OR(INDEX($O$2:$O$1001,MATCH(ROWS($N$2:N580),$N$2:$N$1001,0),1)&gt;=100000,INDEX($U$1005:$AC$1005,1,MATCH(COLUMNS($U$1006:X1006),$U$1006:$AC$1006,0))&gt;=100000), " ",IF(INDEX($U$2:$AC$1001,MATCH(ROWS($N$2:N580),$N$2:$N$1001,0),MATCH(COLUMNS($U$1006:X1006),$U$1006:$AC$1006,0)), HYPERLINK("#",""), HYPERLINK(CONCATENATE("#metadata!", ADDRESS(INDEX($P$2:$P$1001,MATCH(ROWS($N$2:N580),$N$2:$N$1001,0),0), INDEX($U$1004:$AC$1004,1,MATCH(COLUMNS($U$1006:X1006),$U$1006:$AC$1006,0)))),"Fix")))</f>
        <v>0</v>
      </c>
      <c r="F580" s="3">
        <f>IF(OR(INDEX($O$2:$O$1001,MATCH(ROWS($N$2:N580),$N$2:$N$1001,0),1)&gt;=100000,INDEX($U$1005:$AC$1005,1,MATCH(COLUMNS($U$1006:Y1006),$U$1006:$AC$1006,0))&gt;=100000), " ",IF(INDEX($U$2:$AC$1001,MATCH(ROWS($N$2:N580),$N$2:$N$1001,0),MATCH(COLUMNS($U$1006:Y1006),$U$1006:$AC$1006,0)), HYPERLINK("#",""), HYPERLINK(CONCATENATE("#metadata!", ADDRESS(INDEX($P$2:$P$1001,MATCH(ROWS($N$2:N580),$N$2:$N$1001,0),0), INDEX($U$1004:$AC$1004,1,MATCH(COLUMNS($U$1006:Y1006),$U$1006:$AC$1006,0)))),"Fix")))</f>
        <v>0</v>
      </c>
      <c r="G580" s="3">
        <f>IF(OR(INDEX($O$2:$O$1001,MATCH(ROWS($N$2:N580),$N$2:$N$1001,0),1)&gt;=100000,INDEX($U$1005:$AC$1005,1,MATCH(COLUMNS($U$1006:Z1006),$U$1006:$AC$1006,0))&gt;=100000), " ",IF(INDEX($U$2:$AC$1001,MATCH(ROWS($N$2:N580),$N$2:$N$1001,0),MATCH(COLUMNS($U$1006:Z1006),$U$1006:$AC$1006,0)), HYPERLINK("#",""), HYPERLINK(CONCATENATE("#metadata!", ADDRESS(INDEX($P$2:$P$1001,MATCH(ROWS($N$2:N580),$N$2:$N$1001,0),0), INDEX($U$1004:$AC$1004,1,MATCH(COLUMNS($U$1006:Z1006),$U$1006:$AC$1006,0)))),"Fix")))</f>
        <v>0</v>
      </c>
      <c r="H580" s="3">
        <f>IF(OR(INDEX($O$2:$O$1001,MATCH(ROWS($N$2:N580),$N$2:$N$1001,0),1)&gt;=100000,INDEX($U$1005:$AC$1005,1,MATCH(COLUMNS($U$1006:AA1006),$U$1006:$AC$1006,0))&gt;=100000), " ",IF(INDEX($U$2:$AC$1001,MATCH(ROWS($N$2:N580),$N$2:$N$1001,0),MATCH(COLUMNS($U$1006:AA1006),$U$1006:$AC$1006,0)), HYPERLINK("#",""), HYPERLINK(CONCATENATE("#metadata!", ADDRESS(INDEX($P$2:$P$1001,MATCH(ROWS($N$2:N580),$N$2:$N$1001,0),0), INDEX($U$1004:$AC$1004,1,MATCH(COLUMNS($U$1006:AA1006),$U$1006:$AC$1006,0)))),"Fix")))</f>
        <v>0</v>
      </c>
      <c r="I580" s="3">
        <f>IF(OR(INDEX($O$2:$O$1001,MATCH(ROWS($N$2:N580),$N$2:$N$1001,0),1)&gt;=100000,INDEX($U$1005:$AC$1005,1,MATCH(COLUMNS($U$1006:AB1006),$U$1006:$AC$1006,0))&gt;=100000), " ",IF(INDEX($U$2:$AC$1001,MATCH(ROWS($N$2:N580),$N$2:$N$1001,0),MATCH(COLUMNS($U$1006:AB1006),$U$1006:$AC$1006,0)), HYPERLINK("#",""), HYPERLINK(CONCATENATE("#metadata!", ADDRESS(INDEX($P$2:$P$1001,MATCH(ROWS($N$2:N580),$N$2:$N$1001,0),0), INDEX($U$1004:$AC$1004,1,MATCH(COLUMNS($U$1006:AB1006),$U$1006:$AC$1006,0)))),"Fix")))</f>
        <v>0</v>
      </c>
      <c r="J580" s="3">
        <f>IF(OR(INDEX($O$2:$O$1001,MATCH(ROWS($N$2:N580),$N$2:$N$1001,0),1)&gt;=100000,INDEX($U$1005:$AC$1005,1,MATCH(COLUMNS($U$1006:AC1006),$U$1006:$AC$1006,0))&gt;=100000), " ",IF(INDEX($U$2:$AC$1001,MATCH(ROWS($N$2:N580),$N$2:$N$1001,0),MATCH(COLUMNS($U$1006:AC1006),$U$1006:$AC$1006,0)), HYPERLINK("#",""), HYPERLINK(CONCATENATE("#metadata!", ADDRESS(INDEX($P$2:$P$1001,MATCH(ROWS($N$2:N580),$N$2:$N$1001,0),0), INDEX($U$1004:$AC$1004,1,MATCH(COLUMNS($U$1006:AC1006),$U$1006:$AC$1006,0)))),"Fix")))</f>
        <v>0</v>
      </c>
      <c r="N580">
        <v>0</v>
      </c>
      <c r="O580">
        <v>0</v>
      </c>
      <c r="P580">
        <v>0</v>
      </c>
      <c r="Q580">
        <f>IF(R580,TRUE,AND(U580:AC580))</f>
        <v>0</v>
      </c>
      <c r="R580">
        <f>COUNTBLANK(metadata!B580:J580)=COLUMNS(metadata!B580:J580)</f>
        <v>0</v>
      </c>
      <c r="S580">
        <v>0</v>
      </c>
      <c r="U580">
        <f>AND(IF(metadata!B580="",FALSE,TRUE),COUNTIF(metadata!B:B, metadata!B580) = 1,NOT(ISERROR(SUMPRODUCT(SEARCH(MID(metadata!B580,ROW(INDIRECT("1:"&amp;LEN(metadata!B580))), 1),"0123456789abcdefghijklmnopqrstuvwxyzABCDEFGHIJKLMNOPQRSTUVWXYZ.")))))</f>
        <v>0</v>
      </c>
      <c r="V580">
        <f>AND(IF(metadata!C580="",FALSE,TRUE),exact(metadata!C580,"UBERON:genitourinary"))</f>
        <v>0</v>
      </c>
      <c r="W580">
        <f>AND(IF(metadata!D580="",FALSE,TRUE),exact(metadata!D580,"UBERON:urine"))</f>
        <v>0</v>
      </c>
      <c r="X580">
        <f>AND(IF(metadata!E580="",FALSE,TRUE),exact(metadata!E580,"UBERON:kidney"))</f>
        <v>0</v>
      </c>
      <c r="Y580">
        <f>AND(IF(metadata!F580="",FALSE,TRUE),exact(metadata!F580,"animal corpus"))</f>
        <v>0</v>
      </c>
      <c r="Z580">
        <f>AND(IF(metadata!G580="",FALSE,TRUE),exact(metadata!G580,"urine"))</f>
        <v>0</v>
      </c>
      <c r="AA580">
        <f>AND(IF(metadata!H580="",FALSE,TRUE),exact(metadata!H580,"urine"))</f>
        <v>0</v>
      </c>
      <c r="AB580">
        <f>AND(IF(metadata!I580="",FALSE,TRUE),exact(metadata!I580,"urine metagenome"))</f>
        <v>0</v>
      </c>
      <c r="AC580">
        <f>AND(IF(metadata!J580="",FALSE,TRUE),exact(metadata!J580,"1346744"))</f>
        <v>0</v>
      </c>
    </row>
    <row r="581" spans="1:29">
      <c r="A581" s="4">
        <f>IF(B581=" "," ",HYPERLINK(CONCATENATE("#metadata!",ADDRESS(INDEX($P$2:$P$1001,MATCH(ROWS($N$2:N581),$N$2:$N$1001,0),0),1)),INDEX($S$2:$S$1001,MATCH(ROWS($N$2:N581),$N$2:$N$1001,0),0)))</f>
        <v>0</v>
      </c>
      <c r="B581" s="3">
        <f>IF(OR(INDEX($O$2:$O$1001,MATCH(ROWS($N$2:N581),$N$2:$N$1001,0),1)&gt;=100000,INDEX($U$1005:$AC$1005,1,MATCH(COLUMNS($U$1006:U1006),$U$1006:$AC$1006,0))&gt;=100000), " ",IF(INDEX($U$2:$AC$1001,MATCH(ROWS($N$2:N581),$N$2:$N$1001,0),MATCH(COLUMNS($U$1006:U1006),$U$1006:$AC$1006,0)), HYPERLINK("#",""), HYPERLINK(CONCATENATE("#metadata!", ADDRESS(INDEX($P$2:$P$1001,MATCH(ROWS($N$2:N581),$N$2:$N$1001,0),0), INDEX($U$1004:$AC$1004,1,MATCH(COLUMNS($U$1006:U1006),$U$1006:$AC$1006,0)))),"Fix")))</f>
        <v>0</v>
      </c>
      <c r="C581" s="3">
        <f>IF(OR(INDEX($O$2:$O$1001,MATCH(ROWS($N$2:N581),$N$2:$N$1001,0),1)&gt;=100000,INDEX($U$1005:$AC$1005,1,MATCH(COLUMNS($U$1006:V1006),$U$1006:$AC$1006,0))&gt;=100000), " ",IF(INDEX($U$2:$AC$1001,MATCH(ROWS($N$2:N581),$N$2:$N$1001,0),MATCH(COLUMNS($U$1006:V1006),$U$1006:$AC$1006,0)), HYPERLINK("#",""), HYPERLINK(CONCATENATE("#metadata!", ADDRESS(INDEX($P$2:$P$1001,MATCH(ROWS($N$2:N581),$N$2:$N$1001,0),0), INDEX($U$1004:$AC$1004,1,MATCH(COLUMNS($U$1006:V1006),$U$1006:$AC$1006,0)))),"Fix")))</f>
        <v>0</v>
      </c>
      <c r="D581" s="3">
        <f>IF(OR(INDEX($O$2:$O$1001,MATCH(ROWS($N$2:N581),$N$2:$N$1001,0),1)&gt;=100000,INDEX($U$1005:$AC$1005,1,MATCH(COLUMNS($U$1006:W1006),$U$1006:$AC$1006,0))&gt;=100000), " ",IF(INDEX($U$2:$AC$1001,MATCH(ROWS($N$2:N581),$N$2:$N$1001,0),MATCH(COLUMNS($U$1006:W1006),$U$1006:$AC$1006,0)), HYPERLINK("#",""), HYPERLINK(CONCATENATE("#metadata!", ADDRESS(INDEX($P$2:$P$1001,MATCH(ROWS($N$2:N581),$N$2:$N$1001,0),0), INDEX($U$1004:$AC$1004,1,MATCH(COLUMNS($U$1006:W1006),$U$1006:$AC$1006,0)))),"Fix")))</f>
        <v>0</v>
      </c>
      <c r="E581" s="3">
        <f>IF(OR(INDEX($O$2:$O$1001,MATCH(ROWS($N$2:N581),$N$2:$N$1001,0),1)&gt;=100000,INDEX($U$1005:$AC$1005,1,MATCH(COLUMNS($U$1006:X1006),$U$1006:$AC$1006,0))&gt;=100000), " ",IF(INDEX($U$2:$AC$1001,MATCH(ROWS($N$2:N581),$N$2:$N$1001,0),MATCH(COLUMNS($U$1006:X1006),$U$1006:$AC$1006,0)), HYPERLINK("#",""), HYPERLINK(CONCATENATE("#metadata!", ADDRESS(INDEX($P$2:$P$1001,MATCH(ROWS($N$2:N581),$N$2:$N$1001,0),0), INDEX($U$1004:$AC$1004,1,MATCH(COLUMNS($U$1006:X1006),$U$1006:$AC$1006,0)))),"Fix")))</f>
        <v>0</v>
      </c>
      <c r="F581" s="3">
        <f>IF(OR(INDEX($O$2:$O$1001,MATCH(ROWS($N$2:N581),$N$2:$N$1001,0),1)&gt;=100000,INDEX($U$1005:$AC$1005,1,MATCH(COLUMNS($U$1006:Y1006),$U$1006:$AC$1006,0))&gt;=100000), " ",IF(INDEX($U$2:$AC$1001,MATCH(ROWS($N$2:N581),$N$2:$N$1001,0),MATCH(COLUMNS($U$1006:Y1006),$U$1006:$AC$1006,0)), HYPERLINK("#",""), HYPERLINK(CONCATENATE("#metadata!", ADDRESS(INDEX($P$2:$P$1001,MATCH(ROWS($N$2:N581),$N$2:$N$1001,0),0), INDEX($U$1004:$AC$1004,1,MATCH(COLUMNS($U$1006:Y1006),$U$1006:$AC$1006,0)))),"Fix")))</f>
        <v>0</v>
      </c>
      <c r="G581" s="3">
        <f>IF(OR(INDEX($O$2:$O$1001,MATCH(ROWS($N$2:N581),$N$2:$N$1001,0),1)&gt;=100000,INDEX($U$1005:$AC$1005,1,MATCH(COLUMNS($U$1006:Z1006),$U$1006:$AC$1006,0))&gt;=100000), " ",IF(INDEX($U$2:$AC$1001,MATCH(ROWS($N$2:N581),$N$2:$N$1001,0),MATCH(COLUMNS($U$1006:Z1006),$U$1006:$AC$1006,0)), HYPERLINK("#",""), HYPERLINK(CONCATENATE("#metadata!", ADDRESS(INDEX($P$2:$P$1001,MATCH(ROWS($N$2:N581),$N$2:$N$1001,0),0), INDEX($U$1004:$AC$1004,1,MATCH(COLUMNS($U$1006:Z1006),$U$1006:$AC$1006,0)))),"Fix")))</f>
        <v>0</v>
      </c>
      <c r="H581" s="3">
        <f>IF(OR(INDEX($O$2:$O$1001,MATCH(ROWS($N$2:N581),$N$2:$N$1001,0),1)&gt;=100000,INDEX($U$1005:$AC$1005,1,MATCH(COLUMNS($U$1006:AA1006),$U$1006:$AC$1006,0))&gt;=100000), " ",IF(INDEX($U$2:$AC$1001,MATCH(ROWS($N$2:N581),$N$2:$N$1001,0),MATCH(COLUMNS($U$1006:AA1006),$U$1006:$AC$1006,0)), HYPERLINK("#",""), HYPERLINK(CONCATENATE("#metadata!", ADDRESS(INDEX($P$2:$P$1001,MATCH(ROWS($N$2:N581),$N$2:$N$1001,0),0), INDEX($U$1004:$AC$1004,1,MATCH(COLUMNS($U$1006:AA1006),$U$1006:$AC$1006,0)))),"Fix")))</f>
        <v>0</v>
      </c>
      <c r="I581" s="3">
        <f>IF(OR(INDEX($O$2:$O$1001,MATCH(ROWS($N$2:N581),$N$2:$N$1001,0),1)&gt;=100000,INDEX($U$1005:$AC$1005,1,MATCH(COLUMNS($U$1006:AB1006),$U$1006:$AC$1006,0))&gt;=100000), " ",IF(INDEX($U$2:$AC$1001,MATCH(ROWS($N$2:N581),$N$2:$N$1001,0),MATCH(COLUMNS($U$1006:AB1006),$U$1006:$AC$1006,0)), HYPERLINK("#",""), HYPERLINK(CONCATENATE("#metadata!", ADDRESS(INDEX($P$2:$P$1001,MATCH(ROWS($N$2:N581),$N$2:$N$1001,0),0), INDEX($U$1004:$AC$1004,1,MATCH(COLUMNS($U$1006:AB1006),$U$1006:$AC$1006,0)))),"Fix")))</f>
        <v>0</v>
      </c>
      <c r="J581" s="3">
        <f>IF(OR(INDEX($O$2:$O$1001,MATCH(ROWS($N$2:N581),$N$2:$N$1001,0),1)&gt;=100000,INDEX($U$1005:$AC$1005,1,MATCH(COLUMNS($U$1006:AC1006),$U$1006:$AC$1006,0))&gt;=100000), " ",IF(INDEX($U$2:$AC$1001,MATCH(ROWS($N$2:N581),$N$2:$N$1001,0),MATCH(COLUMNS($U$1006:AC1006),$U$1006:$AC$1006,0)), HYPERLINK("#",""), HYPERLINK(CONCATENATE("#metadata!", ADDRESS(INDEX($P$2:$P$1001,MATCH(ROWS($N$2:N581),$N$2:$N$1001,0),0), INDEX($U$1004:$AC$1004,1,MATCH(COLUMNS($U$1006:AC1006),$U$1006:$AC$1006,0)))),"Fix")))</f>
        <v>0</v>
      </c>
      <c r="N581">
        <v>0</v>
      </c>
      <c r="O581">
        <v>0</v>
      </c>
      <c r="P581">
        <v>0</v>
      </c>
      <c r="Q581">
        <f>IF(R581,TRUE,AND(U581:AC581))</f>
        <v>0</v>
      </c>
      <c r="R581">
        <f>COUNTBLANK(metadata!B581:J581)=COLUMNS(metadata!B581:J581)</f>
        <v>0</v>
      </c>
      <c r="S581">
        <v>0</v>
      </c>
      <c r="U581">
        <f>AND(IF(metadata!B581="",FALSE,TRUE),COUNTIF(metadata!B:B, metadata!B581) = 1,NOT(ISERROR(SUMPRODUCT(SEARCH(MID(metadata!B581,ROW(INDIRECT("1:"&amp;LEN(metadata!B581))), 1),"0123456789abcdefghijklmnopqrstuvwxyzABCDEFGHIJKLMNOPQRSTUVWXYZ.")))))</f>
        <v>0</v>
      </c>
      <c r="V581">
        <f>AND(IF(metadata!C581="",FALSE,TRUE),exact(metadata!C581,"UBERON:genitourinary"))</f>
        <v>0</v>
      </c>
      <c r="W581">
        <f>AND(IF(metadata!D581="",FALSE,TRUE),exact(metadata!D581,"UBERON:urine"))</f>
        <v>0</v>
      </c>
      <c r="X581">
        <f>AND(IF(metadata!E581="",FALSE,TRUE),exact(metadata!E581,"UBERON:kidney"))</f>
        <v>0</v>
      </c>
      <c r="Y581">
        <f>AND(IF(metadata!F581="",FALSE,TRUE),exact(metadata!F581,"animal corpus"))</f>
        <v>0</v>
      </c>
      <c r="Z581">
        <f>AND(IF(metadata!G581="",FALSE,TRUE),exact(metadata!G581,"urine"))</f>
        <v>0</v>
      </c>
      <c r="AA581">
        <f>AND(IF(metadata!H581="",FALSE,TRUE),exact(metadata!H581,"urine"))</f>
        <v>0</v>
      </c>
      <c r="AB581">
        <f>AND(IF(metadata!I581="",FALSE,TRUE),exact(metadata!I581,"urine metagenome"))</f>
        <v>0</v>
      </c>
      <c r="AC581">
        <f>AND(IF(metadata!J581="",FALSE,TRUE),exact(metadata!J581,"1346744"))</f>
        <v>0</v>
      </c>
    </row>
    <row r="582" spans="1:29">
      <c r="A582" s="4">
        <f>IF(B582=" "," ",HYPERLINK(CONCATENATE("#metadata!",ADDRESS(INDEX($P$2:$P$1001,MATCH(ROWS($N$2:N582),$N$2:$N$1001,0),0),1)),INDEX($S$2:$S$1001,MATCH(ROWS($N$2:N582),$N$2:$N$1001,0),0)))</f>
        <v>0</v>
      </c>
      <c r="B582" s="3">
        <f>IF(OR(INDEX($O$2:$O$1001,MATCH(ROWS($N$2:N582),$N$2:$N$1001,0),1)&gt;=100000,INDEX($U$1005:$AC$1005,1,MATCH(COLUMNS($U$1006:U1006),$U$1006:$AC$1006,0))&gt;=100000), " ",IF(INDEX($U$2:$AC$1001,MATCH(ROWS($N$2:N582),$N$2:$N$1001,0),MATCH(COLUMNS($U$1006:U1006),$U$1006:$AC$1006,0)), HYPERLINK("#",""), HYPERLINK(CONCATENATE("#metadata!", ADDRESS(INDEX($P$2:$P$1001,MATCH(ROWS($N$2:N582),$N$2:$N$1001,0),0), INDEX($U$1004:$AC$1004,1,MATCH(COLUMNS($U$1006:U1006),$U$1006:$AC$1006,0)))),"Fix")))</f>
        <v>0</v>
      </c>
      <c r="C582" s="3">
        <f>IF(OR(INDEX($O$2:$O$1001,MATCH(ROWS($N$2:N582),$N$2:$N$1001,0),1)&gt;=100000,INDEX($U$1005:$AC$1005,1,MATCH(COLUMNS($U$1006:V1006),$U$1006:$AC$1006,0))&gt;=100000), " ",IF(INDEX($U$2:$AC$1001,MATCH(ROWS($N$2:N582),$N$2:$N$1001,0),MATCH(COLUMNS($U$1006:V1006),$U$1006:$AC$1006,0)), HYPERLINK("#",""), HYPERLINK(CONCATENATE("#metadata!", ADDRESS(INDEX($P$2:$P$1001,MATCH(ROWS($N$2:N582),$N$2:$N$1001,0),0), INDEX($U$1004:$AC$1004,1,MATCH(COLUMNS($U$1006:V1006),$U$1006:$AC$1006,0)))),"Fix")))</f>
        <v>0</v>
      </c>
      <c r="D582" s="3">
        <f>IF(OR(INDEX($O$2:$O$1001,MATCH(ROWS($N$2:N582),$N$2:$N$1001,0),1)&gt;=100000,INDEX($U$1005:$AC$1005,1,MATCH(COLUMNS($U$1006:W1006),$U$1006:$AC$1006,0))&gt;=100000), " ",IF(INDEX($U$2:$AC$1001,MATCH(ROWS($N$2:N582),$N$2:$N$1001,0),MATCH(COLUMNS($U$1006:W1006),$U$1006:$AC$1006,0)), HYPERLINK("#",""), HYPERLINK(CONCATENATE("#metadata!", ADDRESS(INDEX($P$2:$P$1001,MATCH(ROWS($N$2:N582),$N$2:$N$1001,0),0), INDEX($U$1004:$AC$1004,1,MATCH(COLUMNS($U$1006:W1006),$U$1006:$AC$1006,0)))),"Fix")))</f>
        <v>0</v>
      </c>
      <c r="E582" s="3">
        <f>IF(OR(INDEX($O$2:$O$1001,MATCH(ROWS($N$2:N582),$N$2:$N$1001,0),1)&gt;=100000,INDEX($U$1005:$AC$1005,1,MATCH(COLUMNS($U$1006:X1006),$U$1006:$AC$1006,0))&gt;=100000), " ",IF(INDEX($U$2:$AC$1001,MATCH(ROWS($N$2:N582),$N$2:$N$1001,0),MATCH(COLUMNS($U$1006:X1006),$U$1006:$AC$1006,0)), HYPERLINK("#",""), HYPERLINK(CONCATENATE("#metadata!", ADDRESS(INDEX($P$2:$P$1001,MATCH(ROWS($N$2:N582),$N$2:$N$1001,0),0), INDEX($U$1004:$AC$1004,1,MATCH(COLUMNS($U$1006:X1006),$U$1006:$AC$1006,0)))),"Fix")))</f>
        <v>0</v>
      </c>
      <c r="F582" s="3">
        <f>IF(OR(INDEX($O$2:$O$1001,MATCH(ROWS($N$2:N582),$N$2:$N$1001,0),1)&gt;=100000,INDEX($U$1005:$AC$1005,1,MATCH(COLUMNS($U$1006:Y1006),$U$1006:$AC$1006,0))&gt;=100000), " ",IF(INDEX($U$2:$AC$1001,MATCH(ROWS($N$2:N582),$N$2:$N$1001,0),MATCH(COLUMNS($U$1006:Y1006),$U$1006:$AC$1006,0)), HYPERLINK("#",""), HYPERLINK(CONCATENATE("#metadata!", ADDRESS(INDEX($P$2:$P$1001,MATCH(ROWS($N$2:N582),$N$2:$N$1001,0),0), INDEX($U$1004:$AC$1004,1,MATCH(COLUMNS($U$1006:Y1006),$U$1006:$AC$1006,0)))),"Fix")))</f>
        <v>0</v>
      </c>
      <c r="G582" s="3">
        <f>IF(OR(INDEX($O$2:$O$1001,MATCH(ROWS($N$2:N582),$N$2:$N$1001,0),1)&gt;=100000,INDEX($U$1005:$AC$1005,1,MATCH(COLUMNS($U$1006:Z1006),$U$1006:$AC$1006,0))&gt;=100000), " ",IF(INDEX($U$2:$AC$1001,MATCH(ROWS($N$2:N582),$N$2:$N$1001,0),MATCH(COLUMNS($U$1006:Z1006),$U$1006:$AC$1006,0)), HYPERLINK("#",""), HYPERLINK(CONCATENATE("#metadata!", ADDRESS(INDEX($P$2:$P$1001,MATCH(ROWS($N$2:N582),$N$2:$N$1001,0),0), INDEX($U$1004:$AC$1004,1,MATCH(COLUMNS($U$1006:Z1006),$U$1006:$AC$1006,0)))),"Fix")))</f>
        <v>0</v>
      </c>
      <c r="H582" s="3">
        <f>IF(OR(INDEX($O$2:$O$1001,MATCH(ROWS($N$2:N582),$N$2:$N$1001,0),1)&gt;=100000,INDEX($U$1005:$AC$1005,1,MATCH(COLUMNS($U$1006:AA1006),$U$1006:$AC$1006,0))&gt;=100000), " ",IF(INDEX($U$2:$AC$1001,MATCH(ROWS($N$2:N582),$N$2:$N$1001,0),MATCH(COLUMNS($U$1006:AA1006),$U$1006:$AC$1006,0)), HYPERLINK("#",""), HYPERLINK(CONCATENATE("#metadata!", ADDRESS(INDEX($P$2:$P$1001,MATCH(ROWS($N$2:N582),$N$2:$N$1001,0),0), INDEX($U$1004:$AC$1004,1,MATCH(COLUMNS($U$1006:AA1006),$U$1006:$AC$1006,0)))),"Fix")))</f>
        <v>0</v>
      </c>
      <c r="I582" s="3">
        <f>IF(OR(INDEX($O$2:$O$1001,MATCH(ROWS($N$2:N582),$N$2:$N$1001,0),1)&gt;=100000,INDEX($U$1005:$AC$1005,1,MATCH(COLUMNS($U$1006:AB1006),$U$1006:$AC$1006,0))&gt;=100000), " ",IF(INDEX($U$2:$AC$1001,MATCH(ROWS($N$2:N582),$N$2:$N$1001,0),MATCH(COLUMNS($U$1006:AB1006),$U$1006:$AC$1006,0)), HYPERLINK("#",""), HYPERLINK(CONCATENATE("#metadata!", ADDRESS(INDEX($P$2:$P$1001,MATCH(ROWS($N$2:N582),$N$2:$N$1001,0),0), INDEX($U$1004:$AC$1004,1,MATCH(COLUMNS($U$1006:AB1006),$U$1006:$AC$1006,0)))),"Fix")))</f>
        <v>0</v>
      </c>
      <c r="J582" s="3">
        <f>IF(OR(INDEX($O$2:$O$1001,MATCH(ROWS($N$2:N582),$N$2:$N$1001,0),1)&gt;=100000,INDEX($U$1005:$AC$1005,1,MATCH(COLUMNS($U$1006:AC1006),$U$1006:$AC$1006,0))&gt;=100000), " ",IF(INDEX($U$2:$AC$1001,MATCH(ROWS($N$2:N582),$N$2:$N$1001,0),MATCH(COLUMNS($U$1006:AC1006),$U$1006:$AC$1006,0)), HYPERLINK("#",""), HYPERLINK(CONCATENATE("#metadata!", ADDRESS(INDEX($P$2:$P$1001,MATCH(ROWS($N$2:N582),$N$2:$N$1001,0),0), INDEX($U$1004:$AC$1004,1,MATCH(COLUMNS($U$1006:AC1006),$U$1006:$AC$1006,0)))),"Fix")))</f>
        <v>0</v>
      </c>
      <c r="N582">
        <v>0</v>
      </c>
      <c r="O582">
        <v>0</v>
      </c>
      <c r="P582">
        <v>0</v>
      </c>
      <c r="Q582">
        <f>IF(R582,TRUE,AND(U582:AC582))</f>
        <v>0</v>
      </c>
      <c r="R582">
        <f>COUNTBLANK(metadata!B582:J582)=COLUMNS(metadata!B582:J582)</f>
        <v>0</v>
      </c>
      <c r="S582">
        <v>0</v>
      </c>
      <c r="U582">
        <f>AND(IF(metadata!B582="",FALSE,TRUE),COUNTIF(metadata!B:B, metadata!B582) = 1,NOT(ISERROR(SUMPRODUCT(SEARCH(MID(metadata!B582,ROW(INDIRECT("1:"&amp;LEN(metadata!B582))), 1),"0123456789abcdefghijklmnopqrstuvwxyzABCDEFGHIJKLMNOPQRSTUVWXYZ.")))))</f>
        <v>0</v>
      </c>
      <c r="V582">
        <f>AND(IF(metadata!C582="",FALSE,TRUE),exact(metadata!C582,"UBERON:genitourinary"))</f>
        <v>0</v>
      </c>
      <c r="W582">
        <f>AND(IF(metadata!D582="",FALSE,TRUE),exact(metadata!D582,"UBERON:urine"))</f>
        <v>0</v>
      </c>
      <c r="X582">
        <f>AND(IF(metadata!E582="",FALSE,TRUE),exact(metadata!E582,"UBERON:kidney"))</f>
        <v>0</v>
      </c>
      <c r="Y582">
        <f>AND(IF(metadata!F582="",FALSE,TRUE),exact(metadata!F582,"animal corpus"))</f>
        <v>0</v>
      </c>
      <c r="Z582">
        <f>AND(IF(metadata!G582="",FALSE,TRUE),exact(metadata!G582,"urine"))</f>
        <v>0</v>
      </c>
      <c r="AA582">
        <f>AND(IF(metadata!H582="",FALSE,TRUE),exact(metadata!H582,"urine"))</f>
        <v>0</v>
      </c>
      <c r="AB582">
        <f>AND(IF(metadata!I582="",FALSE,TRUE),exact(metadata!I582,"urine metagenome"))</f>
        <v>0</v>
      </c>
      <c r="AC582">
        <f>AND(IF(metadata!J582="",FALSE,TRUE),exact(metadata!J582,"1346744"))</f>
        <v>0</v>
      </c>
    </row>
    <row r="583" spans="1:29">
      <c r="A583" s="4">
        <f>IF(B583=" "," ",HYPERLINK(CONCATENATE("#metadata!",ADDRESS(INDEX($P$2:$P$1001,MATCH(ROWS($N$2:N583),$N$2:$N$1001,0),0),1)),INDEX($S$2:$S$1001,MATCH(ROWS($N$2:N583),$N$2:$N$1001,0),0)))</f>
        <v>0</v>
      </c>
      <c r="B583" s="3">
        <f>IF(OR(INDEX($O$2:$O$1001,MATCH(ROWS($N$2:N583),$N$2:$N$1001,0),1)&gt;=100000,INDEX($U$1005:$AC$1005,1,MATCH(COLUMNS($U$1006:U1006),$U$1006:$AC$1006,0))&gt;=100000), " ",IF(INDEX($U$2:$AC$1001,MATCH(ROWS($N$2:N583),$N$2:$N$1001,0),MATCH(COLUMNS($U$1006:U1006),$U$1006:$AC$1006,0)), HYPERLINK("#",""), HYPERLINK(CONCATENATE("#metadata!", ADDRESS(INDEX($P$2:$P$1001,MATCH(ROWS($N$2:N583),$N$2:$N$1001,0),0), INDEX($U$1004:$AC$1004,1,MATCH(COLUMNS($U$1006:U1006),$U$1006:$AC$1006,0)))),"Fix")))</f>
        <v>0</v>
      </c>
      <c r="C583" s="3">
        <f>IF(OR(INDEX($O$2:$O$1001,MATCH(ROWS($N$2:N583),$N$2:$N$1001,0),1)&gt;=100000,INDEX($U$1005:$AC$1005,1,MATCH(COLUMNS($U$1006:V1006),$U$1006:$AC$1006,0))&gt;=100000), " ",IF(INDEX($U$2:$AC$1001,MATCH(ROWS($N$2:N583),$N$2:$N$1001,0),MATCH(COLUMNS($U$1006:V1006),$U$1006:$AC$1006,0)), HYPERLINK("#",""), HYPERLINK(CONCATENATE("#metadata!", ADDRESS(INDEX($P$2:$P$1001,MATCH(ROWS($N$2:N583),$N$2:$N$1001,0),0), INDEX($U$1004:$AC$1004,1,MATCH(COLUMNS($U$1006:V1006),$U$1006:$AC$1006,0)))),"Fix")))</f>
        <v>0</v>
      </c>
      <c r="D583" s="3">
        <f>IF(OR(INDEX($O$2:$O$1001,MATCH(ROWS($N$2:N583),$N$2:$N$1001,0),1)&gt;=100000,INDEX($U$1005:$AC$1005,1,MATCH(COLUMNS($U$1006:W1006),$U$1006:$AC$1006,0))&gt;=100000), " ",IF(INDEX($U$2:$AC$1001,MATCH(ROWS($N$2:N583),$N$2:$N$1001,0),MATCH(COLUMNS($U$1006:W1006),$U$1006:$AC$1006,0)), HYPERLINK("#",""), HYPERLINK(CONCATENATE("#metadata!", ADDRESS(INDEX($P$2:$P$1001,MATCH(ROWS($N$2:N583),$N$2:$N$1001,0),0), INDEX($U$1004:$AC$1004,1,MATCH(COLUMNS($U$1006:W1006),$U$1006:$AC$1006,0)))),"Fix")))</f>
        <v>0</v>
      </c>
      <c r="E583" s="3">
        <f>IF(OR(INDEX($O$2:$O$1001,MATCH(ROWS($N$2:N583),$N$2:$N$1001,0),1)&gt;=100000,INDEX($U$1005:$AC$1005,1,MATCH(COLUMNS($U$1006:X1006),$U$1006:$AC$1006,0))&gt;=100000), " ",IF(INDEX($U$2:$AC$1001,MATCH(ROWS($N$2:N583),$N$2:$N$1001,0),MATCH(COLUMNS($U$1006:X1006),$U$1006:$AC$1006,0)), HYPERLINK("#",""), HYPERLINK(CONCATENATE("#metadata!", ADDRESS(INDEX($P$2:$P$1001,MATCH(ROWS($N$2:N583),$N$2:$N$1001,0),0), INDEX($U$1004:$AC$1004,1,MATCH(COLUMNS($U$1006:X1006),$U$1006:$AC$1006,0)))),"Fix")))</f>
        <v>0</v>
      </c>
      <c r="F583" s="3">
        <f>IF(OR(INDEX($O$2:$O$1001,MATCH(ROWS($N$2:N583),$N$2:$N$1001,0),1)&gt;=100000,INDEX($U$1005:$AC$1005,1,MATCH(COLUMNS($U$1006:Y1006),$U$1006:$AC$1006,0))&gt;=100000), " ",IF(INDEX($U$2:$AC$1001,MATCH(ROWS($N$2:N583),$N$2:$N$1001,0),MATCH(COLUMNS($U$1006:Y1006),$U$1006:$AC$1006,0)), HYPERLINK("#",""), HYPERLINK(CONCATENATE("#metadata!", ADDRESS(INDEX($P$2:$P$1001,MATCH(ROWS($N$2:N583),$N$2:$N$1001,0),0), INDEX($U$1004:$AC$1004,1,MATCH(COLUMNS($U$1006:Y1006),$U$1006:$AC$1006,0)))),"Fix")))</f>
        <v>0</v>
      </c>
      <c r="G583" s="3">
        <f>IF(OR(INDEX($O$2:$O$1001,MATCH(ROWS($N$2:N583),$N$2:$N$1001,0),1)&gt;=100000,INDEX($U$1005:$AC$1005,1,MATCH(COLUMNS($U$1006:Z1006),$U$1006:$AC$1006,0))&gt;=100000), " ",IF(INDEX($U$2:$AC$1001,MATCH(ROWS($N$2:N583),$N$2:$N$1001,0),MATCH(COLUMNS($U$1006:Z1006),$U$1006:$AC$1006,0)), HYPERLINK("#",""), HYPERLINK(CONCATENATE("#metadata!", ADDRESS(INDEX($P$2:$P$1001,MATCH(ROWS($N$2:N583),$N$2:$N$1001,0),0), INDEX($U$1004:$AC$1004,1,MATCH(COLUMNS($U$1006:Z1006),$U$1006:$AC$1006,0)))),"Fix")))</f>
        <v>0</v>
      </c>
      <c r="H583" s="3">
        <f>IF(OR(INDEX($O$2:$O$1001,MATCH(ROWS($N$2:N583),$N$2:$N$1001,0),1)&gt;=100000,INDEX($U$1005:$AC$1005,1,MATCH(COLUMNS($U$1006:AA1006),$U$1006:$AC$1006,0))&gt;=100000), " ",IF(INDEX($U$2:$AC$1001,MATCH(ROWS($N$2:N583),$N$2:$N$1001,0),MATCH(COLUMNS($U$1006:AA1006),$U$1006:$AC$1006,0)), HYPERLINK("#",""), HYPERLINK(CONCATENATE("#metadata!", ADDRESS(INDEX($P$2:$P$1001,MATCH(ROWS($N$2:N583),$N$2:$N$1001,0),0), INDEX($U$1004:$AC$1004,1,MATCH(COLUMNS($U$1006:AA1006),$U$1006:$AC$1006,0)))),"Fix")))</f>
        <v>0</v>
      </c>
      <c r="I583" s="3">
        <f>IF(OR(INDEX($O$2:$O$1001,MATCH(ROWS($N$2:N583),$N$2:$N$1001,0),1)&gt;=100000,INDEX($U$1005:$AC$1005,1,MATCH(COLUMNS($U$1006:AB1006),$U$1006:$AC$1006,0))&gt;=100000), " ",IF(INDEX($U$2:$AC$1001,MATCH(ROWS($N$2:N583),$N$2:$N$1001,0),MATCH(COLUMNS($U$1006:AB1006),$U$1006:$AC$1006,0)), HYPERLINK("#",""), HYPERLINK(CONCATENATE("#metadata!", ADDRESS(INDEX($P$2:$P$1001,MATCH(ROWS($N$2:N583),$N$2:$N$1001,0),0), INDEX($U$1004:$AC$1004,1,MATCH(COLUMNS($U$1006:AB1006),$U$1006:$AC$1006,0)))),"Fix")))</f>
        <v>0</v>
      </c>
      <c r="J583" s="3">
        <f>IF(OR(INDEX($O$2:$O$1001,MATCH(ROWS($N$2:N583),$N$2:$N$1001,0),1)&gt;=100000,INDEX($U$1005:$AC$1005,1,MATCH(COLUMNS($U$1006:AC1006),$U$1006:$AC$1006,0))&gt;=100000), " ",IF(INDEX($U$2:$AC$1001,MATCH(ROWS($N$2:N583),$N$2:$N$1001,0),MATCH(COLUMNS($U$1006:AC1006),$U$1006:$AC$1006,0)), HYPERLINK("#",""), HYPERLINK(CONCATENATE("#metadata!", ADDRESS(INDEX($P$2:$P$1001,MATCH(ROWS($N$2:N583),$N$2:$N$1001,0),0), INDEX($U$1004:$AC$1004,1,MATCH(COLUMNS($U$1006:AC1006),$U$1006:$AC$1006,0)))),"Fix")))</f>
        <v>0</v>
      </c>
      <c r="N583">
        <v>0</v>
      </c>
      <c r="O583">
        <v>0</v>
      </c>
      <c r="P583">
        <v>0</v>
      </c>
      <c r="Q583">
        <f>IF(R583,TRUE,AND(U583:AC583))</f>
        <v>0</v>
      </c>
      <c r="R583">
        <f>COUNTBLANK(metadata!B583:J583)=COLUMNS(metadata!B583:J583)</f>
        <v>0</v>
      </c>
      <c r="S583">
        <v>0</v>
      </c>
      <c r="U583">
        <f>AND(IF(metadata!B583="",FALSE,TRUE),COUNTIF(metadata!B:B, metadata!B583) = 1,NOT(ISERROR(SUMPRODUCT(SEARCH(MID(metadata!B583,ROW(INDIRECT("1:"&amp;LEN(metadata!B583))), 1),"0123456789abcdefghijklmnopqrstuvwxyzABCDEFGHIJKLMNOPQRSTUVWXYZ.")))))</f>
        <v>0</v>
      </c>
      <c r="V583">
        <f>AND(IF(metadata!C583="",FALSE,TRUE),exact(metadata!C583,"UBERON:genitourinary"))</f>
        <v>0</v>
      </c>
      <c r="W583">
        <f>AND(IF(metadata!D583="",FALSE,TRUE),exact(metadata!D583,"UBERON:urine"))</f>
        <v>0</v>
      </c>
      <c r="X583">
        <f>AND(IF(metadata!E583="",FALSE,TRUE),exact(metadata!E583,"UBERON:kidney"))</f>
        <v>0</v>
      </c>
      <c r="Y583">
        <f>AND(IF(metadata!F583="",FALSE,TRUE),exact(metadata!F583,"animal corpus"))</f>
        <v>0</v>
      </c>
      <c r="Z583">
        <f>AND(IF(metadata!G583="",FALSE,TRUE),exact(metadata!G583,"urine"))</f>
        <v>0</v>
      </c>
      <c r="AA583">
        <f>AND(IF(metadata!H583="",FALSE,TRUE),exact(metadata!H583,"urine"))</f>
        <v>0</v>
      </c>
      <c r="AB583">
        <f>AND(IF(metadata!I583="",FALSE,TRUE),exact(metadata!I583,"urine metagenome"))</f>
        <v>0</v>
      </c>
      <c r="AC583">
        <f>AND(IF(metadata!J583="",FALSE,TRUE),exact(metadata!J583,"1346744"))</f>
        <v>0</v>
      </c>
    </row>
    <row r="584" spans="1:29">
      <c r="A584" s="4">
        <f>IF(B584=" "," ",HYPERLINK(CONCATENATE("#metadata!",ADDRESS(INDEX($P$2:$P$1001,MATCH(ROWS($N$2:N584),$N$2:$N$1001,0),0),1)),INDEX($S$2:$S$1001,MATCH(ROWS($N$2:N584),$N$2:$N$1001,0),0)))</f>
        <v>0</v>
      </c>
      <c r="B584" s="3">
        <f>IF(OR(INDEX($O$2:$O$1001,MATCH(ROWS($N$2:N584),$N$2:$N$1001,0),1)&gt;=100000,INDEX($U$1005:$AC$1005,1,MATCH(COLUMNS($U$1006:U1006),$U$1006:$AC$1006,0))&gt;=100000), " ",IF(INDEX($U$2:$AC$1001,MATCH(ROWS($N$2:N584),$N$2:$N$1001,0),MATCH(COLUMNS($U$1006:U1006),$U$1006:$AC$1006,0)), HYPERLINK("#",""), HYPERLINK(CONCATENATE("#metadata!", ADDRESS(INDEX($P$2:$P$1001,MATCH(ROWS($N$2:N584),$N$2:$N$1001,0),0), INDEX($U$1004:$AC$1004,1,MATCH(COLUMNS($U$1006:U1006),$U$1006:$AC$1006,0)))),"Fix")))</f>
        <v>0</v>
      </c>
      <c r="C584" s="3">
        <f>IF(OR(INDEX($O$2:$O$1001,MATCH(ROWS($N$2:N584),$N$2:$N$1001,0),1)&gt;=100000,INDEX($U$1005:$AC$1005,1,MATCH(COLUMNS($U$1006:V1006),$U$1006:$AC$1006,0))&gt;=100000), " ",IF(INDEX($U$2:$AC$1001,MATCH(ROWS($N$2:N584),$N$2:$N$1001,0),MATCH(COLUMNS($U$1006:V1006),$U$1006:$AC$1006,0)), HYPERLINK("#",""), HYPERLINK(CONCATENATE("#metadata!", ADDRESS(INDEX($P$2:$P$1001,MATCH(ROWS($N$2:N584),$N$2:$N$1001,0),0), INDEX($U$1004:$AC$1004,1,MATCH(COLUMNS($U$1006:V1006),$U$1006:$AC$1006,0)))),"Fix")))</f>
        <v>0</v>
      </c>
      <c r="D584" s="3">
        <f>IF(OR(INDEX($O$2:$O$1001,MATCH(ROWS($N$2:N584),$N$2:$N$1001,0),1)&gt;=100000,INDEX($U$1005:$AC$1005,1,MATCH(COLUMNS($U$1006:W1006),$U$1006:$AC$1006,0))&gt;=100000), " ",IF(INDEX($U$2:$AC$1001,MATCH(ROWS($N$2:N584),$N$2:$N$1001,0),MATCH(COLUMNS($U$1006:W1006),$U$1006:$AC$1006,0)), HYPERLINK("#",""), HYPERLINK(CONCATENATE("#metadata!", ADDRESS(INDEX($P$2:$P$1001,MATCH(ROWS($N$2:N584),$N$2:$N$1001,0),0), INDEX($U$1004:$AC$1004,1,MATCH(COLUMNS($U$1006:W1006),$U$1006:$AC$1006,0)))),"Fix")))</f>
        <v>0</v>
      </c>
      <c r="E584" s="3">
        <f>IF(OR(INDEX($O$2:$O$1001,MATCH(ROWS($N$2:N584),$N$2:$N$1001,0),1)&gt;=100000,INDEX($U$1005:$AC$1005,1,MATCH(COLUMNS($U$1006:X1006),$U$1006:$AC$1006,0))&gt;=100000), " ",IF(INDEX($U$2:$AC$1001,MATCH(ROWS($N$2:N584),$N$2:$N$1001,0),MATCH(COLUMNS($U$1006:X1006),$U$1006:$AC$1006,0)), HYPERLINK("#",""), HYPERLINK(CONCATENATE("#metadata!", ADDRESS(INDEX($P$2:$P$1001,MATCH(ROWS($N$2:N584),$N$2:$N$1001,0),0), INDEX($U$1004:$AC$1004,1,MATCH(COLUMNS($U$1006:X1006),$U$1006:$AC$1006,0)))),"Fix")))</f>
        <v>0</v>
      </c>
      <c r="F584" s="3">
        <f>IF(OR(INDEX($O$2:$O$1001,MATCH(ROWS($N$2:N584),$N$2:$N$1001,0),1)&gt;=100000,INDEX($U$1005:$AC$1005,1,MATCH(COLUMNS($U$1006:Y1006),$U$1006:$AC$1006,0))&gt;=100000), " ",IF(INDEX($U$2:$AC$1001,MATCH(ROWS($N$2:N584),$N$2:$N$1001,0),MATCH(COLUMNS($U$1006:Y1006),$U$1006:$AC$1006,0)), HYPERLINK("#",""), HYPERLINK(CONCATENATE("#metadata!", ADDRESS(INDEX($P$2:$P$1001,MATCH(ROWS($N$2:N584),$N$2:$N$1001,0),0), INDEX($U$1004:$AC$1004,1,MATCH(COLUMNS($U$1006:Y1006),$U$1006:$AC$1006,0)))),"Fix")))</f>
        <v>0</v>
      </c>
      <c r="G584" s="3">
        <f>IF(OR(INDEX($O$2:$O$1001,MATCH(ROWS($N$2:N584),$N$2:$N$1001,0),1)&gt;=100000,INDEX($U$1005:$AC$1005,1,MATCH(COLUMNS($U$1006:Z1006),$U$1006:$AC$1006,0))&gt;=100000), " ",IF(INDEX($U$2:$AC$1001,MATCH(ROWS($N$2:N584),$N$2:$N$1001,0),MATCH(COLUMNS($U$1006:Z1006),$U$1006:$AC$1006,0)), HYPERLINK("#",""), HYPERLINK(CONCATENATE("#metadata!", ADDRESS(INDEX($P$2:$P$1001,MATCH(ROWS($N$2:N584),$N$2:$N$1001,0),0), INDEX($U$1004:$AC$1004,1,MATCH(COLUMNS($U$1006:Z1006),$U$1006:$AC$1006,0)))),"Fix")))</f>
        <v>0</v>
      </c>
      <c r="H584" s="3">
        <f>IF(OR(INDEX($O$2:$O$1001,MATCH(ROWS($N$2:N584),$N$2:$N$1001,0),1)&gt;=100000,INDEX($U$1005:$AC$1005,1,MATCH(COLUMNS($U$1006:AA1006),$U$1006:$AC$1006,0))&gt;=100000), " ",IF(INDEX($U$2:$AC$1001,MATCH(ROWS($N$2:N584),$N$2:$N$1001,0),MATCH(COLUMNS($U$1006:AA1006),$U$1006:$AC$1006,0)), HYPERLINK("#",""), HYPERLINK(CONCATENATE("#metadata!", ADDRESS(INDEX($P$2:$P$1001,MATCH(ROWS($N$2:N584),$N$2:$N$1001,0),0), INDEX($U$1004:$AC$1004,1,MATCH(COLUMNS($U$1006:AA1006),$U$1006:$AC$1006,0)))),"Fix")))</f>
        <v>0</v>
      </c>
      <c r="I584" s="3">
        <f>IF(OR(INDEX($O$2:$O$1001,MATCH(ROWS($N$2:N584),$N$2:$N$1001,0),1)&gt;=100000,INDEX($U$1005:$AC$1005,1,MATCH(COLUMNS($U$1006:AB1006),$U$1006:$AC$1006,0))&gt;=100000), " ",IF(INDEX($U$2:$AC$1001,MATCH(ROWS($N$2:N584),$N$2:$N$1001,0),MATCH(COLUMNS($U$1006:AB1006),$U$1006:$AC$1006,0)), HYPERLINK("#",""), HYPERLINK(CONCATENATE("#metadata!", ADDRESS(INDEX($P$2:$P$1001,MATCH(ROWS($N$2:N584),$N$2:$N$1001,0),0), INDEX($U$1004:$AC$1004,1,MATCH(COLUMNS($U$1006:AB1006),$U$1006:$AC$1006,0)))),"Fix")))</f>
        <v>0</v>
      </c>
      <c r="J584" s="3">
        <f>IF(OR(INDEX($O$2:$O$1001,MATCH(ROWS($N$2:N584),$N$2:$N$1001,0),1)&gt;=100000,INDEX($U$1005:$AC$1005,1,MATCH(COLUMNS($U$1006:AC1006),$U$1006:$AC$1006,0))&gt;=100000), " ",IF(INDEX($U$2:$AC$1001,MATCH(ROWS($N$2:N584),$N$2:$N$1001,0),MATCH(COLUMNS($U$1006:AC1006),$U$1006:$AC$1006,0)), HYPERLINK("#",""), HYPERLINK(CONCATENATE("#metadata!", ADDRESS(INDEX($P$2:$P$1001,MATCH(ROWS($N$2:N584),$N$2:$N$1001,0),0), INDEX($U$1004:$AC$1004,1,MATCH(COLUMNS($U$1006:AC1006),$U$1006:$AC$1006,0)))),"Fix")))</f>
        <v>0</v>
      </c>
      <c r="N584">
        <v>0</v>
      </c>
      <c r="O584">
        <v>0</v>
      </c>
      <c r="P584">
        <v>0</v>
      </c>
      <c r="Q584">
        <f>IF(R584,TRUE,AND(U584:AC584))</f>
        <v>0</v>
      </c>
      <c r="R584">
        <f>COUNTBLANK(metadata!B584:J584)=COLUMNS(metadata!B584:J584)</f>
        <v>0</v>
      </c>
      <c r="S584">
        <v>0</v>
      </c>
      <c r="U584">
        <f>AND(IF(metadata!B584="",FALSE,TRUE),COUNTIF(metadata!B:B, metadata!B584) = 1,NOT(ISERROR(SUMPRODUCT(SEARCH(MID(metadata!B584,ROW(INDIRECT("1:"&amp;LEN(metadata!B584))), 1),"0123456789abcdefghijklmnopqrstuvwxyzABCDEFGHIJKLMNOPQRSTUVWXYZ.")))))</f>
        <v>0</v>
      </c>
      <c r="V584">
        <f>AND(IF(metadata!C584="",FALSE,TRUE),exact(metadata!C584,"UBERON:genitourinary"))</f>
        <v>0</v>
      </c>
      <c r="W584">
        <f>AND(IF(metadata!D584="",FALSE,TRUE),exact(metadata!D584,"UBERON:urine"))</f>
        <v>0</v>
      </c>
      <c r="X584">
        <f>AND(IF(metadata!E584="",FALSE,TRUE),exact(metadata!E584,"UBERON:kidney"))</f>
        <v>0</v>
      </c>
      <c r="Y584">
        <f>AND(IF(metadata!F584="",FALSE,TRUE),exact(metadata!F584,"animal corpus"))</f>
        <v>0</v>
      </c>
      <c r="Z584">
        <f>AND(IF(metadata!G584="",FALSE,TRUE),exact(metadata!G584,"urine"))</f>
        <v>0</v>
      </c>
      <c r="AA584">
        <f>AND(IF(metadata!H584="",FALSE,TRUE),exact(metadata!H584,"urine"))</f>
        <v>0</v>
      </c>
      <c r="AB584">
        <f>AND(IF(metadata!I584="",FALSE,TRUE),exact(metadata!I584,"urine metagenome"))</f>
        <v>0</v>
      </c>
      <c r="AC584">
        <f>AND(IF(metadata!J584="",FALSE,TRUE),exact(metadata!J584,"1346744"))</f>
        <v>0</v>
      </c>
    </row>
    <row r="585" spans="1:29">
      <c r="A585" s="4">
        <f>IF(B585=" "," ",HYPERLINK(CONCATENATE("#metadata!",ADDRESS(INDEX($P$2:$P$1001,MATCH(ROWS($N$2:N585),$N$2:$N$1001,0),0),1)),INDEX($S$2:$S$1001,MATCH(ROWS($N$2:N585),$N$2:$N$1001,0),0)))</f>
        <v>0</v>
      </c>
      <c r="B585" s="3">
        <f>IF(OR(INDEX($O$2:$O$1001,MATCH(ROWS($N$2:N585),$N$2:$N$1001,0),1)&gt;=100000,INDEX($U$1005:$AC$1005,1,MATCH(COLUMNS($U$1006:U1006),$U$1006:$AC$1006,0))&gt;=100000), " ",IF(INDEX($U$2:$AC$1001,MATCH(ROWS($N$2:N585),$N$2:$N$1001,0),MATCH(COLUMNS($U$1006:U1006),$U$1006:$AC$1006,0)), HYPERLINK("#",""), HYPERLINK(CONCATENATE("#metadata!", ADDRESS(INDEX($P$2:$P$1001,MATCH(ROWS($N$2:N585),$N$2:$N$1001,0),0), INDEX($U$1004:$AC$1004,1,MATCH(COLUMNS($U$1006:U1006),$U$1006:$AC$1006,0)))),"Fix")))</f>
        <v>0</v>
      </c>
      <c r="C585" s="3">
        <f>IF(OR(INDEX($O$2:$O$1001,MATCH(ROWS($N$2:N585),$N$2:$N$1001,0),1)&gt;=100000,INDEX($U$1005:$AC$1005,1,MATCH(COLUMNS($U$1006:V1006),$U$1006:$AC$1006,0))&gt;=100000), " ",IF(INDEX($U$2:$AC$1001,MATCH(ROWS($N$2:N585),$N$2:$N$1001,0),MATCH(COLUMNS($U$1006:V1006),$U$1006:$AC$1006,0)), HYPERLINK("#",""), HYPERLINK(CONCATENATE("#metadata!", ADDRESS(INDEX($P$2:$P$1001,MATCH(ROWS($N$2:N585),$N$2:$N$1001,0),0), INDEX($U$1004:$AC$1004,1,MATCH(COLUMNS($U$1006:V1006),$U$1006:$AC$1006,0)))),"Fix")))</f>
        <v>0</v>
      </c>
      <c r="D585" s="3">
        <f>IF(OR(INDEX($O$2:$O$1001,MATCH(ROWS($N$2:N585),$N$2:$N$1001,0),1)&gt;=100000,INDEX($U$1005:$AC$1005,1,MATCH(COLUMNS($U$1006:W1006),$U$1006:$AC$1006,0))&gt;=100000), " ",IF(INDEX($U$2:$AC$1001,MATCH(ROWS($N$2:N585),$N$2:$N$1001,0),MATCH(COLUMNS($U$1006:W1006),$U$1006:$AC$1006,0)), HYPERLINK("#",""), HYPERLINK(CONCATENATE("#metadata!", ADDRESS(INDEX($P$2:$P$1001,MATCH(ROWS($N$2:N585),$N$2:$N$1001,0),0), INDEX($U$1004:$AC$1004,1,MATCH(COLUMNS($U$1006:W1006),$U$1006:$AC$1006,0)))),"Fix")))</f>
        <v>0</v>
      </c>
      <c r="E585" s="3">
        <f>IF(OR(INDEX($O$2:$O$1001,MATCH(ROWS($N$2:N585),$N$2:$N$1001,0),1)&gt;=100000,INDEX($U$1005:$AC$1005,1,MATCH(COLUMNS($U$1006:X1006),$U$1006:$AC$1006,0))&gt;=100000), " ",IF(INDEX($U$2:$AC$1001,MATCH(ROWS($N$2:N585),$N$2:$N$1001,0),MATCH(COLUMNS($U$1006:X1006),$U$1006:$AC$1006,0)), HYPERLINK("#",""), HYPERLINK(CONCATENATE("#metadata!", ADDRESS(INDEX($P$2:$P$1001,MATCH(ROWS($N$2:N585),$N$2:$N$1001,0),0), INDEX($U$1004:$AC$1004,1,MATCH(COLUMNS($U$1006:X1006),$U$1006:$AC$1006,0)))),"Fix")))</f>
        <v>0</v>
      </c>
      <c r="F585" s="3">
        <f>IF(OR(INDEX($O$2:$O$1001,MATCH(ROWS($N$2:N585),$N$2:$N$1001,0),1)&gt;=100000,INDEX($U$1005:$AC$1005,1,MATCH(COLUMNS($U$1006:Y1006),$U$1006:$AC$1006,0))&gt;=100000), " ",IF(INDEX($U$2:$AC$1001,MATCH(ROWS($N$2:N585),$N$2:$N$1001,0),MATCH(COLUMNS($U$1006:Y1006),$U$1006:$AC$1006,0)), HYPERLINK("#",""), HYPERLINK(CONCATENATE("#metadata!", ADDRESS(INDEX($P$2:$P$1001,MATCH(ROWS($N$2:N585),$N$2:$N$1001,0),0), INDEX($U$1004:$AC$1004,1,MATCH(COLUMNS($U$1006:Y1006),$U$1006:$AC$1006,0)))),"Fix")))</f>
        <v>0</v>
      </c>
      <c r="G585" s="3">
        <f>IF(OR(INDEX($O$2:$O$1001,MATCH(ROWS($N$2:N585),$N$2:$N$1001,0),1)&gt;=100000,INDEX($U$1005:$AC$1005,1,MATCH(COLUMNS($U$1006:Z1006),$U$1006:$AC$1006,0))&gt;=100000), " ",IF(INDEX($U$2:$AC$1001,MATCH(ROWS($N$2:N585),$N$2:$N$1001,0),MATCH(COLUMNS($U$1006:Z1006),$U$1006:$AC$1006,0)), HYPERLINK("#",""), HYPERLINK(CONCATENATE("#metadata!", ADDRESS(INDEX($P$2:$P$1001,MATCH(ROWS($N$2:N585),$N$2:$N$1001,0),0), INDEX($U$1004:$AC$1004,1,MATCH(COLUMNS($U$1006:Z1006),$U$1006:$AC$1006,0)))),"Fix")))</f>
        <v>0</v>
      </c>
      <c r="H585" s="3">
        <f>IF(OR(INDEX($O$2:$O$1001,MATCH(ROWS($N$2:N585),$N$2:$N$1001,0),1)&gt;=100000,INDEX($U$1005:$AC$1005,1,MATCH(COLUMNS($U$1006:AA1006),$U$1006:$AC$1006,0))&gt;=100000), " ",IF(INDEX($U$2:$AC$1001,MATCH(ROWS($N$2:N585),$N$2:$N$1001,0),MATCH(COLUMNS($U$1006:AA1006),$U$1006:$AC$1006,0)), HYPERLINK("#",""), HYPERLINK(CONCATENATE("#metadata!", ADDRESS(INDEX($P$2:$P$1001,MATCH(ROWS($N$2:N585),$N$2:$N$1001,0),0), INDEX($U$1004:$AC$1004,1,MATCH(COLUMNS($U$1006:AA1006),$U$1006:$AC$1006,0)))),"Fix")))</f>
        <v>0</v>
      </c>
      <c r="I585" s="3">
        <f>IF(OR(INDEX($O$2:$O$1001,MATCH(ROWS($N$2:N585),$N$2:$N$1001,0),1)&gt;=100000,INDEX($U$1005:$AC$1005,1,MATCH(COLUMNS($U$1006:AB1006),$U$1006:$AC$1006,0))&gt;=100000), " ",IF(INDEX($U$2:$AC$1001,MATCH(ROWS($N$2:N585),$N$2:$N$1001,0),MATCH(COLUMNS($U$1006:AB1006),$U$1006:$AC$1006,0)), HYPERLINK("#",""), HYPERLINK(CONCATENATE("#metadata!", ADDRESS(INDEX($P$2:$P$1001,MATCH(ROWS($N$2:N585),$N$2:$N$1001,0),0), INDEX($U$1004:$AC$1004,1,MATCH(COLUMNS($U$1006:AB1006),$U$1006:$AC$1006,0)))),"Fix")))</f>
        <v>0</v>
      </c>
      <c r="J585" s="3">
        <f>IF(OR(INDEX($O$2:$O$1001,MATCH(ROWS($N$2:N585),$N$2:$N$1001,0),1)&gt;=100000,INDEX($U$1005:$AC$1005,1,MATCH(COLUMNS($U$1006:AC1006),$U$1006:$AC$1006,0))&gt;=100000), " ",IF(INDEX($U$2:$AC$1001,MATCH(ROWS($N$2:N585),$N$2:$N$1001,0),MATCH(COLUMNS($U$1006:AC1006),$U$1006:$AC$1006,0)), HYPERLINK("#",""), HYPERLINK(CONCATENATE("#metadata!", ADDRESS(INDEX($P$2:$P$1001,MATCH(ROWS($N$2:N585),$N$2:$N$1001,0),0), INDEX($U$1004:$AC$1004,1,MATCH(COLUMNS($U$1006:AC1006),$U$1006:$AC$1006,0)))),"Fix")))</f>
        <v>0</v>
      </c>
      <c r="N585">
        <v>0</v>
      </c>
      <c r="O585">
        <v>0</v>
      </c>
      <c r="P585">
        <v>0</v>
      </c>
      <c r="Q585">
        <f>IF(R585,TRUE,AND(U585:AC585))</f>
        <v>0</v>
      </c>
      <c r="R585">
        <f>COUNTBLANK(metadata!B585:J585)=COLUMNS(metadata!B585:J585)</f>
        <v>0</v>
      </c>
      <c r="S585">
        <v>0</v>
      </c>
      <c r="U585">
        <f>AND(IF(metadata!B585="",FALSE,TRUE),COUNTIF(metadata!B:B, metadata!B585) = 1,NOT(ISERROR(SUMPRODUCT(SEARCH(MID(metadata!B585,ROW(INDIRECT("1:"&amp;LEN(metadata!B585))), 1),"0123456789abcdefghijklmnopqrstuvwxyzABCDEFGHIJKLMNOPQRSTUVWXYZ.")))))</f>
        <v>0</v>
      </c>
      <c r="V585">
        <f>AND(IF(metadata!C585="",FALSE,TRUE),exact(metadata!C585,"UBERON:genitourinary"))</f>
        <v>0</v>
      </c>
      <c r="W585">
        <f>AND(IF(metadata!D585="",FALSE,TRUE),exact(metadata!D585,"UBERON:urine"))</f>
        <v>0</v>
      </c>
      <c r="X585">
        <f>AND(IF(metadata!E585="",FALSE,TRUE),exact(metadata!E585,"UBERON:kidney"))</f>
        <v>0</v>
      </c>
      <c r="Y585">
        <f>AND(IF(metadata!F585="",FALSE,TRUE),exact(metadata!F585,"animal corpus"))</f>
        <v>0</v>
      </c>
      <c r="Z585">
        <f>AND(IF(metadata!G585="",FALSE,TRUE),exact(metadata!G585,"urine"))</f>
        <v>0</v>
      </c>
      <c r="AA585">
        <f>AND(IF(metadata!H585="",FALSE,TRUE),exact(metadata!H585,"urine"))</f>
        <v>0</v>
      </c>
      <c r="AB585">
        <f>AND(IF(metadata!I585="",FALSE,TRUE),exact(metadata!I585,"urine metagenome"))</f>
        <v>0</v>
      </c>
      <c r="AC585">
        <f>AND(IF(metadata!J585="",FALSE,TRUE),exact(metadata!J585,"1346744"))</f>
        <v>0</v>
      </c>
    </row>
    <row r="586" spans="1:29">
      <c r="A586" s="4">
        <f>IF(B586=" "," ",HYPERLINK(CONCATENATE("#metadata!",ADDRESS(INDEX($P$2:$P$1001,MATCH(ROWS($N$2:N586),$N$2:$N$1001,0),0),1)),INDEX($S$2:$S$1001,MATCH(ROWS($N$2:N586),$N$2:$N$1001,0),0)))</f>
        <v>0</v>
      </c>
      <c r="B586" s="3">
        <f>IF(OR(INDEX($O$2:$O$1001,MATCH(ROWS($N$2:N586),$N$2:$N$1001,0),1)&gt;=100000,INDEX($U$1005:$AC$1005,1,MATCH(COLUMNS($U$1006:U1006),$U$1006:$AC$1006,0))&gt;=100000), " ",IF(INDEX($U$2:$AC$1001,MATCH(ROWS($N$2:N586),$N$2:$N$1001,0),MATCH(COLUMNS($U$1006:U1006),$U$1006:$AC$1006,0)), HYPERLINK("#",""), HYPERLINK(CONCATENATE("#metadata!", ADDRESS(INDEX($P$2:$P$1001,MATCH(ROWS($N$2:N586),$N$2:$N$1001,0),0), INDEX($U$1004:$AC$1004,1,MATCH(COLUMNS($U$1006:U1006),$U$1006:$AC$1006,0)))),"Fix")))</f>
        <v>0</v>
      </c>
      <c r="C586" s="3">
        <f>IF(OR(INDEX($O$2:$O$1001,MATCH(ROWS($N$2:N586),$N$2:$N$1001,0),1)&gt;=100000,INDEX($U$1005:$AC$1005,1,MATCH(COLUMNS($U$1006:V1006),$U$1006:$AC$1006,0))&gt;=100000), " ",IF(INDEX($U$2:$AC$1001,MATCH(ROWS($N$2:N586),$N$2:$N$1001,0),MATCH(COLUMNS($U$1006:V1006),$U$1006:$AC$1006,0)), HYPERLINK("#",""), HYPERLINK(CONCATENATE("#metadata!", ADDRESS(INDEX($P$2:$P$1001,MATCH(ROWS($N$2:N586),$N$2:$N$1001,0),0), INDEX($U$1004:$AC$1004,1,MATCH(COLUMNS($U$1006:V1006),$U$1006:$AC$1006,0)))),"Fix")))</f>
        <v>0</v>
      </c>
      <c r="D586" s="3">
        <f>IF(OR(INDEX($O$2:$O$1001,MATCH(ROWS($N$2:N586),$N$2:$N$1001,0),1)&gt;=100000,INDEX($U$1005:$AC$1005,1,MATCH(COLUMNS($U$1006:W1006),$U$1006:$AC$1006,0))&gt;=100000), " ",IF(INDEX($U$2:$AC$1001,MATCH(ROWS($N$2:N586),$N$2:$N$1001,0),MATCH(COLUMNS($U$1006:W1006),$U$1006:$AC$1006,0)), HYPERLINK("#",""), HYPERLINK(CONCATENATE("#metadata!", ADDRESS(INDEX($P$2:$P$1001,MATCH(ROWS($N$2:N586),$N$2:$N$1001,0),0), INDEX($U$1004:$AC$1004,1,MATCH(COLUMNS($U$1006:W1006),$U$1006:$AC$1006,0)))),"Fix")))</f>
        <v>0</v>
      </c>
      <c r="E586" s="3">
        <f>IF(OR(INDEX($O$2:$O$1001,MATCH(ROWS($N$2:N586),$N$2:$N$1001,0),1)&gt;=100000,INDEX($U$1005:$AC$1005,1,MATCH(COLUMNS($U$1006:X1006),$U$1006:$AC$1006,0))&gt;=100000), " ",IF(INDEX($U$2:$AC$1001,MATCH(ROWS($N$2:N586),$N$2:$N$1001,0),MATCH(COLUMNS($U$1006:X1006),$U$1006:$AC$1006,0)), HYPERLINK("#",""), HYPERLINK(CONCATENATE("#metadata!", ADDRESS(INDEX($P$2:$P$1001,MATCH(ROWS($N$2:N586),$N$2:$N$1001,0),0), INDEX($U$1004:$AC$1004,1,MATCH(COLUMNS($U$1006:X1006),$U$1006:$AC$1006,0)))),"Fix")))</f>
        <v>0</v>
      </c>
      <c r="F586" s="3">
        <f>IF(OR(INDEX($O$2:$O$1001,MATCH(ROWS($N$2:N586),$N$2:$N$1001,0),1)&gt;=100000,INDEX($U$1005:$AC$1005,1,MATCH(COLUMNS($U$1006:Y1006),$U$1006:$AC$1006,0))&gt;=100000), " ",IF(INDEX($U$2:$AC$1001,MATCH(ROWS($N$2:N586),$N$2:$N$1001,0),MATCH(COLUMNS($U$1006:Y1006),$U$1006:$AC$1006,0)), HYPERLINK("#",""), HYPERLINK(CONCATENATE("#metadata!", ADDRESS(INDEX($P$2:$P$1001,MATCH(ROWS($N$2:N586),$N$2:$N$1001,0),0), INDEX($U$1004:$AC$1004,1,MATCH(COLUMNS($U$1006:Y1006),$U$1006:$AC$1006,0)))),"Fix")))</f>
        <v>0</v>
      </c>
      <c r="G586" s="3">
        <f>IF(OR(INDEX($O$2:$O$1001,MATCH(ROWS($N$2:N586),$N$2:$N$1001,0),1)&gt;=100000,INDEX($U$1005:$AC$1005,1,MATCH(COLUMNS($U$1006:Z1006),$U$1006:$AC$1006,0))&gt;=100000), " ",IF(INDEX($U$2:$AC$1001,MATCH(ROWS($N$2:N586),$N$2:$N$1001,0),MATCH(COLUMNS($U$1006:Z1006),$U$1006:$AC$1006,0)), HYPERLINK("#",""), HYPERLINK(CONCATENATE("#metadata!", ADDRESS(INDEX($P$2:$P$1001,MATCH(ROWS($N$2:N586),$N$2:$N$1001,0),0), INDEX($U$1004:$AC$1004,1,MATCH(COLUMNS($U$1006:Z1006),$U$1006:$AC$1006,0)))),"Fix")))</f>
        <v>0</v>
      </c>
      <c r="H586" s="3">
        <f>IF(OR(INDEX($O$2:$O$1001,MATCH(ROWS($N$2:N586),$N$2:$N$1001,0),1)&gt;=100000,INDEX($U$1005:$AC$1005,1,MATCH(COLUMNS($U$1006:AA1006),$U$1006:$AC$1006,0))&gt;=100000), " ",IF(INDEX($U$2:$AC$1001,MATCH(ROWS($N$2:N586),$N$2:$N$1001,0),MATCH(COLUMNS($U$1006:AA1006),$U$1006:$AC$1006,0)), HYPERLINK("#",""), HYPERLINK(CONCATENATE("#metadata!", ADDRESS(INDEX($P$2:$P$1001,MATCH(ROWS($N$2:N586),$N$2:$N$1001,0),0), INDEX($U$1004:$AC$1004,1,MATCH(COLUMNS($U$1006:AA1006),$U$1006:$AC$1006,0)))),"Fix")))</f>
        <v>0</v>
      </c>
      <c r="I586" s="3">
        <f>IF(OR(INDEX($O$2:$O$1001,MATCH(ROWS($N$2:N586),$N$2:$N$1001,0),1)&gt;=100000,INDEX($U$1005:$AC$1005,1,MATCH(COLUMNS($U$1006:AB1006),$U$1006:$AC$1006,0))&gt;=100000), " ",IF(INDEX($U$2:$AC$1001,MATCH(ROWS($N$2:N586),$N$2:$N$1001,0),MATCH(COLUMNS($U$1006:AB1006),$U$1006:$AC$1006,0)), HYPERLINK("#",""), HYPERLINK(CONCATENATE("#metadata!", ADDRESS(INDEX($P$2:$P$1001,MATCH(ROWS($N$2:N586),$N$2:$N$1001,0),0), INDEX($U$1004:$AC$1004,1,MATCH(COLUMNS($U$1006:AB1006),$U$1006:$AC$1006,0)))),"Fix")))</f>
        <v>0</v>
      </c>
      <c r="J586" s="3">
        <f>IF(OR(INDEX($O$2:$O$1001,MATCH(ROWS($N$2:N586),$N$2:$N$1001,0),1)&gt;=100000,INDEX($U$1005:$AC$1005,1,MATCH(COLUMNS($U$1006:AC1006),$U$1006:$AC$1006,0))&gt;=100000), " ",IF(INDEX($U$2:$AC$1001,MATCH(ROWS($N$2:N586),$N$2:$N$1001,0),MATCH(COLUMNS($U$1006:AC1006),$U$1006:$AC$1006,0)), HYPERLINK("#",""), HYPERLINK(CONCATENATE("#metadata!", ADDRESS(INDEX($P$2:$P$1001,MATCH(ROWS($N$2:N586),$N$2:$N$1001,0),0), INDEX($U$1004:$AC$1004,1,MATCH(COLUMNS($U$1006:AC1006),$U$1006:$AC$1006,0)))),"Fix")))</f>
        <v>0</v>
      </c>
      <c r="N586">
        <v>0</v>
      </c>
      <c r="O586">
        <v>0</v>
      </c>
      <c r="P586">
        <v>0</v>
      </c>
      <c r="Q586">
        <f>IF(R586,TRUE,AND(U586:AC586))</f>
        <v>0</v>
      </c>
      <c r="R586">
        <f>COUNTBLANK(metadata!B586:J586)=COLUMNS(metadata!B586:J586)</f>
        <v>0</v>
      </c>
      <c r="S586">
        <v>0</v>
      </c>
      <c r="U586">
        <f>AND(IF(metadata!B586="",FALSE,TRUE),COUNTIF(metadata!B:B, metadata!B586) = 1,NOT(ISERROR(SUMPRODUCT(SEARCH(MID(metadata!B586,ROW(INDIRECT("1:"&amp;LEN(metadata!B586))), 1),"0123456789abcdefghijklmnopqrstuvwxyzABCDEFGHIJKLMNOPQRSTUVWXYZ.")))))</f>
        <v>0</v>
      </c>
      <c r="V586">
        <f>AND(IF(metadata!C586="",FALSE,TRUE),exact(metadata!C586,"UBERON:genitourinary"))</f>
        <v>0</v>
      </c>
      <c r="W586">
        <f>AND(IF(metadata!D586="",FALSE,TRUE),exact(metadata!D586,"UBERON:urine"))</f>
        <v>0</v>
      </c>
      <c r="X586">
        <f>AND(IF(metadata!E586="",FALSE,TRUE),exact(metadata!E586,"UBERON:kidney"))</f>
        <v>0</v>
      </c>
      <c r="Y586">
        <f>AND(IF(metadata!F586="",FALSE,TRUE),exact(metadata!F586,"animal corpus"))</f>
        <v>0</v>
      </c>
      <c r="Z586">
        <f>AND(IF(metadata!G586="",FALSE,TRUE),exact(metadata!G586,"urine"))</f>
        <v>0</v>
      </c>
      <c r="AA586">
        <f>AND(IF(metadata!H586="",FALSE,TRUE),exact(metadata!H586,"urine"))</f>
        <v>0</v>
      </c>
      <c r="AB586">
        <f>AND(IF(metadata!I586="",FALSE,TRUE),exact(metadata!I586,"urine metagenome"))</f>
        <v>0</v>
      </c>
      <c r="AC586">
        <f>AND(IF(metadata!J586="",FALSE,TRUE),exact(metadata!J586,"1346744"))</f>
        <v>0</v>
      </c>
    </row>
    <row r="587" spans="1:29">
      <c r="A587" s="4">
        <f>IF(B587=" "," ",HYPERLINK(CONCATENATE("#metadata!",ADDRESS(INDEX($P$2:$P$1001,MATCH(ROWS($N$2:N587),$N$2:$N$1001,0),0),1)),INDEX($S$2:$S$1001,MATCH(ROWS($N$2:N587),$N$2:$N$1001,0),0)))</f>
        <v>0</v>
      </c>
      <c r="B587" s="3">
        <f>IF(OR(INDEX($O$2:$O$1001,MATCH(ROWS($N$2:N587),$N$2:$N$1001,0),1)&gt;=100000,INDEX($U$1005:$AC$1005,1,MATCH(COLUMNS($U$1006:U1006),$U$1006:$AC$1006,0))&gt;=100000), " ",IF(INDEX($U$2:$AC$1001,MATCH(ROWS($N$2:N587),$N$2:$N$1001,0),MATCH(COLUMNS($U$1006:U1006),$U$1006:$AC$1006,0)), HYPERLINK("#",""), HYPERLINK(CONCATENATE("#metadata!", ADDRESS(INDEX($P$2:$P$1001,MATCH(ROWS($N$2:N587),$N$2:$N$1001,0),0), INDEX($U$1004:$AC$1004,1,MATCH(COLUMNS($U$1006:U1006),$U$1006:$AC$1006,0)))),"Fix")))</f>
        <v>0</v>
      </c>
      <c r="C587" s="3">
        <f>IF(OR(INDEX($O$2:$O$1001,MATCH(ROWS($N$2:N587),$N$2:$N$1001,0),1)&gt;=100000,INDEX($U$1005:$AC$1005,1,MATCH(COLUMNS($U$1006:V1006),$U$1006:$AC$1006,0))&gt;=100000), " ",IF(INDEX($U$2:$AC$1001,MATCH(ROWS($N$2:N587),$N$2:$N$1001,0),MATCH(COLUMNS($U$1006:V1006),$U$1006:$AC$1006,0)), HYPERLINK("#",""), HYPERLINK(CONCATENATE("#metadata!", ADDRESS(INDEX($P$2:$P$1001,MATCH(ROWS($N$2:N587),$N$2:$N$1001,0),0), INDEX($U$1004:$AC$1004,1,MATCH(COLUMNS($U$1006:V1006),$U$1006:$AC$1006,0)))),"Fix")))</f>
        <v>0</v>
      </c>
      <c r="D587" s="3">
        <f>IF(OR(INDEX($O$2:$O$1001,MATCH(ROWS($N$2:N587),$N$2:$N$1001,0),1)&gt;=100000,INDEX($U$1005:$AC$1005,1,MATCH(COLUMNS($U$1006:W1006),$U$1006:$AC$1006,0))&gt;=100000), " ",IF(INDEX($U$2:$AC$1001,MATCH(ROWS($N$2:N587),$N$2:$N$1001,0),MATCH(COLUMNS($U$1006:W1006),$U$1006:$AC$1006,0)), HYPERLINK("#",""), HYPERLINK(CONCATENATE("#metadata!", ADDRESS(INDEX($P$2:$P$1001,MATCH(ROWS($N$2:N587),$N$2:$N$1001,0),0), INDEX($U$1004:$AC$1004,1,MATCH(COLUMNS($U$1006:W1006),$U$1006:$AC$1006,0)))),"Fix")))</f>
        <v>0</v>
      </c>
      <c r="E587" s="3">
        <f>IF(OR(INDEX($O$2:$O$1001,MATCH(ROWS($N$2:N587),$N$2:$N$1001,0),1)&gt;=100000,INDEX($U$1005:$AC$1005,1,MATCH(COLUMNS($U$1006:X1006),$U$1006:$AC$1006,0))&gt;=100000), " ",IF(INDEX($U$2:$AC$1001,MATCH(ROWS($N$2:N587),$N$2:$N$1001,0),MATCH(COLUMNS($U$1006:X1006),$U$1006:$AC$1006,0)), HYPERLINK("#",""), HYPERLINK(CONCATENATE("#metadata!", ADDRESS(INDEX($P$2:$P$1001,MATCH(ROWS($N$2:N587),$N$2:$N$1001,0),0), INDEX($U$1004:$AC$1004,1,MATCH(COLUMNS($U$1006:X1006),$U$1006:$AC$1006,0)))),"Fix")))</f>
        <v>0</v>
      </c>
      <c r="F587" s="3">
        <f>IF(OR(INDEX($O$2:$O$1001,MATCH(ROWS($N$2:N587),$N$2:$N$1001,0),1)&gt;=100000,INDEX($U$1005:$AC$1005,1,MATCH(COLUMNS($U$1006:Y1006),$U$1006:$AC$1006,0))&gt;=100000), " ",IF(INDEX($U$2:$AC$1001,MATCH(ROWS($N$2:N587),$N$2:$N$1001,0),MATCH(COLUMNS($U$1006:Y1006),$U$1006:$AC$1006,0)), HYPERLINK("#",""), HYPERLINK(CONCATENATE("#metadata!", ADDRESS(INDEX($P$2:$P$1001,MATCH(ROWS($N$2:N587),$N$2:$N$1001,0),0), INDEX($U$1004:$AC$1004,1,MATCH(COLUMNS($U$1006:Y1006),$U$1006:$AC$1006,0)))),"Fix")))</f>
        <v>0</v>
      </c>
      <c r="G587" s="3">
        <f>IF(OR(INDEX($O$2:$O$1001,MATCH(ROWS($N$2:N587),$N$2:$N$1001,0),1)&gt;=100000,INDEX($U$1005:$AC$1005,1,MATCH(COLUMNS($U$1006:Z1006),$U$1006:$AC$1006,0))&gt;=100000), " ",IF(INDEX($U$2:$AC$1001,MATCH(ROWS($N$2:N587),$N$2:$N$1001,0),MATCH(COLUMNS($U$1006:Z1006),$U$1006:$AC$1006,0)), HYPERLINK("#",""), HYPERLINK(CONCATENATE("#metadata!", ADDRESS(INDEX($P$2:$P$1001,MATCH(ROWS($N$2:N587),$N$2:$N$1001,0),0), INDEX($U$1004:$AC$1004,1,MATCH(COLUMNS($U$1006:Z1006),$U$1006:$AC$1006,0)))),"Fix")))</f>
        <v>0</v>
      </c>
      <c r="H587" s="3">
        <f>IF(OR(INDEX($O$2:$O$1001,MATCH(ROWS($N$2:N587),$N$2:$N$1001,0),1)&gt;=100000,INDEX($U$1005:$AC$1005,1,MATCH(COLUMNS($U$1006:AA1006),$U$1006:$AC$1006,0))&gt;=100000), " ",IF(INDEX($U$2:$AC$1001,MATCH(ROWS($N$2:N587),$N$2:$N$1001,0),MATCH(COLUMNS($U$1006:AA1006),$U$1006:$AC$1006,0)), HYPERLINK("#",""), HYPERLINK(CONCATENATE("#metadata!", ADDRESS(INDEX($P$2:$P$1001,MATCH(ROWS($N$2:N587),$N$2:$N$1001,0),0), INDEX($U$1004:$AC$1004,1,MATCH(COLUMNS($U$1006:AA1006),$U$1006:$AC$1006,0)))),"Fix")))</f>
        <v>0</v>
      </c>
      <c r="I587" s="3">
        <f>IF(OR(INDEX($O$2:$O$1001,MATCH(ROWS($N$2:N587),$N$2:$N$1001,0),1)&gt;=100000,INDEX($U$1005:$AC$1005,1,MATCH(COLUMNS($U$1006:AB1006),$U$1006:$AC$1006,0))&gt;=100000), " ",IF(INDEX($U$2:$AC$1001,MATCH(ROWS($N$2:N587),$N$2:$N$1001,0),MATCH(COLUMNS($U$1006:AB1006),$U$1006:$AC$1006,0)), HYPERLINK("#",""), HYPERLINK(CONCATENATE("#metadata!", ADDRESS(INDEX($P$2:$P$1001,MATCH(ROWS($N$2:N587),$N$2:$N$1001,0),0), INDEX($U$1004:$AC$1004,1,MATCH(COLUMNS($U$1006:AB1006),$U$1006:$AC$1006,0)))),"Fix")))</f>
        <v>0</v>
      </c>
      <c r="J587" s="3">
        <f>IF(OR(INDEX($O$2:$O$1001,MATCH(ROWS($N$2:N587),$N$2:$N$1001,0),1)&gt;=100000,INDEX($U$1005:$AC$1005,1,MATCH(COLUMNS($U$1006:AC1006),$U$1006:$AC$1006,0))&gt;=100000), " ",IF(INDEX($U$2:$AC$1001,MATCH(ROWS($N$2:N587),$N$2:$N$1001,0),MATCH(COLUMNS($U$1006:AC1006),$U$1006:$AC$1006,0)), HYPERLINK("#",""), HYPERLINK(CONCATENATE("#metadata!", ADDRESS(INDEX($P$2:$P$1001,MATCH(ROWS($N$2:N587),$N$2:$N$1001,0),0), INDEX($U$1004:$AC$1004,1,MATCH(COLUMNS($U$1006:AC1006),$U$1006:$AC$1006,0)))),"Fix")))</f>
        <v>0</v>
      </c>
      <c r="N587">
        <v>0</v>
      </c>
      <c r="O587">
        <v>0</v>
      </c>
      <c r="P587">
        <v>0</v>
      </c>
      <c r="Q587">
        <f>IF(R587,TRUE,AND(U587:AC587))</f>
        <v>0</v>
      </c>
      <c r="R587">
        <f>COUNTBLANK(metadata!B587:J587)=COLUMNS(metadata!B587:J587)</f>
        <v>0</v>
      </c>
      <c r="S587">
        <v>0</v>
      </c>
      <c r="U587">
        <f>AND(IF(metadata!B587="",FALSE,TRUE),COUNTIF(metadata!B:B, metadata!B587) = 1,NOT(ISERROR(SUMPRODUCT(SEARCH(MID(metadata!B587,ROW(INDIRECT("1:"&amp;LEN(metadata!B587))), 1),"0123456789abcdefghijklmnopqrstuvwxyzABCDEFGHIJKLMNOPQRSTUVWXYZ.")))))</f>
        <v>0</v>
      </c>
      <c r="V587">
        <f>AND(IF(metadata!C587="",FALSE,TRUE),exact(metadata!C587,"UBERON:genitourinary"))</f>
        <v>0</v>
      </c>
      <c r="W587">
        <f>AND(IF(metadata!D587="",FALSE,TRUE),exact(metadata!D587,"UBERON:urine"))</f>
        <v>0</v>
      </c>
      <c r="X587">
        <f>AND(IF(metadata!E587="",FALSE,TRUE),exact(metadata!E587,"UBERON:kidney"))</f>
        <v>0</v>
      </c>
      <c r="Y587">
        <f>AND(IF(metadata!F587="",FALSE,TRUE),exact(metadata!F587,"animal corpus"))</f>
        <v>0</v>
      </c>
      <c r="Z587">
        <f>AND(IF(metadata!G587="",FALSE,TRUE),exact(metadata!G587,"urine"))</f>
        <v>0</v>
      </c>
      <c r="AA587">
        <f>AND(IF(metadata!H587="",FALSE,TRUE),exact(metadata!H587,"urine"))</f>
        <v>0</v>
      </c>
      <c r="AB587">
        <f>AND(IF(metadata!I587="",FALSE,TRUE),exact(metadata!I587,"urine metagenome"))</f>
        <v>0</v>
      </c>
      <c r="AC587">
        <f>AND(IF(metadata!J587="",FALSE,TRUE),exact(metadata!J587,"1346744"))</f>
        <v>0</v>
      </c>
    </row>
    <row r="588" spans="1:29">
      <c r="A588" s="4">
        <f>IF(B588=" "," ",HYPERLINK(CONCATENATE("#metadata!",ADDRESS(INDEX($P$2:$P$1001,MATCH(ROWS($N$2:N588),$N$2:$N$1001,0),0),1)),INDEX($S$2:$S$1001,MATCH(ROWS($N$2:N588),$N$2:$N$1001,0),0)))</f>
        <v>0</v>
      </c>
      <c r="B588" s="3">
        <f>IF(OR(INDEX($O$2:$O$1001,MATCH(ROWS($N$2:N588),$N$2:$N$1001,0),1)&gt;=100000,INDEX($U$1005:$AC$1005,1,MATCH(COLUMNS($U$1006:U1006),$U$1006:$AC$1006,0))&gt;=100000), " ",IF(INDEX($U$2:$AC$1001,MATCH(ROWS($N$2:N588),$N$2:$N$1001,0),MATCH(COLUMNS($U$1006:U1006),$U$1006:$AC$1006,0)), HYPERLINK("#",""), HYPERLINK(CONCATENATE("#metadata!", ADDRESS(INDEX($P$2:$P$1001,MATCH(ROWS($N$2:N588),$N$2:$N$1001,0),0), INDEX($U$1004:$AC$1004,1,MATCH(COLUMNS($U$1006:U1006),$U$1006:$AC$1006,0)))),"Fix")))</f>
        <v>0</v>
      </c>
      <c r="C588" s="3">
        <f>IF(OR(INDEX($O$2:$O$1001,MATCH(ROWS($N$2:N588),$N$2:$N$1001,0),1)&gt;=100000,INDEX($U$1005:$AC$1005,1,MATCH(COLUMNS($U$1006:V1006),$U$1006:$AC$1006,0))&gt;=100000), " ",IF(INDEX($U$2:$AC$1001,MATCH(ROWS($N$2:N588),$N$2:$N$1001,0),MATCH(COLUMNS($U$1006:V1006),$U$1006:$AC$1006,0)), HYPERLINK("#",""), HYPERLINK(CONCATENATE("#metadata!", ADDRESS(INDEX($P$2:$P$1001,MATCH(ROWS($N$2:N588),$N$2:$N$1001,0),0), INDEX($U$1004:$AC$1004,1,MATCH(COLUMNS($U$1006:V1006),$U$1006:$AC$1006,0)))),"Fix")))</f>
        <v>0</v>
      </c>
      <c r="D588" s="3">
        <f>IF(OR(INDEX($O$2:$O$1001,MATCH(ROWS($N$2:N588),$N$2:$N$1001,0),1)&gt;=100000,INDEX($U$1005:$AC$1005,1,MATCH(COLUMNS($U$1006:W1006),$U$1006:$AC$1006,0))&gt;=100000), " ",IF(INDEX($U$2:$AC$1001,MATCH(ROWS($N$2:N588),$N$2:$N$1001,0),MATCH(COLUMNS($U$1006:W1006),$U$1006:$AC$1006,0)), HYPERLINK("#",""), HYPERLINK(CONCATENATE("#metadata!", ADDRESS(INDEX($P$2:$P$1001,MATCH(ROWS($N$2:N588),$N$2:$N$1001,0),0), INDEX($U$1004:$AC$1004,1,MATCH(COLUMNS($U$1006:W1006),$U$1006:$AC$1006,0)))),"Fix")))</f>
        <v>0</v>
      </c>
      <c r="E588" s="3">
        <f>IF(OR(INDEX($O$2:$O$1001,MATCH(ROWS($N$2:N588),$N$2:$N$1001,0),1)&gt;=100000,INDEX($U$1005:$AC$1005,1,MATCH(COLUMNS($U$1006:X1006),$U$1006:$AC$1006,0))&gt;=100000), " ",IF(INDEX($U$2:$AC$1001,MATCH(ROWS($N$2:N588),$N$2:$N$1001,0),MATCH(COLUMNS($U$1006:X1006),$U$1006:$AC$1006,0)), HYPERLINK("#",""), HYPERLINK(CONCATENATE("#metadata!", ADDRESS(INDEX($P$2:$P$1001,MATCH(ROWS($N$2:N588),$N$2:$N$1001,0),0), INDEX($U$1004:$AC$1004,1,MATCH(COLUMNS($U$1006:X1006),$U$1006:$AC$1006,0)))),"Fix")))</f>
        <v>0</v>
      </c>
      <c r="F588" s="3">
        <f>IF(OR(INDEX($O$2:$O$1001,MATCH(ROWS($N$2:N588),$N$2:$N$1001,0),1)&gt;=100000,INDEX($U$1005:$AC$1005,1,MATCH(COLUMNS($U$1006:Y1006),$U$1006:$AC$1006,0))&gt;=100000), " ",IF(INDEX($U$2:$AC$1001,MATCH(ROWS($N$2:N588),$N$2:$N$1001,0),MATCH(COLUMNS($U$1006:Y1006),$U$1006:$AC$1006,0)), HYPERLINK("#",""), HYPERLINK(CONCATENATE("#metadata!", ADDRESS(INDEX($P$2:$P$1001,MATCH(ROWS($N$2:N588),$N$2:$N$1001,0),0), INDEX($U$1004:$AC$1004,1,MATCH(COLUMNS($U$1006:Y1006),$U$1006:$AC$1006,0)))),"Fix")))</f>
        <v>0</v>
      </c>
      <c r="G588" s="3">
        <f>IF(OR(INDEX($O$2:$O$1001,MATCH(ROWS($N$2:N588),$N$2:$N$1001,0),1)&gt;=100000,INDEX($U$1005:$AC$1005,1,MATCH(COLUMNS($U$1006:Z1006),$U$1006:$AC$1006,0))&gt;=100000), " ",IF(INDEX($U$2:$AC$1001,MATCH(ROWS($N$2:N588),$N$2:$N$1001,0),MATCH(COLUMNS($U$1006:Z1006),$U$1006:$AC$1006,0)), HYPERLINK("#",""), HYPERLINK(CONCATENATE("#metadata!", ADDRESS(INDEX($P$2:$P$1001,MATCH(ROWS($N$2:N588),$N$2:$N$1001,0),0), INDEX($U$1004:$AC$1004,1,MATCH(COLUMNS($U$1006:Z1006),$U$1006:$AC$1006,0)))),"Fix")))</f>
        <v>0</v>
      </c>
      <c r="H588" s="3">
        <f>IF(OR(INDEX($O$2:$O$1001,MATCH(ROWS($N$2:N588),$N$2:$N$1001,0),1)&gt;=100000,INDEX($U$1005:$AC$1005,1,MATCH(COLUMNS($U$1006:AA1006),$U$1006:$AC$1006,0))&gt;=100000), " ",IF(INDEX($U$2:$AC$1001,MATCH(ROWS($N$2:N588),$N$2:$N$1001,0),MATCH(COLUMNS($U$1006:AA1006),$U$1006:$AC$1006,0)), HYPERLINK("#",""), HYPERLINK(CONCATENATE("#metadata!", ADDRESS(INDEX($P$2:$P$1001,MATCH(ROWS($N$2:N588),$N$2:$N$1001,0),0), INDEX($U$1004:$AC$1004,1,MATCH(COLUMNS($U$1006:AA1006),$U$1006:$AC$1006,0)))),"Fix")))</f>
        <v>0</v>
      </c>
      <c r="I588" s="3">
        <f>IF(OR(INDEX($O$2:$O$1001,MATCH(ROWS($N$2:N588),$N$2:$N$1001,0),1)&gt;=100000,INDEX($U$1005:$AC$1005,1,MATCH(COLUMNS($U$1006:AB1006),$U$1006:$AC$1006,0))&gt;=100000), " ",IF(INDEX($U$2:$AC$1001,MATCH(ROWS($N$2:N588),$N$2:$N$1001,0),MATCH(COLUMNS($U$1006:AB1006),$U$1006:$AC$1006,0)), HYPERLINK("#",""), HYPERLINK(CONCATENATE("#metadata!", ADDRESS(INDEX($P$2:$P$1001,MATCH(ROWS($N$2:N588),$N$2:$N$1001,0),0), INDEX($U$1004:$AC$1004,1,MATCH(COLUMNS($U$1006:AB1006),$U$1006:$AC$1006,0)))),"Fix")))</f>
        <v>0</v>
      </c>
      <c r="J588" s="3">
        <f>IF(OR(INDEX($O$2:$O$1001,MATCH(ROWS($N$2:N588),$N$2:$N$1001,0),1)&gt;=100000,INDEX($U$1005:$AC$1005,1,MATCH(COLUMNS($U$1006:AC1006),$U$1006:$AC$1006,0))&gt;=100000), " ",IF(INDEX($U$2:$AC$1001,MATCH(ROWS($N$2:N588),$N$2:$N$1001,0),MATCH(COLUMNS($U$1006:AC1006),$U$1006:$AC$1006,0)), HYPERLINK("#",""), HYPERLINK(CONCATENATE("#metadata!", ADDRESS(INDEX($P$2:$P$1001,MATCH(ROWS($N$2:N588),$N$2:$N$1001,0),0), INDEX($U$1004:$AC$1004,1,MATCH(COLUMNS($U$1006:AC1006),$U$1006:$AC$1006,0)))),"Fix")))</f>
        <v>0</v>
      </c>
      <c r="N588">
        <v>0</v>
      </c>
      <c r="O588">
        <v>0</v>
      </c>
      <c r="P588">
        <v>0</v>
      </c>
      <c r="Q588">
        <f>IF(R588,TRUE,AND(U588:AC588))</f>
        <v>0</v>
      </c>
      <c r="R588">
        <f>COUNTBLANK(metadata!B588:J588)=COLUMNS(metadata!B588:J588)</f>
        <v>0</v>
      </c>
      <c r="S588">
        <v>0</v>
      </c>
      <c r="U588">
        <f>AND(IF(metadata!B588="",FALSE,TRUE),COUNTIF(metadata!B:B, metadata!B588) = 1,NOT(ISERROR(SUMPRODUCT(SEARCH(MID(metadata!B588,ROW(INDIRECT("1:"&amp;LEN(metadata!B588))), 1),"0123456789abcdefghijklmnopqrstuvwxyzABCDEFGHIJKLMNOPQRSTUVWXYZ.")))))</f>
        <v>0</v>
      </c>
      <c r="V588">
        <f>AND(IF(metadata!C588="",FALSE,TRUE),exact(metadata!C588,"UBERON:genitourinary"))</f>
        <v>0</v>
      </c>
      <c r="W588">
        <f>AND(IF(metadata!D588="",FALSE,TRUE),exact(metadata!D588,"UBERON:urine"))</f>
        <v>0</v>
      </c>
      <c r="X588">
        <f>AND(IF(metadata!E588="",FALSE,TRUE),exact(metadata!E588,"UBERON:kidney"))</f>
        <v>0</v>
      </c>
      <c r="Y588">
        <f>AND(IF(metadata!F588="",FALSE,TRUE),exact(metadata!F588,"animal corpus"))</f>
        <v>0</v>
      </c>
      <c r="Z588">
        <f>AND(IF(metadata!G588="",FALSE,TRUE),exact(metadata!G588,"urine"))</f>
        <v>0</v>
      </c>
      <c r="AA588">
        <f>AND(IF(metadata!H588="",FALSE,TRUE),exact(metadata!H588,"urine"))</f>
        <v>0</v>
      </c>
      <c r="AB588">
        <f>AND(IF(metadata!I588="",FALSE,TRUE),exact(metadata!I588,"urine metagenome"))</f>
        <v>0</v>
      </c>
      <c r="AC588">
        <f>AND(IF(metadata!J588="",FALSE,TRUE),exact(metadata!J588,"1346744"))</f>
        <v>0</v>
      </c>
    </row>
    <row r="589" spans="1:29">
      <c r="A589" s="4">
        <f>IF(B589=" "," ",HYPERLINK(CONCATENATE("#metadata!",ADDRESS(INDEX($P$2:$P$1001,MATCH(ROWS($N$2:N589),$N$2:$N$1001,0),0),1)),INDEX($S$2:$S$1001,MATCH(ROWS($N$2:N589),$N$2:$N$1001,0),0)))</f>
        <v>0</v>
      </c>
      <c r="B589" s="3">
        <f>IF(OR(INDEX($O$2:$O$1001,MATCH(ROWS($N$2:N589),$N$2:$N$1001,0),1)&gt;=100000,INDEX($U$1005:$AC$1005,1,MATCH(COLUMNS($U$1006:U1006),$U$1006:$AC$1006,0))&gt;=100000), " ",IF(INDEX($U$2:$AC$1001,MATCH(ROWS($N$2:N589),$N$2:$N$1001,0),MATCH(COLUMNS($U$1006:U1006),$U$1006:$AC$1006,0)), HYPERLINK("#",""), HYPERLINK(CONCATENATE("#metadata!", ADDRESS(INDEX($P$2:$P$1001,MATCH(ROWS($N$2:N589),$N$2:$N$1001,0),0), INDEX($U$1004:$AC$1004,1,MATCH(COLUMNS($U$1006:U1006),$U$1006:$AC$1006,0)))),"Fix")))</f>
        <v>0</v>
      </c>
      <c r="C589" s="3">
        <f>IF(OR(INDEX($O$2:$O$1001,MATCH(ROWS($N$2:N589),$N$2:$N$1001,0),1)&gt;=100000,INDEX($U$1005:$AC$1005,1,MATCH(COLUMNS($U$1006:V1006),$U$1006:$AC$1006,0))&gt;=100000), " ",IF(INDEX($U$2:$AC$1001,MATCH(ROWS($N$2:N589),$N$2:$N$1001,0),MATCH(COLUMNS($U$1006:V1006),$U$1006:$AC$1006,0)), HYPERLINK("#",""), HYPERLINK(CONCATENATE("#metadata!", ADDRESS(INDEX($P$2:$P$1001,MATCH(ROWS($N$2:N589),$N$2:$N$1001,0),0), INDEX($U$1004:$AC$1004,1,MATCH(COLUMNS($U$1006:V1006),$U$1006:$AC$1006,0)))),"Fix")))</f>
        <v>0</v>
      </c>
      <c r="D589" s="3">
        <f>IF(OR(INDEX($O$2:$O$1001,MATCH(ROWS($N$2:N589),$N$2:$N$1001,0),1)&gt;=100000,INDEX($U$1005:$AC$1005,1,MATCH(COLUMNS($U$1006:W1006),$U$1006:$AC$1006,0))&gt;=100000), " ",IF(INDEX($U$2:$AC$1001,MATCH(ROWS($N$2:N589),$N$2:$N$1001,0),MATCH(COLUMNS($U$1006:W1006),$U$1006:$AC$1006,0)), HYPERLINK("#",""), HYPERLINK(CONCATENATE("#metadata!", ADDRESS(INDEX($P$2:$P$1001,MATCH(ROWS($N$2:N589),$N$2:$N$1001,0),0), INDEX($U$1004:$AC$1004,1,MATCH(COLUMNS($U$1006:W1006),$U$1006:$AC$1006,0)))),"Fix")))</f>
        <v>0</v>
      </c>
      <c r="E589" s="3">
        <f>IF(OR(INDEX($O$2:$O$1001,MATCH(ROWS($N$2:N589),$N$2:$N$1001,0),1)&gt;=100000,INDEX($U$1005:$AC$1005,1,MATCH(COLUMNS($U$1006:X1006),$U$1006:$AC$1006,0))&gt;=100000), " ",IF(INDEX($U$2:$AC$1001,MATCH(ROWS($N$2:N589),$N$2:$N$1001,0),MATCH(COLUMNS($U$1006:X1006),$U$1006:$AC$1006,0)), HYPERLINK("#",""), HYPERLINK(CONCATENATE("#metadata!", ADDRESS(INDEX($P$2:$P$1001,MATCH(ROWS($N$2:N589),$N$2:$N$1001,0),0), INDEX($U$1004:$AC$1004,1,MATCH(COLUMNS($U$1006:X1006),$U$1006:$AC$1006,0)))),"Fix")))</f>
        <v>0</v>
      </c>
      <c r="F589" s="3">
        <f>IF(OR(INDEX($O$2:$O$1001,MATCH(ROWS($N$2:N589),$N$2:$N$1001,0),1)&gt;=100000,INDEX($U$1005:$AC$1005,1,MATCH(COLUMNS($U$1006:Y1006),$U$1006:$AC$1006,0))&gt;=100000), " ",IF(INDEX($U$2:$AC$1001,MATCH(ROWS($N$2:N589),$N$2:$N$1001,0),MATCH(COLUMNS($U$1006:Y1006),$U$1006:$AC$1006,0)), HYPERLINK("#",""), HYPERLINK(CONCATENATE("#metadata!", ADDRESS(INDEX($P$2:$P$1001,MATCH(ROWS($N$2:N589),$N$2:$N$1001,0),0), INDEX($U$1004:$AC$1004,1,MATCH(COLUMNS($U$1006:Y1006),$U$1006:$AC$1006,0)))),"Fix")))</f>
        <v>0</v>
      </c>
      <c r="G589" s="3">
        <f>IF(OR(INDEX($O$2:$O$1001,MATCH(ROWS($N$2:N589),$N$2:$N$1001,0),1)&gt;=100000,INDEX($U$1005:$AC$1005,1,MATCH(COLUMNS($U$1006:Z1006),$U$1006:$AC$1006,0))&gt;=100000), " ",IF(INDEX($U$2:$AC$1001,MATCH(ROWS($N$2:N589),$N$2:$N$1001,0),MATCH(COLUMNS($U$1006:Z1006),$U$1006:$AC$1006,0)), HYPERLINK("#",""), HYPERLINK(CONCATENATE("#metadata!", ADDRESS(INDEX($P$2:$P$1001,MATCH(ROWS($N$2:N589),$N$2:$N$1001,0),0), INDEX($U$1004:$AC$1004,1,MATCH(COLUMNS($U$1006:Z1006),$U$1006:$AC$1006,0)))),"Fix")))</f>
        <v>0</v>
      </c>
      <c r="H589" s="3">
        <f>IF(OR(INDEX($O$2:$O$1001,MATCH(ROWS($N$2:N589),$N$2:$N$1001,0),1)&gt;=100000,INDEX($U$1005:$AC$1005,1,MATCH(COLUMNS($U$1006:AA1006),$U$1006:$AC$1006,0))&gt;=100000), " ",IF(INDEX($U$2:$AC$1001,MATCH(ROWS($N$2:N589),$N$2:$N$1001,0),MATCH(COLUMNS($U$1006:AA1006),$U$1006:$AC$1006,0)), HYPERLINK("#",""), HYPERLINK(CONCATENATE("#metadata!", ADDRESS(INDEX($P$2:$P$1001,MATCH(ROWS($N$2:N589),$N$2:$N$1001,0),0), INDEX($U$1004:$AC$1004,1,MATCH(COLUMNS($U$1006:AA1006),$U$1006:$AC$1006,0)))),"Fix")))</f>
        <v>0</v>
      </c>
      <c r="I589" s="3">
        <f>IF(OR(INDEX($O$2:$O$1001,MATCH(ROWS($N$2:N589),$N$2:$N$1001,0),1)&gt;=100000,INDEX($U$1005:$AC$1005,1,MATCH(COLUMNS($U$1006:AB1006),$U$1006:$AC$1006,0))&gt;=100000), " ",IF(INDEX($U$2:$AC$1001,MATCH(ROWS($N$2:N589),$N$2:$N$1001,0),MATCH(COLUMNS($U$1006:AB1006),$U$1006:$AC$1006,0)), HYPERLINK("#",""), HYPERLINK(CONCATENATE("#metadata!", ADDRESS(INDEX($P$2:$P$1001,MATCH(ROWS($N$2:N589),$N$2:$N$1001,0),0), INDEX($U$1004:$AC$1004,1,MATCH(COLUMNS($U$1006:AB1006),$U$1006:$AC$1006,0)))),"Fix")))</f>
        <v>0</v>
      </c>
      <c r="J589" s="3">
        <f>IF(OR(INDEX($O$2:$O$1001,MATCH(ROWS($N$2:N589),$N$2:$N$1001,0),1)&gt;=100000,INDEX($U$1005:$AC$1005,1,MATCH(COLUMNS($U$1006:AC1006),$U$1006:$AC$1006,0))&gt;=100000), " ",IF(INDEX($U$2:$AC$1001,MATCH(ROWS($N$2:N589),$N$2:$N$1001,0),MATCH(COLUMNS($U$1006:AC1006),$U$1006:$AC$1006,0)), HYPERLINK("#",""), HYPERLINK(CONCATENATE("#metadata!", ADDRESS(INDEX($P$2:$P$1001,MATCH(ROWS($N$2:N589),$N$2:$N$1001,0),0), INDEX($U$1004:$AC$1004,1,MATCH(COLUMNS($U$1006:AC1006),$U$1006:$AC$1006,0)))),"Fix")))</f>
        <v>0</v>
      </c>
      <c r="N589">
        <v>0</v>
      </c>
      <c r="O589">
        <v>0</v>
      </c>
      <c r="P589">
        <v>0</v>
      </c>
      <c r="Q589">
        <f>IF(R589,TRUE,AND(U589:AC589))</f>
        <v>0</v>
      </c>
      <c r="R589">
        <f>COUNTBLANK(metadata!B589:J589)=COLUMNS(metadata!B589:J589)</f>
        <v>0</v>
      </c>
      <c r="S589">
        <v>0</v>
      </c>
      <c r="U589">
        <f>AND(IF(metadata!B589="",FALSE,TRUE),COUNTIF(metadata!B:B, metadata!B589) = 1,NOT(ISERROR(SUMPRODUCT(SEARCH(MID(metadata!B589,ROW(INDIRECT("1:"&amp;LEN(metadata!B589))), 1),"0123456789abcdefghijklmnopqrstuvwxyzABCDEFGHIJKLMNOPQRSTUVWXYZ.")))))</f>
        <v>0</v>
      </c>
      <c r="V589">
        <f>AND(IF(metadata!C589="",FALSE,TRUE),exact(metadata!C589,"UBERON:genitourinary"))</f>
        <v>0</v>
      </c>
      <c r="W589">
        <f>AND(IF(metadata!D589="",FALSE,TRUE),exact(metadata!D589,"UBERON:urine"))</f>
        <v>0</v>
      </c>
      <c r="X589">
        <f>AND(IF(metadata!E589="",FALSE,TRUE),exact(metadata!E589,"UBERON:kidney"))</f>
        <v>0</v>
      </c>
      <c r="Y589">
        <f>AND(IF(metadata!F589="",FALSE,TRUE),exact(metadata!F589,"animal corpus"))</f>
        <v>0</v>
      </c>
      <c r="Z589">
        <f>AND(IF(metadata!G589="",FALSE,TRUE),exact(metadata!G589,"urine"))</f>
        <v>0</v>
      </c>
      <c r="AA589">
        <f>AND(IF(metadata!H589="",FALSE,TRUE),exact(metadata!H589,"urine"))</f>
        <v>0</v>
      </c>
      <c r="AB589">
        <f>AND(IF(metadata!I589="",FALSE,TRUE),exact(metadata!I589,"urine metagenome"))</f>
        <v>0</v>
      </c>
      <c r="AC589">
        <f>AND(IF(metadata!J589="",FALSE,TRUE),exact(metadata!J589,"1346744"))</f>
        <v>0</v>
      </c>
    </row>
    <row r="590" spans="1:29">
      <c r="A590" s="4">
        <f>IF(B590=" "," ",HYPERLINK(CONCATENATE("#metadata!",ADDRESS(INDEX($P$2:$P$1001,MATCH(ROWS($N$2:N590),$N$2:$N$1001,0),0),1)),INDEX($S$2:$S$1001,MATCH(ROWS($N$2:N590),$N$2:$N$1001,0),0)))</f>
        <v>0</v>
      </c>
      <c r="B590" s="3">
        <f>IF(OR(INDEX($O$2:$O$1001,MATCH(ROWS($N$2:N590),$N$2:$N$1001,0),1)&gt;=100000,INDEX($U$1005:$AC$1005,1,MATCH(COLUMNS($U$1006:U1006),$U$1006:$AC$1006,0))&gt;=100000), " ",IF(INDEX($U$2:$AC$1001,MATCH(ROWS($N$2:N590),$N$2:$N$1001,0),MATCH(COLUMNS($U$1006:U1006),$U$1006:$AC$1006,0)), HYPERLINK("#",""), HYPERLINK(CONCATENATE("#metadata!", ADDRESS(INDEX($P$2:$P$1001,MATCH(ROWS($N$2:N590),$N$2:$N$1001,0),0), INDEX($U$1004:$AC$1004,1,MATCH(COLUMNS($U$1006:U1006),$U$1006:$AC$1006,0)))),"Fix")))</f>
        <v>0</v>
      </c>
      <c r="C590" s="3">
        <f>IF(OR(INDEX($O$2:$O$1001,MATCH(ROWS($N$2:N590),$N$2:$N$1001,0),1)&gt;=100000,INDEX($U$1005:$AC$1005,1,MATCH(COLUMNS($U$1006:V1006),$U$1006:$AC$1006,0))&gt;=100000), " ",IF(INDEX($U$2:$AC$1001,MATCH(ROWS($N$2:N590),$N$2:$N$1001,0),MATCH(COLUMNS($U$1006:V1006),$U$1006:$AC$1006,0)), HYPERLINK("#",""), HYPERLINK(CONCATENATE("#metadata!", ADDRESS(INDEX($P$2:$P$1001,MATCH(ROWS($N$2:N590),$N$2:$N$1001,0),0), INDEX($U$1004:$AC$1004,1,MATCH(COLUMNS($U$1006:V1006),$U$1006:$AC$1006,0)))),"Fix")))</f>
        <v>0</v>
      </c>
      <c r="D590" s="3">
        <f>IF(OR(INDEX($O$2:$O$1001,MATCH(ROWS($N$2:N590),$N$2:$N$1001,0),1)&gt;=100000,INDEX($U$1005:$AC$1005,1,MATCH(COLUMNS($U$1006:W1006),$U$1006:$AC$1006,0))&gt;=100000), " ",IF(INDEX($U$2:$AC$1001,MATCH(ROWS($N$2:N590),$N$2:$N$1001,0),MATCH(COLUMNS($U$1006:W1006),$U$1006:$AC$1006,0)), HYPERLINK("#",""), HYPERLINK(CONCATENATE("#metadata!", ADDRESS(INDEX($P$2:$P$1001,MATCH(ROWS($N$2:N590),$N$2:$N$1001,0),0), INDEX($U$1004:$AC$1004,1,MATCH(COLUMNS($U$1006:W1006),$U$1006:$AC$1006,0)))),"Fix")))</f>
        <v>0</v>
      </c>
      <c r="E590" s="3">
        <f>IF(OR(INDEX($O$2:$O$1001,MATCH(ROWS($N$2:N590),$N$2:$N$1001,0),1)&gt;=100000,INDEX($U$1005:$AC$1005,1,MATCH(COLUMNS($U$1006:X1006),$U$1006:$AC$1006,0))&gt;=100000), " ",IF(INDEX($U$2:$AC$1001,MATCH(ROWS($N$2:N590),$N$2:$N$1001,0),MATCH(COLUMNS($U$1006:X1006),$U$1006:$AC$1006,0)), HYPERLINK("#",""), HYPERLINK(CONCATENATE("#metadata!", ADDRESS(INDEX($P$2:$P$1001,MATCH(ROWS($N$2:N590),$N$2:$N$1001,0),0), INDEX($U$1004:$AC$1004,1,MATCH(COLUMNS($U$1006:X1006),$U$1006:$AC$1006,0)))),"Fix")))</f>
        <v>0</v>
      </c>
      <c r="F590" s="3">
        <f>IF(OR(INDEX($O$2:$O$1001,MATCH(ROWS($N$2:N590),$N$2:$N$1001,0),1)&gt;=100000,INDEX($U$1005:$AC$1005,1,MATCH(COLUMNS($U$1006:Y1006),$U$1006:$AC$1006,0))&gt;=100000), " ",IF(INDEX($U$2:$AC$1001,MATCH(ROWS($N$2:N590),$N$2:$N$1001,0),MATCH(COLUMNS($U$1006:Y1006),$U$1006:$AC$1006,0)), HYPERLINK("#",""), HYPERLINK(CONCATENATE("#metadata!", ADDRESS(INDEX($P$2:$P$1001,MATCH(ROWS($N$2:N590),$N$2:$N$1001,0),0), INDEX($U$1004:$AC$1004,1,MATCH(COLUMNS($U$1006:Y1006),$U$1006:$AC$1006,0)))),"Fix")))</f>
        <v>0</v>
      </c>
      <c r="G590" s="3">
        <f>IF(OR(INDEX($O$2:$O$1001,MATCH(ROWS($N$2:N590),$N$2:$N$1001,0),1)&gt;=100000,INDEX($U$1005:$AC$1005,1,MATCH(COLUMNS($U$1006:Z1006),$U$1006:$AC$1006,0))&gt;=100000), " ",IF(INDEX($U$2:$AC$1001,MATCH(ROWS($N$2:N590),$N$2:$N$1001,0),MATCH(COLUMNS($U$1006:Z1006),$U$1006:$AC$1006,0)), HYPERLINK("#",""), HYPERLINK(CONCATENATE("#metadata!", ADDRESS(INDEX($P$2:$P$1001,MATCH(ROWS($N$2:N590),$N$2:$N$1001,0),0), INDEX($U$1004:$AC$1004,1,MATCH(COLUMNS($U$1006:Z1006),$U$1006:$AC$1006,0)))),"Fix")))</f>
        <v>0</v>
      </c>
      <c r="H590" s="3">
        <f>IF(OR(INDEX($O$2:$O$1001,MATCH(ROWS($N$2:N590),$N$2:$N$1001,0),1)&gt;=100000,INDEX($U$1005:$AC$1005,1,MATCH(COLUMNS($U$1006:AA1006),$U$1006:$AC$1006,0))&gt;=100000), " ",IF(INDEX($U$2:$AC$1001,MATCH(ROWS($N$2:N590),$N$2:$N$1001,0),MATCH(COLUMNS($U$1006:AA1006),$U$1006:$AC$1006,0)), HYPERLINK("#",""), HYPERLINK(CONCATENATE("#metadata!", ADDRESS(INDEX($P$2:$P$1001,MATCH(ROWS($N$2:N590),$N$2:$N$1001,0),0), INDEX($U$1004:$AC$1004,1,MATCH(COLUMNS($U$1006:AA1006),$U$1006:$AC$1006,0)))),"Fix")))</f>
        <v>0</v>
      </c>
      <c r="I590" s="3">
        <f>IF(OR(INDEX($O$2:$O$1001,MATCH(ROWS($N$2:N590),$N$2:$N$1001,0),1)&gt;=100000,INDEX($U$1005:$AC$1005,1,MATCH(COLUMNS($U$1006:AB1006),$U$1006:$AC$1006,0))&gt;=100000), " ",IF(INDEX($U$2:$AC$1001,MATCH(ROWS($N$2:N590),$N$2:$N$1001,0),MATCH(COLUMNS($U$1006:AB1006),$U$1006:$AC$1006,0)), HYPERLINK("#",""), HYPERLINK(CONCATENATE("#metadata!", ADDRESS(INDEX($P$2:$P$1001,MATCH(ROWS($N$2:N590),$N$2:$N$1001,0),0), INDEX($U$1004:$AC$1004,1,MATCH(COLUMNS($U$1006:AB1006),$U$1006:$AC$1006,0)))),"Fix")))</f>
        <v>0</v>
      </c>
      <c r="J590" s="3">
        <f>IF(OR(INDEX($O$2:$O$1001,MATCH(ROWS($N$2:N590),$N$2:$N$1001,0),1)&gt;=100000,INDEX($U$1005:$AC$1005,1,MATCH(COLUMNS($U$1006:AC1006),$U$1006:$AC$1006,0))&gt;=100000), " ",IF(INDEX($U$2:$AC$1001,MATCH(ROWS($N$2:N590),$N$2:$N$1001,0),MATCH(COLUMNS($U$1006:AC1006),$U$1006:$AC$1006,0)), HYPERLINK("#",""), HYPERLINK(CONCATENATE("#metadata!", ADDRESS(INDEX($P$2:$P$1001,MATCH(ROWS($N$2:N590),$N$2:$N$1001,0),0), INDEX($U$1004:$AC$1004,1,MATCH(COLUMNS($U$1006:AC1006),$U$1006:$AC$1006,0)))),"Fix")))</f>
        <v>0</v>
      </c>
      <c r="N590">
        <v>0</v>
      </c>
      <c r="O590">
        <v>0</v>
      </c>
      <c r="P590">
        <v>0</v>
      </c>
      <c r="Q590">
        <f>IF(R590,TRUE,AND(U590:AC590))</f>
        <v>0</v>
      </c>
      <c r="R590">
        <f>COUNTBLANK(metadata!B590:J590)=COLUMNS(metadata!B590:J590)</f>
        <v>0</v>
      </c>
      <c r="S590">
        <v>0</v>
      </c>
      <c r="U590">
        <f>AND(IF(metadata!B590="",FALSE,TRUE),COUNTIF(metadata!B:B, metadata!B590) = 1,NOT(ISERROR(SUMPRODUCT(SEARCH(MID(metadata!B590,ROW(INDIRECT("1:"&amp;LEN(metadata!B590))), 1),"0123456789abcdefghijklmnopqrstuvwxyzABCDEFGHIJKLMNOPQRSTUVWXYZ.")))))</f>
        <v>0</v>
      </c>
      <c r="V590">
        <f>AND(IF(metadata!C590="",FALSE,TRUE),exact(metadata!C590,"UBERON:genitourinary"))</f>
        <v>0</v>
      </c>
      <c r="W590">
        <f>AND(IF(metadata!D590="",FALSE,TRUE),exact(metadata!D590,"UBERON:urine"))</f>
        <v>0</v>
      </c>
      <c r="X590">
        <f>AND(IF(metadata!E590="",FALSE,TRUE),exact(metadata!E590,"UBERON:kidney"))</f>
        <v>0</v>
      </c>
      <c r="Y590">
        <f>AND(IF(metadata!F590="",FALSE,TRUE),exact(metadata!F590,"animal corpus"))</f>
        <v>0</v>
      </c>
      <c r="Z590">
        <f>AND(IF(metadata!G590="",FALSE,TRUE),exact(metadata!G590,"urine"))</f>
        <v>0</v>
      </c>
      <c r="AA590">
        <f>AND(IF(metadata!H590="",FALSE,TRUE),exact(metadata!H590,"urine"))</f>
        <v>0</v>
      </c>
      <c r="AB590">
        <f>AND(IF(metadata!I590="",FALSE,TRUE),exact(metadata!I590,"urine metagenome"))</f>
        <v>0</v>
      </c>
      <c r="AC590">
        <f>AND(IF(metadata!J590="",FALSE,TRUE),exact(metadata!J590,"1346744"))</f>
        <v>0</v>
      </c>
    </row>
    <row r="591" spans="1:29">
      <c r="A591" s="4">
        <f>IF(B591=" "," ",HYPERLINK(CONCATENATE("#metadata!",ADDRESS(INDEX($P$2:$P$1001,MATCH(ROWS($N$2:N591),$N$2:$N$1001,0),0),1)),INDEX($S$2:$S$1001,MATCH(ROWS($N$2:N591),$N$2:$N$1001,0),0)))</f>
        <v>0</v>
      </c>
      <c r="B591" s="3">
        <f>IF(OR(INDEX($O$2:$O$1001,MATCH(ROWS($N$2:N591),$N$2:$N$1001,0),1)&gt;=100000,INDEX($U$1005:$AC$1005,1,MATCH(COLUMNS($U$1006:U1006),$U$1006:$AC$1006,0))&gt;=100000), " ",IF(INDEX($U$2:$AC$1001,MATCH(ROWS($N$2:N591),$N$2:$N$1001,0),MATCH(COLUMNS($U$1006:U1006),$U$1006:$AC$1006,0)), HYPERLINK("#",""), HYPERLINK(CONCATENATE("#metadata!", ADDRESS(INDEX($P$2:$P$1001,MATCH(ROWS($N$2:N591),$N$2:$N$1001,0),0), INDEX($U$1004:$AC$1004,1,MATCH(COLUMNS($U$1006:U1006),$U$1006:$AC$1006,0)))),"Fix")))</f>
        <v>0</v>
      </c>
      <c r="C591" s="3">
        <f>IF(OR(INDEX($O$2:$O$1001,MATCH(ROWS($N$2:N591),$N$2:$N$1001,0),1)&gt;=100000,INDEX($U$1005:$AC$1005,1,MATCH(COLUMNS($U$1006:V1006),$U$1006:$AC$1006,0))&gt;=100000), " ",IF(INDEX($U$2:$AC$1001,MATCH(ROWS($N$2:N591),$N$2:$N$1001,0),MATCH(COLUMNS($U$1006:V1006),$U$1006:$AC$1006,0)), HYPERLINK("#",""), HYPERLINK(CONCATENATE("#metadata!", ADDRESS(INDEX($P$2:$P$1001,MATCH(ROWS($N$2:N591),$N$2:$N$1001,0),0), INDEX($U$1004:$AC$1004,1,MATCH(COLUMNS($U$1006:V1006),$U$1006:$AC$1006,0)))),"Fix")))</f>
        <v>0</v>
      </c>
      <c r="D591" s="3">
        <f>IF(OR(INDEX($O$2:$O$1001,MATCH(ROWS($N$2:N591),$N$2:$N$1001,0),1)&gt;=100000,INDEX($U$1005:$AC$1005,1,MATCH(COLUMNS($U$1006:W1006),$U$1006:$AC$1006,0))&gt;=100000), " ",IF(INDEX($U$2:$AC$1001,MATCH(ROWS($N$2:N591),$N$2:$N$1001,0),MATCH(COLUMNS($U$1006:W1006),$U$1006:$AC$1006,0)), HYPERLINK("#",""), HYPERLINK(CONCATENATE("#metadata!", ADDRESS(INDEX($P$2:$P$1001,MATCH(ROWS($N$2:N591),$N$2:$N$1001,0),0), INDEX($U$1004:$AC$1004,1,MATCH(COLUMNS($U$1006:W1006),$U$1006:$AC$1006,0)))),"Fix")))</f>
        <v>0</v>
      </c>
      <c r="E591" s="3">
        <f>IF(OR(INDEX($O$2:$O$1001,MATCH(ROWS($N$2:N591),$N$2:$N$1001,0),1)&gt;=100000,INDEX($U$1005:$AC$1005,1,MATCH(COLUMNS($U$1006:X1006),$U$1006:$AC$1006,0))&gt;=100000), " ",IF(INDEX($U$2:$AC$1001,MATCH(ROWS($N$2:N591),$N$2:$N$1001,0),MATCH(COLUMNS($U$1006:X1006),$U$1006:$AC$1006,0)), HYPERLINK("#",""), HYPERLINK(CONCATENATE("#metadata!", ADDRESS(INDEX($P$2:$P$1001,MATCH(ROWS($N$2:N591),$N$2:$N$1001,0),0), INDEX($U$1004:$AC$1004,1,MATCH(COLUMNS($U$1006:X1006),$U$1006:$AC$1006,0)))),"Fix")))</f>
        <v>0</v>
      </c>
      <c r="F591" s="3">
        <f>IF(OR(INDEX($O$2:$O$1001,MATCH(ROWS($N$2:N591),$N$2:$N$1001,0),1)&gt;=100000,INDEX($U$1005:$AC$1005,1,MATCH(COLUMNS($U$1006:Y1006),$U$1006:$AC$1006,0))&gt;=100000), " ",IF(INDEX($U$2:$AC$1001,MATCH(ROWS($N$2:N591),$N$2:$N$1001,0),MATCH(COLUMNS($U$1006:Y1006),$U$1006:$AC$1006,0)), HYPERLINK("#",""), HYPERLINK(CONCATENATE("#metadata!", ADDRESS(INDEX($P$2:$P$1001,MATCH(ROWS($N$2:N591),$N$2:$N$1001,0),0), INDEX($U$1004:$AC$1004,1,MATCH(COLUMNS($U$1006:Y1006),$U$1006:$AC$1006,0)))),"Fix")))</f>
        <v>0</v>
      </c>
      <c r="G591" s="3">
        <f>IF(OR(INDEX($O$2:$O$1001,MATCH(ROWS($N$2:N591),$N$2:$N$1001,0),1)&gt;=100000,INDEX($U$1005:$AC$1005,1,MATCH(COLUMNS($U$1006:Z1006),$U$1006:$AC$1006,0))&gt;=100000), " ",IF(INDEX($U$2:$AC$1001,MATCH(ROWS($N$2:N591),$N$2:$N$1001,0),MATCH(COLUMNS($U$1006:Z1006),$U$1006:$AC$1006,0)), HYPERLINK("#",""), HYPERLINK(CONCATENATE("#metadata!", ADDRESS(INDEX($P$2:$P$1001,MATCH(ROWS($N$2:N591),$N$2:$N$1001,0),0), INDEX($U$1004:$AC$1004,1,MATCH(COLUMNS($U$1006:Z1006),$U$1006:$AC$1006,0)))),"Fix")))</f>
        <v>0</v>
      </c>
      <c r="H591" s="3">
        <f>IF(OR(INDEX($O$2:$O$1001,MATCH(ROWS($N$2:N591),$N$2:$N$1001,0),1)&gt;=100000,INDEX($U$1005:$AC$1005,1,MATCH(COLUMNS($U$1006:AA1006),$U$1006:$AC$1006,0))&gt;=100000), " ",IF(INDEX($U$2:$AC$1001,MATCH(ROWS($N$2:N591),$N$2:$N$1001,0),MATCH(COLUMNS($U$1006:AA1006),$U$1006:$AC$1006,0)), HYPERLINK("#",""), HYPERLINK(CONCATENATE("#metadata!", ADDRESS(INDEX($P$2:$P$1001,MATCH(ROWS($N$2:N591),$N$2:$N$1001,0),0), INDEX($U$1004:$AC$1004,1,MATCH(COLUMNS($U$1006:AA1006),$U$1006:$AC$1006,0)))),"Fix")))</f>
        <v>0</v>
      </c>
      <c r="I591" s="3">
        <f>IF(OR(INDEX($O$2:$O$1001,MATCH(ROWS($N$2:N591),$N$2:$N$1001,0),1)&gt;=100000,INDEX($U$1005:$AC$1005,1,MATCH(COLUMNS($U$1006:AB1006),$U$1006:$AC$1006,0))&gt;=100000), " ",IF(INDEX($U$2:$AC$1001,MATCH(ROWS($N$2:N591),$N$2:$N$1001,0),MATCH(COLUMNS($U$1006:AB1006),$U$1006:$AC$1006,0)), HYPERLINK("#",""), HYPERLINK(CONCATENATE("#metadata!", ADDRESS(INDEX($P$2:$P$1001,MATCH(ROWS($N$2:N591),$N$2:$N$1001,0),0), INDEX($U$1004:$AC$1004,1,MATCH(COLUMNS($U$1006:AB1006),$U$1006:$AC$1006,0)))),"Fix")))</f>
        <v>0</v>
      </c>
      <c r="J591" s="3">
        <f>IF(OR(INDEX($O$2:$O$1001,MATCH(ROWS($N$2:N591),$N$2:$N$1001,0),1)&gt;=100000,INDEX($U$1005:$AC$1005,1,MATCH(COLUMNS($U$1006:AC1006),$U$1006:$AC$1006,0))&gt;=100000), " ",IF(INDEX($U$2:$AC$1001,MATCH(ROWS($N$2:N591),$N$2:$N$1001,0),MATCH(COLUMNS($U$1006:AC1006),$U$1006:$AC$1006,0)), HYPERLINK("#",""), HYPERLINK(CONCATENATE("#metadata!", ADDRESS(INDEX($P$2:$P$1001,MATCH(ROWS($N$2:N591),$N$2:$N$1001,0),0), INDEX($U$1004:$AC$1004,1,MATCH(COLUMNS($U$1006:AC1006),$U$1006:$AC$1006,0)))),"Fix")))</f>
        <v>0</v>
      </c>
      <c r="N591">
        <v>0</v>
      </c>
      <c r="O591">
        <v>0</v>
      </c>
      <c r="P591">
        <v>0</v>
      </c>
      <c r="Q591">
        <f>IF(R591,TRUE,AND(U591:AC591))</f>
        <v>0</v>
      </c>
      <c r="R591">
        <f>COUNTBLANK(metadata!B591:J591)=COLUMNS(metadata!B591:J591)</f>
        <v>0</v>
      </c>
      <c r="S591">
        <v>0</v>
      </c>
      <c r="U591">
        <f>AND(IF(metadata!B591="",FALSE,TRUE),COUNTIF(metadata!B:B, metadata!B591) = 1,NOT(ISERROR(SUMPRODUCT(SEARCH(MID(metadata!B591,ROW(INDIRECT("1:"&amp;LEN(metadata!B591))), 1),"0123456789abcdefghijklmnopqrstuvwxyzABCDEFGHIJKLMNOPQRSTUVWXYZ.")))))</f>
        <v>0</v>
      </c>
      <c r="V591">
        <f>AND(IF(metadata!C591="",FALSE,TRUE),exact(metadata!C591,"UBERON:genitourinary"))</f>
        <v>0</v>
      </c>
      <c r="W591">
        <f>AND(IF(metadata!D591="",FALSE,TRUE),exact(metadata!D591,"UBERON:urine"))</f>
        <v>0</v>
      </c>
      <c r="X591">
        <f>AND(IF(metadata!E591="",FALSE,TRUE),exact(metadata!E591,"UBERON:kidney"))</f>
        <v>0</v>
      </c>
      <c r="Y591">
        <f>AND(IF(metadata!F591="",FALSE,TRUE),exact(metadata!F591,"animal corpus"))</f>
        <v>0</v>
      </c>
      <c r="Z591">
        <f>AND(IF(metadata!G591="",FALSE,TRUE),exact(metadata!G591,"urine"))</f>
        <v>0</v>
      </c>
      <c r="AA591">
        <f>AND(IF(metadata!H591="",FALSE,TRUE),exact(metadata!H591,"urine"))</f>
        <v>0</v>
      </c>
      <c r="AB591">
        <f>AND(IF(metadata!I591="",FALSE,TRUE),exact(metadata!I591,"urine metagenome"))</f>
        <v>0</v>
      </c>
      <c r="AC591">
        <f>AND(IF(metadata!J591="",FALSE,TRUE),exact(metadata!J591,"1346744"))</f>
        <v>0</v>
      </c>
    </row>
    <row r="592" spans="1:29">
      <c r="A592" s="4">
        <f>IF(B592=" "," ",HYPERLINK(CONCATENATE("#metadata!",ADDRESS(INDEX($P$2:$P$1001,MATCH(ROWS($N$2:N592),$N$2:$N$1001,0),0),1)),INDEX($S$2:$S$1001,MATCH(ROWS($N$2:N592),$N$2:$N$1001,0),0)))</f>
        <v>0</v>
      </c>
      <c r="B592" s="3">
        <f>IF(OR(INDEX($O$2:$O$1001,MATCH(ROWS($N$2:N592),$N$2:$N$1001,0),1)&gt;=100000,INDEX($U$1005:$AC$1005,1,MATCH(COLUMNS($U$1006:U1006),$U$1006:$AC$1006,0))&gt;=100000), " ",IF(INDEX($U$2:$AC$1001,MATCH(ROWS($N$2:N592),$N$2:$N$1001,0),MATCH(COLUMNS($U$1006:U1006),$U$1006:$AC$1006,0)), HYPERLINK("#",""), HYPERLINK(CONCATENATE("#metadata!", ADDRESS(INDEX($P$2:$P$1001,MATCH(ROWS($N$2:N592),$N$2:$N$1001,0),0), INDEX($U$1004:$AC$1004,1,MATCH(COLUMNS($U$1006:U1006),$U$1006:$AC$1006,0)))),"Fix")))</f>
        <v>0</v>
      </c>
      <c r="C592" s="3">
        <f>IF(OR(INDEX($O$2:$O$1001,MATCH(ROWS($N$2:N592),$N$2:$N$1001,0),1)&gt;=100000,INDEX($U$1005:$AC$1005,1,MATCH(COLUMNS($U$1006:V1006),$U$1006:$AC$1006,0))&gt;=100000), " ",IF(INDEX($U$2:$AC$1001,MATCH(ROWS($N$2:N592),$N$2:$N$1001,0),MATCH(COLUMNS($U$1006:V1006),$U$1006:$AC$1006,0)), HYPERLINK("#",""), HYPERLINK(CONCATENATE("#metadata!", ADDRESS(INDEX($P$2:$P$1001,MATCH(ROWS($N$2:N592),$N$2:$N$1001,0),0), INDEX($U$1004:$AC$1004,1,MATCH(COLUMNS($U$1006:V1006),$U$1006:$AC$1006,0)))),"Fix")))</f>
        <v>0</v>
      </c>
      <c r="D592" s="3">
        <f>IF(OR(INDEX($O$2:$O$1001,MATCH(ROWS($N$2:N592),$N$2:$N$1001,0),1)&gt;=100000,INDEX($U$1005:$AC$1005,1,MATCH(COLUMNS($U$1006:W1006),$U$1006:$AC$1006,0))&gt;=100000), " ",IF(INDEX($U$2:$AC$1001,MATCH(ROWS($N$2:N592),$N$2:$N$1001,0),MATCH(COLUMNS($U$1006:W1006),$U$1006:$AC$1006,0)), HYPERLINK("#",""), HYPERLINK(CONCATENATE("#metadata!", ADDRESS(INDEX($P$2:$P$1001,MATCH(ROWS($N$2:N592),$N$2:$N$1001,0),0), INDEX($U$1004:$AC$1004,1,MATCH(COLUMNS($U$1006:W1006),$U$1006:$AC$1006,0)))),"Fix")))</f>
        <v>0</v>
      </c>
      <c r="E592" s="3">
        <f>IF(OR(INDEX($O$2:$O$1001,MATCH(ROWS($N$2:N592),$N$2:$N$1001,0),1)&gt;=100000,INDEX($U$1005:$AC$1005,1,MATCH(COLUMNS($U$1006:X1006),$U$1006:$AC$1006,0))&gt;=100000), " ",IF(INDEX($U$2:$AC$1001,MATCH(ROWS($N$2:N592),$N$2:$N$1001,0),MATCH(COLUMNS($U$1006:X1006),$U$1006:$AC$1006,0)), HYPERLINK("#",""), HYPERLINK(CONCATENATE("#metadata!", ADDRESS(INDEX($P$2:$P$1001,MATCH(ROWS($N$2:N592),$N$2:$N$1001,0),0), INDEX($U$1004:$AC$1004,1,MATCH(COLUMNS($U$1006:X1006),$U$1006:$AC$1006,0)))),"Fix")))</f>
        <v>0</v>
      </c>
      <c r="F592" s="3">
        <f>IF(OR(INDEX($O$2:$O$1001,MATCH(ROWS($N$2:N592),$N$2:$N$1001,0),1)&gt;=100000,INDEX($U$1005:$AC$1005,1,MATCH(COLUMNS($U$1006:Y1006),$U$1006:$AC$1006,0))&gt;=100000), " ",IF(INDEX($U$2:$AC$1001,MATCH(ROWS($N$2:N592),$N$2:$N$1001,0),MATCH(COLUMNS($U$1006:Y1006),$U$1006:$AC$1006,0)), HYPERLINK("#",""), HYPERLINK(CONCATENATE("#metadata!", ADDRESS(INDEX($P$2:$P$1001,MATCH(ROWS($N$2:N592),$N$2:$N$1001,0),0), INDEX($U$1004:$AC$1004,1,MATCH(COLUMNS($U$1006:Y1006),$U$1006:$AC$1006,0)))),"Fix")))</f>
        <v>0</v>
      </c>
      <c r="G592" s="3">
        <f>IF(OR(INDEX($O$2:$O$1001,MATCH(ROWS($N$2:N592),$N$2:$N$1001,0),1)&gt;=100000,INDEX($U$1005:$AC$1005,1,MATCH(COLUMNS($U$1006:Z1006),$U$1006:$AC$1006,0))&gt;=100000), " ",IF(INDEX($U$2:$AC$1001,MATCH(ROWS($N$2:N592),$N$2:$N$1001,0),MATCH(COLUMNS($U$1006:Z1006),$U$1006:$AC$1006,0)), HYPERLINK("#",""), HYPERLINK(CONCATENATE("#metadata!", ADDRESS(INDEX($P$2:$P$1001,MATCH(ROWS($N$2:N592),$N$2:$N$1001,0),0), INDEX($U$1004:$AC$1004,1,MATCH(COLUMNS($U$1006:Z1006),$U$1006:$AC$1006,0)))),"Fix")))</f>
        <v>0</v>
      </c>
      <c r="H592" s="3">
        <f>IF(OR(INDEX($O$2:$O$1001,MATCH(ROWS($N$2:N592),$N$2:$N$1001,0),1)&gt;=100000,INDEX($U$1005:$AC$1005,1,MATCH(COLUMNS($U$1006:AA1006),$U$1006:$AC$1006,0))&gt;=100000), " ",IF(INDEX($U$2:$AC$1001,MATCH(ROWS($N$2:N592),$N$2:$N$1001,0),MATCH(COLUMNS($U$1006:AA1006),$U$1006:$AC$1006,0)), HYPERLINK("#",""), HYPERLINK(CONCATENATE("#metadata!", ADDRESS(INDEX($P$2:$P$1001,MATCH(ROWS($N$2:N592),$N$2:$N$1001,0),0), INDEX($U$1004:$AC$1004,1,MATCH(COLUMNS($U$1006:AA1006),$U$1006:$AC$1006,0)))),"Fix")))</f>
        <v>0</v>
      </c>
      <c r="I592" s="3">
        <f>IF(OR(INDEX($O$2:$O$1001,MATCH(ROWS($N$2:N592),$N$2:$N$1001,0),1)&gt;=100000,INDEX($U$1005:$AC$1005,1,MATCH(COLUMNS($U$1006:AB1006),$U$1006:$AC$1006,0))&gt;=100000), " ",IF(INDEX($U$2:$AC$1001,MATCH(ROWS($N$2:N592),$N$2:$N$1001,0),MATCH(COLUMNS($U$1006:AB1006),$U$1006:$AC$1006,0)), HYPERLINK("#",""), HYPERLINK(CONCATENATE("#metadata!", ADDRESS(INDEX($P$2:$P$1001,MATCH(ROWS($N$2:N592),$N$2:$N$1001,0),0), INDEX($U$1004:$AC$1004,1,MATCH(COLUMNS($U$1006:AB1006),$U$1006:$AC$1006,0)))),"Fix")))</f>
        <v>0</v>
      </c>
      <c r="J592" s="3">
        <f>IF(OR(INDEX($O$2:$O$1001,MATCH(ROWS($N$2:N592),$N$2:$N$1001,0),1)&gt;=100000,INDEX($U$1005:$AC$1005,1,MATCH(COLUMNS($U$1006:AC1006),$U$1006:$AC$1006,0))&gt;=100000), " ",IF(INDEX($U$2:$AC$1001,MATCH(ROWS($N$2:N592),$N$2:$N$1001,0),MATCH(COLUMNS($U$1006:AC1006),$U$1006:$AC$1006,0)), HYPERLINK("#",""), HYPERLINK(CONCATENATE("#metadata!", ADDRESS(INDEX($P$2:$P$1001,MATCH(ROWS($N$2:N592),$N$2:$N$1001,0),0), INDEX($U$1004:$AC$1004,1,MATCH(COLUMNS($U$1006:AC1006),$U$1006:$AC$1006,0)))),"Fix")))</f>
        <v>0</v>
      </c>
      <c r="N592">
        <v>0</v>
      </c>
      <c r="O592">
        <v>0</v>
      </c>
      <c r="P592">
        <v>0</v>
      </c>
      <c r="Q592">
        <f>IF(R592,TRUE,AND(U592:AC592))</f>
        <v>0</v>
      </c>
      <c r="R592">
        <f>COUNTBLANK(metadata!B592:J592)=COLUMNS(metadata!B592:J592)</f>
        <v>0</v>
      </c>
      <c r="S592">
        <v>0</v>
      </c>
      <c r="U592">
        <f>AND(IF(metadata!B592="",FALSE,TRUE),COUNTIF(metadata!B:B, metadata!B592) = 1,NOT(ISERROR(SUMPRODUCT(SEARCH(MID(metadata!B592,ROW(INDIRECT("1:"&amp;LEN(metadata!B592))), 1),"0123456789abcdefghijklmnopqrstuvwxyzABCDEFGHIJKLMNOPQRSTUVWXYZ.")))))</f>
        <v>0</v>
      </c>
      <c r="V592">
        <f>AND(IF(metadata!C592="",FALSE,TRUE),exact(metadata!C592,"UBERON:genitourinary"))</f>
        <v>0</v>
      </c>
      <c r="W592">
        <f>AND(IF(metadata!D592="",FALSE,TRUE),exact(metadata!D592,"UBERON:urine"))</f>
        <v>0</v>
      </c>
      <c r="X592">
        <f>AND(IF(metadata!E592="",FALSE,TRUE),exact(metadata!E592,"UBERON:kidney"))</f>
        <v>0</v>
      </c>
      <c r="Y592">
        <f>AND(IF(metadata!F592="",FALSE,TRUE),exact(metadata!F592,"animal corpus"))</f>
        <v>0</v>
      </c>
      <c r="Z592">
        <f>AND(IF(metadata!G592="",FALSE,TRUE),exact(metadata!G592,"urine"))</f>
        <v>0</v>
      </c>
      <c r="AA592">
        <f>AND(IF(metadata!H592="",FALSE,TRUE),exact(metadata!H592,"urine"))</f>
        <v>0</v>
      </c>
      <c r="AB592">
        <f>AND(IF(metadata!I592="",FALSE,TRUE),exact(metadata!I592,"urine metagenome"))</f>
        <v>0</v>
      </c>
      <c r="AC592">
        <f>AND(IF(metadata!J592="",FALSE,TRUE),exact(metadata!J592,"1346744"))</f>
        <v>0</v>
      </c>
    </row>
    <row r="593" spans="1:29">
      <c r="A593" s="4">
        <f>IF(B593=" "," ",HYPERLINK(CONCATENATE("#metadata!",ADDRESS(INDEX($P$2:$P$1001,MATCH(ROWS($N$2:N593),$N$2:$N$1001,0),0),1)),INDEX($S$2:$S$1001,MATCH(ROWS($N$2:N593),$N$2:$N$1001,0),0)))</f>
        <v>0</v>
      </c>
      <c r="B593" s="3">
        <f>IF(OR(INDEX($O$2:$O$1001,MATCH(ROWS($N$2:N593),$N$2:$N$1001,0),1)&gt;=100000,INDEX($U$1005:$AC$1005,1,MATCH(COLUMNS($U$1006:U1006),$U$1006:$AC$1006,0))&gt;=100000), " ",IF(INDEX($U$2:$AC$1001,MATCH(ROWS($N$2:N593),$N$2:$N$1001,0),MATCH(COLUMNS($U$1006:U1006),$U$1006:$AC$1006,0)), HYPERLINK("#",""), HYPERLINK(CONCATENATE("#metadata!", ADDRESS(INDEX($P$2:$P$1001,MATCH(ROWS($N$2:N593),$N$2:$N$1001,0),0), INDEX($U$1004:$AC$1004,1,MATCH(COLUMNS($U$1006:U1006),$U$1006:$AC$1006,0)))),"Fix")))</f>
        <v>0</v>
      </c>
      <c r="C593" s="3">
        <f>IF(OR(INDEX($O$2:$O$1001,MATCH(ROWS($N$2:N593),$N$2:$N$1001,0),1)&gt;=100000,INDEX($U$1005:$AC$1005,1,MATCH(COLUMNS($U$1006:V1006),$U$1006:$AC$1006,0))&gt;=100000), " ",IF(INDEX($U$2:$AC$1001,MATCH(ROWS($N$2:N593),$N$2:$N$1001,0),MATCH(COLUMNS($U$1006:V1006),$U$1006:$AC$1006,0)), HYPERLINK("#",""), HYPERLINK(CONCATENATE("#metadata!", ADDRESS(INDEX($P$2:$P$1001,MATCH(ROWS($N$2:N593),$N$2:$N$1001,0),0), INDEX($U$1004:$AC$1004,1,MATCH(COLUMNS($U$1006:V1006),$U$1006:$AC$1006,0)))),"Fix")))</f>
        <v>0</v>
      </c>
      <c r="D593" s="3">
        <f>IF(OR(INDEX($O$2:$O$1001,MATCH(ROWS($N$2:N593),$N$2:$N$1001,0),1)&gt;=100000,INDEX($U$1005:$AC$1005,1,MATCH(COLUMNS($U$1006:W1006),$U$1006:$AC$1006,0))&gt;=100000), " ",IF(INDEX($U$2:$AC$1001,MATCH(ROWS($N$2:N593),$N$2:$N$1001,0),MATCH(COLUMNS($U$1006:W1006),$U$1006:$AC$1006,0)), HYPERLINK("#",""), HYPERLINK(CONCATENATE("#metadata!", ADDRESS(INDEX($P$2:$P$1001,MATCH(ROWS($N$2:N593),$N$2:$N$1001,0),0), INDEX($U$1004:$AC$1004,1,MATCH(COLUMNS($U$1006:W1006),$U$1006:$AC$1006,0)))),"Fix")))</f>
        <v>0</v>
      </c>
      <c r="E593" s="3">
        <f>IF(OR(INDEX($O$2:$O$1001,MATCH(ROWS($N$2:N593),$N$2:$N$1001,0),1)&gt;=100000,INDEX($U$1005:$AC$1005,1,MATCH(COLUMNS($U$1006:X1006),$U$1006:$AC$1006,0))&gt;=100000), " ",IF(INDEX($U$2:$AC$1001,MATCH(ROWS($N$2:N593),$N$2:$N$1001,0),MATCH(COLUMNS($U$1006:X1006),$U$1006:$AC$1006,0)), HYPERLINK("#",""), HYPERLINK(CONCATENATE("#metadata!", ADDRESS(INDEX($P$2:$P$1001,MATCH(ROWS($N$2:N593),$N$2:$N$1001,0),0), INDEX($U$1004:$AC$1004,1,MATCH(COLUMNS($U$1006:X1006),$U$1006:$AC$1006,0)))),"Fix")))</f>
        <v>0</v>
      </c>
      <c r="F593" s="3">
        <f>IF(OR(INDEX($O$2:$O$1001,MATCH(ROWS($N$2:N593),$N$2:$N$1001,0),1)&gt;=100000,INDEX($U$1005:$AC$1005,1,MATCH(COLUMNS($U$1006:Y1006),$U$1006:$AC$1006,0))&gt;=100000), " ",IF(INDEX($U$2:$AC$1001,MATCH(ROWS($N$2:N593),$N$2:$N$1001,0),MATCH(COLUMNS($U$1006:Y1006),$U$1006:$AC$1006,0)), HYPERLINK("#",""), HYPERLINK(CONCATENATE("#metadata!", ADDRESS(INDEX($P$2:$P$1001,MATCH(ROWS($N$2:N593),$N$2:$N$1001,0),0), INDEX($U$1004:$AC$1004,1,MATCH(COLUMNS($U$1006:Y1006),$U$1006:$AC$1006,0)))),"Fix")))</f>
        <v>0</v>
      </c>
      <c r="G593" s="3">
        <f>IF(OR(INDEX($O$2:$O$1001,MATCH(ROWS($N$2:N593),$N$2:$N$1001,0),1)&gt;=100000,INDEX($U$1005:$AC$1005,1,MATCH(COLUMNS($U$1006:Z1006),$U$1006:$AC$1006,0))&gt;=100000), " ",IF(INDEX($U$2:$AC$1001,MATCH(ROWS($N$2:N593),$N$2:$N$1001,0),MATCH(COLUMNS($U$1006:Z1006),$U$1006:$AC$1006,0)), HYPERLINK("#",""), HYPERLINK(CONCATENATE("#metadata!", ADDRESS(INDEX($P$2:$P$1001,MATCH(ROWS($N$2:N593),$N$2:$N$1001,0),0), INDEX($U$1004:$AC$1004,1,MATCH(COLUMNS($U$1006:Z1006),$U$1006:$AC$1006,0)))),"Fix")))</f>
        <v>0</v>
      </c>
      <c r="H593" s="3">
        <f>IF(OR(INDEX($O$2:$O$1001,MATCH(ROWS($N$2:N593),$N$2:$N$1001,0),1)&gt;=100000,INDEX($U$1005:$AC$1005,1,MATCH(COLUMNS($U$1006:AA1006),$U$1006:$AC$1006,0))&gt;=100000), " ",IF(INDEX($U$2:$AC$1001,MATCH(ROWS($N$2:N593),$N$2:$N$1001,0),MATCH(COLUMNS($U$1006:AA1006),$U$1006:$AC$1006,0)), HYPERLINK("#",""), HYPERLINK(CONCATENATE("#metadata!", ADDRESS(INDEX($P$2:$P$1001,MATCH(ROWS($N$2:N593),$N$2:$N$1001,0),0), INDEX($U$1004:$AC$1004,1,MATCH(COLUMNS($U$1006:AA1006),$U$1006:$AC$1006,0)))),"Fix")))</f>
        <v>0</v>
      </c>
      <c r="I593" s="3">
        <f>IF(OR(INDEX($O$2:$O$1001,MATCH(ROWS($N$2:N593),$N$2:$N$1001,0),1)&gt;=100000,INDEX($U$1005:$AC$1005,1,MATCH(COLUMNS($U$1006:AB1006),$U$1006:$AC$1006,0))&gt;=100000), " ",IF(INDEX($U$2:$AC$1001,MATCH(ROWS($N$2:N593),$N$2:$N$1001,0),MATCH(COLUMNS($U$1006:AB1006),$U$1006:$AC$1006,0)), HYPERLINK("#",""), HYPERLINK(CONCATENATE("#metadata!", ADDRESS(INDEX($P$2:$P$1001,MATCH(ROWS($N$2:N593),$N$2:$N$1001,0),0), INDEX($U$1004:$AC$1004,1,MATCH(COLUMNS($U$1006:AB1006),$U$1006:$AC$1006,0)))),"Fix")))</f>
        <v>0</v>
      </c>
      <c r="J593" s="3">
        <f>IF(OR(INDEX($O$2:$O$1001,MATCH(ROWS($N$2:N593),$N$2:$N$1001,0),1)&gt;=100000,INDEX($U$1005:$AC$1005,1,MATCH(COLUMNS($U$1006:AC1006),$U$1006:$AC$1006,0))&gt;=100000), " ",IF(INDEX($U$2:$AC$1001,MATCH(ROWS($N$2:N593),$N$2:$N$1001,0),MATCH(COLUMNS($U$1006:AC1006),$U$1006:$AC$1006,0)), HYPERLINK("#",""), HYPERLINK(CONCATENATE("#metadata!", ADDRESS(INDEX($P$2:$P$1001,MATCH(ROWS($N$2:N593),$N$2:$N$1001,0),0), INDEX($U$1004:$AC$1004,1,MATCH(COLUMNS($U$1006:AC1006),$U$1006:$AC$1006,0)))),"Fix")))</f>
        <v>0</v>
      </c>
      <c r="N593">
        <v>0</v>
      </c>
      <c r="O593">
        <v>0</v>
      </c>
      <c r="P593">
        <v>0</v>
      </c>
      <c r="Q593">
        <f>IF(R593,TRUE,AND(U593:AC593))</f>
        <v>0</v>
      </c>
      <c r="R593">
        <f>COUNTBLANK(metadata!B593:J593)=COLUMNS(metadata!B593:J593)</f>
        <v>0</v>
      </c>
      <c r="S593">
        <v>0</v>
      </c>
      <c r="U593">
        <f>AND(IF(metadata!B593="",FALSE,TRUE),COUNTIF(metadata!B:B, metadata!B593) = 1,NOT(ISERROR(SUMPRODUCT(SEARCH(MID(metadata!B593,ROW(INDIRECT("1:"&amp;LEN(metadata!B593))), 1),"0123456789abcdefghijklmnopqrstuvwxyzABCDEFGHIJKLMNOPQRSTUVWXYZ.")))))</f>
        <v>0</v>
      </c>
      <c r="V593">
        <f>AND(IF(metadata!C593="",FALSE,TRUE),exact(metadata!C593,"UBERON:genitourinary"))</f>
        <v>0</v>
      </c>
      <c r="W593">
        <f>AND(IF(metadata!D593="",FALSE,TRUE),exact(metadata!D593,"UBERON:urine"))</f>
        <v>0</v>
      </c>
      <c r="X593">
        <f>AND(IF(metadata!E593="",FALSE,TRUE),exact(metadata!E593,"UBERON:kidney"))</f>
        <v>0</v>
      </c>
      <c r="Y593">
        <f>AND(IF(metadata!F593="",FALSE,TRUE),exact(metadata!F593,"animal corpus"))</f>
        <v>0</v>
      </c>
      <c r="Z593">
        <f>AND(IF(metadata!G593="",FALSE,TRUE),exact(metadata!G593,"urine"))</f>
        <v>0</v>
      </c>
      <c r="AA593">
        <f>AND(IF(metadata!H593="",FALSE,TRUE),exact(metadata!H593,"urine"))</f>
        <v>0</v>
      </c>
      <c r="AB593">
        <f>AND(IF(metadata!I593="",FALSE,TRUE),exact(metadata!I593,"urine metagenome"))</f>
        <v>0</v>
      </c>
      <c r="AC593">
        <f>AND(IF(metadata!J593="",FALSE,TRUE),exact(metadata!J593,"1346744"))</f>
        <v>0</v>
      </c>
    </row>
    <row r="594" spans="1:29">
      <c r="A594" s="4">
        <f>IF(B594=" "," ",HYPERLINK(CONCATENATE("#metadata!",ADDRESS(INDEX($P$2:$P$1001,MATCH(ROWS($N$2:N594),$N$2:$N$1001,0),0),1)),INDEX($S$2:$S$1001,MATCH(ROWS($N$2:N594),$N$2:$N$1001,0),0)))</f>
        <v>0</v>
      </c>
      <c r="B594" s="3">
        <f>IF(OR(INDEX($O$2:$O$1001,MATCH(ROWS($N$2:N594),$N$2:$N$1001,0),1)&gt;=100000,INDEX($U$1005:$AC$1005,1,MATCH(COLUMNS($U$1006:U1006),$U$1006:$AC$1006,0))&gt;=100000), " ",IF(INDEX($U$2:$AC$1001,MATCH(ROWS($N$2:N594),$N$2:$N$1001,0),MATCH(COLUMNS($U$1006:U1006),$U$1006:$AC$1006,0)), HYPERLINK("#",""), HYPERLINK(CONCATENATE("#metadata!", ADDRESS(INDEX($P$2:$P$1001,MATCH(ROWS($N$2:N594),$N$2:$N$1001,0),0), INDEX($U$1004:$AC$1004,1,MATCH(COLUMNS($U$1006:U1006),$U$1006:$AC$1006,0)))),"Fix")))</f>
        <v>0</v>
      </c>
      <c r="C594" s="3">
        <f>IF(OR(INDEX($O$2:$O$1001,MATCH(ROWS($N$2:N594),$N$2:$N$1001,0),1)&gt;=100000,INDEX($U$1005:$AC$1005,1,MATCH(COLUMNS($U$1006:V1006),$U$1006:$AC$1006,0))&gt;=100000), " ",IF(INDEX($U$2:$AC$1001,MATCH(ROWS($N$2:N594),$N$2:$N$1001,0),MATCH(COLUMNS($U$1006:V1006),$U$1006:$AC$1006,0)), HYPERLINK("#",""), HYPERLINK(CONCATENATE("#metadata!", ADDRESS(INDEX($P$2:$P$1001,MATCH(ROWS($N$2:N594),$N$2:$N$1001,0),0), INDEX($U$1004:$AC$1004,1,MATCH(COLUMNS($U$1006:V1006),$U$1006:$AC$1006,0)))),"Fix")))</f>
        <v>0</v>
      </c>
      <c r="D594" s="3">
        <f>IF(OR(INDEX($O$2:$O$1001,MATCH(ROWS($N$2:N594),$N$2:$N$1001,0),1)&gt;=100000,INDEX($U$1005:$AC$1005,1,MATCH(COLUMNS($U$1006:W1006),$U$1006:$AC$1006,0))&gt;=100000), " ",IF(INDEX($U$2:$AC$1001,MATCH(ROWS($N$2:N594),$N$2:$N$1001,0),MATCH(COLUMNS($U$1006:W1006),$U$1006:$AC$1006,0)), HYPERLINK("#",""), HYPERLINK(CONCATENATE("#metadata!", ADDRESS(INDEX($P$2:$P$1001,MATCH(ROWS($N$2:N594),$N$2:$N$1001,0),0), INDEX($U$1004:$AC$1004,1,MATCH(COLUMNS($U$1006:W1006),$U$1006:$AC$1006,0)))),"Fix")))</f>
        <v>0</v>
      </c>
      <c r="E594" s="3">
        <f>IF(OR(INDEX($O$2:$O$1001,MATCH(ROWS($N$2:N594),$N$2:$N$1001,0),1)&gt;=100000,INDEX($U$1005:$AC$1005,1,MATCH(COLUMNS($U$1006:X1006),$U$1006:$AC$1006,0))&gt;=100000), " ",IF(INDEX($U$2:$AC$1001,MATCH(ROWS($N$2:N594),$N$2:$N$1001,0),MATCH(COLUMNS($U$1006:X1006),$U$1006:$AC$1006,0)), HYPERLINK("#",""), HYPERLINK(CONCATENATE("#metadata!", ADDRESS(INDEX($P$2:$P$1001,MATCH(ROWS($N$2:N594),$N$2:$N$1001,0),0), INDEX($U$1004:$AC$1004,1,MATCH(COLUMNS($U$1006:X1006),$U$1006:$AC$1006,0)))),"Fix")))</f>
        <v>0</v>
      </c>
      <c r="F594" s="3">
        <f>IF(OR(INDEX($O$2:$O$1001,MATCH(ROWS($N$2:N594),$N$2:$N$1001,0),1)&gt;=100000,INDEX($U$1005:$AC$1005,1,MATCH(COLUMNS($U$1006:Y1006),$U$1006:$AC$1006,0))&gt;=100000), " ",IF(INDEX($U$2:$AC$1001,MATCH(ROWS($N$2:N594),$N$2:$N$1001,0),MATCH(COLUMNS($U$1006:Y1006),$U$1006:$AC$1006,0)), HYPERLINK("#",""), HYPERLINK(CONCATENATE("#metadata!", ADDRESS(INDEX($P$2:$P$1001,MATCH(ROWS($N$2:N594),$N$2:$N$1001,0),0), INDEX($U$1004:$AC$1004,1,MATCH(COLUMNS($U$1006:Y1006),$U$1006:$AC$1006,0)))),"Fix")))</f>
        <v>0</v>
      </c>
      <c r="G594" s="3">
        <f>IF(OR(INDEX($O$2:$O$1001,MATCH(ROWS($N$2:N594),$N$2:$N$1001,0),1)&gt;=100000,INDEX($U$1005:$AC$1005,1,MATCH(COLUMNS($U$1006:Z1006),$U$1006:$AC$1006,0))&gt;=100000), " ",IF(INDEX($U$2:$AC$1001,MATCH(ROWS($N$2:N594),$N$2:$N$1001,0),MATCH(COLUMNS($U$1006:Z1006),$U$1006:$AC$1006,0)), HYPERLINK("#",""), HYPERLINK(CONCATENATE("#metadata!", ADDRESS(INDEX($P$2:$P$1001,MATCH(ROWS($N$2:N594),$N$2:$N$1001,0),0), INDEX($U$1004:$AC$1004,1,MATCH(COLUMNS($U$1006:Z1006),$U$1006:$AC$1006,0)))),"Fix")))</f>
        <v>0</v>
      </c>
      <c r="H594" s="3">
        <f>IF(OR(INDEX($O$2:$O$1001,MATCH(ROWS($N$2:N594),$N$2:$N$1001,0),1)&gt;=100000,INDEX($U$1005:$AC$1005,1,MATCH(COLUMNS($U$1006:AA1006),$U$1006:$AC$1006,0))&gt;=100000), " ",IF(INDEX($U$2:$AC$1001,MATCH(ROWS($N$2:N594),$N$2:$N$1001,0),MATCH(COLUMNS($U$1006:AA1006),$U$1006:$AC$1006,0)), HYPERLINK("#",""), HYPERLINK(CONCATENATE("#metadata!", ADDRESS(INDEX($P$2:$P$1001,MATCH(ROWS($N$2:N594),$N$2:$N$1001,0),0), INDEX($U$1004:$AC$1004,1,MATCH(COLUMNS($U$1006:AA1006),$U$1006:$AC$1006,0)))),"Fix")))</f>
        <v>0</v>
      </c>
      <c r="I594" s="3">
        <f>IF(OR(INDEX($O$2:$O$1001,MATCH(ROWS($N$2:N594),$N$2:$N$1001,0),1)&gt;=100000,INDEX($U$1005:$AC$1005,1,MATCH(COLUMNS($U$1006:AB1006),$U$1006:$AC$1006,0))&gt;=100000), " ",IF(INDEX($U$2:$AC$1001,MATCH(ROWS($N$2:N594),$N$2:$N$1001,0),MATCH(COLUMNS($U$1006:AB1006),$U$1006:$AC$1006,0)), HYPERLINK("#",""), HYPERLINK(CONCATENATE("#metadata!", ADDRESS(INDEX($P$2:$P$1001,MATCH(ROWS($N$2:N594),$N$2:$N$1001,0),0), INDEX($U$1004:$AC$1004,1,MATCH(COLUMNS($U$1006:AB1006),$U$1006:$AC$1006,0)))),"Fix")))</f>
        <v>0</v>
      </c>
      <c r="J594" s="3">
        <f>IF(OR(INDEX($O$2:$O$1001,MATCH(ROWS($N$2:N594),$N$2:$N$1001,0),1)&gt;=100000,INDEX($U$1005:$AC$1005,1,MATCH(COLUMNS($U$1006:AC1006),$U$1006:$AC$1006,0))&gt;=100000), " ",IF(INDEX($U$2:$AC$1001,MATCH(ROWS($N$2:N594),$N$2:$N$1001,0),MATCH(COLUMNS($U$1006:AC1006),$U$1006:$AC$1006,0)), HYPERLINK("#",""), HYPERLINK(CONCATENATE("#metadata!", ADDRESS(INDEX($P$2:$P$1001,MATCH(ROWS($N$2:N594),$N$2:$N$1001,0),0), INDEX($U$1004:$AC$1004,1,MATCH(COLUMNS($U$1006:AC1006),$U$1006:$AC$1006,0)))),"Fix")))</f>
        <v>0</v>
      </c>
      <c r="N594">
        <v>0</v>
      </c>
      <c r="O594">
        <v>0</v>
      </c>
      <c r="P594">
        <v>0</v>
      </c>
      <c r="Q594">
        <f>IF(R594,TRUE,AND(U594:AC594))</f>
        <v>0</v>
      </c>
      <c r="R594">
        <f>COUNTBLANK(metadata!B594:J594)=COLUMNS(metadata!B594:J594)</f>
        <v>0</v>
      </c>
      <c r="S594">
        <v>0</v>
      </c>
      <c r="U594">
        <f>AND(IF(metadata!B594="",FALSE,TRUE),COUNTIF(metadata!B:B, metadata!B594) = 1,NOT(ISERROR(SUMPRODUCT(SEARCH(MID(metadata!B594,ROW(INDIRECT("1:"&amp;LEN(metadata!B594))), 1),"0123456789abcdefghijklmnopqrstuvwxyzABCDEFGHIJKLMNOPQRSTUVWXYZ.")))))</f>
        <v>0</v>
      </c>
      <c r="V594">
        <f>AND(IF(metadata!C594="",FALSE,TRUE),exact(metadata!C594,"UBERON:genitourinary"))</f>
        <v>0</v>
      </c>
      <c r="W594">
        <f>AND(IF(metadata!D594="",FALSE,TRUE),exact(metadata!D594,"UBERON:urine"))</f>
        <v>0</v>
      </c>
      <c r="X594">
        <f>AND(IF(metadata!E594="",FALSE,TRUE),exact(metadata!E594,"UBERON:kidney"))</f>
        <v>0</v>
      </c>
      <c r="Y594">
        <f>AND(IF(metadata!F594="",FALSE,TRUE),exact(metadata!F594,"animal corpus"))</f>
        <v>0</v>
      </c>
      <c r="Z594">
        <f>AND(IF(metadata!G594="",FALSE,TRUE),exact(metadata!G594,"urine"))</f>
        <v>0</v>
      </c>
      <c r="AA594">
        <f>AND(IF(metadata!H594="",FALSE,TRUE),exact(metadata!H594,"urine"))</f>
        <v>0</v>
      </c>
      <c r="AB594">
        <f>AND(IF(metadata!I594="",FALSE,TRUE),exact(metadata!I594,"urine metagenome"))</f>
        <v>0</v>
      </c>
      <c r="AC594">
        <f>AND(IF(metadata!J594="",FALSE,TRUE),exact(metadata!J594,"1346744"))</f>
        <v>0</v>
      </c>
    </row>
    <row r="595" spans="1:29">
      <c r="A595" s="4">
        <f>IF(B595=" "," ",HYPERLINK(CONCATENATE("#metadata!",ADDRESS(INDEX($P$2:$P$1001,MATCH(ROWS($N$2:N595),$N$2:$N$1001,0),0),1)),INDEX($S$2:$S$1001,MATCH(ROWS($N$2:N595),$N$2:$N$1001,0),0)))</f>
        <v>0</v>
      </c>
      <c r="B595" s="3">
        <f>IF(OR(INDEX($O$2:$O$1001,MATCH(ROWS($N$2:N595),$N$2:$N$1001,0),1)&gt;=100000,INDEX($U$1005:$AC$1005,1,MATCH(COLUMNS($U$1006:U1006),$U$1006:$AC$1006,0))&gt;=100000), " ",IF(INDEX($U$2:$AC$1001,MATCH(ROWS($N$2:N595),$N$2:$N$1001,0),MATCH(COLUMNS($U$1006:U1006),$U$1006:$AC$1006,0)), HYPERLINK("#",""), HYPERLINK(CONCATENATE("#metadata!", ADDRESS(INDEX($P$2:$P$1001,MATCH(ROWS($N$2:N595),$N$2:$N$1001,0),0), INDEX($U$1004:$AC$1004,1,MATCH(COLUMNS($U$1006:U1006),$U$1006:$AC$1006,0)))),"Fix")))</f>
        <v>0</v>
      </c>
      <c r="C595" s="3">
        <f>IF(OR(INDEX($O$2:$O$1001,MATCH(ROWS($N$2:N595),$N$2:$N$1001,0),1)&gt;=100000,INDEX($U$1005:$AC$1005,1,MATCH(COLUMNS($U$1006:V1006),$U$1006:$AC$1006,0))&gt;=100000), " ",IF(INDEX($U$2:$AC$1001,MATCH(ROWS($N$2:N595),$N$2:$N$1001,0),MATCH(COLUMNS($U$1006:V1006),$U$1006:$AC$1006,0)), HYPERLINK("#",""), HYPERLINK(CONCATENATE("#metadata!", ADDRESS(INDEX($P$2:$P$1001,MATCH(ROWS($N$2:N595),$N$2:$N$1001,0),0), INDEX($U$1004:$AC$1004,1,MATCH(COLUMNS($U$1006:V1006),$U$1006:$AC$1006,0)))),"Fix")))</f>
        <v>0</v>
      </c>
      <c r="D595" s="3">
        <f>IF(OR(INDEX($O$2:$O$1001,MATCH(ROWS($N$2:N595),$N$2:$N$1001,0),1)&gt;=100000,INDEX($U$1005:$AC$1005,1,MATCH(COLUMNS($U$1006:W1006),$U$1006:$AC$1006,0))&gt;=100000), " ",IF(INDEX($U$2:$AC$1001,MATCH(ROWS($N$2:N595),$N$2:$N$1001,0),MATCH(COLUMNS($U$1006:W1006),$U$1006:$AC$1006,0)), HYPERLINK("#",""), HYPERLINK(CONCATENATE("#metadata!", ADDRESS(INDEX($P$2:$P$1001,MATCH(ROWS($N$2:N595),$N$2:$N$1001,0),0), INDEX($U$1004:$AC$1004,1,MATCH(COLUMNS($U$1006:W1006),$U$1006:$AC$1006,0)))),"Fix")))</f>
        <v>0</v>
      </c>
      <c r="E595" s="3">
        <f>IF(OR(INDEX($O$2:$O$1001,MATCH(ROWS($N$2:N595),$N$2:$N$1001,0),1)&gt;=100000,INDEX($U$1005:$AC$1005,1,MATCH(COLUMNS($U$1006:X1006),$U$1006:$AC$1006,0))&gt;=100000), " ",IF(INDEX($U$2:$AC$1001,MATCH(ROWS($N$2:N595),$N$2:$N$1001,0),MATCH(COLUMNS($U$1006:X1006),$U$1006:$AC$1006,0)), HYPERLINK("#",""), HYPERLINK(CONCATENATE("#metadata!", ADDRESS(INDEX($P$2:$P$1001,MATCH(ROWS($N$2:N595),$N$2:$N$1001,0),0), INDEX($U$1004:$AC$1004,1,MATCH(COLUMNS($U$1006:X1006),$U$1006:$AC$1006,0)))),"Fix")))</f>
        <v>0</v>
      </c>
      <c r="F595" s="3">
        <f>IF(OR(INDEX($O$2:$O$1001,MATCH(ROWS($N$2:N595),$N$2:$N$1001,0),1)&gt;=100000,INDEX($U$1005:$AC$1005,1,MATCH(COLUMNS($U$1006:Y1006),$U$1006:$AC$1006,0))&gt;=100000), " ",IF(INDEX($U$2:$AC$1001,MATCH(ROWS($N$2:N595),$N$2:$N$1001,0),MATCH(COLUMNS($U$1006:Y1006),$U$1006:$AC$1006,0)), HYPERLINK("#",""), HYPERLINK(CONCATENATE("#metadata!", ADDRESS(INDEX($P$2:$P$1001,MATCH(ROWS($N$2:N595),$N$2:$N$1001,0),0), INDEX($U$1004:$AC$1004,1,MATCH(COLUMNS($U$1006:Y1006),$U$1006:$AC$1006,0)))),"Fix")))</f>
        <v>0</v>
      </c>
      <c r="G595" s="3">
        <f>IF(OR(INDEX($O$2:$O$1001,MATCH(ROWS($N$2:N595),$N$2:$N$1001,0),1)&gt;=100000,INDEX($U$1005:$AC$1005,1,MATCH(COLUMNS($U$1006:Z1006),$U$1006:$AC$1006,0))&gt;=100000), " ",IF(INDEX($U$2:$AC$1001,MATCH(ROWS($N$2:N595),$N$2:$N$1001,0),MATCH(COLUMNS($U$1006:Z1006),$U$1006:$AC$1006,0)), HYPERLINK("#",""), HYPERLINK(CONCATENATE("#metadata!", ADDRESS(INDEX($P$2:$P$1001,MATCH(ROWS($N$2:N595),$N$2:$N$1001,0),0), INDEX($U$1004:$AC$1004,1,MATCH(COLUMNS($U$1006:Z1006),$U$1006:$AC$1006,0)))),"Fix")))</f>
        <v>0</v>
      </c>
      <c r="H595" s="3">
        <f>IF(OR(INDEX($O$2:$O$1001,MATCH(ROWS($N$2:N595),$N$2:$N$1001,0),1)&gt;=100000,INDEX($U$1005:$AC$1005,1,MATCH(COLUMNS($U$1006:AA1006),$U$1006:$AC$1006,0))&gt;=100000), " ",IF(INDEX($U$2:$AC$1001,MATCH(ROWS($N$2:N595),$N$2:$N$1001,0),MATCH(COLUMNS($U$1006:AA1006),$U$1006:$AC$1006,0)), HYPERLINK("#",""), HYPERLINK(CONCATENATE("#metadata!", ADDRESS(INDEX($P$2:$P$1001,MATCH(ROWS($N$2:N595),$N$2:$N$1001,0),0), INDEX($U$1004:$AC$1004,1,MATCH(COLUMNS($U$1006:AA1006),$U$1006:$AC$1006,0)))),"Fix")))</f>
        <v>0</v>
      </c>
      <c r="I595" s="3">
        <f>IF(OR(INDEX($O$2:$O$1001,MATCH(ROWS($N$2:N595),$N$2:$N$1001,0),1)&gt;=100000,INDEX($U$1005:$AC$1005,1,MATCH(COLUMNS($U$1006:AB1006),$U$1006:$AC$1006,0))&gt;=100000), " ",IF(INDEX($U$2:$AC$1001,MATCH(ROWS($N$2:N595),$N$2:$N$1001,0),MATCH(COLUMNS($U$1006:AB1006),$U$1006:$AC$1006,0)), HYPERLINK("#",""), HYPERLINK(CONCATENATE("#metadata!", ADDRESS(INDEX($P$2:$P$1001,MATCH(ROWS($N$2:N595),$N$2:$N$1001,0),0), INDEX($U$1004:$AC$1004,1,MATCH(COLUMNS($U$1006:AB1006),$U$1006:$AC$1006,0)))),"Fix")))</f>
        <v>0</v>
      </c>
      <c r="J595" s="3">
        <f>IF(OR(INDEX($O$2:$O$1001,MATCH(ROWS($N$2:N595),$N$2:$N$1001,0),1)&gt;=100000,INDEX($U$1005:$AC$1005,1,MATCH(COLUMNS($U$1006:AC1006),$U$1006:$AC$1006,0))&gt;=100000), " ",IF(INDEX($U$2:$AC$1001,MATCH(ROWS($N$2:N595),$N$2:$N$1001,0),MATCH(COLUMNS($U$1006:AC1006),$U$1006:$AC$1006,0)), HYPERLINK("#",""), HYPERLINK(CONCATENATE("#metadata!", ADDRESS(INDEX($P$2:$P$1001,MATCH(ROWS($N$2:N595),$N$2:$N$1001,0),0), INDEX($U$1004:$AC$1004,1,MATCH(COLUMNS($U$1006:AC1006),$U$1006:$AC$1006,0)))),"Fix")))</f>
        <v>0</v>
      </c>
      <c r="N595">
        <v>0</v>
      </c>
      <c r="O595">
        <v>0</v>
      </c>
      <c r="P595">
        <v>0</v>
      </c>
      <c r="Q595">
        <f>IF(R595,TRUE,AND(U595:AC595))</f>
        <v>0</v>
      </c>
      <c r="R595">
        <f>COUNTBLANK(metadata!B595:J595)=COLUMNS(metadata!B595:J595)</f>
        <v>0</v>
      </c>
      <c r="S595">
        <v>0</v>
      </c>
      <c r="U595">
        <f>AND(IF(metadata!B595="",FALSE,TRUE),COUNTIF(metadata!B:B, metadata!B595) = 1,NOT(ISERROR(SUMPRODUCT(SEARCH(MID(metadata!B595,ROW(INDIRECT("1:"&amp;LEN(metadata!B595))), 1),"0123456789abcdefghijklmnopqrstuvwxyzABCDEFGHIJKLMNOPQRSTUVWXYZ.")))))</f>
        <v>0</v>
      </c>
      <c r="V595">
        <f>AND(IF(metadata!C595="",FALSE,TRUE),exact(metadata!C595,"UBERON:genitourinary"))</f>
        <v>0</v>
      </c>
      <c r="W595">
        <f>AND(IF(metadata!D595="",FALSE,TRUE),exact(metadata!D595,"UBERON:urine"))</f>
        <v>0</v>
      </c>
      <c r="X595">
        <f>AND(IF(metadata!E595="",FALSE,TRUE),exact(metadata!E595,"UBERON:kidney"))</f>
        <v>0</v>
      </c>
      <c r="Y595">
        <f>AND(IF(metadata!F595="",FALSE,TRUE),exact(metadata!F595,"animal corpus"))</f>
        <v>0</v>
      </c>
      <c r="Z595">
        <f>AND(IF(metadata!G595="",FALSE,TRUE),exact(metadata!G595,"urine"))</f>
        <v>0</v>
      </c>
      <c r="AA595">
        <f>AND(IF(metadata!H595="",FALSE,TRUE),exact(metadata!H595,"urine"))</f>
        <v>0</v>
      </c>
      <c r="AB595">
        <f>AND(IF(metadata!I595="",FALSE,TRUE),exact(metadata!I595,"urine metagenome"))</f>
        <v>0</v>
      </c>
      <c r="AC595">
        <f>AND(IF(metadata!J595="",FALSE,TRUE),exact(metadata!J595,"1346744"))</f>
        <v>0</v>
      </c>
    </row>
    <row r="596" spans="1:29">
      <c r="A596" s="4">
        <f>IF(B596=" "," ",HYPERLINK(CONCATENATE("#metadata!",ADDRESS(INDEX($P$2:$P$1001,MATCH(ROWS($N$2:N596),$N$2:$N$1001,0),0),1)),INDEX($S$2:$S$1001,MATCH(ROWS($N$2:N596),$N$2:$N$1001,0),0)))</f>
        <v>0</v>
      </c>
      <c r="B596" s="3">
        <f>IF(OR(INDEX($O$2:$O$1001,MATCH(ROWS($N$2:N596),$N$2:$N$1001,0),1)&gt;=100000,INDEX($U$1005:$AC$1005,1,MATCH(COLUMNS($U$1006:U1006),$U$1006:$AC$1006,0))&gt;=100000), " ",IF(INDEX($U$2:$AC$1001,MATCH(ROWS($N$2:N596),$N$2:$N$1001,0),MATCH(COLUMNS($U$1006:U1006),$U$1006:$AC$1006,0)), HYPERLINK("#",""), HYPERLINK(CONCATENATE("#metadata!", ADDRESS(INDEX($P$2:$P$1001,MATCH(ROWS($N$2:N596),$N$2:$N$1001,0),0), INDEX($U$1004:$AC$1004,1,MATCH(COLUMNS($U$1006:U1006),$U$1006:$AC$1006,0)))),"Fix")))</f>
        <v>0</v>
      </c>
      <c r="C596" s="3">
        <f>IF(OR(INDEX($O$2:$O$1001,MATCH(ROWS($N$2:N596),$N$2:$N$1001,0),1)&gt;=100000,INDEX($U$1005:$AC$1005,1,MATCH(COLUMNS($U$1006:V1006),$U$1006:$AC$1006,0))&gt;=100000), " ",IF(INDEX($U$2:$AC$1001,MATCH(ROWS($N$2:N596),$N$2:$N$1001,0),MATCH(COLUMNS($U$1006:V1006),$U$1006:$AC$1006,0)), HYPERLINK("#",""), HYPERLINK(CONCATENATE("#metadata!", ADDRESS(INDEX($P$2:$P$1001,MATCH(ROWS($N$2:N596),$N$2:$N$1001,0),0), INDEX($U$1004:$AC$1004,1,MATCH(COLUMNS($U$1006:V1006),$U$1006:$AC$1006,0)))),"Fix")))</f>
        <v>0</v>
      </c>
      <c r="D596" s="3">
        <f>IF(OR(INDEX($O$2:$O$1001,MATCH(ROWS($N$2:N596),$N$2:$N$1001,0),1)&gt;=100000,INDEX($U$1005:$AC$1005,1,MATCH(COLUMNS($U$1006:W1006),$U$1006:$AC$1006,0))&gt;=100000), " ",IF(INDEX($U$2:$AC$1001,MATCH(ROWS($N$2:N596),$N$2:$N$1001,0),MATCH(COLUMNS($U$1006:W1006),$U$1006:$AC$1006,0)), HYPERLINK("#",""), HYPERLINK(CONCATENATE("#metadata!", ADDRESS(INDEX($P$2:$P$1001,MATCH(ROWS($N$2:N596),$N$2:$N$1001,0),0), INDEX($U$1004:$AC$1004,1,MATCH(COLUMNS($U$1006:W1006),$U$1006:$AC$1006,0)))),"Fix")))</f>
        <v>0</v>
      </c>
      <c r="E596" s="3">
        <f>IF(OR(INDEX($O$2:$O$1001,MATCH(ROWS($N$2:N596),$N$2:$N$1001,0),1)&gt;=100000,INDEX($U$1005:$AC$1005,1,MATCH(COLUMNS($U$1006:X1006),$U$1006:$AC$1006,0))&gt;=100000), " ",IF(INDEX($U$2:$AC$1001,MATCH(ROWS($N$2:N596),$N$2:$N$1001,0),MATCH(COLUMNS($U$1006:X1006),$U$1006:$AC$1006,0)), HYPERLINK("#",""), HYPERLINK(CONCATENATE("#metadata!", ADDRESS(INDEX($P$2:$P$1001,MATCH(ROWS($N$2:N596),$N$2:$N$1001,0),0), INDEX($U$1004:$AC$1004,1,MATCH(COLUMNS($U$1006:X1006),$U$1006:$AC$1006,0)))),"Fix")))</f>
        <v>0</v>
      </c>
      <c r="F596" s="3">
        <f>IF(OR(INDEX($O$2:$O$1001,MATCH(ROWS($N$2:N596),$N$2:$N$1001,0),1)&gt;=100000,INDEX($U$1005:$AC$1005,1,MATCH(COLUMNS($U$1006:Y1006),$U$1006:$AC$1006,0))&gt;=100000), " ",IF(INDEX($U$2:$AC$1001,MATCH(ROWS($N$2:N596),$N$2:$N$1001,0),MATCH(COLUMNS($U$1006:Y1006),$U$1006:$AC$1006,0)), HYPERLINK("#",""), HYPERLINK(CONCATENATE("#metadata!", ADDRESS(INDEX($P$2:$P$1001,MATCH(ROWS($N$2:N596),$N$2:$N$1001,0),0), INDEX($U$1004:$AC$1004,1,MATCH(COLUMNS($U$1006:Y1006),$U$1006:$AC$1006,0)))),"Fix")))</f>
        <v>0</v>
      </c>
      <c r="G596" s="3">
        <f>IF(OR(INDEX($O$2:$O$1001,MATCH(ROWS($N$2:N596),$N$2:$N$1001,0),1)&gt;=100000,INDEX($U$1005:$AC$1005,1,MATCH(COLUMNS($U$1006:Z1006),$U$1006:$AC$1006,0))&gt;=100000), " ",IF(INDEX($U$2:$AC$1001,MATCH(ROWS($N$2:N596),$N$2:$N$1001,0),MATCH(COLUMNS($U$1006:Z1006),$U$1006:$AC$1006,0)), HYPERLINK("#",""), HYPERLINK(CONCATENATE("#metadata!", ADDRESS(INDEX($P$2:$P$1001,MATCH(ROWS($N$2:N596),$N$2:$N$1001,0),0), INDEX($U$1004:$AC$1004,1,MATCH(COLUMNS($U$1006:Z1006),$U$1006:$AC$1006,0)))),"Fix")))</f>
        <v>0</v>
      </c>
      <c r="H596" s="3">
        <f>IF(OR(INDEX($O$2:$O$1001,MATCH(ROWS($N$2:N596),$N$2:$N$1001,0),1)&gt;=100000,INDEX($U$1005:$AC$1005,1,MATCH(COLUMNS($U$1006:AA1006),$U$1006:$AC$1006,0))&gt;=100000), " ",IF(INDEX($U$2:$AC$1001,MATCH(ROWS($N$2:N596),$N$2:$N$1001,0),MATCH(COLUMNS($U$1006:AA1006),$U$1006:$AC$1006,0)), HYPERLINK("#",""), HYPERLINK(CONCATENATE("#metadata!", ADDRESS(INDEX($P$2:$P$1001,MATCH(ROWS($N$2:N596),$N$2:$N$1001,0),0), INDEX($U$1004:$AC$1004,1,MATCH(COLUMNS($U$1006:AA1006),$U$1006:$AC$1006,0)))),"Fix")))</f>
        <v>0</v>
      </c>
      <c r="I596" s="3">
        <f>IF(OR(INDEX($O$2:$O$1001,MATCH(ROWS($N$2:N596),$N$2:$N$1001,0),1)&gt;=100000,INDEX($U$1005:$AC$1005,1,MATCH(COLUMNS($U$1006:AB1006),$U$1006:$AC$1006,0))&gt;=100000), " ",IF(INDEX($U$2:$AC$1001,MATCH(ROWS($N$2:N596),$N$2:$N$1001,0),MATCH(COLUMNS($U$1006:AB1006),$U$1006:$AC$1006,0)), HYPERLINK("#",""), HYPERLINK(CONCATENATE("#metadata!", ADDRESS(INDEX($P$2:$P$1001,MATCH(ROWS($N$2:N596),$N$2:$N$1001,0),0), INDEX($U$1004:$AC$1004,1,MATCH(COLUMNS($U$1006:AB1006),$U$1006:$AC$1006,0)))),"Fix")))</f>
        <v>0</v>
      </c>
      <c r="J596" s="3">
        <f>IF(OR(INDEX($O$2:$O$1001,MATCH(ROWS($N$2:N596),$N$2:$N$1001,0),1)&gt;=100000,INDEX($U$1005:$AC$1005,1,MATCH(COLUMNS($U$1006:AC1006),$U$1006:$AC$1006,0))&gt;=100000), " ",IF(INDEX($U$2:$AC$1001,MATCH(ROWS($N$2:N596),$N$2:$N$1001,0),MATCH(COLUMNS($U$1006:AC1006),$U$1006:$AC$1006,0)), HYPERLINK("#",""), HYPERLINK(CONCATENATE("#metadata!", ADDRESS(INDEX($P$2:$P$1001,MATCH(ROWS($N$2:N596),$N$2:$N$1001,0),0), INDEX($U$1004:$AC$1004,1,MATCH(COLUMNS($U$1006:AC1006),$U$1006:$AC$1006,0)))),"Fix")))</f>
        <v>0</v>
      </c>
      <c r="N596">
        <v>0</v>
      </c>
      <c r="O596">
        <v>0</v>
      </c>
      <c r="P596">
        <v>0</v>
      </c>
      <c r="Q596">
        <f>IF(R596,TRUE,AND(U596:AC596))</f>
        <v>0</v>
      </c>
      <c r="R596">
        <f>COUNTBLANK(metadata!B596:J596)=COLUMNS(metadata!B596:J596)</f>
        <v>0</v>
      </c>
      <c r="S596">
        <v>0</v>
      </c>
      <c r="U596">
        <f>AND(IF(metadata!B596="",FALSE,TRUE),COUNTIF(metadata!B:B, metadata!B596) = 1,NOT(ISERROR(SUMPRODUCT(SEARCH(MID(metadata!B596,ROW(INDIRECT("1:"&amp;LEN(metadata!B596))), 1),"0123456789abcdefghijklmnopqrstuvwxyzABCDEFGHIJKLMNOPQRSTUVWXYZ.")))))</f>
        <v>0</v>
      </c>
      <c r="V596">
        <f>AND(IF(metadata!C596="",FALSE,TRUE),exact(metadata!C596,"UBERON:genitourinary"))</f>
        <v>0</v>
      </c>
      <c r="W596">
        <f>AND(IF(metadata!D596="",FALSE,TRUE),exact(metadata!D596,"UBERON:urine"))</f>
        <v>0</v>
      </c>
      <c r="X596">
        <f>AND(IF(metadata!E596="",FALSE,TRUE),exact(metadata!E596,"UBERON:kidney"))</f>
        <v>0</v>
      </c>
      <c r="Y596">
        <f>AND(IF(metadata!F596="",FALSE,TRUE),exact(metadata!F596,"animal corpus"))</f>
        <v>0</v>
      </c>
      <c r="Z596">
        <f>AND(IF(metadata!G596="",FALSE,TRUE),exact(metadata!G596,"urine"))</f>
        <v>0</v>
      </c>
      <c r="AA596">
        <f>AND(IF(metadata!H596="",FALSE,TRUE),exact(metadata!H596,"urine"))</f>
        <v>0</v>
      </c>
      <c r="AB596">
        <f>AND(IF(metadata!I596="",FALSE,TRUE),exact(metadata!I596,"urine metagenome"))</f>
        <v>0</v>
      </c>
      <c r="AC596">
        <f>AND(IF(metadata!J596="",FALSE,TRUE),exact(metadata!J596,"1346744"))</f>
        <v>0</v>
      </c>
    </row>
    <row r="597" spans="1:29">
      <c r="A597" s="4">
        <f>IF(B597=" "," ",HYPERLINK(CONCATENATE("#metadata!",ADDRESS(INDEX($P$2:$P$1001,MATCH(ROWS($N$2:N597),$N$2:$N$1001,0),0),1)),INDEX($S$2:$S$1001,MATCH(ROWS($N$2:N597),$N$2:$N$1001,0),0)))</f>
        <v>0</v>
      </c>
      <c r="B597" s="3">
        <f>IF(OR(INDEX($O$2:$O$1001,MATCH(ROWS($N$2:N597),$N$2:$N$1001,0),1)&gt;=100000,INDEX($U$1005:$AC$1005,1,MATCH(COLUMNS($U$1006:U1006),$U$1006:$AC$1006,0))&gt;=100000), " ",IF(INDEX($U$2:$AC$1001,MATCH(ROWS($N$2:N597),$N$2:$N$1001,0),MATCH(COLUMNS($U$1006:U1006),$U$1006:$AC$1006,0)), HYPERLINK("#",""), HYPERLINK(CONCATENATE("#metadata!", ADDRESS(INDEX($P$2:$P$1001,MATCH(ROWS($N$2:N597),$N$2:$N$1001,0),0), INDEX($U$1004:$AC$1004,1,MATCH(COLUMNS($U$1006:U1006),$U$1006:$AC$1006,0)))),"Fix")))</f>
        <v>0</v>
      </c>
      <c r="C597" s="3">
        <f>IF(OR(INDEX($O$2:$O$1001,MATCH(ROWS($N$2:N597),$N$2:$N$1001,0),1)&gt;=100000,INDEX($U$1005:$AC$1005,1,MATCH(COLUMNS($U$1006:V1006),$U$1006:$AC$1006,0))&gt;=100000), " ",IF(INDEX($U$2:$AC$1001,MATCH(ROWS($N$2:N597),$N$2:$N$1001,0),MATCH(COLUMNS($U$1006:V1006),$U$1006:$AC$1006,0)), HYPERLINK("#",""), HYPERLINK(CONCATENATE("#metadata!", ADDRESS(INDEX($P$2:$P$1001,MATCH(ROWS($N$2:N597),$N$2:$N$1001,0),0), INDEX($U$1004:$AC$1004,1,MATCH(COLUMNS($U$1006:V1006),$U$1006:$AC$1006,0)))),"Fix")))</f>
        <v>0</v>
      </c>
      <c r="D597" s="3">
        <f>IF(OR(INDEX($O$2:$O$1001,MATCH(ROWS($N$2:N597),$N$2:$N$1001,0),1)&gt;=100000,INDEX($U$1005:$AC$1005,1,MATCH(COLUMNS($U$1006:W1006),$U$1006:$AC$1006,0))&gt;=100000), " ",IF(INDEX($U$2:$AC$1001,MATCH(ROWS($N$2:N597),$N$2:$N$1001,0),MATCH(COLUMNS($U$1006:W1006),$U$1006:$AC$1006,0)), HYPERLINK("#",""), HYPERLINK(CONCATENATE("#metadata!", ADDRESS(INDEX($P$2:$P$1001,MATCH(ROWS($N$2:N597),$N$2:$N$1001,0),0), INDEX($U$1004:$AC$1004,1,MATCH(COLUMNS($U$1006:W1006),$U$1006:$AC$1006,0)))),"Fix")))</f>
        <v>0</v>
      </c>
      <c r="E597" s="3">
        <f>IF(OR(INDEX($O$2:$O$1001,MATCH(ROWS($N$2:N597),$N$2:$N$1001,0),1)&gt;=100000,INDEX($U$1005:$AC$1005,1,MATCH(COLUMNS($U$1006:X1006),$U$1006:$AC$1006,0))&gt;=100000), " ",IF(INDEX($U$2:$AC$1001,MATCH(ROWS($N$2:N597),$N$2:$N$1001,0),MATCH(COLUMNS($U$1006:X1006),$U$1006:$AC$1006,0)), HYPERLINK("#",""), HYPERLINK(CONCATENATE("#metadata!", ADDRESS(INDEX($P$2:$P$1001,MATCH(ROWS($N$2:N597),$N$2:$N$1001,0),0), INDEX($U$1004:$AC$1004,1,MATCH(COLUMNS($U$1006:X1006),$U$1006:$AC$1006,0)))),"Fix")))</f>
        <v>0</v>
      </c>
      <c r="F597" s="3">
        <f>IF(OR(INDEX($O$2:$O$1001,MATCH(ROWS($N$2:N597),$N$2:$N$1001,0),1)&gt;=100000,INDEX($U$1005:$AC$1005,1,MATCH(COLUMNS($U$1006:Y1006),$U$1006:$AC$1006,0))&gt;=100000), " ",IF(INDEX($U$2:$AC$1001,MATCH(ROWS($N$2:N597),$N$2:$N$1001,0),MATCH(COLUMNS($U$1006:Y1006),$U$1006:$AC$1006,0)), HYPERLINK("#",""), HYPERLINK(CONCATENATE("#metadata!", ADDRESS(INDEX($P$2:$P$1001,MATCH(ROWS($N$2:N597),$N$2:$N$1001,0),0), INDEX($U$1004:$AC$1004,1,MATCH(COLUMNS($U$1006:Y1006),$U$1006:$AC$1006,0)))),"Fix")))</f>
        <v>0</v>
      </c>
      <c r="G597" s="3">
        <f>IF(OR(INDEX($O$2:$O$1001,MATCH(ROWS($N$2:N597),$N$2:$N$1001,0),1)&gt;=100000,INDEX($U$1005:$AC$1005,1,MATCH(COLUMNS($U$1006:Z1006),$U$1006:$AC$1006,0))&gt;=100000), " ",IF(INDEX($U$2:$AC$1001,MATCH(ROWS($N$2:N597),$N$2:$N$1001,0),MATCH(COLUMNS($U$1006:Z1006),$U$1006:$AC$1006,0)), HYPERLINK("#",""), HYPERLINK(CONCATENATE("#metadata!", ADDRESS(INDEX($P$2:$P$1001,MATCH(ROWS($N$2:N597),$N$2:$N$1001,0),0), INDEX($U$1004:$AC$1004,1,MATCH(COLUMNS($U$1006:Z1006),$U$1006:$AC$1006,0)))),"Fix")))</f>
        <v>0</v>
      </c>
      <c r="H597" s="3">
        <f>IF(OR(INDEX($O$2:$O$1001,MATCH(ROWS($N$2:N597),$N$2:$N$1001,0),1)&gt;=100000,INDEX($U$1005:$AC$1005,1,MATCH(COLUMNS($U$1006:AA1006),$U$1006:$AC$1006,0))&gt;=100000), " ",IF(INDEX($U$2:$AC$1001,MATCH(ROWS($N$2:N597),$N$2:$N$1001,0),MATCH(COLUMNS($U$1006:AA1006),$U$1006:$AC$1006,0)), HYPERLINK("#",""), HYPERLINK(CONCATENATE("#metadata!", ADDRESS(INDEX($P$2:$P$1001,MATCH(ROWS($N$2:N597),$N$2:$N$1001,0),0), INDEX($U$1004:$AC$1004,1,MATCH(COLUMNS($U$1006:AA1006),$U$1006:$AC$1006,0)))),"Fix")))</f>
        <v>0</v>
      </c>
      <c r="I597" s="3">
        <f>IF(OR(INDEX($O$2:$O$1001,MATCH(ROWS($N$2:N597),$N$2:$N$1001,0),1)&gt;=100000,INDEX($U$1005:$AC$1005,1,MATCH(COLUMNS($U$1006:AB1006),$U$1006:$AC$1006,0))&gt;=100000), " ",IF(INDEX($U$2:$AC$1001,MATCH(ROWS($N$2:N597),$N$2:$N$1001,0),MATCH(COLUMNS($U$1006:AB1006),$U$1006:$AC$1006,0)), HYPERLINK("#",""), HYPERLINK(CONCATENATE("#metadata!", ADDRESS(INDEX($P$2:$P$1001,MATCH(ROWS($N$2:N597),$N$2:$N$1001,0),0), INDEX($U$1004:$AC$1004,1,MATCH(COLUMNS($U$1006:AB1006),$U$1006:$AC$1006,0)))),"Fix")))</f>
        <v>0</v>
      </c>
      <c r="J597" s="3">
        <f>IF(OR(INDEX($O$2:$O$1001,MATCH(ROWS($N$2:N597),$N$2:$N$1001,0),1)&gt;=100000,INDEX($U$1005:$AC$1005,1,MATCH(COLUMNS($U$1006:AC1006),$U$1006:$AC$1006,0))&gt;=100000), " ",IF(INDEX($U$2:$AC$1001,MATCH(ROWS($N$2:N597),$N$2:$N$1001,0),MATCH(COLUMNS($U$1006:AC1006),$U$1006:$AC$1006,0)), HYPERLINK("#",""), HYPERLINK(CONCATENATE("#metadata!", ADDRESS(INDEX($P$2:$P$1001,MATCH(ROWS($N$2:N597),$N$2:$N$1001,0),0), INDEX($U$1004:$AC$1004,1,MATCH(COLUMNS($U$1006:AC1006),$U$1006:$AC$1006,0)))),"Fix")))</f>
        <v>0</v>
      </c>
      <c r="N597">
        <v>0</v>
      </c>
      <c r="O597">
        <v>0</v>
      </c>
      <c r="P597">
        <v>0</v>
      </c>
      <c r="Q597">
        <f>IF(R597,TRUE,AND(U597:AC597))</f>
        <v>0</v>
      </c>
      <c r="R597">
        <f>COUNTBLANK(metadata!B597:J597)=COLUMNS(metadata!B597:J597)</f>
        <v>0</v>
      </c>
      <c r="S597">
        <v>0</v>
      </c>
      <c r="U597">
        <f>AND(IF(metadata!B597="",FALSE,TRUE),COUNTIF(metadata!B:B, metadata!B597) = 1,NOT(ISERROR(SUMPRODUCT(SEARCH(MID(metadata!B597,ROW(INDIRECT("1:"&amp;LEN(metadata!B597))), 1),"0123456789abcdefghijklmnopqrstuvwxyzABCDEFGHIJKLMNOPQRSTUVWXYZ.")))))</f>
        <v>0</v>
      </c>
      <c r="V597">
        <f>AND(IF(metadata!C597="",FALSE,TRUE),exact(metadata!C597,"UBERON:genitourinary"))</f>
        <v>0</v>
      </c>
      <c r="W597">
        <f>AND(IF(metadata!D597="",FALSE,TRUE),exact(metadata!D597,"UBERON:urine"))</f>
        <v>0</v>
      </c>
      <c r="X597">
        <f>AND(IF(metadata!E597="",FALSE,TRUE),exact(metadata!E597,"UBERON:kidney"))</f>
        <v>0</v>
      </c>
      <c r="Y597">
        <f>AND(IF(metadata!F597="",FALSE,TRUE),exact(metadata!F597,"animal corpus"))</f>
        <v>0</v>
      </c>
      <c r="Z597">
        <f>AND(IF(metadata!G597="",FALSE,TRUE),exact(metadata!G597,"urine"))</f>
        <v>0</v>
      </c>
      <c r="AA597">
        <f>AND(IF(metadata!H597="",FALSE,TRUE),exact(metadata!H597,"urine"))</f>
        <v>0</v>
      </c>
      <c r="AB597">
        <f>AND(IF(metadata!I597="",FALSE,TRUE),exact(metadata!I597,"urine metagenome"))</f>
        <v>0</v>
      </c>
      <c r="AC597">
        <f>AND(IF(metadata!J597="",FALSE,TRUE),exact(metadata!J597,"1346744"))</f>
        <v>0</v>
      </c>
    </row>
    <row r="598" spans="1:29">
      <c r="A598" s="4">
        <f>IF(B598=" "," ",HYPERLINK(CONCATENATE("#metadata!",ADDRESS(INDEX($P$2:$P$1001,MATCH(ROWS($N$2:N598),$N$2:$N$1001,0),0),1)),INDEX($S$2:$S$1001,MATCH(ROWS($N$2:N598),$N$2:$N$1001,0),0)))</f>
        <v>0</v>
      </c>
      <c r="B598" s="3">
        <f>IF(OR(INDEX($O$2:$O$1001,MATCH(ROWS($N$2:N598),$N$2:$N$1001,0),1)&gt;=100000,INDEX($U$1005:$AC$1005,1,MATCH(COLUMNS($U$1006:U1006),$U$1006:$AC$1006,0))&gt;=100000), " ",IF(INDEX($U$2:$AC$1001,MATCH(ROWS($N$2:N598),$N$2:$N$1001,0),MATCH(COLUMNS($U$1006:U1006),$U$1006:$AC$1006,0)), HYPERLINK("#",""), HYPERLINK(CONCATENATE("#metadata!", ADDRESS(INDEX($P$2:$P$1001,MATCH(ROWS($N$2:N598),$N$2:$N$1001,0),0), INDEX($U$1004:$AC$1004,1,MATCH(COLUMNS($U$1006:U1006),$U$1006:$AC$1006,0)))),"Fix")))</f>
        <v>0</v>
      </c>
      <c r="C598" s="3">
        <f>IF(OR(INDEX($O$2:$O$1001,MATCH(ROWS($N$2:N598),$N$2:$N$1001,0),1)&gt;=100000,INDEX($U$1005:$AC$1005,1,MATCH(COLUMNS($U$1006:V1006),$U$1006:$AC$1006,0))&gt;=100000), " ",IF(INDEX($U$2:$AC$1001,MATCH(ROWS($N$2:N598),$N$2:$N$1001,0),MATCH(COLUMNS($U$1006:V1006),$U$1006:$AC$1006,0)), HYPERLINK("#",""), HYPERLINK(CONCATENATE("#metadata!", ADDRESS(INDEX($P$2:$P$1001,MATCH(ROWS($N$2:N598),$N$2:$N$1001,0),0), INDEX($U$1004:$AC$1004,1,MATCH(COLUMNS($U$1006:V1006),$U$1006:$AC$1006,0)))),"Fix")))</f>
        <v>0</v>
      </c>
      <c r="D598" s="3">
        <f>IF(OR(INDEX($O$2:$O$1001,MATCH(ROWS($N$2:N598),$N$2:$N$1001,0),1)&gt;=100000,INDEX($U$1005:$AC$1005,1,MATCH(COLUMNS($U$1006:W1006),$U$1006:$AC$1006,0))&gt;=100000), " ",IF(INDEX($U$2:$AC$1001,MATCH(ROWS($N$2:N598),$N$2:$N$1001,0),MATCH(COLUMNS($U$1006:W1006),$U$1006:$AC$1006,0)), HYPERLINK("#",""), HYPERLINK(CONCATENATE("#metadata!", ADDRESS(INDEX($P$2:$P$1001,MATCH(ROWS($N$2:N598),$N$2:$N$1001,0),0), INDEX($U$1004:$AC$1004,1,MATCH(COLUMNS($U$1006:W1006),$U$1006:$AC$1006,0)))),"Fix")))</f>
        <v>0</v>
      </c>
      <c r="E598" s="3">
        <f>IF(OR(INDEX($O$2:$O$1001,MATCH(ROWS($N$2:N598),$N$2:$N$1001,0),1)&gt;=100000,INDEX($U$1005:$AC$1005,1,MATCH(COLUMNS($U$1006:X1006),$U$1006:$AC$1006,0))&gt;=100000), " ",IF(INDEX($U$2:$AC$1001,MATCH(ROWS($N$2:N598),$N$2:$N$1001,0),MATCH(COLUMNS($U$1006:X1006),$U$1006:$AC$1006,0)), HYPERLINK("#",""), HYPERLINK(CONCATENATE("#metadata!", ADDRESS(INDEX($P$2:$P$1001,MATCH(ROWS($N$2:N598),$N$2:$N$1001,0),0), INDEX($U$1004:$AC$1004,1,MATCH(COLUMNS($U$1006:X1006),$U$1006:$AC$1006,0)))),"Fix")))</f>
        <v>0</v>
      </c>
      <c r="F598" s="3">
        <f>IF(OR(INDEX($O$2:$O$1001,MATCH(ROWS($N$2:N598),$N$2:$N$1001,0),1)&gt;=100000,INDEX($U$1005:$AC$1005,1,MATCH(COLUMNS($U$1006:Y1006),$U$1006:$AC$1006,0))&gt;=100000), " ",IF(INDEX($U$2:$AC$1001,MATCH(ROWS($N$2:N598),$N$2:$N$1001,0),MATCH(COLUMNS($U$1006:Y1006),$U$1006:$AC$1006,0)), HYPERLINK("#",""), HYPERLINK(CONCATENATE("#metadata!", ADDRESS(INDEX($P$2:$P$1001,MATCH(ROWS($N$2:N598),$N$2:$N$1001,0),0), INDEX($U$1004:$AC$1004,1,MATCH(COLUMNS($U$1006:Y1006),$U$1006:$AC$1006,0)))),"Fix")))</f>
        <v>0</v>
      </c>
      <c r="G598" s="3">
        <f>IF(OR(INDEX($O$2:$O$1001,MATCH(ROWS($N$2:N598),$N$2:$N$1001,0),1)&gt;=100000,INDEX($U$1005:$AC$1005,1,MATCH(COLUMNS($U$1006:Z1006),$U$1006:$AC$1006,0))&gt;=100000), " ",IF(INDEX($U$2:$AC$1001,MATCH(ROWS($N$2:N598),$N$2:$N$1001,0),MATCH(COLUMNS($U$1006:Z1006),$U$1006:$AC$1006,0)), HYPERLINK("#",""), HYPERLINK(CONCATENATE("#metadata!", ADDRESS(INDEX($P$2:$P$1001,MATCH(ROWS($N$2:N598),$N$2:$N$1001,0),0), INDEX($U$1004:$AC$1004,1,MATCH(COLUMNS($U$1006:Z1006),$U$1006:$AC$1006,0)))),"Fix")))</f>
        <v>0</v>
      </c>
      <c r="H598" s="3">
        <f>IF(OR(INDEX($O$2:$O$1001,MATCH(ROWS($N$2:N598),$N$2:$N$1001,0),1)&gt;=100000,INDEX($U$1005:$AC$1005,1,MATCH(COLUMNS($U$1006:AA1006),$U$1006:$AC$1006,0))&gt;=100000), " ",IF(INDEX($U$2:$AC$1001,MATCH(ROWS($N$2:N598),$N$2:$N$1001,0),MATCH(COLUMNS($U$1006:AA1006),$U$1006:$AC$1006,0)), HYPERLINK("#",""), HYPERLINK(CONCATENATE("#metadata!", ADDRESS(INDEX($P$2:$P$1001,MATCH(ROWS($N$2:N598),$N$2:$N$1001,0),0), INDEX($U$1004:$AC$1004,1,MATCH(COLUMNS($U$1006:AA1006),$U$1006:$AC$1006,0)))),"Fix")))</f>
        <v>0</v>
      </c>
      <c r="I598" s="3">
        <f>IF(OR(INDEX($O$2:$O$1001,MATCH(ROWS($N$2:N598),$N$2:$N$1001,0),1)&gt;=100000,INDEX($U$1005:$AC$1005,1,MATCH(COLUMNS($U$1006:AB1006),$U$1006:$AC$1006,0))&gt;=100000), " ",IF(INDEX($U$2:$AC$1001,MATCH(ROWS($N$2:N598),$N$2:$N$1001,0),MATCH(COLUMNS($U$1006:AB1006),$U$1006:$AC$1006,0)), HYPERLINK("#",""), HYPERLINK(CONCATENATE("#metadata!", ADDRESS(INDEX($P$2:$P$1001,MATCH(ROWS($N$2:N598),$N$2:$N$1001,0),0), INDEX($U$1004:$AC$1004,1,MATCH(COLUMNS($U$1006:AB1006),$U$1006:$AC$1006,0)))),"Fix")))</f>
        <v>0</v>
      </c>
      <c r="J598" s="3">
        <f>IF(OR(INDEX($O$2:$O$1001,MATCH(ROWS($N$2:N598),$N$2:$N$1001,0),1)&gt;=100000,INDEX($U$1005:$AC$1005,1,MATCH(COLUMNS($U$1006:AC1006),$U$1006:$AC$1006,0))&gt;=100000), " ",IF(INDEX($U$2:$AC$1001,MATCH(ROWS($N$2:N598),$N$2:$N$1001,0),MATCH(COLUMNS($U$1006:AC1006),$U$1006:$AC$1006,0)), HYPERLINK("#",""), HYPERLINK(CONCATENATE("#metadata!", ADDRESS(INDEX($P$2:$P$1001,MATCH(ROWS($N$2:N598),$N$2:$N$1001,0),0), INDEX($U$1004:$AC$1004,1,MATCH(COLUMNS($U$1006:AC1006),$U$1006:$AC$1006,0)))),"Fix")))</f>
        <v>0</v>
      </c>
      <c r="N598">
        <v>0</v>
      </c>
      <c r="O598">
        <v>0</v>
      </c>
      <c r="P598">
        <v>0</v>
      </c>
      <c r="Q598">
        <f>IF(R598,TRUE,AND(U598:AC598))</f>
        <v>0</v>
      </c>
      <c r="R598">
        <f>COUNTBLANK(metadata!B598:J598)=COLUMNS(metadata!B598:J598)</f>
        <v>0</v>
      </c>
      <c r="S598">
        <v>0</v>
      </c>
      <c r="U598">
        <f>AND(IF(metadata!B598="",FALSE,TRUE),COUNTIF(metadata!B:B, metadata!B598) = 1,NOT(ISERROR(SUMPRODUCT(SEARCH(MID(metadata!B598,ROW(INDIRECT("1:"&amp;LEN(metadata!B598))), 1),"0123456789abcdefghijklmnopqrstuvwxyzABCDEFGHIJKLMNOPQRSTUVWXYZ.")))))</f>
        <v>0</v>
      </c>
      <c r="V598">
        <f>AND(IF(metadata!C598="",FALSE,TRUE),exact(metadata!C598,"UBERON:genitourinary"))</f>
        <v>0</v>
      </c>
      <c r="W598">
        <f>AND(IF(metadata!D598="",FALSE,TRUE),exact(metadata!D598,"UBERON:urine"))</f>
        <v>0</v>
      </c>
      <c r="X598">
        <f>AND(IF(metadata!E598="",FALSE,TRUE),exact(metadata!E598,"UBERON:kidney"))</f>
        <v>0</v>
      </c>
      <c r="Y598">
        <f>AND(IF(metadata!F598="",FALSE,TRUE),exact(metadata!F598,"animal corpus"))</f>
        <v>0</v>
      </c>
      <c r="Z598">
        <f>AND(IF(metadata!G598="",FALSE,TRUE),exact(metadata!G598,"urine"))</f>
        <v>0</v>
      </c>
      <c r="AA598">
        <f>AND(IF(metadata!H598="",FALSE,TRUE),exact(metadata!H598,"urine"))</f>
        <v>0</v>
      </c>
      <c r="AB598">
        <f>AND(IF(metadata!I598="",FALSE,TRUE),exact(metadata!I598,"urine metagenome"))</f>
        <v>0</v>
      </c>
      <c r="AC598">
        <f>AND(IF(metadata!J598="",FALSE,TRUE),exact(metadata!J598,"1346744"))</f>
        <v>0</v>
      </c>
    </row>
    <row r="599" spans="1:29">
      <c r="A599" s="4">
        <f>IF(B599=" "," ",HYPERLINK(CONCATENATE("#metadata!",ADDRESS(INDEX($P$2:$P$1001,MATCH(ROWS($N$2:N599),$N$2:$N$1001,0),0),1)),INDEX($S$2:$S$1001,MATCH(ROWS($N$2:N599),$N$2:$N$1001,0),0)))</f>
        <v>0</v>
      </c>
      <c r="B599" s="3">
        <f>IF(OR(INDEX($O$2:$O$1001,MATCH(ROWS($N$2:N599),$N$2:$N$1001,0),1)&gt;=100000,INDEX($U$1005:$AC$1005,1,MATCH(COLUMNS($U$1006:U1006),$U$1006:$AC$1006,0))&gt;=100000), " ",IF(INDEX($U$2:$AC$1001,MATCH(ROWS($N$2:N599),$N$2:$N$1001,0),MATCH(COLUMNS($U$1006:U1006),$U$1006:$AC$1006,0)), HYPERLINK("#",""), HYPERLINK(CONCATENATE("#metadata!", ADDRESS(INDEX($P$2:$P$1001,MATCH(ROWS($N$2:N599),$N$2:$N$1001,0),0), INDEX($U$1004:$AC$1004,1,MATCH(COLUMNS($U$1006:U1006),$U$1006:$AC$1006,0)))),"Fix")))</f>
        <v>0</v>
      </c>
      <c r="C599" s="3">
        <f>IF(OR(INDEX($O$2:$O$1001,MATCH(ROWS($N$2:N599),$N$2:$N$1001,0),1)&gt;=100000,INDEX($U$1005:$AC$1005,1,MATCH(COLUMNS($U$1006:V1006),$U$1006:$AC$1006,0))&gt;=100000), " ",IF(INDEX($U$2:$AC$1001,MATCH(ROWS($N$2:N599),$N$2:$N$1001,0),MATCH(COLUMNS($U$1006:V1006),$U$1006:$AC$1006,0)), HYPERLINK("#",""), HYPERLINK(CONCATENATE("#metadata!", ADDRESS(INDEX($P$2:$P$1001,MATCH(ROWS($N$2:N599),$N$2:$N$1001,0),0), INDEX($U$1004:$AC$1004,1,MATCH(COLUMNS($U$1006:V1006),$U$1006:$AC$1006,0)))),"Fix")))</f>
        <v>0</v>
      </c>
      <c r="D599" s="3">
        <f>IF(OR(INDEX($O$2:$O$1001,MATCH(ROWS($N$2:N599),$N$2:$N$1001,0),1)&gt;=100000,INDEX($U$1005:$AC$1005,1,MATCH(COLUMNS($U$1006:W1006),$U$1006:$AC$1006,0))&gt;=100000), " ",IF(INDEX($U$2:$AC$1001,MATCH(ROWS($N$2:N599),$N$2:$N$1001,0),MATCH(COLUMNS($U$1006:W1006),$U$1006:$AC$1006,0)), HYPERLINK("#",""), HYPERLINK(CONCATENATE("#metadata!", ADDRESS(INDEX($P$2:$P$1001,MATCH(ROWS($N$2:N599),$N$2:$N$1001,0),0), INDEX($U$1004:$AC$1004,1,MATCH(COLUMNS($U$1006:W1006),$U$1006:$AC$1006,0)))),"Fix")))</f>
        <v>0</v>
      </c>
      <c r="E599" s="3">
        <f>IF(OR(INDEX($O$2:$O$1001,MATCH(ROWS($N$2:N599),$N$2:$N$1001,0),1)&gt;=100000,INDEX($U$1005:$AC$1005,1,MATCH(COLUMNS($U$1006:X1006),$U$1006:$AC$1006,0))&gt;=100000), " ",IF(INDEX($U$2:$AC$1001,MATCH(ROWS($N$2:N599),$N$2:$N$1001,0),MATCH(COLUMNS($U$1006:X1006),$U$1006:$AC$1006,0)), HYPERLINK("#",""), HYPERLINK(CONCATENATE("#metadata!", ADDRESS(INDEX($P$2:$P$1001,MATCH(ROWS($N$2:N599),$N$2:$N$1001,0),0), INDEX($U$1004:$AC$1004,1,MATCH(COLUMNS($U$1006:X1006),$U$1006:$AC$1006,0)))),"Fix")))</f>
        <v>0</v>
      </c>
      <c r="F599" s="3">
        <f>IF(OR(INDEX($O$2:$O$1001,MATCH(ROWS($N$2:N599),$N$2:$N$1001,0),1)&gt;=100000,INDEX($U$1005:$AC$1005,1,MATCH(COLUMNS($U$1006:Y1006),$U$1006:$AC$1006,0))&gt;=100000), " ",IF(INDEX($U$2:$AC$1001,MATCH(ROWS($N$2:N599),$N$2:$N$1001,0),MATCH(COLUMNS($U$1006:Y1006),$U$1006:$AC$1006,0)), HYPERLINK("#",""), HYPERLINK(CONCATENATE("#metadata!", ADDRESS(INDEX($P$2:$P$1001,MATCH(ROWS($N$2:N599),$N$2:$N$1001,0),0), INDEX($U$1004:$AC$1004,1,MATCH(COLUMNS($U$1006:Y1006),$U$1006:$AC$1006,0)))),"Fix")))</f>
        <v>0</v>
      </c>
      <c r="G599" s="3">
        <f>IF(OR(INDEX($O$2:$O$1001,MATCH(ROWS($N$2:N599),$N$2:$N$1001,0),1)&gt;=100000,INDEX($U$1005:$AC$1005,1,MATCH(COLUMNS($U$1006:Z1006),$U$1006:$AC$1006,0))&gt;=100000), " ",IF(INDEX($U$2:$AC$1001,MATCH(ROWS($N$2:N599),$N$2:$N$1001,0),MATCH(COLUMNS($U$1006:Z1006),$U$1006:$AC$1006,0)), HYPERLINK("#",""), HYPERLINK(CONCATENATE("#metadata!", ADDRESS(INDEX($P$2:$P$1001,MATCH(ROWS($N$2:N599),$N$2:$N$1001,0),0), INDEX($U$1004:$AC$1004,1,MATCH(COLUMNS($U$1006:Z1006),$U$1006:$AC$1006,0)))),"Fix")))</f>
        <v>0</v>
      </c>
      <c r="H599" s="3">
        <f>IF(OR(INDEX($O$2:$O$1001,MATCH(ROWS($N$2:N599),$N$2:$N$1001,0),1)&gt;=100000,INDEX($U$1005:$AC$1005,1,MATCH(COLUMNS($U$1006:AA1006),$U$1006:$AC$1006,0))&gt;=100000), " ",IF(INDEX($U$2:$AC$1001,MATCH(ROWS($N$2:N599),$N$2:$N$1001,0),MATCH(COLUMNS($U$1006:AA1006),$U$1006:$AC$1006,0)), HYPERLINK("#",""), HYPERLINK(CONCATENATE("#metadata!", ADDRESS(INDEX($P$2:$P$1001,MATCH(ROWS($N$2:N599),$N$2:$N$1001,0),0), INDEX($U$1004:$AC$1004,1,MATCH(COLUMNS($U$1006:AA1006),$U$1006:$AC$1006,0)))),"Fix")))</f>
        <v>0</v>
      </c>
      <c r="I599" s="3">
        <f>IF(OR(INDEX($O$2:$O$1001,MATCH(ROWS($N$2:N599),$N$2:$N$1001,0),1)&gt;=100000,INDEX($U$1005:$AC$1005,1,MATCH(COLUMNS($U$1006:AB1006),$U$1006:$AC$1006,0))&gt;=100000), " ",IF(INDEX($U$2:$AC$1001,MATCH(ROWS($N$2:N599),$N$2:$N$1001,0),MATCH(COLUMNS($U$1006:AB1006),$U$1006:$AC$1006,0)), HYPERLINK("#",""), HYPERLINK(CONCATENATE("#metadata!", ADDRESS(INDEX($P$2:$P$1001,MATCH(ROWS($N$2:N599),$N$2:$N$1001,0),0), INDEX($U$1004:$AC$1004,1,MATCH(COLUMNS($U$1006:AB1006),$U$1006:$AC$1006,0)))),"Fix")))</f>
        <v>0</v>
      </c>
      <c r="J599" s="3">
        <f>IF(OR(INDEX($O$2:$O$1001,MATCH(ROWS($N$2:N599),$N$2:$N$1001,0),1)&gt;=100000,INDEX($U$1005:$AC$1005,1,MATCH(COLUMNS($U$1006:AC1006),$U$1006:$AC$1006,0))&gt;=100000), " ",IF(INDEX($U$2:$AC$1001,MATCH(ROWS($N$2:N599),$N$2:$N$1001,0),MATCH(COLUMNS($U$1006:AC1006),$U$1006:$AC$1006,0)), HYPERLINK("#",""), HYPERLINK(CONCATENATE("#metadata!", ADDRESS(INDEX($P$2:$P$1001,MATCH(ROWS($N$2:N599),$N$2:$N$1001,0),0), INDEX($U$1004:$AC$1004,1,MATCH(COLUMNS($U$1006:AC1006),$U$1006:$AC$1006,0)))),"Fix")))</f>
        <v>0</v>
      </c>
      <c r="N599">
        <v>0</v>
      </c>
      <c r="O599">
        <v>0</v>
      </c>
      <c r="P599">
        <v>0</v>
      </c>
      <c r="Q599">
        <f>IF(R599,TRUE,AND(U599:AC599))</f>
        <v>0</v>
      </c>
      <c r="R599">
        <f>COUNTBLANK(metadata!B599:J599)=COLUMNS(metadata!B599:J599)</f>
        <v>0</v>
      </c>
      <c r="S599">
        <v>0</v>
      </c>
      <c r="U599">
        <f>AND(IF(metadata!B599="",FALSE,TRUE),COUNTIF(metadata!B:B, metadata!B599) = 1,NOT(ISERROR(SUMPRODUCT(SEARCH(MID(metadata!B599,ROW(INDIRECT("1:"&amp;LEN(metadata!B599))), 1),"0123456789abcdefghijklmnopqrstuvwxyzABCDEFGHIJKLMNOPQRSTUVWXYZ.")))))</f>
        <v>0</v>
      </c>
      <c r="V599">
        <f>AND(IF(metadata!C599="",FALSE,TRUE),exact(metadata!C599,"UBERON:genitourinary"))</f>
        <v>0</v>
      </c>
      <c r="W599">
        <f>AND(IF(metadata!D599="",FALSE,TRUE),exact(metadata!D599,"UBERON:urine"))</f>
        <v>0</v>
      </c>
      <c r="X599">
        <f>AND(IF(metadata!E599="",FALSE,TRUE),exact(metadata!E599,"UBERON:kidney"))</f>
        <v>0</v>
      </c>
      <c r="Y599">
        <f>AND(IF(metadata!F599="",FALSE,TRUE),exact(metadata!F599,"animal corpus"))</f>
        <v>0</v>
      </c>
      <c r="Z599">
        <f>AND(IF(metadata!G599="",FALSE,TRUE),exact(metadata!G599,"urine"))</f>
        <v>0</v>
      </c>
      <c r="AA599">
        <f>AND(IF(metadata!H599="",FALSE,TRUE),exact(metadata!H599,"urine"))</f>
        <v>0</v>
      </c>
      <c r="AB599">
        <f>AND(IF(metadata!I599="",FALSE,TRUE),exact(metadata!I599,"urine metagenome"))</f>
        <v>0</v>
      </c>
      <c r="AC599">
        <f>AND(IF(metadata!J599="",FALSE,TRUE),exact(metadata!J599,"1346744"))</f>
        <v>0</v>
      </c>
    </row>
    <row r="600" spans="1:29">
      <c r="A600" s="4">
        <f>IF(B600=" "," ",HYPERLINK(CONCATENATE("#metadata!",ADDRESS(INDEX($P$2:$P$1001,MATCH(ROWS($N$2:N600),$N$2:$N$1001,0),0),1)),INDEX($S$2:$S$1001,MATCH(ROWS($N$2:N600),$N$2:$N$1001,0),0)))</f>
        <v>0</v>
      </c>
      <c r="B600" s="3">
        <f>IF(OR(INDEX($O$2:$O$1001,MATCH(ROWS($N$2:N600),$N$2:$N$1001,0),1)&gt;=100000,INDEX($U$1005:$AC$1005,1,MATCH(COLUMNS($U$1006:U1006),$U$1006:$AC$1006,0))&gt;=100000), " ",IF(INDEX($U$2:$AC$1001,MATCH(ROWS($N$2:N600),$N$2:$N$1001,0),MATCH(COLUMNS($U$1006:U1006),$U$1006:$AC$1006,0)), HYPERLINK("#",""), HYPERLINK(CONCATENATE("#metadata!", ADDRESS(INDEX($P$2:$P$1001,MATCH(ROWS($N$2:N600),$N$2:$N$1001,0),0), INDEX($U$1004:$AC$1004,1,MATCH(COLUMNS($U$1006:U1006),$U$1006:$AC$1006,0)))),"Fix")))</f>
        <v>0</v>
      </c>
      <c r="C600" s="3">
        <f>IF(OR(INDEX($O$2:$O$1001,MATCH(ROWS($N$2:N600),$N$2:$N$1001,0),1)&gt;=100000,INDEX($U$1005:$AC$1005,1,MATCH(COLUMNS($U$1006:V1006),$U$1006:$AC$1006,0))&gt;=100000), " ",IF(INDEX($U$2:$AC$1001,MATCH(ROWS($N$2:N600),$N$2:$N$1001,0),MATCH(COLUMNS($U$1006:V1006),$U$1006:$AC$1006,0)), HYPERLINK("#",""), HYPERLINK(CONCATENATE("#metadata!", ADDRESS(INDEX($P$2:$P$1001,MATCH(ROWS($N$2:N600),$N$2:$N$1001,0),0), INDEX($U$1004:$AC$1004,1,MATCH(COLUMNS($U$1006:V1006),$U$1006:$AC$1006,0)))),"Fix")))</f>
        <v>0</v>
      </c>
      <c r="D600" s="3">
        <f>IF(OR(INDEX($O$2:$O$1001,MATCH(ROWS($N$2:N600),$N$2:$N$1001,0),1)&gt;=100000,INDEX($U$1005:$AC$1005,1,MATCH(COLUMNS($U$1006:W1006),$U$1006:$AC$1006,0))&gt;=100000), " ",IF(INDEX($U$2:$AC$1001,MATCH(ROWS($N$2:N600),$N$2:$N$1001,0),MATCH(COLUMNS($U$1006:W1006),$U$1006:$AC$1006,0)), HYPERLINK("#",""), HYPERLINK(CONCATENATE("#metadata!", ADDRESS(INDEX($P$2:$P$1001,MATCH(ROWS($N$2:N600),$N$2:$N$1001,0),0), INDEX($U$1004:$AC$1004,1,MATCH(COLUMNS($U$1006:W1006),$U$1006:$AC$1006,0)))),"Fix")))</f>
        <v>0</v>
      </c>
      <c r="E600" s="3">
        <f>IF(OR(INDEX($O$2:$O$1001,MATCH(ROWS($N$2:N600),$N$2:$N$1001,0),1)&gt;=100000,INDEX($U$1005:$AC$1005,1,MATCH(COLUMNS($U$1006:X1006),$U$1006:$AC$1006,0))&gt;=100000), " ",IF(INDEX($U$2:$AC$1001,MATCH(ROWS($N$2:N600),$N$2:$N$1001,0),MATCH(COLUMNS($U$1006:X1006),$U$1006:$AC$1006,0)), HYPERLINK("#",""), HYPERLINK(CONCATENATE("#metadata!", ADDRESS(INDEX($P$2:$P$1001,MATCH(ROWS($N$2:N600),$N$2:$N$1001,0),0), INDEX($U$1004:$AC$1004,1,MATCH(COLUMNS($U$1006:X1006),$U$1006:$AC$1006,0)))),"Fix")))</f>
        <v>0</v>
      </c>
      <c r="F600" s="3">
        <f>IF(OR(INDEX($O$2:$O$1001,MATCH(ROWS($N$2:N600),$N$2:$N$1001,0),1)&gt;=100000,INDEX($U$1005:$AC$1005,1,MATCH(COLUMNS($U$1006:Y1006),$U$1006:$AC$1006,0))&gt;=100000), " ",IF(INDEX($U$2:$AC$1001,MATCH(ROWS($N$2:N600),$N$2:$N$1001,0),MATCH(COLUMNS($U$1006:Y1006),$U$1006:$AC$1006,0)), HYPERLINK("#",""), HYPERLINK(CONCATENATE("#metadata!", ADDRESS(INDEX($P$2:$P$1001,MATCH(ROWS($N$2:N600),$N$2:$N$1001,0),0), INDEX($U$1004:$AC$1004,1,MATCH(COLUMNS($U$1006:Y1006),$U$1006:$AC$1006,0)))),"Fix")))</f>
        <v>0</v>
      </c>
      <c r="G600" s="3">
        <f>IF(OR(INDEX($O$2:$O$1001,MATCH(ROWS($N$2:N600),$N$2:$N$1001,0),1)&gt;=100000,INDEX($U$1005:$AC$1005,1,MATCH(COLUMNS($U$1006:Z1006),$U$1006:$AC$1006,0))&gt;=100000), " ",IF(INDEX($U$2:$AC$1001,MATCH(ROWS($N$2:N600),$N$2:$N$1001,0),MATCH(COLUMNS($U$1006:Z1006),$U$1006:$AC$1006,0)), HYPERLINK("#",""), HYPERLINK(CONCATENATE("#metadata!", ADDRESS(INDEX($P$2:$P$1001,MATCH(ROWS($N$2:N600),$N$2:$N$1001,0),0), INDEX($U$1004:$AC$1004,1,MATCH(COLUMNS($U$1006:Z1006),$U$1006:$AC$1006,0)))),"Fix")))</f>
        <v>0</v>
      </c>
      <c r="H600" s="3">
        <f>IF(OR(INDEX($O$2:$O$1001,MATCH(ROWS($N$2:N600),$N$2:$N$1001,0),1)&gt;=100000,INDEX($U$1005:$AC$1005,1,MATCH(COLUMNS($U$1006:AA1006),$U$1006:$AC$1006,0))&gt;=100000), " ",IF(INDEX($U$2:$AC$1001,MATCH(ROWS($N$2:N600),$N$2:$N$1001,0),MATCH(COLUMNS($U$1006:AA1006),$U$1006:$AC$1006,0)), HYPERLINK("#",""), HYPERLINK(CONCATENATE("#metadata!", ADDRESS(INDEX($P$2:$P$1001,MATCH(ROWS($N$2:N600),$N$2:$N$1001,0),0), INDEX($U$1004:$AC$1004,1,MATCH(COLUMNS($U$1006:AA1006),$U$1006:$AC$1006,0)))),"Fix")))</f>
        <v>0</v>
      </c>
      <c r="I600" s="3">
        <f>IF(OR(INDEX($O$2:$O$1001,MATCH(ROWS($N$2:N600),$N$2:$N$1001,0),1)&gt;=100000,INDEX($U$1005:$AC$1005,1,MATCH(COLUMNS($U$1006:AB1006),$U$1006:$AC$1006,0))&gt;=100000), " ",IF(INDEX($U$2:$AC$1001,MATCH(ROWS($N$2:N600),$N$2:$N$1001,0),MATCH(COLUMNS($U$1006:AB1006),$U$1006:$AC$1006,0)), HYPERLINK("#",""), HYPERLINK(CONCATENATE("#metadata!", ADDRESS(INDEX($P$2:$P$1001,MATCH(ROWS($N$2:N600),$N$2:$N$1001,0),0), INDEX($U$1004:$AC$1004,1,MATCH(COLUMNS($U$1006:AB1006),$U$1006:$AC$1006,0)))),"Fix")))</f>
        <v>0</v>
      </c>
      <c r="J600" s="3">
        <f>IF(OR(INDEX($O$2:$O$1001,MATCH(ROWS($N$2:N600),$N$2:$N$1001,0),1)&gt;=100000,INDEX($U$1005:$AC$1005,1,MATCH(COLUMNS($U$1006:AC1006),$U$1006:$AC$1006,0))&gt;=100000), " ",IF(INDEX($U$2:$AC$1001,MATCH(ROWS($N$2:N600),$N$2:$N$1001,0),MATCH(COLUMNS($U$1006:AC1006),$U$1006:$AC$1006,0)), HYPERLINK("#",""), HYPERLINK(CONCATENATE("#metadata!", ADDRESS(INDEX($P$2:$P$1001,MATCH(ROWS($N$2:N600),$N$2:$N$1001,0),0), INDEX($U$1004:$AC$1004,1,MATCH(COLUMNS($U$1006:AC1006),$U$1006:$AC$1006,0)))),"Fix")))</f>
        <v>0</v>
      </c>
      <c r="N600">
        <v>0</v>
      </c>
      <c r="O600">
        <v>0</v>
      </c>
      <c r="P600">
        <v>0</v>
      </c>
      <c r="Q600">
        <f>IF(R600,TRUE,AND(U600:AC600))</f>
        <v>0</v>
      </c>
      <c r="R600">
        <f>COUNTBLANK(metadata!B600:J600)=COLUMNS(metadata!B600:J600)</f>
        <v>0</v>
      </c>
      <c r="S600">
        <v>0</v>
      </c>
      <c r="U600">
        <f>AND(IF(metadata!B600="",FALSE,TRUE),COUNTIF(metadata!B:B, metadata!B600) = 1,NOT(ISERROR(SUMPRODUCT(SEARCH(MID(metadata!B600,ROW(INDIRECT("1:"&amp;LEN(metadata!B600))), 1),"0123456789abcdefghijklmnopqrstuvwxyzABCDEFGHIJKLMNOPQRSTUVWXYZ.")))))</f>
        <v>0</v>
      </c>
      <c r="V600">
        <f>AND(IF(metadata!C600="",FALSE,TRUE),exact(metadata!C600,"UBERON:genitourinary"))</f>
        <v>0</v>
      </c>
      <c r="W600">
        <f>AND(IF(metadata!D600="",FALSE,TRUE),exact(metadata!D600,"UBERON:urine"))</f>
        <v>0</v>
      </c>
      <c r="X600">
        <f>AND(IF(metadata!E600="",FALSE,TRUE),exact(metadata!E600,"UBERON:kidney"))</f>
        <v>0</v>
      </c>
      <c r="Y600">
        <f>AND(IF(metadata!F600="",FALSE,TRUE),exact(metadata!F600,"animal corpus"))</f>
        <v>0</v>
      </c>
      <c r="Z600">
        <f>AND(IF(metadata!G600="",FALSE,TRUE),exact(metadata!G600,"urine"))</f>
        <v>0</v>
      </c>
      <c r="AA600">
        <f>AND(IF(metadata!H600="",FALSE,TRUE),exact(metadata!H600,"urine"))</f>
        <v>0</v>
      </c>
      <c r="AB600">
        <f>AND(IF(metadata!I600="",FALSE,TRUE),exact(metadata!I600,"urine metagenome"))</f>
        <v>0</v>
      </c>
      <c r="AC600">
        <f>AND(IF(metadata!J600="",FALSE,TRUE),exact(metadata!J600,"1346744"))</f>
        <v>0</v>
      </c>
    </row>
    <row r="601" spans="1:29">
      <c r="A601" s="4">
        <f>IF(B601=" "," ",HYPERLINK(CONCATENATE("#metadata!",ADDRESS(INDEX($P$2:$P$1001,MATCH(ROWS($N$2:N601),$N$2:$N$1001,0),0),1)),INDEX($S$2:$S$1001,MATCH(ROWS($N$2:N601),$N$2:$N$1001,0),0)))</f>
        <v>0</v>
      </c>
      <c r="B601" s="3">
        <f>IF(OR(INDEX($O$2:$O$1001,MATCH(ROWS($N$2:N601),$N$2:$N$1001,0),1)&gt;=100000,INDEX($U$1005:$AC$1005,1,MATCH(COLUMNS($U$1006:U1006),$U$1006:$AC$1006,0))&gt;=100000), " ",IF(INDEX($U$2:$AC$1001,MATCH(ROWS($N$2:N601),$N$2:$N$1001,0),MATCH(COLUMNS($U$1006:U1006),$U$1006:$AC$1006,0)), HYPERLINK("#",""), HYPERLINK(CONCATENATE("#metadata!", ADDRESS(INDEX($P$2:$P$1001,MATCH(ROWS($N$2:N601),$N$2:$N$1001,0),0), INDEX($U$1004:$AC$1004,1,MATCH(COLUMNS($U$1006:U1006),$U$1006:$AC$1006,0)))),"Fix")))</f>
        <v>0</v>
      </c>
      <c r="C601" s="3">
        <f>IF(OR(INDEX($O$2:$O$1001,MATCH(ROWS($N$2:N601),$N$2:$N$1001,0),1)&gt;=100000,INDEX($U$1005:$AC$1005,1,MATCH(COLUMNS($U$1006:V1006),$U$1006:$AC$1006,0))&gt;=100000), " ",IF(INDEX($U$2:$AC$1001,MATCH(ROWS($N$2:N601),$N$2:$N$1001,0),MATCH(COLUMNS($U$1006:V1006),$U$1006:$AC$1006,0)), HYPERLINK("#",""), HYPERLINK(CONCATENATE("#metadata!", ADDRESS(INDEX($P$2:$P$1001,MATCH(ROWS($N$2:N601),$N$2:$N$1001,0),0), INDEX($U$1004:$AC$1004,1,MATCH(COLUMNS($U$1006:V1006),$U$1006:$AC$1006,0)))),"Fix")))</f>
        <v>0</v>
      </c>
      <c r="D601" s="3">
        <f>IF(OR(INDEX($O$2:$O$1001,MATCH(ROWS($N$2:N601),$N$2:$N$1001,0),1)&gt;=100000,INDEX($U$1005:$AC$1005,1,MATCH(COLUMNS($U$1006:W1006),$U$1006:$AC$1006,0))&gt;=100000), " ",IF(INDEX($U$2:$AC$1001,MATCH(ROWS($N$2:N601),$N$2:$N$1001,0),MATCH(COLUMNS($U$1006:W1006),$U$1006:$AC$1006,0)), HYPERLINK("#",""), HYPERLINK(CONCATENATE("#metadata!", ADDRESS(INDEX($P$2:$P$1001,MATCH(ROWS($N$2:N601),$N$2:$N$1001,0),0), INDEX($U$1004:$AC$1004,1,MATCH(COLUMNS($U$1006:W1006),$U$1006:$AC$1006,0)))),"Fix")))</f>
        <v>0</v>
      </c>
      <c r="E601" s="3">
        <f>IF(OR(INDEX($O$2:$O$1001,MATCH(ROWS($N$2:N601),$N$2:$N$1001,0),1)&gt;=100000,INDEX($U$1005:$AC$1005,1,MATCH(COLUMNS($U$1006:X1006),$U$1006:$AC$1006,0))&gt;=100000), " ",IF(INDEX($U$2:$AC$1001,MATCH(ROWS($N$2:N601),$N$2:$N$1001,0),MATCH(COLUMNS($U$1006:X1006),$U$1006:$AC$1006,0)), HYPERLINK("#",""), HYPERLINK(CONCATENATE("#metadata!", ADDRESS(INDEX($P$2:$P$1001,MATCH(ROWS($N$2:N601),$N$2:$N$1001,0),0), INDEX($U$1004:$AC$1004,1,MATCH(COLUMNS($U$1006:X1006),$U$1006:$AC$1006,0)))),"Fix")))</f>
        <v>0</v>
      </c>
      <c r="F601" s="3">
        <f>IF(OR(INDEX($O$2:$O$1001,MATCH(ROWS($N$2:N601),$N$2:$N$1001,0),1)&gt;=100000,INDEX($U$1005:$AC$1005,1,MATCH(COLUMNS($U$1006:Y1006),$U$1006:$AC$1006,0))&gt;=100000), " ",IF(INDEX($U$2:$AC$1001,MATCH(ROWS($N$2:N601),$N$2:$N$1001,0),MATCH(COLUMNS($U$1006:Y1006),$U$1006:$AC$1006,0)), HYPERLINK("#",""), HYPERLINK(CONCATENATE("#metadata!", ADDRESS(INDEX($P$2:$P$1001,MATCH(ROWS($N$2:N601),$N$2:$N$1001,0),0), INDEX($U$1004:$AC$1004,1,MATCH(COLUMNS($U$1006:Y1006),$U$1006:$AC$1006,0)))),"Fix")))</f>
        <v>0</v>
      </c>
      <c r="G601" s="3">
        <f>IF(OR(INDEX($O$2:$O$1001,MATCH(ROWS($N$2:N601),$N$2:$N$1001,0),1)&gt;=100000,INDEX($U$1005:$AC$1005,1,MATCH(COLUMNS($U$1006:Z1006),$U$1006:$AC$1006,0))&gt;=100000), " ",IF(INDEX($U$2:$AC$1001,MATCH(ROWS($N$2:N601),$N$2:$N$1001,0),MATCH(COLUMNS($U$1006:Z1006),$U$1006:$AC$1006,0)), HYPERLINK("#",""), HYPERLINK(CONCATENATE("#metadata!", ADDRESS(INDEX($P$2:$P$1001,MATCH(ROWS($N$2:N601),$N$2:$N$1001,0),0), INDEX($U$1004:$AC$1004,1,MATCH(COLUMNS($U$1006:Z1006),$U$1006:$AC$1006,0)))),"Fix")))</f>
        <v>0</v>
      </c>
      <c r="H601" s="3">
        <f>IF(OR(INDEX($O$2:$O$1001,MATCH(ROWS($N$2:N601),$N$2:$N$1001,0),1)&gt;=100000,INDEX($U$1005:$AC$1005,1,MATCH(COLUMNS($U$1006:AA1006),$U$1006:$AC$1006,0))&gt;=100000), " ",IF(INDEX($U$2:$AC$1001,MATCH(ROWS($N$2:N601),$N$2:$N$1001,0),MATCH(COLUMNS($U$1006:AA1006),$U$1006:$AC$1006,0)), HYPERLINK("#",""), HYPERLINK(CONCATENATE("#metadata!", ADDRESS(INDEX($P$2:$P$1001,MATCH(ROWS($N$2:N601),$N$2:$N$1001,0),0), INDEX($U$1004:$AC$1004,1,MATCH(COLUMNS($U$1006:AA1006),$U$1006:$AC$1006,0)))),"Fix")))</f>
        <v>0</v>
      </c>
      <c r="I601" s="3">
        <f>IF(OR(INDEX($O$2:$O$1001,MATCH(ROWS($N$2:N601),$N$2:$N$1001,0),1)&gt;=100000,INDEX($U$1005:$AC$1005,1,MATCH(COLUMNS($U$1006:AB1006),$U$1006:$AC$1006,0))&gt;=100000), " ",IF(INDEX($U$2:$AC$1001,MATCH(ROWS($N$2:N601),$N$2:$N$1001,0),MATCH(COLUMNS($U$1006:AB1006),$U$1006:$AC$1006,0)), HYPERLINK("#",""), HYPERLINK(CONCATENATE("#metadata!", ADDRESS(INDEX($P$2:$P$1001,MATCH(ROWS($N$2:N601),$N$2:$N$1001,0),0), INDEX($U$1004:$AC$1004,1,MATCH(COLUMNS($U$1006:AB1006),$U$1006:$AC$1006,0)))),"Fix")))</f>
        <v>0</v>
      </c>
      <c r="J601" s="3">
        <f>IF(OR(INDEX($O$2:$O$1001,MATCH(ROWS($N$2:N601),$N$2:$N$1001,0),1)&gt;=100000,INDEX($U$1005:$AC$1005,1,MATCH(COLUMNS($U$1006:AC1006),$U$1006:$AC$1006,0))&gt;=100000), " ",IF(INDEX($U$2:$AC$1001,MATCH(ROWS($N$2:N601),$N$2:$N$1001,0),MATCH(COLUMNS($U$1006:AC1006),$U$1006:$AC$1006,0)), HYPERLINK("#",""), HYPERLINK(CONCATENATE("#metadata!", ADDRESS(INDEX($P$2:$P$1001,MATCH(ROWS($N$2:N601),$N$2:$N$1001,0),0), INDEX($U$1004:$AC$1004,1,MATCH(COLUMNS($U$1006:AC1006),$U$1006:$AC$1006,0)))),"Fix")))</f>
        <v>0</v>
      </c>
      <c r="N601">
        <v>0</v>
      </c>
      <c r="O601">
        <v>0</v>
      </c>
      <c r="P601">
        <v>0</v>
      </c>
      <c r="Q601">
        <f>IF(R601,TRUE,AND(U601:AC601))</f>
        <v>0</v>
      </c>
      <c r="R601">
        <f>COUNTBLANK(metadata!B601:J601)=COLUMNS(metadata!B601:J601)</f>
        <v>0</v>
      </c>
      <c r="S601">
        <v>0</v>
      </c>
      <c r="U601">
        <f>AND(IF(metadata!B601="",FALSE,TRUE),COUNTIF(metadata!B:B, metadata!B601) = 1,NOT(ISERROR(SUMPRODUCT(SEARCH(MID(metadata!B601,ROW(INDIRECT("1:"&amp;LEN(metadata!B601))), 1),"0123456789abcdefghijklmnopqrstuvwxyzABCDEFGHIJKLMNOPQRSTUVWXYZ.")))))</f>
        <v>0</v>
      </c>
      <c r="V601">
        <f>AND(IF(metadata!C601="",FALSE,TRUE),exact(metadata!C601,"UBERON:genitourinary"))</f>
        <v>0</v>
      </c>
      <c r="W601">
        <f>AND(IF(metadata!D601="",FALSE,TRUE),exact(metadata!D601,"UBERON:urine"))</f>
        <v>0</v>
      </c>
      <c r="X601">
        <f>AND(IF(metadata!E601="",FALSE,TRUE),exact(metadata!E601,"UBERON:kidney"))</f>
        <v>0</v>
      </c>
      <c r="Y601">
        <f>AND(IF(metadata!F601="",FALSE,TRUE),exact(metadata!F601,"animal corpus"))</f>
        <v>0</v>
      </c>
      <c r="Z601">
        <f>AND(IF(metadata!G601="",FALSE,TRUE),exact(metadata!G601,"urine"))</f>
        <v>0</v>
      </c>
      <c r="AA601">
        <f>AND(IF(metadata!H601="",FALSE,TRUE),exact(metadata!H601,"urine"))</f>
        <v>0</v>
      </c>
      <c r="AB601">
        <f>AND(IF(metadata!I601="",FALSE,TRUE),exact(metadata!I601,"urine metagenome"))</f>
        <v>0</v>
      </c>
      <c r="AC601">
        <f>AND(IF(metadata!J601="",FALSE,TRUE),exact(metadata!J601,"1346744"))</f>
        <v>0</v>
      </c>
    </row>
    <row r="602" spans="1:29">
      <c r="A602" s="4">
        <f>IF(B602=" "," ",HYPERLINK(CONCATENATE("#metadata!",ADDRESS(INDEX($P$2:$P$1001,MATCH(ROWS($N$2:N602),$N$2:$N$1001,0),0),1)),INDEX($S$2:$S$1001,MATCH(ROWS($N$2:N602),$N$2:$N$1001,0),0)))</f>
        <v>0</v>
      </c>
      <c r="B602" s="3">
        <f>IF(OR(INDEX($O$2:$O$1001,MATCH(ROWS($N$2:N602),$N$2:$N$1001,0),1)&gt;=100000,INDEX($U$1005:$AC$1005,1,MATCH(COLUMNS($U$1006:U1006),$U$1006:$AC$1006,0))&gt;=100000), " ",IF(INDEX($U$2:$AC$1001,MATCH(ROWS($N$2:N602),$N$2:$N$1001,0),MATCH(COLUMNS($U$1006:U1006),$U$1006:$AC$1006,0)), HYPERLINK("#",""), HYPERLINK(CONCATENATE("#metadata!", ADDRESS(INDEX($P$2:$P$1001,MATCH(ROWS($N$2:N602),$N$2:$N$1001,0),0), INDEX($U$1004:$AC$1004,1,MATCH(COLUMNS($U$1006:U1006),$U$1006:$AC$1006,0)))),"Fix")))</f>
        <v>0</v>
      </c>
      <c r="C602" s="3">
        <f>IF(OR(INDEX($O$2:$O$1001,MATCH(ROWS($N$2:N602),$N$2:$N$1001,0),1)&gt;=100000,INDEX($U$1005:$AC$1005,1,MATCH(COLUMNS($U$1006:V1006),$U$1006:$AC$1006,0))&gt;=100000), " ",IF(INDEX($U$2:$AC$1001,MATCH(ROWS($N$2:N602),$N$2:$N$1001,0),MATCH(COLUMNS($U$1006:V1006),$U$1006:$AC$1006,0)), HYPERLINK("#",""), HYPERLINK(CONCATENATE("#metadata!", ADDRESS(INDEX($P$2:$P$1001,MATCH(ROWS($N$2:N602),$N$2:$N$1001,0),0), INDEX($U$1004:$AC$1004,1,MATCH(COLUMNS($U$1006:V1006),$U$1006:$AC$1006,0)))),"Fix")))</f>
        <v>0</v>
      </c>
      <c r="D602" s="3">
        <f>IF(OR(INDEX($O$2:$O$1001,MATCH(ROWS($N$2:N602),$N$2:$N$1001,0),1)&gt;=100000,INDEX($U$1005:$AC$1005,1,MATCH(COLUMNS($U$1006:W1006),$U$1006:$AC$1006,0))&gt;=100000), " ",IF(INDEX($U$2:$AC$1001,MATCH(ROWS($N$2:N602),$N$2:$N$1001,0),MATCH(COLUMNS($U$1006:W1006),$U$1006:$AC$1006,0)), HYPERLINK("#",""), HYPERLINK(CONCATENATE("#metadata!", ADDRESS(INDEX($P$2:$P$1001,MATCH(ROWS($N$2:N602),$N$2:$N$1001,0),0), INDEX($U$1004:$AC$1004,1,MATCH(COLUMNS($U$1006:W1006),$U$1006:$AC$1006,0)))),"Fix")))</f>
        <v>0</v>
      </c>
      <c r="E602" s="3">
        <f>IF(OR(INDEX($O$2:$O$1001,MATCH(ROWS($N$2:N602),$N$2:$N$1001,0),1)&gt;=100000,INDEX($U$1005:$AC$1005,1,MATCH(COLUMNS($U$1006:X1006),$U$1006:$AC$1006,0))&gt;=100000), " ",IF(INDEX($U$2:$AC$1001,MATCH(ROWS($N$2:N602),$N$2:$N$1001,0),MATCH(COLUMNS($U$1006:X1006),$U$1006:$AC$1006,0)), HYPERLINK("#",""), HYPERLINK(CONCATENATE("#metadata!", ADDRESS(INDEX($P$2:$P$1001,MATCH(ROWS($N$2:N602),$N$2:$N$1001,0),0), INDEX($U$1004:$AC$1004,1,MATCH(COLUMNS($U$1006:X1006),$U$1006:$AC$1006,0)))),"Fix")))</f>
        <v>0</v>
      </c>
      <c r="F602" s="3">
        <f>IF(OR(INDEX($O$2:$O$1001,MATCH(ROWS($N$2:N602),$N$2:$N$1001,0),1)&gt;=100000,INDEX($U$1005:$AC$1005,1,MATCH(COLUMNS($U$1006:Y1006),$U$1006:$AC$1006,0))&gt;=100000), " ",IF(INDEX($U$2:$AC$1001,MATCH(ROWS($N$2:N602),$N$2:$N$1001,0),MATCH(COLUMNS($U$1006:Y1006),$U$1006:$AC$1006,0)), HYPERLINK("#",""), HYPERLINK(CONCATENATE("#metadata!", ADDRESS(INDEX($P$2:$P$1001,MATCH(ROWS($N$2:N602),$N$2:$N$1001,0),0), INDEX($U$1004:$AC$1004,1,MATCH(COLUMNS($U$1006:Y1006),$U$1006:$AC$1006,0)))),"Fix")))</f>
        <v>0</v>
      </c>
      <c r="G602" s="3">
        <f>IF(OR(INDEX($O$2:$O$1001,MATCH(ROWS($N$2:N602),$N$2:$N$1001,0),1)&gt;=100000,INDEX($U$1005:$AC$1005,1,MATCH(COLUMNS($U$1006:Z1006),$U$1006:$AC$1006,0))&gt;=100000), " ",IF(INDEX($U$2:$AC$1001,MATCH(ROWS($N$2:N602),$N$2:$N$1001,0),MATCH(COLUMNS($U$1006:Z1006),$U$1006:$AC$1006,0)), HYPERLINK("#",""), HYPERLINK(CONCATENATE("#metadata!", ADDRESS(INDEX($P$2:$P$1001,MATCH(ROWS($N$2:N602),$N$2:$N$1001,0),0), INDEX($U$1004:$AC$1004,1,MATCH(COLUMNS($U$1006:Z1006),$U$1006:$AC$1006,0)))),"Fix")))</f>
        <v>0</v>
      </c>
      <c r="H602" s="3">
        <f>IF(OR(INDEX($O$2:$O$1001,MATCH(ROWS($N$2:N602),$N$2:$N$1001,0),1)&gt;=100000,INDEX($U$1005:$AC$1005,1,MATCH(COLUMNS($U$1006:AA1006),$U$1006:$AC$1006,0))&gt;=100000), " ",IF(INDEX($U$2:$AC$1001,MATCH(ROWS($N$2:N602),$N$2:$N$1001,0),MATCH(COLUMNS($U$1006:AA1006),$U$1006:$AC$1006,0)), HYPERLINK("#",""), HYPERLINK(CONCATENATE("#metadata!", ADDRESS(INDEX($P$2:$P$1001,MATCH(ROWS($N$2:N602),$N$2:$N$1001,0),0), INDEX($U$1004:$AC$1004,1,MATCH(COLUMNS($U$1006:AA1006),$U$1006:$AC$1006,0)))),"Fix")))</f>
        <v>0</v>
      </c>
      <c r="I602" s="3">
        <f>IF(OR(INDEX($O$2:$O$1001,MATCH(ROWS($N$2:N602),$N$2:$N$1001,0),1)&gt;=100000,INDEX($U$1005:$AC$1005,1,MATCH(COLUMNS($U$1006:AB1006),$U$1006:$AC$1006,0))&gt;=100000), " ",IF(INDEX($U$2:$AC$1001,MATCH(ROWS($N$2:N602),$N$2:$N$1001,0),MATCH(COLUMNS($U$1006:AB1006),$U$1006:$AC$1006,0)), HYPERLINK("#",""), HYPERLINK(CONCATENATE("#metadata!", ADDRESS(INDEX($P$2:$P$1001,MATCH(ROWS($N$2:N602),$N$2:$N$1001,0),0), INDEX($U$1004:$AC$1004,1,MATCH(COLUMNS($U$1006:AB1006),$U$1006:$AC$1006,0)))),"Fix")))</f>
        <v>0</v>
      </c>
      <c r="J602" s="3">
        <f>IF(OR(INDEX($O$2:$O$1001,MATCH(ROWS($N$2:N602),$N$2:$N$1001,0),1)&gt;=100000,INDEX($U$1005:$AC$1005,1,MATCH(COLUMNS($U$1006:AC1006),$U$1006:$AC$1006,0))&gt;=100000), " ",IF(INDEX($U$2:$AC$1001,MATCH(ROWS($N$2:N602),$N$2:$N$1001,0),MATCH(COLUMNS($U$1006:AC1006),$U$1006:$AC$1006,0)), HYPERLINK("#",""), HYPERLINK(CONCATENATE("#metadata!", ADDRESS(INDEX($P$2:$P$1001,MATCH(ROWS($N$2:N602),$N$2:$N$1001,0),0), INDEX($U$1004:$AC$1004,1,MATCH(COLUMNS($U$1006:AC1006),$U$1006:$AC$1006,0)))),"Fix")))</f>
        <v>0</v>
      </c>
      <c r="N602">
        <v>0</v>
      </c>
      <c r="O602">
        <v>0</v>
      </c>
      <c r="P602">
        <v>0</v>
      </c>
      <c r="Q602">
        <f>IF(R602,TRUE,AND(U602:AC602))</f>
        <v>0</v>
      </c>
      <c r="R602">
        <f>COUNTBLANK(metadata!B602:J602)=COLUMNS(metadata!B602:J602)</f>
        <v>0</v>
      </c>
      <c r="S602">
        <v>0</v>
      </c>
      <c r="U602">
        <f>AND(IF(metadata!B602="",FALSE,TRUE),COUNTIF(metadata!B:B, metadata!B602) = 1,NOT(ISERROR(SUMPRODUCT(SEARCH(MID(metadata!B602,ROW(INDIRECT("1:"&amp;LEN(metadata!B602))), 1),"0123456789abcdefghijklmnopqrstuvwxyzABCDEFGHIJKLMNOPQRSTUVWXYZ.")))))</f>
        <v>0</v>
      </c>
      <c r="V602">
        <f>AND(IF(metadata!C602="",FALSE,TRUE),exact(metadata!C602,"UBERON:genitourinary"))</f>
        <v>0</v>
      </c>
      <c r="W602">
        <f>AND(IF(metadata!D602="",FALSE,TRUE),exact(metadata!D602,"UBERON:urine"))</f>
        <v>0</v>
      </c>
      <c r="X602">
        <f>AND(IF(metadata!E602="",FALSE,TRUE),exact(metadata!E602,"UBERON:kidney"))</f>
        <v>0</v>
      </c>
      <c r="Y602">
        <f>AND(IF(metadata!F602="",FALSE,TRUE),exact(metadata!F602,"animal corpus"))</f>
        <v>0</v>
      </c>
      <c r="Z602">
        <f>AND(IF(metadata!G602="",FALSE,TRUE),exact(metadata!G602,"urine"))</f>
        <v>0</v>
      </c>
      <c r="AA602">
        <f>AND(IF(metadata!H602="",FALSE,TRUE),exact(metadata!H602,"urine"))</f>
        <v>0</v>
      </c>
      <c r="AB602">
        <f>AND(IF(metadata!I602="",FALSE,TRUE),exact(metadata!I602,"urine metagenome"))</f>
        <v>0</v>
      </c>
      <c r="AC602">
        <f>AND(IF(metadata!J602="",FALSE,TRUE),exact(metadata!J602,"1346744"))</f>
        <v>0</v>
      </c>
    </row>
    <row r="603" spans="1:29">
      <c r="A603" s="4">
        <f>IF(B603=" "," ",HYPERLINK(CONCATENATE("#metadata!",ADDRESS(INDEX($P$2:$P$1001,MATCH(ROWS($N$2:N603),$N$2:$N$1001,0),0),1)),INDEX($S$2:$S$1001,MATCH(ROWS($N$2:N603),$N$2:$N$1001,0),0)))</f>
        <v>0</v>
      </c>
      <c r="B603" s="3">
        <f>IF(OR(INDEX($O$2:$O$1001,MATCH(ROWS($N$2:N603),$N$2:$N$1001,0),1)&gt;=100000,INDEX($U$1005:$AC$1005,1,MATCH(COLUMNS($U$1006:U1006),$U$1006:$AC$1006,0))&gt;=100000), " ",IF(INDEX($U$2:$AC$1001,MATCH(ROWS($N$2:N603),$N$2:$N$1001,0),MATCH(COLUMNS($U$1006:U1006),$U$1006:$AC$1006,0)), HYPERLINK("#",""), HYPERLINK(CONCATENATE("#metadata!", ADDRESS(INDEX($P$2:$P$1001,MATCH(ROWS($N$2:N603),$N$2:$N$1001,0),0), INDEX($U$1004:$AC$1004,1,MATCH(COLUMNS($U$1006:U1006),$U$1006:$AC$1006,0)))),"Fix")))</f>
        <v>0</v>
      </c>
      <c r="C603" s="3">
        <f>IF(OR(INDEX($O$2:$O$1001,MATCH(ROWS($N$2:N603),$N$2:$N$1001,0),1)&gt;=100000,INDEX($U$1005:$AC$1005,1,MATCH(COLUMNS($U$1006:V1006),$U$1006:$AC$1006,0))&gt;=100000), " ",IF(INDEX($U$2:$AC$1001,MATCH(ROWS($N$2:N603),$N$2:$N$1001,0),MATCH(COLUMNS($U$1006:V1006),$U$1006:$AC$1006,0)), HYPERLINK("#",""), HYPERLINK(CONCATENATE("#metadata!", ADDRESS(INDEX($P$2:$P$1001,MATCH(ROWS($N$2:N603),$N$2:$N$1001,0),0), INDEX($U$1004:$AC$1004,1,MATCH(COLUMNS($U$1006:V1006),$U$1006:$AC$1006,0)))),"Fix")))</f>
        <v>0</v>
      </c>
      <c r="D603" s="3">
        <f>IF(OR(INDEX($O$2:$O$1001,MATCH(ROWS($N$2:N603),$N$2:$N$1001,0),1)&gt;=100000,INDEX($U$1005:$AC$1005,1,MATCH(COLUMNS($U$1006:W1006),$U$1006:$AC$1006,0))&gt;=100000), " ",IF(INDEX($U$2:$AC$1001,MATCH(ROWS($N$2:N603),$N$2:$N$1001,0),MATCH(COLUMNS($U$1006:W1006),$U$1006:$AC$1006,0)), HYPERLINK("#",""), HYPERLINK(CONCATENATE("#metadata!", ADDRESS(INDEX($P$2:$P$1001,MATCH(ROWS($N$2:N603),$N$2:$N$1001,0),0), INDEX($U$1004:$AC$1004,1,MATCH(COLUMNS($U$1006:W1006),$U$1006:$AC$1006,0)))),"Fix")))</f>
        <v>0</v>
      </c>
      <c r="E603" s="3">
        <f>IF(OR(INDEX($O$2:$O$1001,MATCH(ROWS($N$2:N603),$N$2:$N$1001,0),1)&gt;=100000,INDEX($U$1005:$AC$1005,1,MATCH(COLUMNS($U$1006:X1006),$U$1006:$AC$1006,0))&gt;=100000), " ",IF(INDEX($U$2:$AC$1001,MATCH(ROWS($N$2:N603),$N$2:$N$1001,0),MATCH(COLUMNS($U$1006:X1006),$U$1006:$AC$1006,0)), HYPERLINK("#",""), HYPERLINK(CONCATENATE("#metadata!", ADDRESS(INDEX($P$2:$P$1001,MATCH(ROWS($N$2:N603),$N$2:$N$1001,0),0), INDEX($U$1004:$AC$1004,1,MATCH(COLUMNS($U$1006:X1006),$U$1006:$AC$1006,0)))),"Fix")))</f>
        <v>0</v>
      </c>
      <c r="F603" s="3">
        <f>IF(OR(INDEX($O$2:$O$1001,MATCH(ROWS($N$2:N603),$N$2:$N$1001,0),1)&gt;=100000,INDEX($U$1005:$AC$1005,1,MATCH(COLUMNS($U$1006:Y1006),$U$1006:$AC$1006,0))&gt;=100000), " ",IF(INDEX($U$2:$AC$1001,MATCH(ROWS($N$2:N603),$N$2:$N$1001,0),MATCH(COLUMNS($U$1006:Y1006),$U$1006:$AC$1006,0)), HYPERLINK("#",""), HYPERLINK(CONCATENATE("#metadata!", ADDRESS(INDEX($P$2:$P$1001,MATCH(ROWS($N$2:N603),$N$2:$N$1001,0),0), INDEX($U$1004:$AC$1004,1,MATCH(COLUMNS($U$1006:Y1006),$U$1006:$AC$1006,0)))),"Fix")))</f>
        <v>0</v>
      </c>
      <c r="G603" s="3">
        <f>IF(OR(INDEX($O$2:$O$1001,MATCH(ROWS($N$2:N603),$N$2:$N$1001,0),1)&gt;=100000,INDEX($U$1005:$AC$1005,1,MATCH(COLUMNS($U$1006:Z1006),$U$1006:$AC$1006,0))&gt;=100000), " ",IF(INDEX($U$2:$AC$1001,MATCH(ROWS($N$2:N603),$N$2:$N$1001,0),MATCH(COLUMNS($U$1006:Z1006),$U$1006:$AC$1006,0)), HYPERLINK("#",""), HYPERLINK(CONCATENATE("#metadata!", ADDRESS(INDEX($P$2:$P$1001,MATCH(ROWS($N$2:N603),$N$2:$N$1001,0),0), INDEX($U$1004:$AC$1004,1,MATCH(COLUMNS($U$1006:Z1006),$U$1006:$AC$1006,0)))),"Fix")))</f>
        <v>0</v>
      </c>
      <c r="H603" s="3">
        <f>IF(OR(INDEX($O$2:$O$1001,MATCH(ROWS($N$2:N603),$N$2:$N$1001,0),1)&gt;=100000,INDEX($U$1005:$AC$1005,1,MATCH(COLUMNS($U$1006:AA1006),$U$1006:$AC$1006,0))&gt;=100000), " ",IF(INDEX($U$2:$AC$1001,MATCH(ROWS($N$2:N603),$N$2:$N$1001,0),MATCH(COLUMNS($U$1006:AA1006),$U$1006:$AC$1006,0)), HYPERLINK("#",""), HYPERLINK(CONCATENATE("#metadata!", ADDRESS(INDEX($P$2:$P$1001,MATCH(ROWS($N$2:N603),$N$2:$N$1001,0),0), INDEX($U$1004:$AC$1004,1,MATCH(COLUMNS($U$1006:AA1006),$U$1006:$AC$1006,0)))),"Fix")))</f>
        <v>0</v>
      </c>
      <c r="I603" s="3">
        <f>IF(OR(INDEX($O$2:$O$1001,MATCH(ROWS($N$2:N603),$N$2:$N$1001,0),1)&gt;=100000,INDEX($U$1005:$AC$1005,1,MATCH(COLUMNS($U$1006:AB1006),$U$1006:$AC$1006,0))&gt;=100000), " ",IF(INDEX($U$2:$AC$1001,MATCH(ROWS($N$2:N603),$N$2:$N$1001,0),MATCH(COLUMNS($U$1006:AB1006),$U$1006:$AC$1006,0)), HYPERLINK("#",""), HYPERLINK(CONCATENATE("#metadata!", ADDRESS(INDEX($P$2:$P$1001,MATCH(ROWS($N$2:N603),$N$2:$N$1001,0),0), INDEX($U$1004:$AC$1004,1,MATCH(COLUMNS($U$1006:AB1006),$U$1006:$AC$1006,0)))),"Fix")))</f>
        <v>0</v>
      </c>
      <c r="J603" s="3">
        <f>IF(OR(INDEX($O$2:$O$1001,MATCH(ROWS($N$2:N603),$N$2:$N$1001,0),1)&gt;=100000,INDEX($U$1005:$AC$1005,1,MATCH(COLUMNS($U$1006:AC1006),$U$1006:$AC$1006,0))&gt;=100000), " ",IF(INDEX($U$2:$AC$1001,MATCH(ROWS($N$2:N603),$N$2:$N$1001,0),MATCH(COLUMNS($U$1006:AC1006),$U$1006:$AC$1006,0)), HYPERLINK("#",""), HYPERLINK(CONCATENATE("#metadata!", ADDRESS(INDEX($P$2:$P$1001,MATCH(ROWS($N$2:N603),$N$2:$N$1001,0),0), INDEX($U$1004:$AC$1004,1,MATCH(COLUMNS($U$1006:AC1006),$U$1006:$AC$1006,0)))),"Fix")))</f>
        <v>0</v>
      </c>
      <c r="N603">
        <v>0</v>
      </c>
      <c r="O603">
        <v>0</v>
      </c>
      <c r="P603">
        <v>0</v>
      </c>
      <c r="Q603">
        <f>IF(R603,TRUE,AND(U603:AC603))</f>
        <v>0</v>
      </c>
      <c r="R603">
        <f>COUNTBLANK(metadata!B603:J603)=COLUMNS(metadata!B603:J603)</f>
        <v>0</v>
      </c>
      <c r="S603">
        <v>0</v>
      </c>
      <c r="U603">
        <f>AND(IF(metadata!B603="",FALSE,TRUE),COUNTIF(metadata!B:B, metadata!B603) = 1,NOT(ISERROR(SUMPRODUCT(SEARCH(MID(metadata!B603,ROW(INDIRECT("1:"&amp;LEN(metadata!B603))), 1),"0123456789abcdefghijklmnopqrstuvwxyzABCDEFGHIJKLMNOPQRSTUVWXYZ.")))))</f>
        <v>0</v>
      </c>
      <c r="V603">
        <f>AND(IF(metadata!C603="",FALSE,TRUE),exact(metadata!C603,"UBERON:genitourinary"))</f>
        <v>0</v>
      </c>
      <c r="W603">
        <f>AND(IF(metadata!D603="",FALSE,TRUE),exact(metadata!D603,"UBERON:urine"))</f>
        <v>0</v>
      </c>
      <c r="X603">
        <f>AND(IF(metadata!E603="",FALSE,TRUE),exact(metadata!E603,"UBERON:kidney"))</f>
        <v>0</v>
      </c>
      <c r="Y603">
        <f>AND(IF(metadata!F603="",FALSE,TRUE),exact(metadata!F603,"animal corpus"))</f>
        <v>0</v>
      </c>
      <c r="Z603">
        <f>AND(IF(metadata!G603="",FALSE,TRUE),exact(metadata!G603,"urine"))</f>
        <v>0</v>
      </c>
      <c r="AA603">
        <f>AND(IF(metadata!H603="",FALSE,TRUE),exact(metadata!H603,"urine"))</f>
        <v>0</v>
      </c>
      <c r="AB603">
        <f>AND(IF(metadata!I603="",FALSE,TRUE),exact(metadata!I603,"urine metagenome"))</f>
        <v>0</v>
      </c>
      <c r="AC603">
        <f>AND(IF(metadata!J603="",FALSE,TRUE),exact(metadata!J603,"1346744"))</f>
        <v>0</v>
      </c>
    </row>
    <row r="604" spans="1:29">
      <c r="A604" s="4">
        <f>IF(B604=" "," ",HYPERLINK(CONCATENATE("#metadata!",ADDRESS(INDEX($P$2:$P$1001,MATCH(ROWS($N$2:N604),$N$2:$N$1001,0),0),1)),INDEX($S$2:$S$1001,MATCH(ROWS($N$2:N604),$N$2:$N$1001,0),0)))</f>
        <v>0</v>
      </c>
      <c r="B604" s="3">
        <f>IF(OR(INDEX($O$2:$O$1001,MATCH(ROWS($N$2:N604),$N$2:$N$1001,0),1)&gt;=100000,INDEX($U$1005:$AC$1005,1,MATCH(COLUMNS($U$1006:U1006),$U$1006:$AC$1006,0))&gt;=100000), " ",IF(INDEX($U$2:$AC$1001,MATCH(ROWS($N$2:N604),$N$2:$N$1001,0),MATCH(COLUMNS($U$1006:U1006),$U$1006:$AC$1006,0)), HYPERLINK("#",""), HYPERLINK(CONCATENATE("#metadata!", ADDRESS(INDEX($P$2:$P$1001,MATCH(ROWS($N$2:N604),$N$2:$N$1001,0),0), INDEX($U$1004:$AC$1004,1,MATCH(COLUMNS($U$1006:U1006),$U$1006:$AC$1006,0)))),"Fix")))</f>
        <v>0</v>
      </c>
      <c r="C604" s="3">
        <f>IF(OR(INDEX($O$2:$O$1001,MATCH(ROWS($N$2:N604),$N$2:$N$1001,0),1)&gt;=100000,INDEX($U$1005:$AC$1005,1,MATCH(COLUMNS($U$1006:V1006),$U$1006:$AC$1006,0))&gt;=100000), " ",IF(INDEX($U$2:$AC$1001,MATCH(ROWS($N$2:N604),$N$2:$N$1001,0),MATCH(COLUMNS($U$1006:V1006),$U$1006:$AC$1006,0)), HYPERLINK("#",""), HYPERLINK(CONCATENATE("#metadata!", ADDRESS(INDEX($P$2:$P$1001,MATCH(ROWS($N$2:N604),$N$2:$N$1001,0),0), INDEX($U$1004:$AC$1004,1,MATCH(COLUMNS($U$1006:V1006),$U$1006:$AC$1006,0)))),"Fix")))</f>
        <v>0</v>
      </c>
      <c r="D604" s="3">
        <f>IF(OR(INDEX($O$2:$O$1001,MATCH(ROWS($N$2:N604),$N$2:$N$1001,0),1)&gt;=100000,INDEX($U$1005:$AC$1005,1,MATCH(COLUMNS($U$1006:W1006),$U$1006:$AC$1006,0))&gt;=100000), " ",IF(INDEX($U$2:$AC$1001,MATCH(ROWS($N$2:N604),$N$2:$N$1001,0),MATCH(COLUMNS($U$1006:W1006),$U$1006:$AC$1006,0)), HYPERLINK("#",""), HYPERLINK(CONCATENATE("#metadata!", ADDRESS(INDEX($P$2:$P$1001,MATCH(ROWS($N$2:N604),$N$2:$N$1001,0),0), INDEX($U$1004:$AC$1004,1,MATCH(COLUMNS($U$1006:W1006),$U$1006:$AC$1006,0)))),"Fix")))</f>
        <v>0</v>
      </c>
      <c r="E604" s="3">
        <f>IF(OR(INDEX($O$2:$O$1001,MATCH(ROWS($N$2:N604),$N$2:$N$1001,0),1)&gt;=100000,INDEX($U$1005:$AC$1005,1,MATCH(COLUMNS($U$1006:X1006),$U$1006:$AC$1006,0))&gt;=100000), " ",IF(INDEX($U$2:$AC$1001,MATCH(ROWS($N$2:N604),$N$2:$N$1001,0),MATCH(COLUMNS($U$1006:X1006),$U$1006:$AC$1006,0)), HYPERLINK("#",""), HYPERLINK(CONCATENATE("#metadata!", ADDRESS(INDEX($P$2:$P$1001,MATCH(ROWS($N$2:N604),$N$2:$N$1001,0),0), INDEX($U$1004:$AC$1004,1,MATCH(COLUMNS($U$1006:X1006),$U$1006:$AC$1006,0)))),"Fix")))</f>
        <v>0</v>
      </c>
      <c r="F604" s="3">
        <f>IF(OR(INDEX($O$2:$O$1001,MATCH(ROWS($N$2:N604),$N$2:$N$1001,0),1)&gt;=100000,INDEX($U$1005:$AC$1005,1,MATCH(COLUMNS($U$1006:Y1006),$U$1006:$AC$1006,0))&gt;=100000), " ",IF(INDEX($U$2:$AC$1001,MATCH(ROWS($N$2:N604),$N$2:$N$1001,0),MATCH(COLUMNS($U$1006:Y1006),$U$1006:$AC$1006,0)), HYPERLINK("#",""), HYPERLINK(CONCATENATE("#metadata!", ADDRESS(INDEX($P$2:$P$1001,MATCH(ROWS($N$2:N604),$N$2:$N$1001,0),0), INDEX($U$1004:$AC$1004,1,MATCH(COLUMNS($U$1006:Y1006),$U$1006:$AC$1006,0)))),"Fix")))</f>
        <v>0</v>
      </c>
      <c r="G604" s="3">
        <f>IF(OR(INDEX($O$2:$O$1001,MATCH(ROWS($N$2:N604),$N$2:$N$1001,0),1)&gt;=100000,INDEX($U$1005:$AC$1005,1,MATCH(COLUMNS($U$1006:Z1006),$U$1006:$AC$1006,0))&gt;=100000), " ",IF(INDEX($U$2:$AC$1001,MATCH(ROWS($N$2:N604),$N$2:$N$1001,0),MATCH(COLUMNS($U$1006:Z1006),$U$1006:$AC$1006,0)), HYPERLINK("#",""), HYPERLINK(CONCATENATE("#metadata!", ADDRESS(INDEX($P$2:$P$1001,MATCH(ROWS($N$2:N604),$N$2:$N$1001,0),0), INDEX($U$1004:$AC$1004,1,MATCH(COLUMNS($U$1006:Z1006),$U$1006:$AC$1006,0)))),"Fix")))</f>
        <v>0</v>
      </c>
      <c r="H604" s="3">
        <f>IF(OR(INDEX($O$2:$O$1001,MATCH(ROWS($N$2:N604),$N$2:$N$1001,0),1)&gt;=100000,INDEX($U$1005:$AC$1005,1,MATCH(COLUMNS($U$1006:AA1006),$U$1006:$AC$1006,0))&gt;=100000), " ",IF(INDEX($U$2:$AC$1001,MATCH(ROWS($N$2:N604),$N$2:$N$1001,0),MATCH(COLUMNS($U$1006:AA1006),$U$1006:$AC$1006,0)), HYPERLINK("#",""), HYPERLINK(CONCATENATE("#metadata!", ADDRESS(INDEX($P$2:$P$1001,MATCH(ROWS($N$2:N604),$N$2:$N$1001,0),0), INDEX($U$1004:$AC$1004,1,MATCH(COLUMNS($U$1006:AA1006),$U$1006:$AC$1006,0)))),"Fix")))</f>
        <v>0</v>
      </c>
      <c r="I604" s="3">
        <f>IF(OR(INDEX($O$2:$O$1001,MATCH(ROWS($N$2:N604),$N$2:$N$1001,0),1)&gt;=100000,INDEX($U$1005:$AC$1005,1,MATCH(COLUMNS($U$1006:AB1006),$U$1006:$AC$1006,0))&gt;=100000), " ",IF(INDEX($U$2:$AC$1001,MATCH(ROWS($N$2:N604),$N$2:$N$1001,0),MATCH(COLUMNS($U$1006:AB1006),$U$1006:$AC$1006,0)), HYPERLINK("#",""), HYPERLINK(CONCATENATE("#metadata!", ADDRESS(INDEX($P$2:$P$1001,MATCH(ROWS($N$2:N604),$N$2:$N$1001,0),0), INDEX($U$1004:$AC$1004,1,MATCH(COLUMNS($U$1006:AB1006),$U$1006:$AC$1006,0)))),"Fix")))</f>
        <v>0</v>
      </c>
      <c r="J604" s="3">
        <f>IF(OR(INDEX($O$2:$O$1001,MATCH(ROWS($N$2:N604),$N$2:$N$1001,0),1)&gt;=100000,INDEX($U$1005:$AC$1005,1,MATCH(COLUMNS($U$1006:AC1006),$U$1006:$AC$1006,0))&gt;=100000), " ",IF(INDEX($U$2:$AC$1001,MATCH(ROWS($N$2:N604),$N$2:$N$1001,0),MATCH(COLUMNS($U$1006:AC1006),$U$1006:$AC$1006,0)), HYPERLINK("#",""), HYPERLINK(CONCATENATE("#metadata!", ADDRESS(INDEX($P$2:$P$1001,MATCH(ROWS($N$2:N604),$N$2:$N$1001,0),0), INDEX($U$1004:$AC$1004,1,MATCH(COLUMNS($U$1006:AC1006),$U$1006:$AC$1006,0)))),"Fix")))</f>
        <v>0</v>
      </c>
      <c r="N604">
        <v>0</v>
      </c>
      <c r="O604">
        <v>0</v>
      </c>
      <c r="P604">
        <v>0</v>
      </c>
      <c r="Q604">
        <f>IF(R604,TRUE,AND(U604:AC604))</f>
        <v>0</v>
      </c>
      <c r="R604">
        <f>COUNTBLANK(metadata!B604:J604)=COLUMNS(metadata!B604:J604)</f>
        <v>0</v>
      </c>
      <c r="S604">
        <v>0</v>
      </c>
      <c r="U604">
        <f>AND(IF(metadata!B604="",FALSE,TRUE),COUNTIF(metadata!B:B, metadata!B604) = 1,NOT(ISERROR(SUMPRODUCT(SEARCH(MID(metadata!B604,ROW(INDIRECT("1:"&amp;LEN(metadata!B604))), 1),"0123456789abcdefghijklmnopqrstuvwxyzABCDEFGHIJKLMNOPQRSTUVWXYZ.")))))</f>
        <v>0</v>
      </c>
      <c r="V604">
        <f>AND(IF(metadata!C604="",FALSE,TRUE),exact(metadata!C604,"UBERON:genitourinary"))</f>
        <v>0</v>
      </c>
      <c r="W604">
        <f>AND(IF(metadata!D604="",FALSE,TRUE),exact(metadata!D604,"UBERON:urine"))</f>
        <v>0</v>
      </c>
      <c r="X604">
        <f>AND(IF(metadata!E604="",FALSE,TRUE),exact(metadata!E604,"UBERON:kidney"))</f>
        <v>0</v>
      </c>
      <c r="Y604">
        <f>AND(IF(metadata!F604="",FALSE,TRUE),exact(metadata!F604,"animal corpus"))</f>
        <v>0</v>
      </c>
      <c r="Z604">
        <f>AND(IF(metadata!G604="",FALSE,TRUE),exact(metadata!G604,"urine"))</f>
        <v>0</v>
      </c>
      <c r="AA604">
        <f>AND(IF(metadata!H604="",FALSE,TRUE),exact(metadata!H604,"urine"))</f>
        <v>0</v>
      </c>
      <c r="AB604">
        <f>AND(IF(metadata!I604="",FALSE,TRUE),exact(metadata!I604,"urine metagenome"))</f>
        <v>0</v>
      </c>
      <c r="AC604">
        <f>AND(IF(metadata!J604="",FALSE,TRUE),exact(metadata!J604,"1346744"))</f>
        <v>0</v>
      </c>
    </row>
    <row r="605" spans="1:29">
      <c r="A605" s="4">
        <f>IF(B605=" "," ",HYPERLINK(CONCATENATE("#metadata!",ADDRESS(INDEX($P$2:$P$1001,MATCH(ROWS($N$2:N605),$N$2:$N$1001,0),0),1)),INDEX($S$2:$S$1001,MATCH(ROWS($N$2:N605),$N$2:$N$1001,0),0)))</f>
        <v>0</v>
      </c>
      <c r="B605" s="3">
        <f>IF(OR(INDEX($O$2:$O$1001,MATCH(ROWS($N$2:N605),$N$2:$N$1001,0),1)&gt;=100000,INDEX($U$1005:$AC$1005,1,MATCH(COLUMNS($U$1006:U1006),$U$1006:$AC$1006,0))&gt;=100000), " ",IF(INDEX($U$2:$AC$1001,MATCH(ROWS($N$2:N605),$N$2:$N$1001,0),MATCH(COLUMNS($U$1006:U1006),$U$1006:$AC$1006,0)), HYPERLINK("#",""), HYPERLINK(CONCATENATE("#metadata!", ADDRESS(INDEX($P$2:$P$1001,MATCH(ROWS($N$2:N605),$N$2:$N$1001,0),0), INDEX($U$1004:$AC$1004,1,MATCH(COLUMNS($U$1006:U1006),$U$1006:$AC$1006,0)))),"Fix")))</f>
        <v>0</v>
      </c>
      <c r="C605" s="3">
        <f>IF(OR(INDEX($O$2:$O$1001,MATCH(ROWS($N$2:N605),$N$2:$N$1001,0),1)&gt;=100000,INDEX($U$1005:$AC$1005,1,MATCH(COLUMNS($U$1006:V1006),$U$1006:$AC$1006,0))&gt;=100000), " ",IF(INDEX($U$2:$AC$1001,MATCH(ROWS($N$2:N605),$N$2:$N$1001,0),MATCH(COLUMNS($U$1006:V1006),$U$1006:$AC$1006,0)), HYPERLINK("#",""), HYPERLINK(CONCATENATE("#metadata!", ADDRESS(INDEX($P$2:$P$1001,MATCH(ROWS($N$2:N605),$N$2:$N$1001,0),0), INDEX($U$1004:$AC$1004,1,MATCH(COLUMNS($U$1006:V1006),$U$1006:$AC$1006,0)))),"Fix")))</f>
        <v>0</v>
      </c>
      <c r="D605" s="3">
        <f>IF(OR(INDEX($O$2:$O$1001,MATCH(ROWS($N$2:N605),$N$2:$N$1001,0),1)&gt;=100000,INDEX($U$1005:$AC$1005,1,MATCH(COLUMNS($U$1006:W1006),$U$1006:$AC$1006,0))&gt;=100000), " ",IF(INDEX($U$2:$AC$1001,MATCH(ROWS($N$2:N605),$N$2:$N$1001,0),MATCH(COLUMNS($U$1006:W1006),$U$1006:$AC$1006,0)), HYPERLINK("#",""), HYPERLINK(CONCATENATE("#metadata!", ADDRESS(INDEX($P$2:$P$1001,MATCH(ROWS($N$2:N605),$N$2:$N$1001,0),0), INDEX($U$1004:$AC$1004,1,MATCH(COLUMNS($U$1006:W1006),$U$1006:$AC$1006,0)))),"Fix")))</f>
        <v>0</v>
      </c>
      <c r="E605" s="3">
        <f>IF(OR(INDEX($O$2:$O$1001,MATCH(ROWS($N$2:N605),$N$2:$N$1001,0),1)&gt;=100000,INDEX($U$1005:$AC$1005,1,MATCH(COLUMNS($U$1006:X1006),$U$1006:$AC$1006,0))&gt;=100000), " ",IF(INDEX($U$2:$AC$1001,MATCH(ROWS($N$2:N605),$N$2:$N$1001,0),MATCH(COLUMNS($U$1006:X1006),$U$1006:$AC$1006,0)), HYPERLINK("#",""), HYPERLINK(CONCATENATE("#metadata!", ADDRESS(INDEX($P$2:$P$1001,MATCH(ROWS($N$2:N605),$N$2:$N$1001,0),0), INDEX($U$1004:$AC$1004,1,MATCH(COLUMNS($U$1006:X1006),$U$1006:$AC$1006,0)))),"Fix")))</f>
        <v>0</v>
      </c>
      <c r="F605" s="3">
        <f>IF(OR(INDEX($O$2:$O$1001,MATCH(ROWS($N$2:N605),$N$2:$N$1001,0),1)&gt;=100000,INDEX($U$1005:$AC$1005,1,MATCH(COLUMNS($U$1006:Y1006),$U$1006:$AC$1006,0))&gt;=100000), " ",IF(INDEX($U$2:$AC$1001,MATCH(ROWS($N$2:N605),$N$2:$N$1001,0),MATCH(COLUMNS($U$1006:Y1006),$U$1006:$AC$1006,0)), HYPERLINK("#",""), HYPERLINK(CONCATENATE("#metadata!", ADDRESS(INDEX($P$2:$P$1001,MATCH(ROWS($N$2:N605),$N$2:$N$1001,0),0), INDEX($U$1004:$AC$1004,1,MATCH(COLUMNS($U$1006:Y1006),$U$1006:$AC$1006,0)))),"Fix")))</f>
        <v>0</v>
      </c>
      <c r="G605" s="3">
        <f>IF(OR(INDEX($O$2:$O$1001,MATCH(ROWS($N$2:N605),$N$2:$N$1001,0),1)&gt;=100000,INDEX($U$1005:$AC$1005,1,MATCH(COLUMNS($U$1006:Z1006),$U$1006:$AC$1006,0))&gt;=100000), " ",IF(INDEX($U$2:$AC$1001,MATCH(ROWS($N$2:N605),$N$2:$N$1001,0),MATCH(COLUMNS($U$1006:Z1006),$U$1006:$AC$1006,0)), HYPERLINK("#",""), HYPERLINK(CONCATENATE("#metadata!", ADDRESS(INDEX($P$2:$P$1001,MATCH(ROWS($N$2:N605),$N$2:$N$1001,0),0), INDEX($U$1004:$AC$1004,1,MATCH(COLUMNS($U$1006:Z1006),$U$1006:$AC$1006,0)))),"Fix")))</f>
        <v>0</v>
      </c>
      <c r="H605" s="3">
        <f>IF(OR(INDEX($O$2:$O$1001,MATCH(ROWS($N$2:N605),$N$2:$N$1001,0),1)&gt;=100000,INDEX($U$1005:$AC$1005,1,MATCH(COLUMNS($U$1006:AA1006),$U$1006:$AC$1006,0))&gt;=100000), " ",IF(INDEX($U$2:$AC$1001,MATCH(ROWS($N$2:N605),$N$2:$N$1001,0),MATCH(COLUMNS($U$1006:AA1006),$U$1006:$AC$1006,0)), HYPERLINK("#",""), HYPERLINK(CONCATENATE("#metadata!", ADDRESS(INDEX($P$2:$P$1001,MATCH(ROWS($N$2:N605),$N$2:$N$1001,0),0), INDEX($U$1004:$AC$1004,1,MATCH(COLUMNS($U$1006:AA1006),$U$1006:$AC$1006,0)))),"Fix")))</f>
        <v>0</v>
      </c>
      <c r="I605" s="3">
        <f>IF(OR(INDEX($O$2:$O$1001,MATCH(ROWS($N$2:N605),$N$2:$N$1001,0),1)&gt;=100000,INDEX($U$1005:$AC$1005,1,MATCH(COLUMNS($U$1006:AB1006),$U$1006:$AC$1006,0))&gt;=100000), " ",IF(INDEX($U$2:$AC$1001,MATCH(ROWS($N$2:N605),$N$2:$N$1001,0),MATCH(COLUMNS($U$1006:AB1006),$U$1006:$AC$1006,0)), HYPERLINK("#",""), HYPERLINK(CONCATENATE("#metadata!", ADDRESS(INDEX($P$2:$P$1001,MATCH(ROWS($N$2:N605),$N$2:$N$1001,0),0), INDEX($U$1004:$AC$1004,1,MATCH(COLUMNS($U$1006:AB1006),$U$1006:$AC$1006,0)))),"Fix")))</f>
        <v>0</v>
      </c>
      <c r="J605" s="3">
        <f>IF(OR(INDEX($O$2:$O$1001,MATCH(ROWS($N$2:N605),$N$2:$N$1001,0),1)&gt;=100000,INDEX($U$1005:$AC$1005,1,MATCH(COLUMNS($U$1006:AC1006),$U$1006:$AC$1006,0))&gt;=100000), " ",IF(INDEX($U$2:$AC$1001,MATCH(ROWS($N$2:N605),$N$2:$N$1001,0),MATCH(COLUMNS($U$1006:AC1006),$U$1006:$AC$1006,0)), HYPERLINK("#",""), HYPERLINK(CONCATENATE("#metadata!", ADDRESS(INDEX($P$2:$P$1001,MATCH(ROWS($N$2:N605),$N$2:$N$1001,0),0), INDEX($U$1004:$AC$1004,1,MATCH(COLUMNS($U$1006:AC1006),$U$1006:$AC$1006,0)))),"Fix")))</f>
        <v>0</v>
      </c>
      <c r="N605">
        <v>0</v>
      </c>
      <c r="O605">
        <v>0</v>
      </c>
      <c r="P605">
        <v>0</v>
      </c>
      <c r="Q605">
        <f>IF(R605,TRUE,AND(U605:AC605))</f>
        <v>0</v>
      </c>
      <c r="R605">
        <f>COUNTBLANK(metadata!B605:J605)=COLUMNS(metadata!B605:J605)</f>
        <v>0</v>
      </c>
      <c r="S605">
        <v>0</v>
      </c>
      <c r="U605">
        <f>AND(IF(metadata!B605="",FALSE,TRUE),COUNTIF(metadata!B:B, metadata!B605) = 1,NOT(ISERROR(SUMPRODUCT(SEARCH(MID(metadata!B605,ROW(INDIRECT("1:"&amp;LEN(metadata!B605))), 1),"0123456789abcdefghijklmnopqrstuvwxyzABCDEFGHIJKLMNOPQRSTUVWXYZ.")))))</f>
        <v>0</v>
      </c>
      <c r="V605">
        <f>AND(IF(metadata!C605="",FALSE,TRUE),exact(metadata!C605,"UBERON:genitourinary"))</f>
        <v>0</v>
      </c>
      <c r="W605">
        <f>AND(IF(metadata!D605="",FALSE,TRUE),exact(metadata!D605,"UBERON:urine"))</f>
        <v>0</v>
      </c>
      <c r="X605">
        <f>AND(IF(metadata!E605="",FALSE,TRUE),exact(metadata!E605,"UBERON:kidney"))</f>
        <v>0</v>
      </c>
      <c r="Y605">
        <f>AND(IF(metadata!F605="",FALSE,TRUE),exact(metadata!F605,"animal corpus"))</f>
        <v>0</v>
      </c>
      <c r="Z605">
        <f>AND(IF(metadata!G605="",FALSE,TRUE),exact(metadata!G605,"urine"))</f>
        <v>0</v>
      </c>
      <c r="AA605">
        <f>AND(IF(metadata!H605="",FALSE,TRUE),exact(metadata!H605,"urine"))</f>
        <v>0</v>
      </c>
      <c r="AB605">
        <f>AND(IF(metadata!I605="",FALSE,TRUE),exact(metadata!I605,"urine metagenome"))</f>
        <v>0</v>
      </c>
      <c r="AC605">
        <f>AND(IF(metadata!J605="",FALSE,TRUE),exact(metadata!J605,"1346744"))</f>
        <v>0</v>
      </c>
    </row>
    <row r="606" spans="1:29">
      <c r="A606" s="4">
        <f>IF(B606=" "," ",HYPERLINK(CONCATENATE("#metadata!",ADDRESS(INDEX($P$2:$P$1001,MATCH(ROWS($N$2:N606),$N$2:$N$1001,0),0),1)),INDEX($S$2:$S$1001,MATCH(ROWS($N$2:N606),$N$2:$N$1001,0),0)))</f>
        <v>0</v>
      </c>
      <c r="B606" s="3">
        <f>IF(OR(INDEX($O$2:$O$1001,MATCH(ROWS($N$2:N606),$N$2:$N$1001,0),1)&gt;=100000,INDEX($U$1005:$AC$1005,1,MATCH(COLUMNS($U$1006:U1006),$U$1006:$AC$1006,0))&gt;=100000), " ",IF(INDEX($U$2:$AC$1001,MATCH(ROWS($N$2:N606),$N$2:$N$1001,0),MATCH(COLUMNS($U$1006:U1006),$U$1006:$AC$1006,0)), HYPERLINK("#",""), HYPERLINK(CONCATENATE("#metadata!", ADDRESS(INDEX($P$2:$P$1001,MATCH(ROWS($N$2:N606),$N$2:$N$1001,0),0), INDEX($U$1004:$AC$1004,1,MATCH(COLUMNS($U$1006:U1006),$U$1006:$AC$1006,0)))),"Fix")))</f>
        <v>0</v>
      </c>
      <c r="C606" s="3">
        <f>IF(OR(INDEX($O$2:$O$1001,MATCH(ROWS($N$2:N606),$N$2:$N$1001,0),1)&gt;=100000,INDEX($U$1005:$AC$1005,1,MATCH(COLUMNS($U$1006:V1006),$U$1006:$AC$1006,0))&gt;=100000), " ",IF(INDEX($U$2:$AC$1001,MATCH(ROWS($N$2:N606),$N$2:$N$1001,0),MATCH(COLUMNS($U$1006:V1006),$U$1006:$AC$1006,0)), HYPERLINK("#",""), HYPERLINK(CONCATENATE("#metadata!", ADDRESS(INDEX($P$2:$P$1001,MATCH(ROWS($N$2:N606),$N$2:$N$1001,0),0), INDEX($U$1004:$AC$1004,1,MATCH(COLUMNS($U$1006:V1006),$U$1006:$AC$1006,0)))),"Fix")))</f>
        <v>0</v>
      </c>
      <c r="D606" s="3">
        <f>IF(OR(INDEX($O$2:$O$1001,MATCH(ROWS($N$2:N606),$N$2:$N$1001,0),1)&gt;=100000,INDEX($U$1005:$AC$1005,1,MATCH(COLUMNS($U$1006:W1006),$U$1006:$AC$1006,0))&gt;=100000), " ",IF(INDEX($U$2:$AC$1001,MATCH(ROWS($N$2:N606),$N$2:$N$1001,0),MATCH(COLUMNS($U$1006:W1006),$U$1006:$AC$1006,0)), HYPERLINK("#",""), HYPERLINK(CONCATENATE("#metadata!", ADDRESS(INDEX($P$2:$P$1001,MATCH(ROWS($N$2:N606),$N$2:$N$1001,0),0), INDEX($U$1004:$AC$1004,1,MATCH(COLUMNS($U$1006:W1006),$U$1006:$AC$1006,0)))),"Fix")))</f>
        <v>0</v>
      </c>
      <c r="E606" s="3">
        <f>IF(OR(INDEX($O$2:$O$1001,MATCH(ROWS($N$2:N606),$N$2:$N$1001,0),1)&gt;=100000,INDEX($U$1005:$AC$1005,1,MATCH(COLUMNS($U$1006:X1006),$U$1006:$AC$1006,0))&gt;=100000), " ",IF(INDEX($U$2:$AC$1001,MATCH(ROWS($N$2:N606),$N$2:$N$1001,0),MATCH(COLUMNS($U$1006:X1006),$U$1006:$AC$1006,0)), HYPERLINK("#",""), HYPERLINK(CONCATENATE("#metadata!", ADDRESS(INDEX($P$2:$P$1001,MATCH(ROWS($N$2:N606),$N$2:$N$1001,0),0), INDEX($U$1004:$AC$1004,1,MATCH(COLUMNS($U$1006:X1006),$U$1006:$AC$1006,0)))),"Fix")))</f>
        <v>0</v>
      </c>
      <c r="F606" s="3">
        <f>IF(OR(INDEX($O$2:$O$1001,MATCH(ROWS($N$2:N606),$N$2:$N$1001,0),1)&gt;=100000,INDEX($U$1005:$AC$1005,1,MATCH(COLUMNS($U$1006:Y1006),$U$1006:$AC$1006,0))&gt;=100000), " ",IF(INDEX($U$2:$AC$1001,MATCH(ROWS($N$2:N606),$N$2:$N$1001,0),MATCH(COLUMNS($U$1006:Y1006),$U$1006:$AC$1006,0)), HYPERLINK("#",""), HYPERLINK(CONCATENATE("#metadata!", ADDRESS(INDEX($P$2:$P$1001,MATCH(ROWS($N$2:N606),$N$2:$N$1001,0),0), INDEX($U$1004:$AC$1004,1,MATCH(COLUMNS($U$1006:Y1006),$U$1006:$AC$1006,0)))),"Fix")))</f>
        <v>0</v>
      </c>
      <c r="G606" s="3">
        <f>IF(OR(INDEX($O$2:$O$1001,MATCH(ROWS($N$2:N606),$N$2:$N$1001,0),1)&gt;=100000,INDEX($U$1005:$AC$1005,1,MATCH(COLUMNS($U$1006:Z1006),$U$1006:$AC$1006,0))&gt;=100000), " ",IF(INDEX($U$2:$AC$1001,MATCH(ROWS($N$2:N606),$N$2:$N$1001,0),MATCH(COLUMNS($U$1006:Z1006),$U$1006:$AC$1006,0)), HYPERLINK("#",""), HYPERLINK(CONCATENATE("#metadata!", ADDRESS(INDEX($P$2:$P$1001,MATCH(ROWS($N$2:N606),$N$2:$N$1001,0),0), INDEX($U$1004:$AC$1004,1,MATCH(COLUMNS($U$1006:Z1006),$U$1006:$AC$1006,0)))),"Fix")))</f>
        <v>0</v>
      </c>
      <c r="H606" s="3">
        <f>IF(OR(INDEX($O$2:$O$1001,MATCH(ROWS($N$2:N606),$N$2:$N$1001,0),1)&gt;=100000,INDEX($U$1005:$AC$1005,1,MATCH(COLUMNS($U$1006:AA1006),$U$1006:$AC$1006,0))&gt;=100000), " ",IF(INDEX($U$2:$AC$1001,MATCH(ROWS($N$2:N606),$N$2:$N$1001,0),MATCH(COLUMNS($U$1006:AA1006),$U$1006:$AC$1006,0)), HYPERLINK("#",""), HYPERLINK(CONCATENATE("#metadata!", ADDRESS(INDEX($P$2:$P$1001,MATCH(ROWS($N$2:N606),$N$2:$N$1001,0),0), INDEX($U$1004:$AC$1004,1,MATCH(COLUMNS($U$1006:AA1006),$U$1006:$AC$1006,0)))),"Fix")))</f>
        <v>0</v>
      </c>
      <c r="I606" s="3">
        <f>IF(OR(INDEX($O$2:$O$1001,MATCH(ROWS($N$2:N606),$N$2:$N$1001,0),1)&gt;=100000,INDEX($U$1005:$AC$1005,1,MATCH(COLUMNS($U$1006:AB1006),$U$1006:$AC$1006,0))&gt;=100000), " ",IF(INDEX($U$2:$AC$1001,MATCH(ROWS($N$2:N606),$N$2:$N$1001,0),MATCH(COLUMNS($U$1006:AB1006),$U$1006:$AC$1006,0)), HYPERLINK("#",""), HYPERLINK(CONCATENATE("#metadata!", ADDRESS(INDEX($P$2:$P$1001,MATCH(ROWS($N$2:N606),$N$2:$N$1001,0),0), INDEX($U$1004:$AC$1004,1,MATCH(COLUMNS($U$1006:AB1006),$U$1006:$AC$1006,0)))),"Fix")))</f>
        <v>0</v>
      </c>
      <c r="J606" s="3">
        <f>IF(OR(INDEX($O$2:$O$1001,MATCH(ROWS($N$2:N606),$N$2:$N$1001,0),1)&gt;=100000,INDEX($U$1005:$AC$1005,1,MATCH(COLUMNS($U$1006:AC1006),$U$1006:$AC$1006,0))&gt;=100000), " ",IF(INDEX($U$2:$AC$1001,MATCH(ROWS($N$2:N606),$N$2:$N$1001,0),MATCH(COLUMNS($U$1006:AC1006),$U$1006:$AC$1006,0)), HYPERLINK("#",""), HYPERLINK(CONCATENATE("#metadata!", ADDRESS(INDEX($P$2:$P$1001,MATCH(ROWS($N$2:N606),$N$2:$N$1001,0),0), INDEX($U$1004:$AC$1004,1,MATCH(COLUMNS($U$1006:AC1006),$U$1006:$AC$1006,0)))),"Fix")))</f>
        <v>0</v>
      </c>
      <c r="N606">
        <v>0</v>
      </c>
      <c r="O606">
        <v>0</v>
      </c>
      <c r="P606">
        <v>0</v>
      </c>
      <c r="Q606">
        <f>IF(R606,TRUE,AND(U606:AC606))</f>
        <v>0</v>
      </c>
      <c r="R606">
        <f>COUNTBLANK(metadata!B606:J606)=COLUMNS(metadata!B606:J606)</f>
        <v>0</v>
      </c>
      <c r="S606">
        <v>0</v>
      </c>
      <c r="U606">
        <f>AND(IF(metadata!B606="",FALSE,TRUE),COUNTIF(metadata!B:B, metadata!B606) = 1,NOT(ISERROR(SUMPRODUCT(SEARCH(MID(metadata!B606,ROW(INDIRECT("1:"&amp;LEN(metadata!B606))), 1),"0123456789abcdefghijklmnopqrstuvwxyzABCDEFGHIJKLMNOPQRSTUVWXYZ.")))))</f>
        <v>0</v>
      </c>
      <c r="V606">
        <f>AND(IF(metadata!C606="",FALSE,TRUE),exact(metadata!C606,"UBERON:genitourinary"))</f>
        <v>0</v>
      </c>
      <c r="W606">
        <f>AND(IF(metadata!D606="",FALSE,TRUE),exact(metadata!D606,"UBERON:urine"))</f>
        <v>0</v>
      </c>
      <c r="X606">
        <f>AND(IF(metadata!E606="",FALSE,TRUE),exact(metadata!E606,"UBERON:kidney"))</f>
        <v>0</v>
      </c>
      <c r="Y606">
        <f>AND(IF(metadata!F606="",FALSE,TRUE),exact(metadata!F606,"animal corpus"))</f>
        <v>0</v>
      </c>
      <c r="Z606">
        <f>AND(IF(metadata!G606="",FALSE,TRUE),exact(metadata!G606,"urine"))</f>
        <v>0</v>
      </c>
      <c r="AA606">
        <f>AND(IF(metadata!H606="",FALSE,TRUE),exact(metadata!H606,"urine"))</f>
        <v>0</v>
      </c>
      <c r="AB606">
        <f>AND(IF(metadata!I606="",FALSE,TRUE),exact(metadata!I606,"urine metagenome"))</f>
        <v>0</v>
      </c>
      <c r="AC606">
        <f>AND(IF(metadata!J606="",FALSE,TRUE),exact(metadata!J606,"1346744"))</f>
        <v>0</v>
      </c>
    </row>
    <row r="607" spans="1:29">
      <c r="A607" s="4">
        <f>IF(B607=" "," ",HYPERLINK(CONCATENATE("#metadata!",ADDRESS(INDEX($P$2:$P$1001,MATCH(ROWS($N$2:N607),$N$2:$N$1001,0),0),1)),INDEX($S$2:$S$1001,MATCH(ROWS($N$2:N607),$N$2:$N$1001,0),0)))</f>
        <v>0</v>
      </c>
      <c r="B607" s="3">
        <f>IF(OR(INDEX($O$2:$O$1001,MATCH(ROWS($N$2:N607),$N$2:$N$1001,0),1)&gt;=100000,INDEX($U$1005:$AC$1005,1,MATCH(COLUMNS($U$1006:U1006),$U$1006:$AC$1006,0))&gt;=100000), " ",IF(INDEX($U$2:$AC$1001,MATCH(ROWS($N$2:N607),$N$2:$N$1001,0),MATCH(COLUMNS($U$1006:U1006),$U$1006:$AC$1006,0)), HYPERLINK("#",""), HYPERLINK(CONCATENATE("#metadata!", ADDRESS(INDEX($P$2:$P$1001,MATCH(ROWS($N$2:N607),$N$2:$N$1001,0),0), INDEX($U$1004:$AC$1004,1,MATCH(COLUMNS($U$1006:U1006),$U$1006:$AC$1006,0)))),"Fix")))</f>
        <v>0</v>
      </c>
      <c r="C607" s="3">
        <f>IF(OR(INDEX($O$2:$O$1001,MATCH(ROWS($N$2:N607),$N$2:$N$1001,0),1)&gt;=100000,INDEX($U$1005:$AC$1005,1,MATCH(COLUMNS($U$1006:V1006),$U$1006:$AC$1006,0))&gt;=100000), " ",IF(INDEX($U$2:$AC$1001,MATCH(ROWS($N$2:N607),$N$2:$N$1001,0),MATCH(COLUMNS($U$1006:V1006),$U$1006:$AC$1006,0)), HYPERLINK("#",""), HYPERLINK(CONCATENATE("#metadata!", ADDRESS(INDEX($P$2:$P$1001,MATCH(ROWS($N$2:N607),$N$2:$N$1001,0),0), INDEX($U$1004:$AC$1004,1,MATCH(COLUMNS($U$1006:V1006),$U$1006:$AC$1006,0)))),"Fix")))</f>
        <v>0</v>
      </c>
      <c r="D607" s="3">
        <f>IF(OR(INDEX($O$2:$O$1001,MATCH(ROWS($N$2:N607),$N$2:$N$1001,0),1)&gt;=100000,INDEX($U$1005:$AC$1005,1,MATCH(COLUMNS($U$1006:W1006),$U$1006:$AC$1006,0))&gt;=100000), " ",IF(INDEX($U$2:$AC$1001,MATCH(ROWS($N$2:N607),$N$2:$N$1001,0),MATCH(COLUMNS($U$1006:W1006),$U$1006:$AC$1006,0)), HYPERLINK("#",""), HYPERLINK(CONCATENATE("#metadata!", ADDRESS(INDEX($P$2:$P$1001,MATCH(ROWS($N$2:N607),$N$2:$N$1001,0),0), INDEX($U$1004:$AC$1004,1,MATCH(COLUMNS($U$1006:W1006),$U$1006:$AC$1006,0)))),"Fix")))</f>
        <v>0</v>
      </c>
      <c r="E607" s="3">
        <f>IF(OR(INDEX($O$2:$O$1001,MATCH(ROWS($N$2:N607),$N$2:$N$1001,0),1)&gt;=100000,INDEX($U$1005:$AC$1005,1,MATCH(COLUMNS($U$1006:X1006),$U$1006:$AC$1006,0))&gt;=100000), " ",IF(INDEX($U$2:$AC$1001,MATCH(ROWS($N$2:N607),$N$2:$N$1001,0),MATCH(COLUMNS($U$1006:X1006),$U$1006:$AC$1006,0)), HYPERLINK("#",""), HYPERLINK(CONCATENATE("#metadata!", ADDRESS(INDEX($P$2:$P$1001,MATCH(ROWS($N$2:N607),$N$2:$N$1001,0),0), INDEX($U$1004:$AC$1004,1,MATCH(COLUMNS($U$1006:X1006),$U$1006:$AC$1006,0)))),"Fix")))</f>
        <v>0</v>
      </c>
      <c r="F607" s="3">
        <f>IF(OR(INDEX($O$2:$O$1001,MATCH(ROWS($N$2:N607),$N$2:$N$1001,0),1)&gt;=100000,INDEX($U$1005:$AC$1005,1,MATCH(COLUMNS($U$1006:Y1006),$U$1006:$AC$1006,0))&gt;=100000), " ",IF(INDEX($U$2:$AC$1001,MATCH(ROWS($N$2:N607),$N$2:$N$1001,0),MATCH(COLUMNS($U$1006:Y1006),$U$1006:$AC$1006,0)), HYPERLINK("#",""), HYPERLINK(CONCATENATE("#metadata!", ADDRESS(INDEX($P$2:$P$1001,MATCH(ROWS($N$2:N607),$N$2:$N$1001,0),0), INDEX($U$1004:$AC$1004,1,MATCH(COLUMNS($U$1006:Y1006),$U$1006:$AC$1006,0)))),"Fix")))</f>
        <v>0</v>
      </c>
      <c r="G607" s="3">
        <f>IF(OR(INDEX($O$2:$O$1001,MATCH(ROWS($N$2:N607),$N$2:$N$1001,0),1)&gt;=100000,INDEX($U$1005:$AC$1005,1,MATCH(COLUMNS($U$1006:Z1006),$U$1006:$AC$1006,0))&gt;=100000), " ",IF(INDEX($U$2:$AC$1001,MATCH(ROWS($N$2:N607),$N$2:$N$1001,0),MATCH(COLUMNS($U$1006:Z1006),$U$1006:$AC$1006,0)), HYPERLINK("#",""), HYPERLINK(CONCATENATE("#metadata!", ADDRESS(INDEX($P$2:$P$1001,MATCH(ROWS($N$2:N607),$N$2:$N$1001,0),0), INDEX($U$1004:$AC$1004,1,MATCH(COLUMNS($U$1006:Z1006),$U$1006:$AC$1006,0)))),"Fix")))</f>
        <v>0</v>
      </c>
      <c r="H607" s="3">
        <f>IF(OR(INDEX($O$2:$O$1001,MATCH(ROWS($N$2:N607),$N$2:$N$1001,0),1)&gt;=100000,INDEX($U$1005:$AC$1005,1,MATCH(COLUMNS($U$1006:AA1006),$U$1006:$AC$1006,0))&gt;=100000), " ",IF(INDEX($U$2:$AC$1001,MATCH(ROWS($N$2:N607),$N$2:$N$1001,0),MATCH(COLUMNS($U$1006:AA1006),$U$1006:$AC$1006,0)), HYPERLINK("#",""), HYPERLINK(CONCATENATE("#metadata!", ADDRESS(INDEX($P$2:$P$1001,MATCH(ROWS($N$2:N607),$N$2:$N$1001,0),0), INDEX($U$1004:$AC$1004,1,MATCH(COLUMNS($U$1006:AA1006),$U$1006:$AC$1006,0)))),"Fix")))</f>
        <v>0</v>
      </c>
      <c r="I607" s="3">
        <f>IF(OR(INDEX($O$2:$O$1001,MATCH(ROWS($N$2:N607),$N$2:$N$1001,0),1)&gt;=100000,INDEX($U$1005:$AC$1005,1,MATCH(COLUMNS($U$1006:AB1006),$U$1006:$AC$1006,0))&gt;=100000), " ",IF(INDEX($U$2:$AC$1001,MATCH(ROWS($N$2:N607),$N$2:$N$1001,0),MATCH(COLUMNS($U$1006:AB1006),$U$1006:$AC$1006,0)), HYPERLINK("#",""), HYPERLINK(CONCATENATE("#metadata!", ADDRESS(INDEX($P$2:$P$1001,MATCH(ROWS($N$2:N607),$N$2:$N$1001,0),0), INDEX($U$1004:$AC$1004,1,MATCH(COLUMNS($U$1006:AB1006),$U$1006:$AC$1006,0)))),"Fix")))</f>
        <v>0</v>
      </c>
      <c r="J607" s="3">
        <f>IF(OR(INDEX($O$2:$O$1001,MATCH(ROWS($N$2:N607),$N$2:$N$1001,0),1)&gt;=100000,INDEX($U$1005:$AC$1005,1,MATCH(COLUMNS($U$1006:AC1006),$U$1006:$AC$1006,0))&gt;=100000), " ",IF(INDEX($U$2:$AC$1001,MATCH(ROWS($N$2:N607),$N$2:$N$1001,0),MATCH(COLUMNS($U$1006:AC1006),$U$1006:$AC$1006,0)), HYPERLINK("#",""), HYPERLINK(CONCATENATE("#metadata!", ADDRESS(INDEX($P$2:$P$1001,MATCH(ROWS($N$2:N607),$N$2:$N$1001,0),0), INDEX($U$1004:$AC$1004,1,MATCH(COLUMNS($U$1006:AC1006),$U$1006:$AC$1006,0)))),"Fix")))</f>
        <v>0</v>
      </c>
      <c r="N607">
        <v>0</v>
      </c>
      <c r="O607">
        <v>0</v>
      </c>
      <c r="P607">
        <v>0</v>
      </c>
      <c r="Q607">
        <f>IF(R607,TRUE,AND(U607:AC607))</f>
        <v>0</v>
      </c>
      <c r="R607">
        <f>COUNTBLANK(metadata!B607:J607)=COLUMNS(metadata!B607:J607)</f>
        <v>0</v>
      </c>
      <c r="S607">
        <v>0</v>
      </c>
      <c r="U607">
        <f>AND(IF(metadata!B607="",FALSE,TRUE),COUNTIF(metadata!B:B, metadata!B607) = 1,NOT(ISERROR(SUMPRODUCT(SEARCH(MID(metadata!B607,ROW(INDIRECT("1:"&amp;LEN(metadata!B607))), 1),"0123456789abcdefghijklmnopqrstuvwxyzABCDEFGHIJKLMNOPQRSTUVWXYZ.")))))</f>
        <v>0</v>
      </c>
      <c r="V607">
        <f>AND(IF(metadata!C607="",FALSE,TRUE),exact(metadata!C607,"UBERON:genitourinary"))</f>
        <v>0</v>
      </c>
      <c r="W607">
        <f>AND(IF(metadata!D607="",FALSE,TRUE),exact(metadata!D607,"UBERON:urine"))</f>
        <v>0</v>
      </c>
      <c r="X607">
        <f>AND(IF(metadata!E607="",FALSE,TRUE),exact(metadata!E607,"UBERON:kidney"))</f>
        <v>0</v>
      </c>
      <c r="Y607">
        <f>AND(IF(metadata!F607="",FALSE,TRUE),exact(metadata!F607,"animal corpus"))</f>
        <v>0</v>
      </c>
      <c r="Z607">
        <f>AND(IF(metadata!G607="",FALSE,TRUE),exact(metadata!G607,"urine"))</f>
        <v>0</v>
      </c>
      <c r="AA607">
        <f>AND(IF(metadata!H607="",FALSE,TRUE),exact(metadata!H607,"urine"))</f>
        <v>0</v>
      </c>
      <c r="AB607">
        <f>AND(IF(metadata!I607="",FALSE,TRUE),exact(metadata!I607,"urine metagenome"))</f>
        <v>0</v>
      </c>
      <c r="AC607">
        <f>AND(IF(metadata!J607="",FALSE,TRUE),exact(metadata!J607,"1346744"))</f>
        <v>0</v>
      </c>
    </row>
    <row r="608" spans="1:29">
      <c r="A608" s="4">
        <f>IF(B608=" "," ",HYPERLINK(CONCATENATE("#metadata!",ADDRESS(INDEX($P$2:$P$1001,MATCH(ROWS($N$2:N608),$N$2:$N$1001,0),0),1)),INDEX($S$2:$S$1001,MATCH(ROWS($N$2:N608),$N$2:$N$1001,0),0)))</f>
        <v>0</v>
      </c>
      <c r="B608" s="3">
        <f>IF(OR(INDEX($O$2:$O$1001,MATCH(ROWS($N$2:N608),$N$2:$N$1001,0),1)&gt;=100000,INDEX($U$1005:$AC$1005,1,MATCH(COLUMNS($U$1006:U1006),$U$1006:$AC$1006,0))&gt;=100000), " ",IF(INDEX($U$2:$AC$1001,MATCH(ROWS($N$2:N608),$N$2:$N$1001,0),MATCH(COLUMNS($U$1006:U1006),$U$1006:$AC$1006,0)), HYPERLINK("#",""), HYPERLINK(CONCATENATE("#metadata!", ADDRESS(INDEX($P$2:$P$1001,MATCH(ROWS($N$2:N608),$N$2:$N$1001,0),0), INDEX($U$1004:$AC$1004,1,MATCH(COLUMNS($U$1006:U1006),$U$1006:$AC$1006,0)))),"Fix")))</f>
        <v>0</v>
      </c>
      <c r="C608" s="3">
        <f>IF(OR(INDEX($O$2:$O$1001,MATCH(ROWS($N$2:N608),$N$2:$N$1001,0),1)&gt;=100000,INDEX($U$1005:$AC$1005,1,MATCH(COLUMNS($U$1006:V1006),$U$1006:$AC$1006,0))&gt;=100000), " ",IF(INDEX($U$2:$AC$1001,MATCH(ROWS($N$2:N608),$N$2:$N$1001,0),MATCH(COLUMNS($U$1006:V1006),$U$1006:$AC$1006,0)), HYPERLINK("#",""), HYPERLINK(CONCATENATE("#metadata!", ADDRESS(INDEX($P$2:$P$1001,MATCH(ROWS($N$2:N608),$N$2:$N$1001,0),0), INDEX($U$1004:$AC$1004,1,MATCH(COLUMNS($U$1006:V1006),$U$1006:$AC$1006,0)))),"Fix")))</f>
        <v>0</v>
      </c>
      <c r="D608" s="3">
        <f>IF(OR(INDEX($O$2:$O$1001,MATCH(ROWS($N$2:N608),$N$2:$N$1001,0),1)&gt;=100000,INDEX($U$1005:$AC$1005,1,MATCH(COLUMNS($U$1006:W1006),$U$1006:$AC$1006,0))&gt;=100000), " ",IF(INDEX($U$2:$AC$1001,MATCH(ROWS($N$2:N608),$N$2:$N$1001,0),MATCH(COLUMNS($U$1006:W1006),$U$1006:$AC$1006,0)), HYPERLINK("#",""), HYPERLINK(CONCATENATE("#metadata!", ADDRESS(INDEX($P$2:$P$1001,MATCH(ROWS($N$2:N608),$N$2:$N$1001,0),0), INDEX($U$1004:$AC$1004,1,MATCH(COLUMNS($U$1006:W1006),$U$1006:$AC$1006,0)))),"Fix")))</f>
        <v>0</v>
      </c>
      <c r="E608" s="3">
        <f>IF(OR(INDEX($O$2:$O$1001,MATCH(ROWS($N$2:N608),$N$2:$N$1001,0),1)&gt;=100000,INDEX($U$1005:$AC$1005,1,MATCH(COLUMNS($U$1006:X1006),$U$1006:$AC$1006,0))&gt;=100000), " ",IF(INDEX($U$2:$AC$1001,MATCH(ROWS($N$2:N608),$N$2:$N$1001,0),MATCH(COLUMNS($U$1006:X1006),$U$1006:$AC$1006,0)), HYPERLINK("#",""), HYPERLINK(CONCATENATE("#metadata!", ADDRESS(INDEX($P$2:$P$1001,MATCH(ROWS($N$2:N608),$N$2:$N$1001,0),0), INDEX($U$1004:$AC$1004,1,MATCH(COLUMNS($U$1006:X1006),$U$1006:$AC$1006,0)))),"Fix")))</f>
        <v>0</v>
      </c>
      <c r="F608" s="3">
        <f>IF(OR(INDEX($O$2:$O$1001,MATCH(ROWS($N$2:N608),$N$2:$N$1001,0),1)&gt;=100000,INDEX($U$1005:$AC$1005,1,MATCH(COLUMNS($U$1006:Y1006),$U$1006:$AC$1006,0))&gt;=100000), " ",IF(INDEX($U$2:$AC$1001,MATCH(ROWS($N$2:N608),$N$2:$N$1001,0),MATCH(COLUMNS($U$1006:Y1006),$U$1006:$AC$1006,0)), HYPERLINK("#",""), HYPERLINK(CONCATENATE("#metadata!", ADDRESS(INDEX($P$2:$P$1001,MATCH(ROWS($N$2:N608),$N$2:$N$1001,0),0), INDEX($U$1004:$AC$1004,1,MATCH(COLUMNS($U$1006:Y1006),$U$1006:$AC$1006,0)))),"Fix")))</f>
        <v>0</v>
      </c>
      <c r="G608" s="3">
        <f>IF(OR(INDEX($O$2:$O$1001,MATCH(ROWS($N$2:N608),$N$2:$N$1001,0),1)&gt;=100000,INDEX($U$1005:$AC$1005,1,MATCH(COLUMNS($U$1006:Z1006),$U$1006:$AC$1006,0))&gt;=100000), " ",IF(INDEX($U$2:$AC$1001,MATCH(ROWS($N$2:N608),$N$2:$N$1001,0),MATCH(COLUMNS($U$1006:Z1006),$U$1006:$AC$1006,0)), HYPERLINK("#",""), HYPERLINK(CONCATENATE("#metadata!", ADDRESS(INDEX($P$2:$P$1001,MATCH(ROWS($N$2:N608),$N$2:$N$1001,0),0), INDEX($U$1004:$AC$1004,1,MATCH(COLUMNS($U$1006:Z1006),$U$1006:$AC$1006,0)))),"Fix")))</f>
        <v>0</v>
      </c>
      <c r="H608" s="3">
        <f>IF(OR(INDEX($O$2:$O$1001,MATCH(ROWS($N$2:N608),$N$2:$N$1001,0),1)&gt;=100000,INDEX($U$1005:$AC$1005,1,MATCH(COLUMNS($U$1006:AA1006),$U$1006:$AC$1006,0))&gt;=100000), " ",IF(INDEX($U$2:$AC$1001,MATCH(ROWS($N$2:N608),$N$2:$N$1001,0),MATCH(COLUMNS($U$1006:AA1006),$U$1006:$AC$1006,0)), HYPERLINK("#",""), HYPERLINK(CONCATENATE("#metadata!", ADDRESS(INDEX($P$2:$P$1001,MATCH(ROWS($N$2:N608),$N$2:$N$1001,0),0), INDEX($U$1004:$AC$1004,1,MATCH(COLUMNS($U$1006:AA1006),$U$1006:$AC$1006,0)))),"Fix")))</f>
        <v>0</v>
      </c>
      <c r="I608" s="3">
        <f>IF(OR(INDEX($O$2:$O$1001,MATCH(ROWS($N$2:N608),$N$2:$N$1001,0),1)&gt;=100000,INDEX($U$1005:$AC$1005,1,MATCH(COLUMNS($U$1006:AB1006),$U$1006:$AC$1006,0))&gt;=100000), " ",IF(INDEX($U$2:$AC$1001,MATCH(ROWS($N$2:N608),$N$2:$N$1001,0),MATCH(COLUMNS($U$1006:AB1006),$U$1006:$AC$1006,0)), HYPERLINK("#",""), HYPERLINK(CONCATENATE("#metadata!", ADDRESS(INDEX($P$2:$P$1001,MATCH(ROWS($N$2:N608),$N$2:$N$1001,0),0), INDEX($U$1004:$AC$1004,1,MATCH(COLUMNS($U$1006:AB1006),$U$1006:$AC$1006,0)))),"Fix")))</f>
        <v>0</v>
      </c>
      <c r="J608" s="3">
        <f>IF(OR(INDEX($O$2:$O$1001,MATCH(ROWS($N$2:N608),$N$2:$N$1001,0),1)&gt;=100000,INDEX($U$1005:$AC$1005,1,MATCH(COLUMNS($U$1006:AC1006),$U$1006:$AC$1006,0))&gt;=100000), " ",IF(INDEX($U$2:$AC$1001,MATCH(ROWS($N$2:N608),$N$2:$N$1001,0),MATCH(COLUMNS($U$1006:AC1006),$U$1006:$AC$1006,0)), HYPERLINK("#",""), HYPERLINK(CONCATENATE("#metadata!", ADDRESS(INDEX($P$2:$P$1001,MATCH(ROWS($N$2:N608),$N$2:$N$1001,0),0), INDEX($U$1004:$AC$1004,1,MATCH(COLUMNS($U$1006:AC1006),$U$1006:$AC$1006,0)))),"Fix")))</f>
        <v>0</v>
      </c>
      <c r="N608">
        <v>0</v>
      </c>
      <c r="O608">
        <v>0</v>
      </c>
      <c r="P608">
        <v>0</v>
      </c>
      <c r="Q608">
        <f>IF(R608,TRUE,AND(U608:AC608))</f>
        <v>0</v>
      </c>
      <c r="R608">
        <f>COUNTBLANK(metadata!B608:J608)=COLUMNS(metadata!B608:J608)</f>
        <v>0</v>
      </c>
      <c r="S608">
        <v>0</v>
      </c>
      <c r="U608">
        <f>AND(IF(metadata!B608="",FALSE,TRUE),COUNTIF(metadata!B:B, metadata!B608) = 1,NOT(ISERROR(SUMPRODUCT(SEARCH(MID(metadata!B608,ROW(INDIRECT("1:"&amp;LEN(metadata!B608))), 1),"0123456789abcdefghijklmnopqrstuvwxyzABCDEFGHIJKLMNOPQRSTUVWXYZ.")))))</f>
        <v>0</v>
      </c>
      <c r="V608">
        <f>AND(IF(metadata!C608="",FALSE,TRUE),exact(metadata!C608,"UBERON:genitourinary"))</f>
        <v>0</v>
      </c>
      <c r="W608">
        <f>AND(IF(metadata!D608="",FALSE,TRUE),exact(metadata!D608,"UBERON:urine"))</f>
        <v>0</v>
      </c>
      <c r="X608">
        <f>AND(IF(metadata!E608="",FALSE,TRUE),exact(metadata!E608,"UBERON:kidney"))</f>
        <v>0</v>
      </c>
      <c r="Y608">
        <f>AND(IF(metadata!F608="",FALSE,TRUE),exact(metadata!F608,"animal corpus"))</f>
        <v>0</v>
      </c>
      <c r="Z608">
        <f>AND(IF(metadata!G608="",FALSE,TRUE),exact(metadata!G608,"urine"))</f>
        <v>0</v>
      </c>
      <c r="AA608">
        <f>AND(IF(metadata!H608="",FALSE,TRUE),exact(metadata!H608,"urine"))</f>
        <v>0</v>
      </c>
      <c r="AB608">
        <f>AND(IF(metadata!I608="",FALSE,TRUE),exact(metadata!I608,"urine metagenome"))</f>
        <v>0</v>
      </c>
      <c r="AC608">
        <f>AND(IF(metadata!J608="",FALSE,TRUE),exact(metadata!J608,"1346744"))</f>
        <v>0</v>
      </c>
    </row>
    <row r="609" spans="1:29">
      <c r="A609" s="4">
        <f>IF(B609=" "," ",HYPERLINK(CONCATENATE("#metadata!",ADDRESS(INDEX($P$2:$P$1001,MATCH(ROWS($N$2:N609),$N$2:$N$1001,0),0),1)),INDEX($S$2:$S$1001,MATCH(ROWS($N$2:N609),$N$2:$N$1001,0),0)))</f>
        <v>0</v>
      </c>
      <c r="B609" s="3">
        <f>IF(OR(INDEX($O$2:$O$1001,MATCH(ROWS($N$2:N609),$N$2:$N$1001,0),1)&gt;=100000,INDEX($U$1005:$AC$1005,1,MATCH(COLUMNS($U$1006:U1006),$U$1006:$AC$1006,0))&gt;=100000), " ",IF(INDEX($U$2:$AC$1001,MATCH(ROWS($N$2:N609),$N$2:$N$1001,0),MATCH(COLUMNS($U$1006:U1006),$U$1006:$AC$1006,0)), HYPERLINK("#",""), HYPERLINK(CONCATENATE("#metadata!", ADDRESS(INDEX($P$2:$P$1001,MATCH(ROWS($N$2:N609),$N$2:$N$1001,0),0), INDEX($U$1004:$AC$1004,1,MATCH(COLUMNS($U$1006:U1006),$U$1006:$AC$1006,0)))),"Fix")))</f>
        <v>0</v>
      </c>
      <c r="C609" s="3">
        <f>IF(OR(INDEX($O$2:$O$1001,MATCH(ROWS($N$2:N609),$N$2:$N$1001,0),1)&gt;=100000,INDEX($U$1005:$AC$1005,1,MATCH(COLUMNS($U$1006:V1006),$U$1006:$AC$1006,0))&gt;=100000), " ",IF(INDEX($U$2:$AC$1001,MATCH(ROWS($N$2:N609),$N$2:$N$1001,0),MATCH(COLUMNS($U$1006:V1006),$U$1006:$AC$1006,0)), HYPERLINK("#",""), HYPERLINK(CONCATENATE("#metadata!", ADDRESS(INDEX($P$2:$P$1001,MATCH(ROWS($N$2:N609),$N$2:$N$1001,0),0), INDEX($U$1004:$AC$1004,1,MATCH(COLUMNS($U$1006:V1006),$U$1006:$AC$1006,0)))),"Fix")))</f>
        <v>0</v>
      </c>
      <c r="D609" s="3">
        <f>IF(OR(INDEX($O$2:$O$1001,MATCH(ROWS($N$2:N609),$N$2:$N$1001,0),1)&gt;=100000,INDEX($U$1005:$AC$1005,1,MATCH(COLUMNS($U$1006:W1006),$U$1006:$AC$1006,0))&gt;=100000), " ",IF(INDEX($U$2:$AC$1001,MATCH(ROWS($N$2:N609),$N$2:$N$1001,0),MATCH(COLUMNS($U$1006:W1006),$U$1006:$AC$1006,0)), HYPERLINK("#",""), HYPERLINK(CONCATENATE("#metadata!", ADDRESS(INDEX($P$2:$P$1001,MATCH(ROWS($N$2:N609),$N$2:$N$1001,0),0), INDEX($U$1004:$AC$1004,1,MATCH(COLUMNS($U$1006:W1006),$U$1006:$AC$1006,0)))),"Fix")))</f>
        <v>0</v>
      </c>
      <c r="E609" s="3">
        <f>IF(OR(INDEX($O$2:$O$1001,MATCH(ROWS($N$2:N609),$N$2:$N$1001,0),1)&gt;=100000,INDEX($U$1005:$AC$1005,1,MATCH(COLUMNS($U$1006:X1006),$U$1006:$AC$1006,0))&gt;=100000), " ",IF(INDEX($U$2:$AC$1001,MATCH(ROWS($N$2:N609),$N$2:$N$1001,0),MATCH(COLUMNS($U$1006:X1006),$U$1006:$AC$1006,0)), HYPERLINK("#",""), HYPERLINK(CONCATENATE("#metadata!", ADDRESS(INDEX($P$2:$P$1001,MATCH(ROWS($N$2:N609),$N$2:$N$1001,0),0), INDEX($U$1004:$AC$1004,1,MATCH(COLUMNS($U$1006:X1006),$U$1006:$AC$1006,0)))),"Fix")))</f>
        <v>0</v>
      </c>
      <c r="F609" s="3">
        <f>IF(OR(INDEX($O$2:$O$1001,MATCH(ROWS($N$2:N609),$N$2:$N$1001,0),1)&gt;=100000,INDEX($U$1005:$AC$1005,1,MATCH(COLUMNS($U$1006:Y1006),$U$1006:$AC$1006,0))&gt;=100000), " ",IF(INDEX($U$2:$AC$1001,MATCH(ROWS($N$2:N609),$N$2:$N$1001,0),MATCH(COLUMNS($U$1006:Y1006),$U$1006:$AC$1006,0)), HYPERLINK("#",""), HYPERLINK(CONCATENATE("#metadata!", ADDRESS(INDEX($P$2:$P$1001,MATCH(ROWS($N$2:N609),$N$2:$N$1001,0),0), INDEX($U$1004:$AC$1004,1,MATCH(COLUMNS($U$1006:Y1006),$U$1006:$AC$1006,0)))),"Fix")))</f>
        <v>0</v>
      </c>
      <c r="G609" s="3">
        <f>IF(OR(INDEX($O$2:$O$1001,MATCH(ROWS($N$2:N609),$N$2:$N$1001,0),1)&gt;=100000,INDEX($U$1005:$AC$1005,1,MATCH(COLUMNS($U$1006:Z1006),$U$1006:$AC$1006,0))&gt;=100000), " ",IF(INDEX($U$2:$AC$1001,MATCH(ROWS($N$2:N609),$N$2:$N$1001,0),MATCH(COLUMNS($U$1006:Z1006),$U$1006:$AC$1006,0)), HYPERLINK("#",""), HYPERLINK(CONCATENATE("#metadata!", ADDRESS(INDEX($P$2:$P$1001,MATCH(ROWS($N$2:N609),$N$2:$N$1001,0),0), INDEX($U$1004:$AC$1004,1,MATCH(COLUMNS($U$1006:Z1006),$U$1006:$AC$1006,0)))),"Fix")))</f>
        <v>0</v>
      </c>
      <c r="H609" s="3">
        <f>IF(OR(INDEX($O$2:$O$1001,MATCH(ROWS($N$2:N609),$N$2:$N$1001,0),1)&gt;=100000,INDEX($U$1005:$AC$1005,1,MATCH(COLUMNS($U$1006:AA1006),$U$1006:$AC$1006,0))&gt;=100000), " ",IF(INDEX($U$2:$AC$1001,MATCH(ROWS($N$2:N609),$N$2:$N$1001,0),MATCH(COLUMNS($U$1006:AA1006),$U$1006:$AC$1006,0)), HYPERLINK("#",""), HYPERLINK(CONCATENATE("#metadata!", ADDRESS(INDEX($P$2:$P$1001,MATCH(ROWS($N$2:N609),$N$2:$N$1001,0),0), INDEX($U$1004:$AC$1004,1,MATCH(COLUMNS($U$1006:AA1006),$U$1006:$AC$1006,0)))),"Fix")))</f>
        <v>0</v>
      </c>
      <c r="I609" s="3">
        <f>IF(OR(INDEX($O$2:$O$1001,MATCH(ROWS($N$2:N609),$N$2:$N$1001,0),1)&gt;=100000,INDEX($U$1005:$AC$1005,1,MATCH(COLUMNS($U$1006:AB1006),$U$1006:$AC$1006,0))&gt;=100000), " ",IF(INDEX($U$2:$AC$1001,MATCH(ROWS($N$2:N609),$N$2:$N$1001,0),MATCH(COLUMNS($U$1006:AB1006),$U$1006:$AC$1006,0)), HYPERLINK("#",""), HYPERLINK(CONCATENATE("#metadata!", ADDRESS(INDEX($P$2:$P$1001,MATCH(ROWS($N$2:N609),$N$2:$N$1001,0),0), INDEX($U$1004:$AC$1004,1,MATCH(COLUMNS($U$1006:AB1006),$U$1006:$AC$1006,0)))),"Fix")))</f>
        <v>0</v>
      </c>
      <c r="J609" s="3">
        <f>IF(OR(INDEX($O$2:$O$1001,MATCH(ROWS($N$2:N609),$N$2:$N$1001,0),1)&gt;=100000,INDEX($U$1005:$AC$1005,1,MATCH(COLUMNS($U$1006:AC1006),$U$1006:$AC$1006,0))&gt;=100000), " ",IF(INDEX($U$2:$AC$1001,MATCH(ROWS($N$2:N609),$N$2:$N$1001,0),MATCH(COLUMNS($U$1006:AC1006),$U$1006:$AC$1006,0)), HYPERLINK("#",""), HYPERLINK(CONCATENATE("#metadata!", ADDRESS(INDEX($P$2:$P$1001,MATCH(ROWS($N$2:N609),$N$2:$N$1001,0),0), INDEX($U$1004:$AC$1004,1,MATCH(COLUMNS($U$1006:AC1006),$U$1006:$AC$1006,0)))),"Fix")))</f>
        <v>0</v>
      </c>
      <c r="N609">
        <v>0</v>
      </c>
      <c r="O609">
        <v>0</v>
      </c>
      <c r="P609">
        <v>0</v>
      </c>
      <c r="Q609">
        <f>IF(R609,TRUE,AND(U609:AC609))</f>
        <v>0</v>
      </c>
      <c r="R609">
        <f>COUNTBLANK(metadata!B609:J609)=COLUMNS(metadata!B609:J609)</f>
        <v>0</v>
      </c>
      <c r="S609">
        <v>0</v>
      </c>
      <c r="U609">
        <f>AND(IF(metadata!B609="",FALSE,TRUE),COUNTIF(metadata!B:B, metadata!B609) = 1,NOT(ISERROR(SUMPRODUCT(SEARCH(MID(metadata!B609,ROW(INDIRECT("1:"&amp;LEN(metadata!B609))), 1),"0123456789abcdefghijklmnopqrstuvwxyzABCDEFGHIJKLMNOPQRSTUVWXYZ.")))))</f>
        <v>0</v>
      </c>
      <c r="V609">
        <f>AND(IF(metadata!C609="",FALSE,TRUE),exact(metadata!C609,"UBERON:genitourinary"))</f>
        <v>0</v>
      </c>
      <c r="W609">
        <f>AND(IF(metadata!D609="",FALSE,TRUE),exact(metadata!D609,"UBERON:urine"))</f>
        <v>0</v>
      </c>
      <c r="X609">
        <f>AND(IF(metadata!E609="",FALSE,TRUE),exact(metadata!E609,"UBERON:kidney"))</f>
        <v>0</v>
      </c>
      <c r="Y609">
        <f>AND(IF(metadata!F609="",FALSE,TRUE),exact(metadata!F609,"animal corpus"))</f>
        <v>0</v>
      </c>
      <c r="Z609">
        <f>AND(IF(metadata!G609="",FALSE,TRUE),exact(metadata!G609,"urine"))</f>
        <v>0</v>
      </c>
      <c r="AA609">
        <f>AND(IF(metadata!H609="",FALSE,TRUE),exact(metadata!H609,"urine"))</f>
        <v>0</v>
      </c>
      <c r="AB609">
        <f>AND(IF(metadata!I609="",FALSE,TRUE),exact(metadata!I609,"urine metagenome"))</f>
        <v>0</v>
      </c>
      <c r="AC609">
        <f>AND(IF(metadata!J609="",FALSE,TRUE),exact(metadata!J609,"1346744"))</f>
        <v>0</v>
      </c>
    </row>
    <row r="610" spans="1:29">
      <c r="A610" s="4">
        <f>IF(B610=" "," ",HYPERLINK(CONCATENATE("#metadata!",ADDRESS(INDEX($P$2:$P$1001,MATCH(ROWS($N$2:N610),$N$2:$N$1001,0),0),1)),INDEX($S$2:$S$1001,MATCH(ROWS($N$2:N610),$N$2:$N$1001,0),0)))</f>
        <v>0</v>
      </c>
      <c r="B610" s="3">
        <f>IF(OR(INDEX($O$2:$O$1001,MATCH(ROWS($N$2:N610),$N$2:$N$1001,0),1)&gt;=100000,INDEX($U$1005:$AC$1005,1,MATCH(COLUMNS($U$1006:U1006),$U$1006:$AC$1006,0))&gt;=100000), " ",IF(INDEX($U$2:$AC$1001,MATCH(ROWS($N$2:N610),$N$2:$N$1001,0),MATCH(COLUMNS($U$1006:U1006),$U$1006:$AC$1006,0)), HYPERLINK("#",""), HYPERLINK(CONCATENATE("#metadata!", ADDRESS(INDEX($P$2:$P$1001,MATCH(ROWS($N$2:N610),$N$2:$N$1001,0),0), INDEX($U$1004:$AC$1004,1,MATCH(COLUMNS($U$1006:U1006),$U$1006:$AC$1006,0)))),"Fix")))</f>
        <v>0</v>
      </c>
      <c r="C610" s="3">
        <f>IF(OR(INDEX($O$2:$O$1001,MATCH(ROWS($N$2:N610),$N$2:$N$1001,0),1)&gt;=100000,INDEX($U$1005:$AC$1005,1,MATCH(COLUMNS($U$1006:V1006),$U$1006:$AC$1006,0))&gt;=100000), " ",IF(INDEX($U$2:$AC$1001,MATCH(ROWS($N$2:N610),$N$2:$N$1001,0),MATCH(COLUMNS($U$1006:V1006),$U$1006:$AC$1006,0)), HYPERLINK("#",""), HYPERLINK(CONCATENATE("#metadata!", ADDRESS(INDEX($P$2:$P$1001,MATCH(ROWS($N$2:N610),$N$2:$N$1001,0),0), INDEX($U$1004:$AC$1004,1,MATCH(COLUMNS($U$1006:V1006),$U$1006:$AC$1006,0)))),"Fix")))</f>
        <v>0</v>
      </c>
      <c r="D610" s="3">
        <f>IF(OR(INDEX($O$2:$O$1001,MATCH(ROWS($N$2:N610),$N$2:$N$1001,0),1)&gt;=100000,INDEX($U$1005:$AC$1005,1,MATCH(COLUMNS($U$1006:W1006),$U$1006:$AC$1006,0))&gt;=100000), " ",IF(INDEX($U$2:$AC$1001,MATCH(ROWS($N$2:N610),$N$2:$N$1001,0),MATCH(COLUMNS($U$1006:W1006),$U$1006:$AC$1006,0)), HYPERLINK("#",""), HYPERLINK(CONCATENATE("#metadata!", ADDRESS(INDEX($P$2:$P$1001,MATCH(ROWS($N$2:N610),$N$2:$N$1001,0),0), INDEX($U$1004:$AC$1004,1,MATCH(COLUMNS($U$1006:W1006),$U$1006:$AC$1006,0)))),"Fix")))</f>
        <v>0</v>
      </c>
      <c r="E610" s="3">
        <f>IF(OR(INDEX($O$2:$O$1001,MATCH(ROWS($N$2:N610),$N$2:$N$1001,0),1)&gt;=100000,INDEX($U$1005:$AC$1005,1,MATCH(COLUMNS($U$1006:X1006),$U$1006:$AC$1006,0))&gt;=100000), " ",IF(INDEX($U$2:$AC$1001,MATCH(ROWS($N$2:N610),$N$2:$N$1001,0),MATCH(COLUMNS($U$1006:X1006),$U$1006:$AC$1006,0)), HYPERLINK("#",""), HYPERLINK(CONCATENATE("#metadata!", ADDRESS(INDEX($P$2:$P$1001,MATCH(ROWS($N$2:N610),$N$2:$N$1001,0),0), INDEX($U$1004:$AC$1004,1,MATCH(COLUMNS($U$1006:X1006),$U$1006:$AC$1006,0)))),"Fix")))</f>
        <v>0</v>
      </c>
      <c r="F610" s="3">
        <f>IF(OR(INDEX($O$2:$O$1001,MATCH(ROWS($N$2:N610),$N$2:$N$1001,0),1)&gt;=100000,INDEX($U$1005:$AC$1005,1,MATCH(COLUMNS($U$1006:Y1006),$U$1006:$AC$1006,0))&gt;=100000), " ",IF(INDEX($U$2:$AC$1001,MATCH(ROWS($N$2:N610),$N$2:$N$1001,0),MATCH(COLUMNS($U$1006:Y1006),$U$1006:$AC$1006,0)), HYPERLINK("#",""), HYPERLINK(CONCATENATE("#metadata!", ADDRESS(INDEX($P$2:$P$1001,MATCH(ROWS($N$2:N610),$N$2:$N$1001,0),0), INDEX($U$1004:$AC$1004,1,MATCH(COLUMNS($U$1006:Y1006),$U$1006:$AC$1006,0)))),"Fix")))</f>
        <v>0</v>
      </c>
      <c r="G610" s="3">
        <f>IF(OR(INDEX($O$2:$O$1001,MATCH(ROWS($N$2:N610),$N$2:$N$1001,0),1)&gt;=100000,INDEX($U$1005:$AC$1005,1,MATCH(COLUMNS($U$1006:Z1006),$U$1006:$AC$1006,0))&gt;=100000), " ",IF(INDEX($U$2:$AC$1001,MATCH(ROWS($N$2:N610),$N$2:$N$1001,0),MATCH(COLUMNS($U$1006:Z1006),$U$1006:$AC$1006,0)), HYPERLINK("#",""), HYPERLINK(CONCATENATE("#metadata!", ADDRESS(INDEX($P$2:$P$1001,MATCH(ROWS($N$2:N610),$N$2:$N$1001,0),0), INDEX($U$1004:$AC$1004,1,MATCH(COLUMNS($U$1006:Z1006),$U$1006:$AC$1006,0)))),"Fix")))</f>
        <v>0</v>
      </c>
      <c r="H610" s="3">
        <f>IF(OR(INDEX($O$2:$O$1001,MATCH(ROWS($N$2:N610),$N$2:$N$1001,0),1)&gt;=100000,INDEX($U$1005:$AC$1005,1,MATCH(COLUMNS($U$1006:AA1006),$U$1006:$AC$1006,0))&gt;=100000), " ",IF(INDEX($U$2:$AC$1001,MATCH(ROWS($N$2:N610),$N$2:$N$1001,0),MATCH(COLUMNS($U$1006:AA1006),$U$1006:$AC$1006,0)), HYPERLINK("#",""), HYPERLINK(CONCATENATE("#metadata!", ADDRESS(INDEX($P$2:$P$1001,MATCH(ROWS($N$2:N610),$N$2:$N$1001,0),0), INDEX($U$1004:$AC$1004,1,MATCH(COLUMNS($U$1006:AA1006),$U$1006:$AC$1006,0)))),"Fix")))</f>
        <v>0</v>
      </c>
      <c r="I610" s="3">
        <f>IF(OR(INDEX($O$2:$O$1001,MATCH(ROWS($N$2:N610),$N$2:$N$1001,0),1)&gt;=100000,INDEX($U$1005:$AC$1005,1,MATCH(COLUMNS($U$1006:AB1006),$U$1006:$AC$1006,0))&gt;=100000), " ",IF(INDEX($U$2:$AC$1001,MATCH(ROWS($N$2:N610),$N$2:$N$1001,0),MATCH(COLUMNS($U$1006:AB1006),$U$1006:$AC$1006,0)), HYPERLINK("#",""), HYPERLINK(CONCATENATE("#metadata!", ADDRESS(INDEX($P$2:$P$1001,MATCH(ROWS($N$2:N610),$N$2:$N$1001,0),0), INDEX($U$1004:$AC$1004,1,MATCH(COLUMNS($U$1006:AB1006),$U$1006:$AC$1006,0)))),"Fix")))</f>
        <v>0</v>
      </c>
      <c r="J610" s="3">
        <f>IF(OR(INDEX($O$2:$O$1001,MATCH(ROWS($N$2:N610),$N$2:$N$1001,0),1)&gt;=100000,INDEX($U$1005:$AC$1005,1,MATCH(COLUMNS($U$1006:AC1006),$U$1006:$AC$1006,0))&gt;=100000), " ",IF(INDEX($U$2:$AC$1001,MATCH(ROWS($N$2:N610),$N$2:$N$1001,0),MATCH(COLUMNS($U$1006:AC1006),$U$1006:$AC$1006,0)), HYPERLINK("#",""), HYPERLINK(CONCATENATE("#metadata!", ADDRESS(INDEX($P$2:$P$1001,MATCH(ROWS($N$2:N610),$N$2:$N$1001,0),0), INDEX($U$1004:$AC$1004,1,MATCH(COLUMNS($U$1006:AC1006),$U$1006:$AC$1006,0)))),"Fix")))</f>
        <v>0</v>
      </c>
      <c r="N610">
        <v>0</v>
      </c>
      <c r="O610">
        <v>0</v>
      </c>
      <c r="P610">
        <v>0</v>
      </c>
      <c r="Q610">
        <f>IF(R610,TRUE,AND(U610:AC610))</f>
        <v>0</v>
      </c>
      <c r="R610">
        <f>COUNTBLANK(metadata!B610:J610)=COLUMNS(metadata!B610:J610)</f>
        <v>0</v>
      </c>
      <c r="S610">
        <v>0</v>
      </c>
      <c r="U610">
        <f>AND(IF(metadata!B610="",FALSE,TRUE),COUNTIF(metadata!B:B, metadata!B610) = 1,NOT(ISERROR(SUMPRODUCT(SEARCH(MID(metadata!B610,ROW(INDIRECT("1:"&amp;LEN(metadata!B610))), 1),"0123456789abcdefghijklmnopqrstuvwxyzABCDEFGHIJKLMNOPQRSTUVWXYZ.")))))</f>
        <v>0</v>
      </c>
      <c r="V610">
        <f>AND(IF(metadata!C610="",FALSE,TRUE),exact(metadata!C610,"UBERON:genitourinary"))</f>
        <v>0</v>
      </c>
      <c r="W610">
        <f>AND(IF(metadata!D610="",FALSE,TRUE),exact(metadata!D610,"UBERON:urine"))</f>
        <v>0</v>
      </c>
      <c r="X610">
        <f>AND(IF(metadata!E610="",FALSE,TRUE),exact(metadata!E610,"UBERON:kidney"))</f>
        <v>0</v>
      </c>
      <c r="Y610">
        <f>AND(IF(metadata!F610="",FALSE,TRUE),exact(metadata!F610,"animal corpus"))</f>
        <v>0</v>
      </c>
      <c r="Z610">
        <f>AND(IF(metadata!G610="",FALSE,TRUE),exact(metadata!G610,"urine"))</f>
        <v>0</v>
      </c>
      <c r="AA610">
        <f>AND(IF(metadata!H610="",FALSE,TRUE),exact(metadata!H610,"urine"))</f>
        <v>0</v>
      </c>
      <c r="AB610">
        <f>AND(IF(metadata!I610="",FALSE,TRUE),exact(metadata!I610,"urine metagenome"))</f>
        <v>0</v>
      </c>
      <c r="AC610">
        <f>AND(IF(metadata!J610="",FALSE,TRUE),exact(metadata!J610,"1346744"))</f>
        <v>0</v>
      </c>
    </row>
    <row r="611" spans="1:29">
      <c r="A611" s="4">
        <f>IF(B611=" "," ",HYPERLINK(CONCATENATE("#metadata!",ADDRESS(INDEX($P$2:$P$1001,MATCH(ROWS($N$2:N611),$N$2:$N$1001,0),0),1)),INDEX($S$2:$S$1001,MATCH(ROWS($N$2:N611),$N$2:$N$1001,0),0)))</f>
        <v>0</v>
      </c>
      <c r="B611" s="3">
        <f>IF(OR(INDEX($O$2:$O$1001,MATCH(ROWS($N$2:N611),$N$2:$N$1001,0),1)&gt;=100000,INDEX($U$1005:$AC$1005,1,MATCH(COLUMNS($U$1006:U1006),$U$1006:$AC$1006,0))&gt;=100000), " ",IF(INDEX($U$2:$AC$1001,MATCH(ROWS($N$2:N611),$N$2:$N$1001,0),MATCH(COLUMNS($U$1006:U1006),$U$1006:$AC$1006,0)), HYPERLINK("#",""), HYPERLINK(CONCATENATE("#metadata!", ADDRESS(INDEX($P$2:$P$1001,MATCH(ROWS($N$2:N611),$N$2:$N$1001,0),0), INDEX($U$1004:$AC$1004,1,MATCH(COLUMNS($U$1006:U1006),$U$1006:$AC$1006,0)))),"Fix")))</f>
        <v>0</v>
      </c>
      <c r="C611" s="3">
        <f>IF(OR(INDEX($O$2:$O$1001,MATCH(ROWS($N$2:N611),$N$2:$N$1001,0),1)&gt;=100000,INDEX($U$1005:$AC$1005,1,MATCH(COLUMNS($U$1006:V1006),$U$1006:$AC$1006,0))&gt;=100000), " ",IF(INDEX($U$2:$AC$1001,MATCH(ROWS($N$2:N611),$N$2:$N$1001,0),MATCH(COLUMNS($U$1006:V1006),$U$1006:$AC$1006,0)), HYPERLINK("#",""), HYPERLINK(CONCATENATE("#metadata!", ADDRESS(INDEX($P$2:$P$1001,MATCH(ROWS($N$2:N611),$N$2:$N$1001,0),0), INDEX($U$1004:$AC$1004,1,MATCH(COLUMNS($U$1006:V1006),$U$1006:$AC$1006,0)))),"Fix")))</f>
        <v>0</v>
      </c>
      <c r="D611" s="3">
        <f>IF(OR(INDEX($O$2:$O$1001,MATCH(ROWS($N$2:N611),$N$2:$N$1001,0),1)&gt;=100000,INDEX($U$1005:$AC$1005,1,MATCH(COLUMNS($U$1006:W1006),$U$1006:$AC$1006,0))&gt;=100000), " ",IF(INDEX($U$2:$AC$1001,MATCH(ROWS($N$2:N611),$N$2:$N$1001,0),MATCH(COLUMNS($U$1006:W1006),$U$1006:$AC$1006,0)), HYPERLINK("#",""), HYPERLINK(CONCATENATE("#metadata!", ADDRESS(INDEX($P$2:$P$1001,MATCH(ROWS($N$2:N611),$N$2:$N$1001,0),0), INDEX($U$1004:$AC$1004,1,MATCH(COLUMNS($U$1006:W1006),$U$1006:$AC$1006,0)))),"Fix")))</f>
        <v>0</v>
      </c>
      <c r="E611" s="3">
        <f>IF(OR(INDEX($O$2:$O$1001,MATCH(ROWS($N$2:N611),$N$2:$N$1001,0),1)&gt;=100000,INDEX($U$1005:$AC$1005,1,MATCH(COLUMNS($U$1006:X1006),$U$1006:$AC$1006,0))&gt;=100000), " ",IF(INDEX($U$2:$AC$1001,MATCH(ROWS($N$2:N611),$N$2:$N$1001,0),MATCH(COLUMNS($U$1006:X1006),$U$1006:$AC$1006,0)), HYPERLINK("#",""), HYPERLINK(CONCATENATE("#metadata!", ADDRESS(INDEX($P$2:$P$1001,MATCH(ROWS($N$2:N611),$N$2:$N$1001,0),0), INDEX($U$1004:$AC$1004,1,MATCH(COLUMNS($U$1006:X1006),$U$1006:$AC$1006,0)))),"Fix")))</f>
        <v>0</v>
      </c>
      <c r="F611" s="3">
        <f>IF(OR(INDEX($O$2:$O$1001,MATCH(ROWS($N$2:N611),$N$2:$N$1001,0),1)&gt;=100000,INDEX($U$1005:$AC$1005,1,MATCH(COLUMNS($U$1006:Y1006),$U$1006:$AC$1006,0))&gt;=100000), " ",IF(INDEX($U$2:$AC$1001,MATCH(ROWS($N$2:N611),$N$2:$N$1001,0),MATCH(COLUMNS($U$1006:Y1006),$U$1006:$AC$1006,0)), HYPERLINK("#",""), HYPERLINK(CONCATENATE("#metadata!", ADDRESS(INDEX($P$2:$P$1001,MATCH(ROWS($N$2:N611),$N$2:$N$1001,0),0), INDEX($U$1004:$AC$1004,1,MATCH(COLUMNS($U$1006:Y1006),$U$1006:$AC$1006,0)))),"Fix")))</f>
        <v>0</v>
      </c>
      <c r="G611" s="3">
        <f>IF(OR(INDEX($O$2:$O$1001,MATCH(ROWS($N$2:N611),$N$2:$N$1001,0),1)&gt;=100000,INDEX($U$1005:$AC$1005,1,MATCH(COLUMNS($U$1006:Z1006),$U$1006:$AC$1006,0))&gt;=100000), " ",IF(INDEX($U$2:$AC$1001,MATCH(ROWS($N$2:N611),$N$2:$N$1001,0),MATCH(COLUMNS($U$1006:Z1006),$U$1006:$AC$1006,0)), HYPERLINK("#",""), HYPERLINK(CONCATENATE("#metadata!", ADDRESS(INDEX($P$2:$P$1001,MATCH(ROWS($N$2:N611),$N$2:$N$1001,0),0), INDEX($U$1004:$AC$1004,1,MATCH(COLUMNS($U$1006:Z1006),$U$1006:$AC$1006,0)))),"Fix")))</f>
        <v>0</v>
      </c>
      <c r="H611" s="3">
        <f>IF(OR(INDEX($O$2:$O$1001,MATCH(ROWS($N$2:N611),$N$2:$N$1001,0),1)&gt;=100000,INDEX($U$1005:$AC$1005,1,MATCH(COLUMNS($U$1006:AA1006),$U$1006:$AC$1006,0))&gt;=100000), " ",IF(INDEX($U$2:$AC$1001,MATCH(ROWS($N$2:N611),$N$2:$N$1001,0),MATCH(COLUMNS($U$1006:AA1006),$U$1006:$AC$1006,0)), HYPERLINK("#",""), HYPERLINK(CONCATENATE("#metadata!", ADDRESS(INDEX($P$2:$P$1001,MATCH(ROWS($N$2:N611),$N$2:$N$1001,0),0), INDEX($U$1004:$AC$1004,1,MATCH(COLUMNS($U$1006:AA1006),$U$1006:$AC$1006,0)))),"Fix")))</f>
        <v>0</v>
      </c>
      <c r="I611" s="3">
        <f>IF(OR(INDEX($O$2:$O$1001,MATCH(ROWS($N$2:N611),$N$2:$N$1001,0),1)&gt;=100000,INDEX($U$1005:$AC$1005,1,MATCH(COLUMNS($U$1006:AB1006),$U$1006:$AC$1006,0))&gt;=100000), " ",IF(INDEX($U$2:$AC$1001,MATCH(ROWS($N$2:N611),$N$2:$N$1001,0),MATCH(COLUMNS($U$1006:AB1006),$U$1006:$AC$1006,0)), HYPERLINK("#",""), HYPERLINK(CONCATENATE("#metadata!", ADDRESS(INDEX($P$2:$P$1001,MATCH(ROWS($N$2:N611),$N$2:$N$1001,0),0), INDEX($U$1004:$AC$1004,1,MATCH(COLUMNS($U$1006:AB1006),$U$1006:$AC$1006,0)))),"Fix")))</f>
        <v>0</v>
      </c>
      <c r="J611" s="3">
        <f>IF(OR(INDEX($O$2:$O$1001,MATCH(ROWS($N$2:N611),$N$2:$N$1001,0),1)&gt;=100000,INDEX($U$1005:$AC$1005,1,MATCH(COLUMNS($U$1006:AC1006),$U$1006:$AC$1006,0))&gt;=100000), " ",IF(INDEX($U$2:$AC$1001,MATCH(ROWS($N$2:N611),$N$2:$N$1001,0),MATCH(COLUMNS($U$1006:AC1006),$U$1006:$AC$1006,0)), HYPERLINK("#",""), HYPERLINK(CONCATENATE("#metadata!", ADDRESS(INDEX($P$2:$P$1001,MATCH(ROWS($N$2:N611),$N$2:$N$1001,0),0), INDEX($U$1004:$AC$1004,1,MATCH(COLUMNS($U$1006:AC1006),$U$1006:$AC$1006,0)))),"Fix")))</f>
        <v>0</v>
      </c>
      <c r="N611">
        <v>0</v>
      </c>
      <c r="O611">
        <v>0</v>
      </c>
      <c r="P611">
        <v>0</v>
      </c>
      <c r="Q611">
        <f>IF(R611,TRUE,AND(U611:AC611))</f>
        <v>0</v>
      </c>
      <c r="R611">
        <f>COUNTBLANK(metadata!B611:J611)=COLUMNS(metadata!B611:J611)</f>
        <v>0</v>
      </c>
      <c r="S611">
        <v>0</v>
      </c>
      <c r="U611">
        <f>AND(IF(metadata!B611="",FALSE,TRUE),COUNTIF(metadata!B:B, metadata!B611) = 1,NOT(ISERROR(SUMPRODUCT(SEARCH(MID(metadata!B611,ROW(INDIRECT("1:"&amp;LEN(metadata!B611))), 1),"0123456789abcdefghijklmnopqrstuvwxyzABCDEFGHIJKLMNOPQRSTUVWXYZ.")))))</f>
        <v>0</v>
      </c>
      <c r="V611">
        <f>AND(IF(metadata!C611="",FALSE,TRUE),exact(metadata!C611,"UBERON:genitourinary"))</f>
        <v>0</v>
      </c>
      <c r="W611">
        <f>AND(IF(metadata!D611="",FALSE,TRUE),exact(metadata!D611,"UBERON:urine"))</f>
        <v>0</v>
      </c>
      <c r="X611">
        <f>AND(IF(metadata!E611="",FALSE,TRUE),exact(metadata!E611,"UBERON:kidney"))</f>
        <v>0</v>
      </c>
      <c r="Y611">
        <f>AND(IF(metadata!F611="",FALSE,TRUE),exact(metadata!F611,"animal corpus"))</f>
        <v>0</v>
      </c>
      <c r="Z611">
        <f>AND(IF(metadata!G611="",FALSE,TRUE),exact(metadata!G611,"urine"))</f>
        <v>0</v>
      </c>
      <c r="AA611">
        <f>AND(IF(metadata!H611="",FALSE,TRUE),exact(metadata!H611,"urine"))</f>
        <v>0</v>
      </c>
      <c r="AB611">
        <f>AND(IF(metadata!I611="",FALSE,TRUE),exact(metadata!I611,"urine metagenome"))</f>
        <v>0</v>
      </c>
      <c r="AC611">
        <f>AND(IF(metadata!J611="",FALSE,TRUE),exact(metadata!J611,"1346744"))</f>
        <v>0</v>
      </c>
    </row>
    <row r="612" spans="1:29">
      <c r="A612" s="4">
        <f>IF(B612=" "," ",HYPERLINK(CONCATENATE("#metadata!",ADDRESS(INDEX($P$2:$P$1001,MATCH(ROWS($N$2:N612),$N$2:$N$1001,0),0),1)),INDEX($S$2:$S$1001,MATCH(ROWS($N$2:N612),$N$2:$N$1001,0),0)))</f>
        <v>0</v>
      </c>
      <c r="B612" s="3">
        <f>IF(OR(INDEX($O$2:$O$1001,MATCH(ROWS($N$2:N612),$N$2:$N$1001,0),1)&gt;=100000,INDEX($U$1005:$AC$1005,1,MATCH(COLUMNS($U$1006:U1006),$U$1006:$AC$1006,0))&gt;=100000), " ",IF(INDEX($U$2:$AC$1001,MATCH(ROWS($N$2:N612),$N$2:$N$1001,0),MATCH(COLUMNS($U$1006:U1006),$U$1006:$AC$1006,0)), HYPERLINK("#",""), HYPERLINK(CONCATENATE("#metadata!", ADDRESS(INDEX($P$2:$P$1001,MATCH(ROWS($N$2:N612),$N$2:$N$1001,0),0), INDEX($U$1004:$AC$1004,1,MATCH(COLUMNS($U$1006:U1006),$U$1006:$AC$1006,0)))),"Fix")))</f>
        <v>0</v>
      </c>
      <c r="C612" s="3">
        <f>IF(OR(INDEX($O$2:$O$1001,MATCH(ROWS($N$2:N612),$N$2:$N$1001,0),1)&gt;=100000,INDEX($U$1005:$AC$1005,1,MATCH(COLUMNS($U$1006:V1006),$U$1006:$AC$1006,0))&gt;=100000), " ",IF(INDEX($U$2:$AC$1001,MATCH(ROWS($N$2:N612),$N$2:$N$1001,0),MATCH(COLUMNS($U$1006:V1006),$U$1006:$AC$1006,0)), HYPERLINK("#",""), HYPERLINK(CONCATENATE("#metadata!", ADDRESS(INDEX($P$2:$P$1001,MATCH(ROWS($N$2:N612),$N$2:$N$1001,0),0), INDEX($U$1004:$AC$1004,1,MATCH(COLUMNS($U$1006:V1006),$U$1006:$AC$1006,0)))),"Fix")))</f>
        <v>0</v>
      </c>
      <c r="D612" s="3">
        <f>IF(OR(INDEX($O$2:$O$1001,MATCH(ROWS($N$2:N612),$N$2:$N$1001,0),1)&gt;=100000,INDEX($U$1005:$AC$1005,1,MATCH(COLUMNS($U$1006:W1006),$U$1006:$AC$1006,0))&gt;=100000), " ",IF(INDEX($U$2:$AC$1001,MATCH(ROWS($N$2:N612),$N$2:$N$1001,0),MATCH(COLUMNS($U$1006:W1006),$U$1006:$AC$1006,0)), HYPERLINK("#",""), HYPERLINK(CONCATENATE("#metadata!", ADDRESS(INDEX($P$2:$P$1001,MATCH(ROWS($N$2:N612),$N$2:$N$1001,0),0), INDEX($U$1004:$AC$1004,1,MATCH(COLUMNS($U$1006:W1006),$U$1006:$AC$1006,0)))),"Fix")))</f>
        <v>0</v>
      </c>
      <c r="E612" s="3">
        <f>IF(OR(INDEX($O$2:$O$1001,MATCH(ROWS($N$2:N612),$N$2:$N$1001,0),1)&gt;=100000,INDEX($U$1005:$AC$1005,1,MATCH(COLUMNS($U$1006:X1006),$U$1006:$AC$1006,0))&gt;=100000), " ",IF(INDEX($U$2:$AC$1001,MATCH(ROWS($N$2:N612),$N$2:$N$1001,0),MATCH(COLUMNS($U$1006:X1006),$U$1006:$AC$1006,0)), HYPERLINK("#",""), HYPERLINK(CONCATENATE("#metadata!", ADDRESS(INDEX($P$2:$P$1001,MATCH(ROWS($N$2:N612),$N$2:$N$1001,0),0), INDEX($U$1004:$AC$1004,1,MATCH(COLUMNS($U$1006:X1006),$U$1006:$AC$1006,0)))),"Fix")))</f>
        <v>0</v>
      </c>
      <c r="F612" s="3">
        <f>IF(OR(INDEX($O$2:$O$1001,MATCH(ROWS($N$2:N612),$N$2:$N$1001,0),1)&gt;=100000,INDEX($U$1005:$AC$1005,1,MATCH(COLUMNS($U$1006:Y1006),$U$1006:$AC$1006,0))&gt;=100000), " ",IF(INDEX($U$2:$AC$1001,MATCH(ROWS($N$2:N612),$N$2:$N$1001,0),MATCH(COLUMNS($U$1006:Y1006),$U$1006:$AC$1006,0)), HYPERLINK("#",""), HYPERLINK(CONCATENATE("#metadata!", ADDRESS(INDEX($P$2:$P$1001,MATCH(ROWS($N$2:N612),$N$2:$N$1001,0),0), INDEX($U$1004:$AC$1004,1,MATCH(COLUMNS($U$1006:Y1006),$U$1006:$AC$1006,0)))),"Fix")))</f>
        <v>0</v>
      </c>
      <c r="G612" s="3">
        <f>IF(OR(INDEX($O$2:$O$1001,MATCH(ROWS($N$2:N612),$N$2:$N$1001,0),1)&gt;=100000,INDEX($U$1005:$AC$1005,1,MATCH(COLUMNS($U$1006:Z1006),$U$1006:$AC$1006,0))&gt;=100000), " ",IF(INDEX($U$2:$AC$1001,MATCH(ROWS($N$2:N612),$N$2:$N$1001,0),MATCH(COLUMNS($U$1006:Z1006),$U$1006:$AC$1006,0)), HYPERLINK("#",""), HYPERLINK(CONCATENATE("#metadata!", ADDRESS(INDEX($P$2:$P$1001,MATCH(ROWS($N$2:N612),$N$2:$N$1001,0),0), INDEX($U$1004:$AC$1004,1,MATCH(COLUMNS($U$1006:Z1006),$U$1006:$AC$1006,0)))),"Fix")))</f>
        <v>0</v>
      </c>
      <c r="H612" s="3">
        <f>IF(OR(INDEX($O$2:$O$1001,MATCH(ROWS($N$2:N612),$N$2:$N$1001,0),1)&gt;=100000,INDEX($U$1005:$AC$1005,1,MATCH(COLUMNS($U$1006:AA1006),$U$1006:$AC$1006,0))&gt;=100000), " ",IF(INDEX($U$2:$AC$1001,MATCH(ROWS($N$2:N612),$N$2:$N$1001,0),MATCH(COLUMNS($U$1006:AA1006),$U$1006:$AC$1006,0)), HYPERLINK("#",""), HYPERLINK(CONCATENATE("#metadata!", ADDRESS(INDEX($P$2:$P$1001,MATCH(ROWS($N$2:N612),$N$2:$N$1001,0),0), INDEX($U$1004:$AC$1004,1,MATCH(COLUMNS($U$1006:AA1006),$U$1006:$AC$1006,0)))),"Fix")))</f>
        <v>0</v>
      </c>
      <c r="I612" s="3">
        <f>IF(OR(INDEX($O$2:$O$1001,MATCH(ROWS($N$2:N612),$N$2:$N$1001,0),1)&gt;=100000,INDEX($U$1005:$AC$1005,1,MATCH(COLUMNS($U$1006:AB1006),$U$1006:$AC$1006,0))&gt;=100000), " ",IF(INDEX($U$2:$AC$1001,MATCH(ROWS($N$2:N612),$N$2:$N$1001,0),MATCH(COLUMNS($U$1006:AB1006),$U$1006:$AC$1006,0)), HYPERLINK("#",""), HYPERLINK(CONCATENATE("#metadata!", ADDRESS(INDEX($P$2:$P$1001,MATCH(ROWS($N$2:N612),$N$2:$N$1001,0),0), INDEX($U$1004:$AC$1004,1,MATCH(COLUMNS($U$1006:AB1006),$U$1006:$AC$1006,0)))),"Fix")))</f>
        <v>0</v>
      </c>
      <c r="J612" s="3">
        <f>IF(OR(INDEX($O$2:$O$1001,MATCH(ROWS($N$2:N612),$N$2:$N$1001,0),1)&gt;=100000,INDEX($U$1005:$AC$1005,1,MATCH(COLUMNS($U$1006:AC1006),$U$1006:$AC$1006,0))&gt;=100000), " ",IF(INDEX($U$2:$AC$1001,MATCH(ROWS($N$2:N612),$N$2:$N$1001,0),MATCH(COLUMNS($U$1006:AC1006),$U$1006:$AC$1006,0)), HYPERLINK("#",""), HYPERLINK(CONCATENATE("#metadata!", ADDRESS(INDEX($P$2:$P$1001,MATCH(ROWS($N$2:N612),$N$2:$N$1001,0),0), INDEX($U$1004:$AC$1004,1,MATCH(COLUMNS($U$1006:AC1006),$U$1006:$AC$1006,0)))),"Fix")))</f>
        <v>0</v>
      </c>
      <c r="N612">
        <v>0</v>
      </c>
      <c r="O612">
        <v>0</v>
      </c>
      <c r="P612">
        <v>0</v>
      </c>
      <c r="Q612">
        <f>IF(R612,TRUE,AND(U612:AC612))</f>
        <v>0</v>
      </c>
      <c r="R612">
        <f>COUNTBLANK(metadata!B612:J612)=COLUMNS(metadata!B612:J612)</f>
        <v>0</v>
      </c>
      <c r="S612">
        <v>0</v>
      </c>
      <c r="U612">
        <f>AND(IF(metadata!B612="",FALSE,TRUE),COUNTIF(metadata!B:B, metadata!B612) = 1,NOT(ISERROR(SUMPRODUCT(SEARCH(MID(metadata!B612,ROW(INDIRECT("1:"&amp;LEN(metadata!B612))), 1),"0123456789abcdefghijklmnopqrstuvwxyzABCDEFGHIJKLMNOPQRSTUVWXYZ.")))))</f>
        <v>0</v>
      </c>
      <c r="V612">
        <f>AND(IF(metadata!C612="",FALSE,TRUE),exact(metadata!C612,"UBERON:genitourinary"))</f>
        <v>0</v>
      </c>
      <c r="W612">
        <f>AND(IF(metadata!D612="",FALSE,TRUE),exact(metadata!D612,"UBERON:urine"))</f>
        <v>0</v>
      </c>
      <c r="X612">
        <f>AND(IF(metadata!E612="",FALSE,TRUE),exact(metadata!E612,"UBERON:kidney"))</f>
        <v>0</v>
      </c>
      <c r="Y612">
        <f>AND(IF(metadata!F612="",FALSE,TRUE),exact(metadata!F612,"animal corpus"))</f>
        <v>0</v>
      </c>
      <c r="Z612">
        <f>AND(IF(metadata!G612="",FALSE,TRUE),exact(metadata!G612,"urine"))</f>
        <v>0</v>
      </c>
      <c r="AA612">
        <f>AND(IF(metadata!H612="",FALSE,TRUE),exact(metadata!H612,"urine"))</f>
        <v>0</v>
      </c>
      <c r="AB612">
        <f>AND(IF(metadata!I612="",FALSE,TRUE),exact(metadata!I612,"urine metagenome"))</f>
        <v>0</v>
      </c>
      <c r="AC612">
        <f>AND(IF(metadata!J612="",FALSE,TRUE),exact(metadata!J612,"1346744"))</f>
        <v>0</v>
      </c>
    </row>
    <row r="613" spans="1:29">
      <c r="A613" s="4">
        <f>IF(B613=" "," ",HYPERLINK(CONCATENATE("#metadata!",ADDRESS(INDEX($P$2:$P$1001,MATCH(ROWS($N$2:N613),$N$2:$N$1001,0),0),1)),INDEX($S$2:$S$1001,MATCH(ROWS($N$2:N613),$N$2:$N$1001,0),0)))</f>
        <v>0</v>
      </c>
      <c r="B613" s="3">
        <f>IF(OR(INDEX($O$2:$O$1001,MATCH(ROWS($N$2:N613),$N$2:$N$1001,0),1)&gt;=100000,INDEX($U$1005:$AC$1005,1,MATCH(COLUMNS($U$1006:U1006),$U$1006:$AC$1006,0))&gt;=100000), " ",IF(INDEX($U$2:$AC$1001,MATCH(ROWS($N$2:N613),$N$2:$N$1001,0),MATCH(COLUMNS($U$1006:U1006),$U$1006:$AC$1006,0)), HYPERLINK("#",""), HYPERLINK(CONCATENATE("#metadata!", ADDRESS(INDEX($P$2:$P$1001,MATCH(ROWS($N$2:N613),$N$2:$N$1001,0),0), INDEX($U$1004:$AC$1004,1,MATCH(COLUMNS($U$1006:U1006),$U$1006:$AC$1006,0)))),"Fix")))</f>
        <v>0</v>
      </c>
      <c r="C613" s="3">
        <f>IF(OR(INDEX($O$2:$O$1001,MATCH(ROWS($N$2:N613),$N$2:$N$1001,0),1)&gt;=100000,INDEX($U$1005:$AC$1005,1,MATCH(COLUMNS($U$1006:V1006),$U$1006:$AC$1006,0))&gt;=100000), " ",IF(INDEX($U$2:$AC$1001,MATCH(ROWS($N$2:N613),$N$2:$N$1001,0),MATCH(COLUMNS($U$1006:V1006),$U$1006:$AC$1006,0)), HYPERLINK("#",""), HYPERLINK(CONCATENATE("#metadata!", ADDRESS(INDEX($P$2:$P$1001,MATCH(ROWS($N$2:N613),$N$2:$N$1001,0),0), INDEX($U$1004:$AC$1004,1,MATCH(COLUMNS($U$1006:V1006),$U$1006:$AC$1006,0)))),"Fix")))</f>
        <v>0</v>
      </c>
      <c r="D613" s="3">
        <f>IF(OR(INDEX($O$2:$O$1001,MATCH(ROWS($N$2:N613),$N$2:$N$1001,0),1)&gt;=100000,INDEX($U$1005:$AC$1005,1,MATCH(COLUMNS($U$1006:W1006),$U$1006:$AC$1006,0))&gt;=100000), " ",IF(INDEX($U$2:$AC$1001,MATCH(ROWS($N$2:N613),$N$2:$N$1001,0),MATCH(COLUMNS($U$1006:W1006),$U$1006:$AC$1006,0)), HYPERLINK("#",""), HYPERLINK(CONCATENATE("#metadata!", ADDRESS(INDEX($P$2:$P$1001,MATCH(ROWS($N$2:N613),$N$2:$N$1001,0),0), INDEX($U$1004:$AC$1004,1,MATCH(COLUMNS($U$1006:W1006),$U$1006:$AC$1006,0)))),"Fix")))</f>
        <v>0</v>
      </c>
      <c r="E613" s="3">
        <f>IF(OR(INDEX($O$2:$O$1001,MATCH(ROWS($N$2:N613),$N$2:$N$1001,0),1)&gt;=100000,INDEX($U$1005:$AC$1005,1,MATCH(COLUMNS($U$1006:X1006),$U$1006:$AC$1006,0))&gt;=100000), " ",IF(INDEX($U$2:$AC$1001,MATCH(ROWS($N$2:N613),$N$2:$N$1001,0),MATCH(COLUMNS($U$1006:X1006),$U$1006:$AC$1006,0)), HYPERLINK("#",""), HYPERLINK(CONCATENATE("#metadata!", ADDRESS(INDEX($P$2:$P$1001,MATCH(ROWS($N$2:N613),$N$2:$N$1001,0),0), INDEX($U$1004:$AC$1004,1,MATCH(COLUMNS($U$1006:X1006),$U$1006:$AC$1006,0)))),"Fix")))</f>
        <v>0</v>
      </c>
      <c r="F613" s="3">
        <f>IF(OR(INDEX($O$2:$O$1001,MATCH(ROWS($N$2:N613),$N$2:$N$1001,0),1)&gt;=100000,INDEX($U$1005:$AC$1005,1,MATCH(COLUMNS($U$1006:Y1006),$U$1006:$AC$1006,0))&gt;=100000), " ",IF(INDEX($U$2:$AC$1001,MATCH(ROWS($N$2:N613),$N$2:$N$1001,0),MATCH(COLUMNS($U$1006:Y1006),$U$1006:$AC$1006,0)), HYPERLINK("#",""), HYPERLINK(CONCATENATE("#metadata!", ADDRESS(INDEX($P$2:$P$1001,MATCH(ROWS($N$2:N613),$N$2:$N$1001,0),0), INDEX($U$1004:$AC$1004,1,MATCH(COLUMNS($U$1006:Y1006),$U$1006:$AC$1006,0)))),"Fix")))</f>
        <v>0</v>
      </c>
      <c r="G613" s="3">
        <f>IF(OR(INDEX($O$2:$O$1001,MATCH(ROWS($N$2:N613),$N$2:$N$1001,0),1)&gt;=100000,INDEX($U$1005:$AC$1005,1,MATCH(COLUMNS($U$1006:Z1006),$U$1006:$AC$1006,0))&gt;=100000), " ",IF(INDEX($U$2:$AC$1001,MATCH(ROWS($N$2:N613),$N$2:$N$1001,0),MATCH(COLUMNS($U$1006:Z1006),$U$1006:$AC$1006,0)), HYPERLINK("#",""), HYPERLINK(CONCATENATE("#metadata!", ADDRESS(INDEX($P$2:$P$1001,MATCH(ROWS($N$2:N613),$N$2:$N$1001,0),0), INDEX($U$1004:$AC$1004,1,MATCH(COLUMNS($U$1006:Z1006),$U$1006:$AC$1006,0)))),"Fix")))</f>
        <v>0</v>
      </c>
      <c r="H613" s="3">
        <f>IF(OR(INDEX($O$2:$O$1001,MATCH(ROWS($N$2:N613),$N$2:$N$1001,0),1)&gt;=100000,INDEX($U$1005:$AC$1005,1,MATCH(COLUMNS($U$1006:AA1006),$U$1006:$AC$1006,0))&gt;=100000), " ",IF(INDEX($U$2:$AC$1001,MATCH(ROWS($N$2:N613),$N$2:$N$1001,0),MATCH(COLUMNS($U$1006:AA1006),$U$1006:$AC$1006,0)), HYPERLINK("#",""), HYPERLINK(CONCATENATE("#metadata!", ADDRESS(INDEX($P$2:$P$1001,MATCH(ROWS($N$2:N613),$N$2:$N$1001,0),0), INDEX($U$1004:$AC$1004,1,MATCH(COLUMNS($U$1006:AA1006),$U$1006:$AC$1006,0)))),"Fix")))</f>
        <v>0</v>
      </c>
      <c r="I613" s="3">
        <f>IF(OR(INDEX($O$2:$O$1001,MATCH(ROWS($N$2:N613),$N$2:$N$1001,0),1)&gt;=100000,INDEX($U$1005:$AC$1005,1,MATCH(COLUMNS($U$1006:AB1006),$U$1006:$AC$1006,0))&gt;=100000), " ",IF(INDEX($U$2:$AC$1001,MATCH(ROWS($N$2:N613),$N$2:$N$1001,0),MATCH(COLUMNS($U$1006:AB1006),$U$1006:$AC$1006,0)), HYPERLINK("#",""), HYPERLINK(CONCATENATE("#metadata!", ADDRESS(INDEX($P$2:$P$1001,MATCH(ROWS($N$2:N613),$N$2:$N$1001,0),0), INDEX($U$1004:$AC$1004,1,MATCH(COLUMNS($U$1006:AB1006),$U$1006:$AC$1006,0)))),"Fix")))</f>
        <v>0</v>
      </c>
      <c r="J613" s="3">
        <f>IF(OR(INDEX($O$2:$O$1001,MATCH(ROWS($N$2:N613),$N$2:$N$1001,0),1)&gt;=100000,INDEX($U$1005:$AC$1005,1,MATCH(COLUMNS($U$1006:AC1006),$U$1006:$AC$1006,0))&gt;=100000), " ",IF(INDEX($U$2:$AC$1001,MATCH(ROWS($N$2:N613),$N$2:$N$1001,0),MATCH(COLUMNS($U$1006:AC1006),$U$1006:$AC$1006,0)), HYPERLINK("#",""), HYPERLINK(CONCATENATE("#metadata!", ADDRESS(INDEX($P$2:$P$1001,MATCH(ROWS($N$2:N613),$N$2:$N$1001,0),0), INDEX($U$1004:$AC$1004,1,MATCH(COLUMNS($U$1006:AC1006),$U$1006:$AC$1006,0)))),"Fix")))</f>
        <v>0</v>
      </c>
      <c r="N613">
        <v>0</v>
      </c>
      <c r="O613">
        <v>0</v>
      </c>
      <c r="P613">
        <v>0</v>
      </c>
      <c r="Q613">
        <f>IF(R613,TRUE,AND(U613:AC613))</f>
        <v>0</v>
      </c>
      <c r="R613">
        <f>COUNTBLANK(metadata!B613:J613)=COLUMNS(metadata!B613:J613)</f>
        <v>0</v>
      </c>
      <c r="S613">
        <v>0</v>
      </c>
      <c r="U613">
        <f>AND(IF(metadata!B613="",FALSE,TRUE),COUNTIF(metadata!B:B, metadata!B613) = 1,NOT(ISERROR(SUMPRODUCT(SEARCH(MID(metadata!B613,ROW(INDIRECT("1:"&amp;LEN(metadata!B613))), 1),"0123456789abcdefghijklmnopqrstuvwxyzABCDEFGHIJKLMNOPQRSTUVWXYZ.")))))</f>
        <v>0</v>
      </c>
      <c r="V613">
        <f>AND(IF(metadata!C613="",FALSE,TRUE),exact(metadata!C613,"UBERON:genitourinary"))</f>
        <v>0</v>
      </c>
      <c r="W613">
        <f>AND(IF(metadata!D613="",FALSE,TRUE),exact(metadata!D613,"UBERON:urine"))</f>
        <v>0</v>
      </c>
      <c r="X613">
        <f>AND(IF(metadata!E613="",FALSE,TRUE),exact(metadata!E613,"UBERON:kidney"))</f>
        <v>0</v>
      </c>
      <c r="Y613">
        <f>AND(IF(metadata!F613="",FALSE,TRUE),exact(metadata!F613,"animal corpus"))</f>
        <v>0</v>
      </c>
      <c r="Z613">
        <f>AND(IF(metadata!G613="",FALSE,TRUE),exact(metadata!G613,"urine"))</f>
        <v>0</v>
      </c>
      <c r="AA613">
        <f>AND(IF(metadata!H613="",FALSE,TRUE),exact(metadata!H613,"urine"))</f>
        <v>0</v>
      </c>
      <c r="AB613">
        <f>AND(IF(metadata!I613="",FALSE,TRUE),exact(metadata!I613,"urine metagenome"))</f>
        <v>0</v>
      </c>
      <c r="AC613">
        <f>AND(IF(metadata!J613="",FALSE,TRUE),exact(metadata!J613,"1346744"))</f>
        <v>0</v>
      </c>
    </row>
    <row r="614" spans="1:29">
      <c r="A614" s="4">
        <f>IF(B614=" "," ",HYPERLINK(CONCATENATE("#metadata!",ADDRESS(INDEX($P$2:$P$1001,MATCH(ROWS($N$2:N614),$N$2:$N$1001,0),0),1)),INDEX($S$2:$S$1001,MATCH(ROWS($N$2:N614),$N$2:$N$1001,0),0)))</f>
        <v>0</v>
      </c>
      <c r="B614" s="3">
        <f>IF(OR(INDEX($O$2:$O$1001,MATCH(ROWS($N$2:N614),$N$2:$N$1001,0),1)&gt;=100000,INDEX($U$1005:$AC$1005,1,MATCH(COLUMNS($U$1006:U1006),$U$1006:$AC$1006,0))&gt;=100000), " ",IF(INDEX($U$2:$AC$1001,MATCH(ROWS($N$2:N614),$N$2:$N$1001,0),MATCH(COLUMNS($U$1006:U1006),$U$1006:$AC$1006,0)), HYPERLINK("#",""), HYPERLINK(CONCATENATE("#metadata!", ADDRESS(INDEX($P$2:$P$1001,MATCH(ROWS($N$2:N614),$N$2:$N$1001,0),0), INDEX($U$1004:$AC$1004,1,MATCH(COLUMNS($U$1006:U1006),$U$1006:$AC$1006,0)))),"Fix")))</f>
        <v>0</v>
      </c>
      <c r="C614" s="3">
        <f>IF(OR(INDEX($O$2:$O$1001,MATCH(ROWS($N$2:N614),$N$2:$N$1001,0),1)&gt;=100000,INDEX($U$1005:$AC$1005,1,MATCH(COLUMNS($U$1006:V1006),$U$1006:$AC$1006,0))&gt;=100000), " ",IF(INDEX($U$2:$AC$1001,MATCH(ROWS($N$2:N614),$N$2:$N$1001,0),MATCH(COLUMNS($U$1006:V1006),$U$1006:$AC$1006,0)), HYPERLINK("#",""), HYPERLINK(CONCATENATE("#metadata!", ADDRESS(INDEX($P$2:$P$1001,MATCH(ROWS($N$2:N614),$N$2:$N$1001,0),0), INDEX($U$1004:$AC$1004,1,MATCH(COLUMNS($U$1006:V1006),$U$1006:$AC$1006,0)))),"Fix")))</f>
        <v>0</v>
      </c>
      <c r="D614" s="3">
        <f>IF(OR(INDEX($O$2:$O$1001,MATCH(ROWS($N$2:N614),$N$2:$N$1001,0),1)&gt;=100000,INDEX($U$1005:$AC$1005,1,MATCH(COLUMNS($U$1006:W1006),$U$1006:$AC$1006,0))&gt;=100000), " ",IF(INDEX($U$2:$AC$1001,MATCH(ROWS($N$2:N614),$N$2:$N$1001,0),MATCH(COLUMNS($U$1006:W1006),$U$1006:$AC$1006,0)), HYPERLINK("#",""), HYPERLINK(CONCATENATE("#metadata!", ADDRESS(INDEX($P$2:$P$1001,MATCH(ROWS($N$2:N614),$N$2:$N$1001,0),0), INDEX($U$1004:$AC$1004,1,MATCH(COLUMNS($U$1006:W1006),$U$1006:$AC$1006,0)))),"Fix")))</f>
        <v>0</v>
      </c>
      <c r="E614" s="3">
        <f>IF(OR(INDEX($O$2:$O$1001,MATCH(ROWS($N$2:N614),$N$2:$N$1001,0),1)&gt;=100000,INDEX($U$1005:$AC$1005,1,MATCH(COLUMNS($U$1006:X1006),$U$1006:$AC$1006,0))&gt;=100000), " ",IF(INDEX($U$2:$AC$1001,MATCH(ROWS($N$2:N614),$N$2:$N$1001,0),MATCH(COLUMNS($U$1006:X1006),$U$1006:$AC$1006,0)), HYPERLINK("#",""), HYPERLINK(CONCATENATE("#metadata!", ADDRESS(INDEX($P$2:$P$1001,MATCH(ROWS($N$2:N614),$N$2:$N$1001,0),0), INDEX($U$1004:$AC$1004,1,MATCH(COLUMNS($U$1006:X1006),$U$1006:$AC$1006,0)))),"Fix")))</f>
        <v>0</v>
      </c>
      <c r="F614" s="3">
        <f>IF(OR(INDEX($O$2:$O$1001,MATCH(ROWS($N$2:N614),$N$2:$N$1001,0),1)&gt;=100000,INDEX($U$1005:$AC$1005,1,MATCH(COLUMNS($U$1006:Y1006),$U$1006:$AC$1006,0))&gt;=100000), " ",IF(INDEX($U$2:$AC$1001,MATCH(ROWS($N$2:N614),$N$2:$N$1001,0),MATCH(COLUMNS($U$1006:Y1006),$U$1006:$AC$1006,0)), HYPERLINK("#",""), HYPERLINK(CONCATENATE("#metadata!", ADDRESS(INDEX($P$2:$P$1001,MATCH(ROWS($N$2:N614),$N$2:$N$1001,0),0), INDEX($U$1004:$AC$1004,1,MATCH(COLUMNS($U$1006:Y1006),$U$1006:$AC$1006,0)))),"Fix")))</f>
        <v>0</v>
      </c>
      <c r="G614" s="3">
        <f>IF(OR(INDEX($O$2:$O$1001,MATCH(ROWS($N$2:N614),$N$2:$N$1001,0),1)&gt;=100000,INDEX($U$1005:$AC$1005,1,MATCH(COLUMNS($U$1006:Z1006),$U$1006:$AC$1006,0))&gt;=100000), " ",IF(INDEX($U$2:$AC$1001,MATCH(ROWS($N$2:N614),$N$2:$N$1001,0),MATCH(COLUMNS($U$1006:Z1006),$U$1006:$AC$1006,0)), HYPERLINK("#",""), HYPERLINK(CONCATENATE("#metadata!", ADDRESS(INDEX($P$2:$P$1001,MATCH(ROWS($N$2:N614),$N$2:$N$1001,0),0), INDEX($U$1004:$AC$1004,1,MATCH(COLUMNS($U$1006:Z1006),$U$1006:$AC$1006,0)))),"Fix")))</f>
        <v>0</v>
      </c>
      <c r="H614" s="3">
        <f>IF(OR(INDEX($O$2:$O$1001,MATCH(ROWS($N$2:N614),$N$2:$N$1001,0),1)&gt;=100000,INDEX($U$1005:$AC$1005,1,MATCH(COLUMNS($U$1006:AA1006),$U$1006:$AC$1006,0))&gt;=100000), " ",IF(INDEX($U$2:$AC$1001,MATCH(ROWS($N$2:N614),$N$2:$N$1001,0),MATCH(COLUMNS($U$1006:AA1006),$U$1006:$AC$1006,0)), HYPERLINK("#",""), HYPERLINK(CONCATENATE("#metadata!", ADDRESS(INDEX($P$2:$P$1001,MATCH(ROWS($N$2:N614),$N$2:$N$1001,0),0), INDEX($U$1004:$AC$1004,1,MATCH(COLUMNS($U$1006:AA1006),$U$1006:$AC$1006,0)))),"Fix")))</f>
        <v>0</v>
      </c>
      <c r="I614" s="3">
        <f>IF(OR(INDEX($O$2:$O$1001,MATCH(ROWS($N$2:N614),$N$2:$N$1001,0),1)&gt;=100000,INDEX($U$1005:$AC$1005,1,MATCH(COLUMNS($U$1006:AB1006),$U$1006:$AC$1006,0))&gt;=100000), " ",IF(INDEX($U$2:$AC$1001,MATCH(ROWS($N$2:N614),$N$2:$N$1001,0),MATCH(COLUMNS($U$1006:AB1006),$U$1006:$AC$1006,0)), HYPERLINK("#",""), HYPERLINK(CONCATENATE("#metadata!", ADDRESS(INDEX($P$2:$P$1001,MATCH(ROWS($N$2:N614),$N$2:$N$1001,0),0), INDEX($U$1004:$AC$1004,1,MATCH(COLUMNS($U$1006:AB1006),$U$1006:$AC$1006,0)))),"Fix")))</f>
        <v>0</v>
      </c>
      <c r="J614" s="3">
        <f>IF(OR(INDEX($O$2:$O$1001,MATCH(ROWS($N$2:N614),$N$2:$N$1001,0),1)&gt;=100000,INDEX($U$1005:$AC$1005,1,MATCH(COLUMNS($U$1006:AC1006),$U$1006:$AC$1006,0))&gt;=100000), " ",IF(INDEX($U$2:$AC$1001,MATCH(ROWS($N$2:N614),$N$2:$N$1001,0),MATCH(COLUMNS($U$1006:AC1006),$U$1006:$AC$1006,0)), HYPERLINK("#",""), HYPERLINK(CONCATENATE("#metadata!", ADDRESS(INDEX($P$2:$P$1001,MATCH(ROWS($N$2:N614),$N$2:$N$1001,0),0), INDEX($U$1004:$AC$1004,1,MATCH(COLUMNS($U$1006:AC1006),$U$1006:$AC$1006,0)))),"Fix")))</f>
        <v>0</v>
      </c>
      <c r="N614">
        <v>0</v>
      </c>
      <c r="O614">
        <v>0</v>
      </c>
      <c r="P614">
        <v>0</v>
      </c>
      <c r="Q614">
        <f>IF(R614,TRUE,AND(U614:AC614))</f>
        <v>0</v>
      </c>
      <c r="R614">
        <f>COUNTBLANK(metadata!B614:J614)=COLUMNS(metadata!B614:J614)</f>
        <v>0</v>
      </c>
      <c r="S614">
        <v>0</v>
      </c>
      <c r="U614">
        <f>AND(IF(metadata!B614="",FALSE,TRUE),COUNTIF(metadata!B:B, metadata!B614) = 1,NOT(ISERROR(SUMPRODUCT(SEARCH(MID(metadata!B614,ROW(INDIRECT("1:"&amp;LEN(metadata!B614))), 1),"0123456789abcdefghijklmnopqrstuvwxyzABCDEFGHIJKLMNOPQRSTUVWXYZ.")))))</f>
        <v>0</v>
      </c>
      <c r="V614">
        <f>AND(IF(metadata!C614="",FALSE,TRUE),exact(metadata!C614,"UBERON:genitourinary"))</f>
        <v>0</v>
      </c>
      <c r="W614">
        <f>AND(IF(metadata!D614="",FALSE,TRUE),exact(metadata!D614,"UBERON:urine"))</f>
        <v>0</v>
      </c>
      <c r="X614">
        <f>AND(IF(metadata!E614="",FALSE,TRUE),exact(metadata!E614,"UBERON:kidney"))</f>
        <v>0</v>
      </c>
      <c r="Y614">
        <f>AND(IF(metadata!F614="",FALSE,TRUE),exact(metadata!F614,"animal corpus"))</f>
        <v>0</v>
      </c>
      <c r="Z614">
        <f>AND(IF(metadata!G614="",FALSE,TRUE),exact(metadata!G614,"urine"))</f>
        <v>0</v>
      </c>
      <c r="AA614">
        <f>AND(IF(metadata!H614="",FALSE,TRUE),exact(metadata!H614,"urine"))</f>
        <v>0</v>
      </c>
      <c r="AB614">
        <f>AND(IF(metadata!I614="",FALSE,TRUE),exact(metadata!I614,"urine metagenome"))</f>
        <v>0</v>
      </c>
      <c r="AC614">
        <f>AND(IF(metadata!J614="",FALSE,TRUE),exact(metadata!J614,"1346744"))</f>
        <v>0</v>
      </c>
    </row>
    <row r="615" spans="1:29">
      <c r="A615" s="4">
        <f>IF(B615=" "," ",HYPERLINK(CONCATENATE("#metadata!",ADDRESS(INDEX($P$2:$P$1001,MATCH(ROWS($N$2:N615),$N$2:$N$1001,0),0),1)),INDEX($S$2:$S$1001,MATCH(ROWS($N$2:N615),$N$2:$N$1001,0),0)))</f>
        <v>0</v>
      </c>
      <c r="B615" s="3">
        <f>IF(OR(INDEX($O$2:$O$1001,MATCH(ROWS($N$2:N615),$N$2:$N$1001,0),1)&gt;=100000,INDEX($U$1005:$AC$1005,1,MATCH(COLUMNS($U$1006:U1006),$U$1006:$AC$1006,0))&gt;=100000), " ",IF(INDEX($U$2:$AC$1001,MATCH(ROWS($N$2:N615),$N$2:$N$1001,0),MATCH(COLUMNS($U$1006:U1006),$U$1006:$AC$1006,0)), HYPERLINK("#",""), HYPERLINK(CONCATENATE("#metadata!", ADDRESS(INDEX($P$2:$P$1001,MATCH(ROWS($N$2:N615),$N$2:$N$1001,0),0), INDEX($U$1004:$AC$1004,1,MATCH(COLUMNS($U$1006:U1006),$U$1006:$AC$1006,0)))),"Fix")))</f>
        <v>0</v>
      </c>
      <c r="C615" s="3">
        <f>IF(OR(INDEX($O$2:$O$1001,MATCH(ROWS($N$2:N615),$N$2:$N$1001,0),1)&gt;=100000,INDEX($U$1005:$AC$1005,1,MATCH(COLUMNS($U$1006:V1006),$U$1006:$AC$1006,0))&gt;=100000), " ",IF(INDEX($U$2:$AC$1001,MATCH(ROWS($N$2:N615),$N$2:$N$1001,0),MATCH(COLUMNS($U$1006:V1006),$U$1006:$AC$1006,0)), HYPERLINK("#",""), HYPERLINK(CONCATENATE("#metadata!", ADDRESS(INDEX($P$2:$P$1001,MATCH(ROWS($N$2:N615),$N$2:$N$1001,0),0), INDEX($U$1004:$AC$1004,1,MATCH(COLUMNS($U$1006:V1006),$U$1006:$AC$1006,0)))),"Fix")))</f>
        <v>0</v>
      </c>
      <c r="D615" s="3">
        <f>IF(OR(INDEX($O$2:$O$1001,MATCH(ROWS($N$2:N615),$N$2:$N$1001,0),1)&gt;=100000,INDEX($U$1005:$AC$1005,1,MATCH(COLUMNS($U$1006:W1006),$U$1006:$AC$1006,0))&gt;=100000), " ",IF(INDEX($U$2:$AC$1001,MATCH(ROWS($N$2:N615),$N$2:$N$1001,0),MATCH(COLUMNS($U$1006:W1006),$U$1006:$AC$1006,0)), HYPERLINK("#",""), HYPERLINK(CONCATENATE("#metadata!", ADDRESS(INDEX($P$2:$P$1001,MATCH(ROWS($N$2:N615),$N$2:$N$1001,0),0), INDEX($U$1004:$AC$1004,1,MATCH(COLUMNS($U$1006:W1006),$U$1006:$AC$1006,0)))),"Fix")))</f>
        <v>0</v>
      </c>
      <c r="E615" s="3">
        <f>IF(OR(INDEX($O$2:$O$1001,MATCH(ROWS($N$2:N615),$N$2:$N$1001,0),1)&gt;=100000,INDEX($U$1005:$AC$1005,1,MATCH(COLUMNS($U$1006:X1006),$U$1006:$AC$1006,0))&gt;=100000), " ",IF(INDEX($U$2:$AC$1001,MATCH(ROWS($N$2:N615),$N$2:$N$1001,0),MATCH(COLUMNS($U$1006:X1006),$U$1006:$AC$1006,0)), HYPERLINK("#",""), HYPERLINK(CONCATENATE("#metadata!", ADDRESS(INDEX($P$2:$P$1001,MATCH(ROWS($N$2:N615),$N$2:$N$1001,0),0), INDEX($U$1004:$AC$1004,1,MATCH(COLUMNS($U$1006:X1006),$U$1006:$AC$1006,0)))),"Fix")))</f>
        <v>0</v>
      </c>
      <c r="F615" s="3">
        <f>IF(OR(INDEX($O$2:$O$1001,MATCH(ROWS($N$2:N615),$N$2:$N$1001,0),1)&gt;=100000,INDEX($U$1005:$AC$1005,1,MATCH(COLUMNS($U$1006:Y1006),$U$1006:$AC$1006,0))&gt;=100000), " ",IF(INDEX($U$2:$AC$1001,MATCH(ROWS($N$2:N615),$N$2:$N$1001,0),MATCH(COLUMNS($U$1006:Y1006),$U$1006:$AC$1006,0)), HYPERLINK("#",""), HYPERLINK(CONCATENATE("#metadata!", ADDRESS(INDEX($P$2:$P$1001,MATCH(ROWS($N$2:N615),$N$2:$N$1001,0),0), INDEX($U$1004:$AC$1004,1,MATCH(COLUMNS($U$1006:Y1006),$U$1006:$AC$1006,0)))),"Fix")))</f>
        <v>0</v>
      </c>
      <c r="G615" s="3">
        <f>IF(OR(INDEX($O$2:$O$1001,MATCH(ROWS($N$2:N615),$N$2:$N$1001,0),1)&gt;=100000,INDEX($U$1005:$AC$1005,1,MATCH(COLUMNS($U$1006:Z1006),$U$1006:$AC$1006,0))&gt;=100000), " ",IF(INDEX($U$2:$AC$1001,MATCH(ROWS($N$2:N615),$N$2:$N$1001,0),MATCH(COLUMNS($U$1006:Z1006),$U$1006:$AC$1006,0)), HYPERLINK("#",""), HYPERLINK(CONCATENATE("#metadata!", ADDRESS(INDEX($P$2:$P$1001,MATCH(ROWS($N$2:N615),$N$2:$N$1001,0),0), INDEX($U$1004:$AC$1004,1,MATCH(COLUMNS($U$1006:Z1006),$U$1006:$AC$1006,0)))),"Fix")))</f>
        <v>0</v>
      </c>
      <c r="H615" s="3">
        <f>IF(OR(INDEX($O$2:$O$1001,MATCH(ROWS($N$2:N615),$N$2:$N$1001,0),1)&gt;=100000,INDEX($U$1005:$AC$1005,1,MATCH(COLUMNS($U$1006:AA1006),$U$1006:$AC$1006,0))&gt;=100000), " ",IF(INDEX($U$2:$AC$1001,MATCH(ROWS($N$2:N615),$N$2:$N$1001,0),MATCH(COLUMNS($U$1006:AA1006),$U$1006:$AC$1006,0)), HYPERLINK("#",""), HYPERLINK(CONCATENATE("#metadata!", ADDRESS(INDEX($P$2:$P$1001,MATCH(ROWS($N$2:N615),$N$2:$N$1001,0),0), INDEX($U$1004:$AC$1004,1,MATCH(COLUMNS($U$1006:AA1006),$U$1006:$AC$1006,0)))),"Fix")))</f>
        <v>0</v>
      </c>
      <c r="I615" s="3">
        <f>IF(OR(INDEX($O$2:$O$1001,MATCH(ROWS($N$2:N615),$N$2:$N$1001,0),1)&gt;=100000,INDEX($U$1005:$AC$1005,1,MATCH(COLUMNS($U$1006:AB1006),$U$1006:$AC$1006,0))&gt;=100000), " ",IF(INDEX($U$2:$AC$1001,MATCH(ROWS($N$2:N615),$N$2:$N$1001,0),MATCH(COLUMNS($U$1006:AB1006),$U$1006:$AC$1006,0)), HYPERLINK("#",""), HYPERLINK(CONCATENATE("#metadata!", ADDRESS(INDEX($P$2:$P$1001,MATCH(ROWS($N$2:N615),$N$2:$N$1001,0),0), INDEX($U$1004:$AC$1004,1,MATCH(COLUMNS($U$1006:AB1006),$U$1006:$AC$1006,0)))),"Fix")))</f>
        <v>0</v>
      </c>
      <c r="J615" s="3">
        <f>IF(OR(INDEX($O$2:$O$1001,MATCH(ROWS($N$2:N615),$N$2:$N$1001,0),1)&gt;=100000,INDEX($U$1005:$AC$1005,1,MATCH(COLUMNS($U$1006:AC1006),$U$1006:$AC$1006,0))&gt;=100000), " ",IF(INDEX($U$2:$AC$1001,MATCH(ROWS($N$2:N615),$N$2:$N$1001,0),MATCH(COLUMNS($U$1006:AC1006),$U$1006:$AC$1006,0)), HYPERLINK("#",""), HYPERLINK(CONCATENATE("#metadata!", ADDRESS(INDEX($P$2:$P$1001,MATCH(ROWS($N$2:N615),$N$2:$N$1001,0),0), INDEX($U$1004:$AC$1004,1,MATCH(COLUMNS($U$1006:AC1006),$U$1006:$AC$1006,0)))),"Fix")))</f>
        <v>0</v>
      </c>
      <c r="N615">
        <v>0</v>
      </c>
      <c r="O615">
        <v>0</v>
      </c>
      <c r="P615">
        <v>0</v>
      </c>
      <c r="Q615">
        <f>IF(R615,TRUE,AND(U615:AC615))</f>
        <v>0</v>
      </c>
      <c r="R615">
        <f>COUNTBLANK(metadata!B615:J615)=COLUMNS(metadata!B615:J615)</f>
        <v>0</v>
      </c>
      <c r="S615">
        <v>0</v>
      </c>
      <c r="U615">
        <f>AND(IF(metadata!B615="",FALSE,TRUE),COUNTIF(metadata!B:B, metadata!B615) = 1,NOT(ISERROR(SUMPRODUCT(SEARCH(MID(metadata!B615,ROW(INDIRECT("1:"&amp;LEN(metadata!B615))), 1),"0123456789abcdefghijklmnopqrstuvwxyzABCDEFGHIJKLMNOPQRSTUVWXYZ.")))))</f>
        <v>0</v>
      </c>
      <c r="V615">
        <f>AND(IF(metadata!C615="",FALSE,TRUE),exact(metadata!C615,"UBERON:genitourinary"))</f>
        <v>0</v>
      </c>
      <c r="W615">
        <f>AND(IF(metadata!D615="",FALSE,TRUE),exact(metadata!D615,"UBERON:urine"))</f>
        <v>0</v>
      </c>
      <c r="X615">
        <f>AND(IF(metadata!E615="",FALSE,TRUE),exact(metadata!E615,"UBERON:kidney"))</f>
        <v>0</v>
      </c>
      <c r="Y615">
        <f>AND(IF(metadata!F615="",FALSE,TRUE),exact(metadata!F615,"animal corpus"))</f>
        <v>0</v>
      </c>
      <c r="Z615">
        <f>AND(IF(metadata!G615="",FALSE,TRUE),exact(metadata!G615,"urine"))</f>
        <v>0</v>
      </c>
      <c r="AA615">
        <f>AND(IF(metadata!H615="",FALSE,TRUE),exact(metadata!H615,"urine"))</f>
        <v>0</v>
      </c>
      <c r="AB615">
        <f>AND(IF(metadata!I615="",FALSE,TRUE),exact(metadata!I615,"urine metagenome"))</f>
        <v>0</v>
      </c>
      <c r="AC615">
        <f>AND(IF(metadata!J615="",FALSE,TRUE),exact(metadata!J615,"1346744"))</f>
        <v>0</v>
      </c>
    </row>
    <row r="616" spans="1:29">
      <c r="A616" s="4">
        <f>IF(B616=" "," ",HYPERLINK(CONCATENATE("#metadata!",ADDRESS(INDEX($P$2:$P$1001,MATCH(ROWS($N$2:N616),$N$2:$N$1001,0),0),1)),INDEX($S$2:$S$1001,MATCH(ROWS($N$2:N616),$N$2:$N$1001,0),0)))</f>
        <v>0</v>
      </c>
      <c r="B616" s="3">
        <f>IF(OR(INDEX($O$2:$O$1001,MATCH(ROWS($N$2:N616),$N$2:$N$1001,0),1)&gt;=100000,INDEX($U$1005:$AC$1005,1,MATCH(COLUMNS($U$1006:U1006),$U$1006:$AC$1006,0))&gt;=100000), " ",IF(INDEX($U$2:$AC$1001,MATCH(ROWS($N$2:N616),$N$2:$N$1001,0),MATCH(COLUMNS($U$1006:U1006),$U$1006:$AC$1006,0)), HYPERLINK("#",""), HYPERLINK(CONCATENATE("#metadata!", ADDRESS(INDEX($P$2:$P$1001,MATCH(ROWS($N$2:N616),$N$2:$N$1001,0),0), INDEX($U$1004:$AC$1004,1,MATCH(COLUMNS($U$1006:U1006),$U$1006:$AC$1006,0)))),"Fix")))</f>
        <v>0</v>
      </c>
      <c r="C616" s="3">
        <f>IF(OR(INDEX($O$2:$O$1001,MATCH(ROWS($N$2:N616),$N$2:$N$1001,0),1)&gt;=100000,INDEX($U$1005:$AC$1005,1,MATCH(COLUMNS($U$1006:V1006),$U$1006:$AC$1006,0))&gt;=100000), " ",IF(INDEX($U$2:$AC$1001,MATCH(ROWS($N$2:N616),$N$2:$N$1001,0),MATCH(COLUMNS($U$1006:V1006),$U$1006:$AC$1006,0)), HYPERLINK("#",""), HYPERLINK(CONCATENATE("#metadata!", ADDRESS(INDEX($P$2:$P$1001,MATCH(ROWS($N$2:N616),$N$2:$N$1001,0),0), INDEX($U$1004:$AC$1004,1,MATCH(COLUMNS($U$1006:V1006),$U$1006:$AC$1006,0)))),"Fix")))</f>
        <v>0</v>
      </c>
      <c r="D616" s="3">
        <f>IF(OR(INDEX($O$2:$O$1001,MATCH(ROWS($N$2:N616),$N$2:$N$1001,0),1)&gt;=100000,INDEX($U$1005:$AC$1005,1,MATCH(COLUMNS($U$1006:W1006),$U$1006:$AC$1006,0))&gt;=100000), " ",IF(INDEX($U$2:$AC$1001,MATCH(ROWS($N$2:N616),$N$2:$N$1001,0),MATCH(COLUMNS($U$1006:W1006),$U$1006:$AC$1006,0)), HYPERLINK("#",""), HYPERLINK(CONCATENATE("#metadata!", ADDRESS(INDEX($P$2:$P$1001,MATCH(ROWS($N$2:N616),$N$2:$N$1001,0),0), INDEX($U$1004:$AC$1004,1,MATCH(COLUMNS($U$1006:W1006),$U$1006:$AC$1006,0)))),"Fix")))</f>
        <v>0</v>
      </c>
      <c r="E616" s="3">
        <f>IF(OR(INDEX($O$2:$O$1001,MATCH(ROWS($N$2:N616),$N$2:$N$1001,0),1)&gt;=100000,INDEX($U$1005:$AC$1005,1,MATCH(COLUMNS($U$1006:X1006),$U$1006:$AC$1006,0))&gt;=100000), " ",IF(INDEX($U$2:$AC$1001,MATCH(ROWS($N$2:N616),$N$2:$N$1001,0),MATCH(COLUMNS($U$1006:X1006),$U$1006:$AC$1006,0)), HYPERLINK("#",""), HYPERLINK(CONCATENATE("#metadata!", ADDRESS(INDEX($P$2:$P$1001,MATCH(ROWS($N$2:N616),$N$2:$N$1001,0),0), INDEX($U$1004:$AC$1004,1,MATCH(COLUMNS($U$1006:X1006),$U$1006:$AC$1006,0)))),"Fix")))</f>
        <v>0</v>
      </c>
      <c r="F616" s="3">
        <f>IF(OR(INDEX($O$2:$O$1001,MATCH(ROWS($N$2:N616),$N$2:$N$1001,0),1)&gt;=100000,INDEX($U$1005:$AC$1005,1,MATCH(COLUMNS($U$1006:Y1006),$U$1006:$AC$1006,0))&gt;=100000), " ",IF(INDEX($U$2:$AC$1001,MATCH(ROWS($N$2:N616),$N$2:$N$1001,0),MATCH(COLUMNS($U$1006:Y1006),$U$1006:$AC$1006,0)), HYPERLINK("#",""), HYPERLINK(CONCATENATE("#metadata!", ADDRESS(INDEX($P$2:$P$1001,MATCH(ROWS($N$2:N616),$N$2:$N$1001,0),0), INDEX($U$1004:$AC$1004,1,MATCH(COLUMNS($U$1006:Y1006),$U$1006:$AC$1006,0)))),"Fix")))</f>
        <v>0</v>
      </c>
      <c r="G616" s="3">
        <f>IF(OR(INDEX($O$2:$O$1001,MATCH(ROWS($N$2:N616),$N$2:$N$1001,0),1)&gt;=100000,INDEX($U$1005:$AC$1005,1,MATCH(COLUMNS($U$1006:Z1006),$U$1006:$AC$1006,0))&gt;=100000), " ",IF(INDEX($U$2:$AC$1001,MATCH(ROWS($N$2:N616),$N$2:$N$1001,0),MATCH(COLUMNS($U$1006:Z1006),$U$1006:$AC$1006,0)), HYPERLINK("#",""), HYPERLINK(CONCATENATE("#metadata!", ADDRESS(INDEX($P$2:$P$1001,MATCH(ROWS($N$2:N616),$N$2:$N$1001,0),0), INDEX($U$1004:$AC$1004,1,MATCH(COLUMNS($U$1006:Z1006),$U$1006:$AC$1006,0)))),"Fix")))</f>
        <v>0</v>
      </c>
      <c r="H616" s="3">
        <f>IF(OR(INDEX($O$2:$O$1001,MATCH(ROWS($N$2:N616),$N$2:$N$1001,0),1)&gt;=100000,INDEX($U$1005:$AC$1005,1,MATCH(COLUMNS($U$1006:AA1006),$U$1006:$AC$1006,0))&gt;=100000), " ",IF(INDEX($U$2:$AC$1001,MATCH(ROWS($N$2:N616),$N$2:$N$1001,0),MATCH(COLUMNS($U$1006:AA1006),$U$1006:$AC$1006,0)), HYPERLINK("#",""), HYPERLINK(CONCATENATE("#metadata!", ADDRESS(INDEX($P$2:$P$1001,MATCH(ROWS($N$2:N616),$N$2:$N$1001,0),0), INDEX($U$1004:$AC$1004,1,MATCH(COLUMNS($U$1006:AA1006),$U$1006:$AC$1006,0)))),"Fix")))</f>
        <v>0</v>
      </c>
      <c r="I616" s="3">
        <f>IF(OR(INDEX($O$2:$O$1001,MATCH(ROWS($N$2:N616),$N$2:$N$1001,0),1)&gt;=100000,INDEX($U$1005:$AC$1005,1,MATCH(COLUMNS($U$1006:AB1006),$U$1006:$AC$1006,0))&gt;=100000), " ",IF(INDEX($U$2:$AC$1001,MATCH(ROWS($N$2:N616),$N$2:$N$1001,0),MATCH(COLUMNS($U$1006:AB1006),$U$1006:$AC$1006,0)), HYPERLINK("#",""), HYPERLINK(CONCATENATE("#metadata!", ADDRESS(INDEX($P$2:$P$1001,MATCH(ROWS($N$2:N616),$N$2:$N$1001,0),0), INDEX($U$1004:$AC$1004,1,MATCH(COLUMNS($U$1006:AB1006),$U$1006:$AC$1006,0)))),"Fix")))</f>
        <v>0</v>
      </c>
      <c r="J616" s="3">
        <f>IF(OR(INDEX($O$2:$O$1001,MATCH(ROWS($N$2:N616),$N$2:$N$1001,0),1)&gt;=100000,INDEX($U$1005:$AC$1005,1,MATCH(COLUMNS($U$1006:AC1006),$U$1006:$AC$1006,0))&gt;=100000), " ",IF(INDEX($U$2:$AC$1001,MATCH(ROWS($N$2:N616),$N$2:$N$1001,0),MATCH(COLUMNS($U$1006:AC1006),$U$1006:$AC$1006,0)), HYPERLINK("#",""), HYPERLINK(CONCATENATE("#metadata!", ADDRESS(INDEX($P$2:$P$1001,MATCH(ROWS($N$2:N616),$N$2:$N$1001,0),0), INDEX($U$1004:$AC$1004,1,MATCH(COLUMNS($U$1006:AC1006),$U$1006:$AC$1006,0)))),"Fix")))</f>
        <v>0</v>
      </c>
      <c r="N616">
        <v>0</v>
      </c>
      <c r="O616">
        <v>0</v>
      </c>
      <c r="P616">
        <v>0</v>
      </c>
      <c r="Q616">
        <f>IF(R616,TRUE,AND(U616:AC616))</f>
        <v>0</v>
      </c>
      <c r="R616">
        <f>COUNTBLANK(metadata!B616:J616)=COLUMNS(metadata!B616:J616)</f>
        <v>0</v>
      </c>
      <c r="S616">
        <v>0</v>
      </c>
      <c r="U616">
        <f>AND(IF(metadata!B616="",FALSE,TRUE),COUNTIF(metadata!B:B, metadata!B616) = 1,NOT(ISERROR(SUMPRODUCT(SEARCH(MID(metadata!B616,ROW(INDIRECT("1:"&amp;LEN(metadata!B616))), 1),"0123456789abcdefghijklmnopqrstuvwxyzABCDEFGHIJKLMNOPQRSTUVWXYZ.")))))</f>
        <v>0</v>
      </c>
      <c r="V616">
        <f>AND(IF(metadata!C616="",FALSE,TRUE),exact(metadata!C616,"UBERON:genitourinary"))</f>
        <v>0</v>
      </c>
      <c r="W616">
        <f>AND(IF(metadata!D616="",FALSE,TRUE),exact(metadata!D616,"UBERON:urine"))</f>
        <v>0</v>
      </c>
      <c r="X616">
        <f>AND(IF(metadata!E616="",FALSE,TRUE),exact(metadata!E616,"UBERON:kidney"))</f>
        <v>0</v>
      </c>
      <c r="Y616">
        <f>AND(IF(metadata!F616="",FALSE,TRUE),exact(metadata!F616,"animal corpus"))</f>
        <v>0</v>
      </c>
      <c r="Z616">
        <f>AND(IF(metadata!G616="",FALSE,TRUE),exact(metadata!G616,"urine"))</f>
        <v>0</v>
      </c>
      <c r="AA616">
        <f>AND(IF(metadata!H616="",FALSE,TRUE),exact(metadata!H616,"urine"))</f>
        <v>0</v>
      </c>
      <c r="AB616">
        <f>AND(IF(metadata!I616="",FALSE,TRUE),exact(metadata!I616,"urine metagenome"))</f>
        <v>0</v>
      </c>
      <c r="AC616">
        <f>AND(IF(metadata!J616="",FALSE,TRUE),exact(metadata!J616,"1346744"))</f>
        <v>0</v>
      </c>
    </row>
    <row r="617" spans="1:29">
      <c r="A617" s="4">
        <f>IF(B617=" "," ",HYPERLINK(CONCATENATE("#metadata!",ADDRESS(INDEX($P$2:$P$1001,MATCH(ROWS($N$2:N617),$N$2:$N$1001,0),0),1)),INDEX($S$2:$S$1001,MATCH(ROWS($N$2:N617),$N$2:$N$1001,0),0)))</f>
        <v>0</v>
      </c>
      <c r="B617" s="3">
        <f>IF(OR(INDEX($O$2:$O$1001,MATCH(ROWS($N$2:N617),$N$2:$N$1001,0),1)&gt;=100000,INDEX($U$1005:$AC$1005,1,MATCH(COLUMNS($U$1006:U1006),$U$1006:$AC$1006,0))&gt;=100000), " ",IF(INDEX($U$2:$AC$1001,MATCH(ROWS($N$2:N617),$N$2:$N$1001,0),MATCH(COLUMNS($U$1006:U1006),$U$1006:$AC$1006,0)), HYPERLINK("#",""), HYPERLINK(CONCATENATE("#metadata!", ADDRESS(INDEX($P$2:$P$1001,MATCH(ROWS($N$2:N617),$N$2:$N$1001,0),0), INDEX($U$1004:$AC$1004,1,MATCH(COLUMNS($U$1006:U1006),$U$1006:$AC$1006,0)))),"Fix")))</f>
        <v>0</v>
      </c>
      <c r="C617" s="3">
        <f>IF(OR(INDEX($O$2:$O$1001,MATCH(ROWS($N$2:N617),$N$2:$N$1001,0),1)&gt;=100000,INDEX($U$1005:$AC$1005,1,MATCH(COLUMNS($U$1006:V1006),$U$1006:$AC$1006,0))&gt;=100000), " ",IF(INDEX($U$2:$AC$1001,MATCH(ROWS($N$2:N617),$N$2:$N$1001,0),MATCH(COLUMNS($U$1006:V1006),$U$1006:$AC$1006,0)), HYPERLINK("#",""), HYPERLINK(CONCATENATE("#metadata!", ADDRESS(INDEX($P$2:$P$1001,MATCH(ROWS($N$2:N617),$N$2:$N$1001,0),0), INDEX($U$1004:$AC$1004,1,MATCH(COLUMNS($U$1006:V1006),$U$1006:$AC$1006,0)))),"Fix")))</f>
        <v>0</v>
      </c>
      <c r="D617" s="3">
        <f>IF(OR(INDEX($O$2:$O$1001,MATCH(ROWS($N$2:N617),$N$2:$N$1001,0),1)&gt;=100000,INDEX($U$1005:$AC$1005,1,MATCH(COLUMNS($U$1006:W1006),$U$1006:$AC$1006,0))&gt;=100000), " ",IF(INDEX($U$2:$AC$1001,MATCH(ROWS($N$2:N617),$N$2:$N$1001,0),MATCH(COLUMNS($U$1006:W1006),$U$1006:$AC$1006,0)), HYPERLINK("#",""), HYPERLINK(CONCATENATE("#metadata!", ADDRESS(INDEX($P$2:$P$1001,MATCH(ROWS($N$2:N617),$N$2:$N$1001,0),0), INDEX($U$1004:$AC$1004,1,MATCH(COLUMNS($U$1006:W1006),$U$1006:$AC$1006,0)))),"Fix")))</f>
        <v>0</v>
      </c>
      <c r="E617" s="3">
        <f>IF(OR(INDEX($O$2:$O$1001,MATCH(ROWS($N$2:N617),$N$2:$N$1001,0),1)&gt;=100000,INDEX($U$1005:$AC$1005,1,MATCH(COLUMNS($U$1006:X1006),$U$1006:$AC$1006,0))&gt;=100000), " ",IF(INDEX($U$2:$AC$1001,MATCH(ROWS($N$2:N617),$N$2:$N$1001,0),MATCH(COLUMNS($U$1006:X1006),$U$1006:$AC$1006,0)), HYPERLINK("#",""), HYPERLINK(CONCATENATE("#metadata!", ADDRESS(INDEX($P$2:$P$1001,MATCH(ROWS($N$2:N617),$N$2:$N$1001,0),0), INDEX($U$1004:$AC$1004,1,MATCH(COLUMNS($U$1006:X1006),$U$1006:$AC$1006,0)))),"Fix")))</f>
        <v>0</v>
      </c>
      <c r="F617" s="3">
        <f>IF(OR(INDEX($O$2:$O$1001,MATCH(ROWS($N$2:N617),$N$2:$N$1001,0),1)&gt;=100000,INDEX($U$1005:$AC$1005,1,MATCH(COLUMNS($U$1006:Y1006),$U$1006:$AC$1006,0))&gt;=100000), " ",IF(INDEX($U$2:$AC$1001,MATCH(ROWS($N$2:N617),$N$2:$N$1001,0),MATCH(COLUMNS($U$1006:Y1006),$U$1006:$AC$1006,0)), HYPERLINK("#",""), HYPERLINK(CONCATENATE("#metadata!", ADDRESS(INDEX($P$2:$P$1001,MATCH(ROWS($N$2:N617),$N$2:$N$1001,0),0), INDEX($U$1004:$AC$1004,1,MATCH(COLUMNS($U$1006:Y1006),$U$1006:$AC$1006,0)))),"Fix")))</f>
        <v>0</v>
      </c>
      <c r="G617" s="3">
        <f>IF(OR(INDEX($O$2:$O$1001,MATCH(ROWS($N$2:N617),$N$2:$N$1001,0),1)&gt;=100000,INDEX($U$1005:$AC$1005,1,MATCH(COLUMNS($U$1006:Z1006),$U$1006:$AC$1006,0))&gt;=100000), " ",IF(INDEX($U$2:$AC$1001,MATCH(ROWS($N$2:N617),$N$2:$N$1001,0),MATCH(COLUMNS($U$1006:Z1006),$U$1006:$AC$1006,0)), HYPERLINK("#",""), HYPERLINK(CONCATENATE("#metadata!", ADDRESS(INDEX($P$2:$P$1001,MATCH(ROWS($N$2:N617),$N$2:$N$1001,0),0), INDEX($U$1004:$AC$1004,1,MATCH(COLUMNS($U$1006:Z1006),$U$1006:$AC$1006,0)))),"Fix")))</f>
        <v>0</v>
      </c>
      <c r="H617" s="3">
        <f>IF(OR(INDEX($O$2:$O$1001,MATCH(ROWS($N$2:N617),$N$2:$N$1001,0),1)&gt;=100000,INDEX($U$1005:$AC$1005,1,MATCH(COLUMNS($U$1006:AA1006),$U$1006:$AC$1006,0))&gt;=100000), " ",IF(INDEX($U$2:$AC$1001,MATCH(ROWS($N$2:N617),$N$2:$N$1001,0),MATCH(COLUMNS($U$1006:AA1006),$U$1006:$AC$1006,0)), HYPERLINK("#",""), HYPERLINK(CONCATENATE("#metadata!", ADDRESS(INDEX($P$2:$P$1001,MATCH(ROWS($N$2:N617),$N$2:$N$1001,0),0), INDEX($U$1004:$AC$1004,1,MATCH(COLUMNS($U$1006:AA1006),$U$1006:$AC$1006,0)))),"Fix")))</f>
        <v>0</v>
      </c>
      <c r="I617" s="3">
        <f>IF(OR(INDEX($O$2:$O$1001,MATCH(ROWS($N$2:N617),$N$2:$N$1001,0),1)&gt;=100000,INDEX($U$1005:$AC$1005,1,MATCH(COLUMNS($U$1006:AB1006),$U$1006:$AC$1006,0))&gt;=100000), " ",IF(INDEX($U$2:$AC$1001,MATCH(ROWS($N$2:N617),$N$2:$N$1001,0),MATCH(COLUMNS($U$1006:AB1006),$U$1006:$AC$1006,0)), HYPERLINK("#",""), HYPERLINK(CONCATENATE("#metadata!", ADDRESS(INDEX($P$2:$P$1001,MATCH(ROWS($N$2:N617),$N$2:$N$1001,0),0), INDEX($U$1004:$AC$1004,1,MATCH(COLUMNS($U$1006:AB1006),$U$1006:$AC$1006,0)))),"Fix")))</f>
        <v>0</v>
      </c>
      <c r="J617" s="3">
        <f>IF(OR(INDEX($O$2:$O$1001,MATCH(ROWS($N$2:N617),$N$2:$N$1001,0),1)&gt;=100000,INDEX($U$1005:$AC$1005,1,MATCH(COLUMNS($U$1006:AC1006),$U$1006:$AC$1006,0))&gt;=100000), " ",IF(INDEX($U$2:$AC$1001,MATCH(ROWS($N$2:N617),$N$2:$N$1001,0),MATCH(COLUMNS($U$1006:AC1006),$U$1006:$AC$1006,0)), HYPERLINK("#",""), HYPERLINK(CONCATENATE("#metadata!", ADDRESS(INDEX($P$2:$P$1001,MATCH(ROWS($N$2:N617),$N$2:$N$1001,0),0), INDEX($U$1004:$AC$1004,1,MATCH(COLUMNS($U$1006:AC1006),$U$1006:$AC$1006,0)))),"Fix")))</f>
        <v>0</v>
      </c>
      <c r="N617">
        <v>0</v>
      </c>
      <c r="O617">
        <v>0</v>
      </c>
      <c r="P617">
        <v>0</v>
      </c>
      <c r="Q617">
        <f>IF(R617,TRUE,AND(U617:AC617))</f>
        <v>0</v>
      </c>
      <c r="R617">
        <f>COUNTBLANK(metadata!B617:J617)=COLUMNS(metadata!B617:J617)</f>
        <v>0</v>
      </c>
      <c r="S617">
        <v>0</v>
      </c>
      <c r="U617">
        <f>AND(IF(metadata!B617="",FALSE,TRUE),COUNTIF(metadata!B:B, metadata!B617) = 1,NOT(ISERROR(SUMPRODUCT(SEARCH(MID(metadata!B617,ROW(INDIRECT("1:"&amp;LEN(metadata!B617))), 1),"0123456789abcdefghijklmnopqrstuvwxyzABCDEFGHIJKLMNOPQRSTUVWXYZ.")))))</f>
        <v>0</v>
      </c>
      <c r="V617">
        <f>AND(IF(metadata!C617="",FALSE,TRUE),exact(metadata!C617,"UBERON:genitourinary"))</f>
        <v>0</v>
      </c>
      <c r="W617">
        <f>AND(IF(metadata!D617="",FALSE,TRUE),exact(metadata!D617,"UBERON:urine"))</f>
        <v>0</v>
      </c>
      <c r="X617">
        <f>AND(IF(metadata!E617="",FALSE,TRUE),exact(metadata!E617,"UBERON:kidney"))</f>
        <v>0</v>
      </c>
      <c r="Y617">
        <f>AND(IF(metadata!F617="",FALSE,TRUE),exact(metadata!F617,"animal corpus"))</f>
        <v>0</v>
      </c>
      <c r="Z617">
        <f>AND(IF(metadata!G617="",FALSE,TRUE),exact(metadata!G617,"urine"))</f>
        <v>0</v>
      </c>
      <c r="AA617">
        <f>AND(IF(metadata!H617="",FALSE,TRUE),exact(metadata!H617,"urine"))</f>
        <v>0</v>
      </c>
      <c r="AB617">
        <f>AND(IF(metadata!I617="",FALSE,TRUE),exact(metadata!I617,"urine metagenome"))</f>
        <v>0</v>
      </c>
      <c r="AC617">
        <f>AND(IF(metadata!J617="",FALSE,TRUE),exact(metadata!J617,"1346744"))</f>
        <v>0</v>
      </c>
    </row>
    <row r="618" spans="1:29">
      <c r="A618" s="4">
        <f>IF(B618=" "," ",HYPERLINK(CONCATENATE("#metadata!",ADDRESS(INDEX($P$2:$P$1001,MATCH(ROWS($N$2:N618),$N$2:$N$1001,0),0),1)),INDEX($S$2:$S$1001,MATCH(ROWS($N$2:N618),$N$2:$N$1001,0),0)))</f>
        <v>0</v>
      </c>
      <c r="B618" s="3">
        <f>IF(OR(INDEX($O$2:$O$1001,MATCH(ROWS($N$2:N618),$N$2:$N$1001,0),1)&gt;=100000,INDEX($U$1005:$AC$1005,1,MATCH(COLUMNS($U$1006:U1006),$U$1006:$AC$1006,0))&gt;=100000), " ",IF(INDEX($U$2:$AC$1001,MATCH(ROWS($N$2:N618),$N$2:$N$1001,0),MATCH(COLUMNS($U$1006:U1006),$U$1006:$AC$1006,0)), HYPERLINK("#",""), HYPERLINK(CONCATENATE("#metadata!", ADDRESS(INDEX($P$2:$P$1001,MATCH(ROWS($N$2:N618),$N$2:$N$1001,0),0), INDEX($U$1004:$AC$1004,1,MATCH(COLUMNS($U$1006:U1006),$U$1006:$AC$1006,0)))),"Fix")))</f>
        <v>0</v>
      </c>
      <c r="C618" s="3">
        <f>IF(OR(INDEX($O$2:$O$1001,MATCH(ROWS($N$2:N618),$N$2:$N$1001,0),1)&gt;=100000,INDEX($U$1005:$AC$1005,1,MATCH(COLUMNS($U$1006:V1006),$U$1006:$AC$1006,0))&gt;=100000), " ",IF(INDEX($U$2:$AC$1001,MATCH(ROWS($N$2:N618),$N$2:$N$1001,0),MATCH(COLUMNS($U$1006:V1006),$U$1006:$AC$1006,0)), HYPERLINK("#",""), HYPERLINK(CONCATENATE("#metadata!", ADDRESS(INDEX($P$2:$P$1001,MATCH(ROWS($N$2:N618),$N$2:$N$1001,0),0), INDEX($U$1004:$AC$1004,1,MATCH(COLUMNS($U$1006:V1006),$U$1006:$AC$1006,0)))),"Fix")))</f>
        <v>0</v>
      </c>
      <c r="D618" s="3">
        <f>IF(OR(INDEX($O$2:$O$1001,MATCH(ROWS($N$2:N618),$N$2:$N$1001,0),1)&gt;=100000,INDEX($U$1005:$AC$1005,1,MATCH(COLUMNS($U$1006:W1006),$U$1006:$AC$1006,0))&gt;=100000), " ",IF(INDEX($U$2:$AC$1001,MATCH(ROWS($N$2:N618),$N$2:$N$1001,0),MATCH(COLUMNS($U$1006:W1006),$U$1006:$AC$1006,0)), HYPERLINK("#",""), HYPERLINK(CONCATENATE("#metadata!", ADDRESS(INDEX($P$2:$P$1001,MATCH(ROWS($N$2:N618),$N$2:$N$1001,0),0), INDEX($U$1004:$AC$1004,1,MATCH(COLUMNS($U$1006:W1006),$U$1006:$AC$1006,0)))),"Fix")))</f>
        <v>0</v>
      </c>
      <c r="E618" s="3">
        <f>IF(OR(INDEX($O$2:$O$1001,MATCH(ROWS($N$2:N618),$N$2:$N$1001,0),1)&gt;=100000,INDEX($U$1005:$AC$1005,1,MATCH(COLUMNS($U$1006:X1006),$U$1006:$AC$1006,0))&gt;=100000), " ",IF(INDEX($U$2:$AC$1001,MATCH(ROWS($N$2:N618),$N$2:$N$1001,0),MATCH(COLUMNS($U$1006:X1006),$U$1006:$AC$1006,0)), HYPERLINK("#",""), HYPERLINK(CONCATENATE("#metadata!", ADDRESS(INDEX($P$2:$P$1001,MATCH(ROWS($N$2:N618),$N$2:$N$1001,0),0), INDEX($U$1004:$AC$1004,1,MATCH(COLUMNS($U$1006:X1006),$U$1006:$AC$1006,0)))),"Fix")))</f>
        <v>0</v>
      </c>
      <c r="F618" s="3">
        <f>IF(OR(INDEX($O$2:$O$1001,MATCH(ROWS($N$2:N618),$N$2:$N$1001,0),1)&gt;=100000,INDEX($U$1005:$AC$1005,1,MATCH(COLUMNS($U$1006:Y1006),$U$1006:$AC$1006,0))&gt;=100000), " ",IF(INDEX($U$2:$AC$1001,MATCH(ROWS($N$2:N618),$N$2:$N$1001,0),MATCH(COLUMNS($U$1006:Y1006),$U$1006:$AC$1006,0)), HYPERLINK("#",""), HYPERLINK(CONCATENATE("#metadata!", ADDRESS(INDEX($P$2:$P$1001,MATCH(ROWS($N$2:N618),$N$2:$N$1001,0),0), INDEX($U$1004:$AC$1004,1,MATCH(COLUMNS($U$1006:Y1006),$U$1006:$AC$1006,0)))),"Fix")))</f>
        <v>0</v>
      </c>
      <c r="G618" s="3">
        <f>IF(OR(INDEX($O$2:$O$1001,MATCH(ROWS($N$2:N618),$N$2:$N$1001,0),1)&gt;=100000,INDEX($U$1005:$AC$1005,1,MATCH(COLUMNS($U$1006:Z1006),$U$1006:$AC$1006,0))&gt;=100000), " ",IF(INDEX($U$2:$AC$1001,MATCH(ROWS($N$2:N618),$N$2:$N$1001,0),MATCH(COLUMNS($U$1006:Z1006),$U$1006:$AC$1006,0)), HYPERLINK("#",""), HYPERLINK(CONCATENATE("#metadata!", ADDRESS(INDEX($P$2:$P$1001,MATCH(ROWS($N$2:N618),$N$2:$N$1001,0),0), INDEX($U$1004:$AC$1004,1,MATCH(COLUMNS($U$1006:Z1006),$U$1006:$AC$1006,0)))),"Fix")))</f>
        <v>0</v>
      </c>
      <c r="H618" s="3">
        <f>IF(OR(INDEX($O$2:$O$1001,MATCH(ROWS($N$2:N618),$N$2:$N$1001,0),1)&gt;=100000,INDEX($U$1005:$AC$1005,1,MATCH(COLUMNS($U$1006:AA1006),$U$1006:$AC$1006,0))&gt;=100000), " ",IF(INDEX($U$2:$AC$1001,MATCH(ROWS($N$2:N618),$N$2:$N$1001,0),MATCH(COLUMNS($U$1006:AA1006),$U$1006:$AC$1006,0)), HYPERLINK("#",""), HYPERLINK(CONCATENATE("#metadata!", ADDRESS(INDEX($P$2:$P$1001,MATCH(ROWS($N$2:N618),$N$2:$N$1001,0),0), INDEX($U$1004:$AC$1004,1,MATCH(COLUMNS($U$1006:AA1006),$U$1006:$AC$1006,0)))),"Fix")))</f>
        <v>0</v>
      </c>
      <c r="I618" s="3">
        <f>IF(OR(INDEX($O$2:$O$1001,MATCH(ROWS($N$2:N618),$N$2:$N$1001,0),1)&gt;=100000,INDEX($U$1005:$AC$1005,1,MATCH(COLUMNS($U$1006:AB1006),$U$1006:$AC$1006,0))&gt;=100000), " ",IF(INDEX($U$2:$AC$1001,MATCH(ROWS($N$2:N618),$N$2:$N$1001,0),MATCH(COLUMNS($U$1006:AB1006),$U$1006:$AC$1006,0)), HYPERLINK("#",""), HYPERLINK(CONCATENATE("#metadata!", ADDRESS(INDEX($P$2:$P$1001,MATCH(ROWS($N$2:N618),$N$2:$N$1001,0),0), INDEX($U$1004:$AC$1004,1,MATCH(COLUMNS($U$1006:AB1006),$U$1006:$AC$1006,0)))),"Fix")))</f>
        <v>0</v>
      </c>
      <c r="J618" s="3">
        <f>IF(OR(INDEX($O$2:$O$1001,MATCH(ROWS($N$2:N618),$N$2:$N$1001,0),1)&gt;=100000,INDEX($U$1005:$AC$1005,1,MATCH(COLUMNS($U$1006:AC1006),$U$1006:$AC$1006,0))&gt;=100000), " ",IF(INDEX($U$2:$AC$1001,MATCH(ROWS($N$2:N618),$N$2:$N$1001,0),MATCH(COLUMNS($U$1006:AC1006),$U$1006:$AC$1006,0)), HYPERLINK("#",""), HYPERLINK(CONCATENATE("#metadata!", ADDRESS(INDEX($P$2:$P$1001,MATCH(ROWS($N$2:N618),$N$2:$N$1001,0),0), INDEX($U$1004:$AC$1004,1,MATCH(COLUMNS($U$1006:AC1006),$U$1006:$AC$1006,0)))),"Fix")))</f>
        <v>0</v>
      </c>
      <c r="N618">
        <v>0</v>
      </c>
      <c r="O618">
        <v>0</v>
      </c>
      <c r="P618">
        <v>0</v>
      </c>
      <c r="Q618">
        <f>IF(R618,TRUE,AND(U618:AC618))</f>
        <v>0</v>
      </c>
      <c r="R618">
        <f>COUNTBLANK(metadata!B618:J618)=COLUMNS(metadata!B618:J618)</f>
        <v>0</v>
      </c>
      <c r="S618">
        <v>0</v>
      </c>
      <c r="U618">
        <f>AND(IF(metadata!B618="",FALSE,TRUE),COUNTIF(metadata!B:B, metadata!B618) = 1,NOT(ISERROR(SUMPRODUCT(SEARCH(MID(metadata!B618,ROW(INDIRECT("1:"&amp;LEN(metadata!B618))), 1),"0123456789abcdefghijklmnopqrstuvwxyzABCDEFGHIJKLMNOPQRSTUVWXYZ.")))))</f>
        <v>0</v>
      </c>
      <c r="V618">
        <f>AND(IF(metadata!C618="",FALSE,TRUE),exact(metadata!C618,"UBERON:genitourinary"))</f>
        <v>0</v>
      </c>
      <c r="W618">
        <f>AND(IF(metadata!D618="",FALSE,TRUE),exact(metadata!D618,"UBERON:urine"))</f>
        <v>0</v>
      </c>
      <c r="X618">
        <f>AND(IF(metadata!E618="",FALSE,TRUE),exact(metadata!E618,"UBERON:kidney"))</f>
        <v>0</v>
      </c>
      <c r="Y618">
        <f>AND(IF(metadata!F618="",FALSE,TRUE),exact(metadata!F618,"animal corpus"))</f>
        <v>0</v>
      </c>
      <c r="Z618">
        <f>AND(IF(metadata!G618="",FALSE,TRUE),exact(metadata!G618,"urine"))</f>
        <v>0</v>
      </c>
      <c r="AA618">
        <f>AND(IF(metadata!H618="",FALSE,TRUE),exact(metadata!H618,"urine"))</f>
        <v>0</v>
      </c>
      <c r="AB618">
        <f>AND(IF(metadata!I618="",FALSE,TRUE),exact(metadata!I618,"urine metagenome"))</f>
        <v>0</v>
      </c>
      <c r="AC618">
        <f>AND(IF(metadata!J618="",FALSE,TRUE),exact(metadata!J618,"1346744"))</f>
        <v>0</v>
      </c>
    </row>
    <row r="619" spans="1:29">
      <c r="A619" s="4">
        <f>IF(B619=" "," ",HYPERLINK(CONCATENATE("#metadata!",ADDRESS(INDEX($P$2:$P$1001,MATCH(ROWS($N$2:N619),$N$2:$N$1001,0),0),1)),INDEX($S$2:$S$1001,MATCH(ROWS($N$2:N619),$N$2:$N$1001,0),0)))</f>
        <v>0</v>
      </c>
      <c r="B619" s="3">
        <f>IF(OR(INDEX($O$2:$O$1001,MATCH(ROWS($N$2:N619),$N$2:$N$1001,0),1)&gt;=100000,INDEX($U$1005:$AC$1005,1,MATCH(COLUMNS($U$1006:U1006),$U$1006:$AC$1006,0))&gt;=100000), " ",IF(INDEX($U$2:$AC$1001,MATCH(ROWS($N$2:N619),$N$2:$N$1001,0),MATCH(COLUMNS($U$1006:U1006),$U$1006:$AC$1006,0)), HYPERLINK("#",""), HYPERLINK(CONCATENATE("#metadata!", ADDRESS(INDEX($P$2:$P$1001,MATCH(ROWS($N$2:N619),$N$2:$N$1001,0),0), INDEX($U$1004:$AC$1004,1,MATCH(COLUMNS($U$1006:U1006),$U$1006:$AC$1006,0)))),"Fix")))</f>
        <v>0</v>
      </c>
      <c r="C619" s="3">
        <f>IF(OR(INDEX($O$2:$O$1001,MATCH(ROWS($N$2:N619),$N$2:$N$1001,0),1)&gt;=100000,INDEX($U$1005:$AC$1005,1,MATCH(COLUMNS($U$1006:V1006),$U$1006:$AC$1006,0))&gt;=100000), " ",IF(INDEX($U$2:$AC$1001,MATCH(ROWS($N$2:N619),$N$2:$N$1001,0),MATCH(COLUMNS($U$1006:V1006),$U$1006:$AC$1006,0)), HYPERLINK("#",""), HYPERLINK(CONCATENATE("#metadata!", ADDRESS(INDEX($P$2:$P$1001,MATCH(ROWS($N$2:N619),$N$2:$N$1001,0),0), INDEX($U$1004:$AC$1004,1,MATCH(COLUMNS($U$1006:V1006),$U$1006:$AC$1006,0)))),"Fix")))</f>
        <v>0</v>
      </c>
      <c r="D619" s="3">
        <f>IF(OR(INDEX($O$2:$O$1001,MATCH(ROWS($N$2:N619),$N$2:$N$1001,0),1)&gt;=100000,INDEX($U$1005:$AC$1005,1,MATCH(COLUMNS($U$1006:W1006),$U$1006:$AC$1006,0))&gt;=100000), " ",IF(INDEX($U$2:$AC$1001,MATCH(ROWS($N$2:N619),$N$2:$N$1001,0),MATCH(COLUMNS($U$1006:W1006),$U$1006:$AC$1006,0)), HYPERLINK("#",""), HYPERLINK(CONCATENATE("#metadata!", ADDRESS(INDEX($P$2:$P$1001,MATCH(ROWS($N$2:N619),$N$2:$N$1001,0),0), INDEX($U$1004:$AC$1004,1,MATCH(COLUMNS($U$1006:W1006),$U$1006:$AC$1006,0)))),"Fix")))</f>
        <v>0</v>
      </c>
      <c r="E619" s="3">
        <f>IF(OR(INDEX($O$2:$O$1001,MATCH(ROWS($N$2:N619),$N$2:$N$1001,0),1)&gt;=100000,INDEX($U$1005:$AC$1005,1,MATCH(COLUMNS($U$1006:X1006),$U$1006:$AC$1006,0))&gt;=100000), " ",IF(INDEX($U$2:$AC$1001,MATCH(ROWS($N$2:N619),$N$2:$N$1001,0),MATCH(COLUMNS($U$1006:X1006),$U$1006:$AC$1006,0)), HYPERLINK("#",""), HYPERLINK(CONCATENATE("#metadata!", ADDRESS(INDEX($P$2:$P$1001,MATCH(ROWS($N$2:N619),$N$2:$N$1001,0),0), INDEX($U$1004:$AC$1004,1,MATCH(COLUMNS($U$1006:X1006),$U$1006:$AC$1006,0)))),"Fix")))</f>
        <v>0</v>
      </c>
      <c r="F619" s="3">
        <f>IF(OR(INDEX($O$2:$O$1001,MATCH(ROWS($N$2:N619),$N$2:$N$1001,0),1)&gt;=100000,INDEX($U$1005:$AC$1005,1,MATCH(COLUMNS($U$1006:Y1006),$U$1006:$AC$1006,0))&gt;=100000), " ",IF(INDEX($U$2:$AC$1001,MATCH(ROWS($N$2:N619),$N$2:$N$1001,0),MATCH(COLUMNS($U$1006:Y1006),$U$1006:$AC$1006,0)), HYPERLINK("#",""), HYPERLINK(CONCATENATE("#metadata!", ADDRESS(INDEX($P$2:$P$1001,MATCH(ROWS($N$2:N619),$N$2:$N$1001,0),0), INDEX($U$1004:$AC$1004,1,MATCH(COLUMNS($U$1006:Y1006),$U$1006:$AC$1006,0)))),"Fix")))</f>
        <v>0</v>
      </c>
      <c r="G619" s="3">
        <f>IF(OR(INDEX($O$2:$O$1001,MATCH(ROWS($N$2:N619),$N$2:$N$1001,0),1)&gt;=100000,INDEX($U$1005:$AC$1005,1,MATCH(COLUMNS($U$1006:Z1006),$U$1006:$AC$1006,0))&gt;=100000), " ",IF(INDEX($U$2:$AC$1001,MATCH(ROWS($N$2:N619),$N$2:$N$1001,0),MATCH(COLUMNS($U$1006:Z1006),$U$1006:$AC$1006,0)), HYPERLINK("#",""), HYPERLINK(CONCATENATE("#metadata!", ADDRESS(INDEX($P$2:$P$1001,MATCH(ROWS($N$2:N619),$N$2:$N$1001,0),0), INDEX($U$1004:$AC$1004,1,MATCH(COLUMNS($U$1006:Z1006),$U$1006:$AC$1006,0)))),"Fix")))</f>
        <v>0</v>
      </c>
      <c r="H619" s="3">
        <f>IF(OR(INDEX($O$2:$O$1001,MATCH(ROWS($N$2:N619),$N$2:$N$1001,0),1)&gt;=100000,INDEX($U$1005:$AC$1005,1,MATCH(COLUMNS($U$1006:AA1006),$U$1006:$AC$1006,0))&gt;=100000), " ",IF(INDEX($U$2:$AC$1001,MATCH(ROWS($N$2:N619),$N$2:$N$1001,0),MATCH(COLUMNS($U$1006:AA1006),$U$1006:$AC$1006,0)), HYPERLINK("#",""), HYPERLINK(CONCATENATE("#metadata!", ADDRESS(INDEX($P$2:$P$1001,MATCH(ROWS($N$2:N619),$N$2:$N$1001,0),0), INDEX($U$1004:$AC$1004,1,MATCH(COLUMNS($U$1006:AA1006),$U$1006:$AC$1006,0)))),"Fix")))</f>
        <v>0</v>
      </c>
      <c r="I619" s="3">
        <f>IF(OR(INDEX($O$2:$O$1001,MATCH(ROWS($N$2:N619),$N$2:$N$1001,0),1)&gt;=100000,INDEX($U$1005:$AC$1005,1,MATCH(COLUMNS($U$1006:AB1006),$U$1006:$AC$1006,0))&gt;=100000), " ",IF(INDEX($U$2:$AC$1001,MATCH(ROWS($N$2:N619),$N$2:$N$1001,0),MATCH(COLUMNS($U$1006:AB1006),$U$1006:$AC$1006,0)), HYPERLINK("#",""), HYPERLINK(CONCATENATE("#metadata!", ADDRESS(INDEX($P$2:$P$1001,MATCH(ROWS($N$2:N619),$N$2:$N$1001,0),0), INDEX($U$1004:$AC$1004,1,MATCH(COLUMNS($U$1006:AB1006),$U$1006:$AC$1006,0)))),"Fix")))</f>
        <v>0</v>
      </c>
      <c r="J619" s="3">
        <f>IF(OR(INDEX($O$2:$O$1001,MATCH(ROWS($N$2:N619),$N$2:$N$1001,0),1)&gt;=100000,INDEX($U$1005:$AC$1005,1,MATCH(COLUMNS($U$1006:AC1006),$U$1006:$AC$1006,0))&gt;=100000), " ",IF(INDEX($U$2:$AC$1001,MATCH(ROWS($N$2:N619),$N$2:$N$1001,0),MATCH(COLUMNS($U$1006:AC1006),$U$1006:$AC$1006,0)), HYPERLINK("#",""), HYPERLINK(CONCATENATE("#metadata!", ADDRESS(INDEX($P$2:$P$1001,MATCH(ROWS($N$2:N619),$N$2:$N$1001,0),0), INDEX($U$1004:$AC$1004,1,MATCH(COLUMNS($U$1006:AC1006),$U$1006:$AC$1006,0)))),"Fix")))</f>
        <v>0</v>
      </c>
      <c r="N619">
        <v>0</v>
      </c>
      <c r="O619">
        <v>0</v>
      </c>
      <c r="P619">
        <v>0</v>
      </c>
      <c r="Q619">
        <f>IF(R619,TRUE,AND(U619:AC619))</f>
        <v>0</v>
      </c>
      <c r="R619">
        <f>COUNTBLANK(metadata!B619:J619)=COLUMNS(metadata!B619:J619)</f>
        <v>0</v>
      </c>
      <c r="S619">
        <v>0</v>
      </c>
      <c r="U619">
        <f>AND(IF(metadata!B619="",FALSE,TRUE),COUNTIF(metadata!B:B, metadata!B619) = 1,NOT(ISERROR(SUMPRODUCT(SEARCH(MID(metadata!B619,ROW(INDIRECT("1:"&amp;LEN(metadata!B619))), 1),"0123456789abcdefghijklmnopqrstuvwxyzABCDEFGHIJKLMNOPQRSTUVWXYZ.")))))</f>
        <v>0</v>
      </c>
      <c r="V619">
        <f>AND(IF(metadata!C619="",FALSE,TRUE),exact(metadata!C619,"UBERON:genitourinary"))</f>
        <v>0</v>
      </c>
      <c r="W619">
        <f>AND(IF(metadata!D619="",FALSE,TRUE),exact(metadata!D619,"UBERON:urine"))</f>
        <v>0</v>
      </c>
      <c r="X619">
        <f>AND(IF(metadata!E619="",FALSE,TRUE),exact(metadata!E619,"UBERON:kidney"))</f>
        <v>0</v>
      </c>
      <c r="Y619">
        <f>AND(IF(metadata!F619="",FALSE,TRUE),exact(metadata!F619,"animal corpus"))</f>
        <v>0</v>
      </c>
      <c r="Z619">
        <f>AND(IF(metadata!G619="",FALSE,TRUE),exact(metadata!G619,"urine"))</f>
        <v>0</v>
      </c>
      <c r="AA619">
        <f>AND(IF(metadata!H619="",FALSE,TRUE),exact(metadata!H619,"urine"))</f>
        <v>0</v>
      </c>
      <c r="AB619">
        <f>AND(IF(metadata!I619="",FALSE,TRUE),exact(metadata!I619,"urine metagenome"))</f>
        <v>0</v>
      </c>
      <c r="AC619">
        <f>AND(IF(metadata!J619="",FALSE,TRUE),exact(metadata!J619,"1346744"))</f>
        <v>0</v>
      </c>
    </row>
    <row r="620" spans="1:29">
      <c r="A620" s="4">
        <f>IF(B620=" "," ",HYPERLINK(CONCATENATE("#metadata!",ADDRESS(INDEX($P$2:$P$1001,MATCH(ROWS($N$2:N620),$N$2:$N$1001,0),0),1)),INDEX($S$2:$S$1001,MATCH(ROWS($N$2:N620),$N$2:$N$1001,0),0)))</f>
        <v>0</v>
      </c>
      <c r="B620" s="3">
        <f>IF(OR(INDEX($O$2:$O$1001,MATCH(ROWS($N$2:N620),$N$2:$N$1001,0),1)&gt;=100000,INDEX($U$1005:$AC$1005,1,MATCH(COLUMNS($U$1006:U1006),$U$1006:$AC$1006,0))&gt;=100000), " ",IF(INDEX($U$2:$AC$1001,MATCH(ROWS($N$2:N620),$N$2:$N$1001,0),MATCH(COLUMNS($U$1006:U1006),$U$1006:$AC$1006,0)), HYPERLINK("#",""), HYPERLINK(CONCATENATE("#metadata!", ADDRESS(INDEX($P$2:$P$1001,MATCH(ROWS($N$2:N620),$N$2:$N$1001,0),0), INDEX($U$1004:$AC$1004,1,MATCH(COLUMNS($U$1006:U1006),$U$1006:$AC$1006,0)))),"Fix")))</f>
        <v>0</v>
      </c>
      <c r="C620" s="3">
        <f>IF(OR(INDEX($O$2:$O$1001,MATCH(ROWS($N$2:N620),$N$2:$N$1001,0),1)&gt;=100000,INDEX($U$1005:$AC$1005,1,MATCH(COLUMNS($U$1006:V1006),$U$1006:$AC$1006,0))&gt;=100000), " ",IF(INDEX($U$2:$AC$1001,MATCH(ROWS($N$2:N620),$N$2:$N$1001,0),MATCH(COLUMNS($U$1006:V1006),$U$1006:$AC$1006,0)), HYPERLINK("#",""), HYPERLINK(CONCATENATE("#metadata!", ADDRESS(INDEX($P$2:$P$1001,MATCH(ROWS($N$2:N620),$N$2:$N$1001,0),0), INDEX($U$1004:$AC$1004,1,MATCH(COLUMNS($U$1006:V1006),$U$1006:$AC$1006,0)))),"Fix")))</f>
        <v>0</v>
      </c>
      <c r="D620" s="3">
        <f>IF(OR(INDEX($O$2:$O$1001,MATCH(ROWS($N$2:N620),$N$2:$N$1001,0),1)&gt;=100000,INDEX($U$1005:$AC$1005,1,MATCH(COLUMNS($U$1006:W1006),$U$1006:$AC$1006,0))&gt;=100000), " ",IF(INDEX($U$2:$AC$1001,MATCH(ROWS($N$2:N620),$N$2:$N$1001,0),MATCH(COLUMNS($U$1006:W1006),$U$1006:$AC$1006,0)), HYPERLINK("#",""), HYPERLINK(CONCATENATE("#metadata!", ADDRESS(INDEX($P$2:$P$1001,MATCH(ROWS($N$2:N620),$N$2:$N$1001,0),0), INDEX($U$1004:$AC$1004,1,MATCH(COLUMNS($U$1006:W1006),$U$1006:$AC$1006,0)))),"Fix")))</f>
        <v>0</v>
      </c>
      <c r="E620" s="3">
        <f>IF(OR(INDEX($O$2:$O$1001,MATCH(ROWS($N$2:N620),$N$2:$N$1001,0),1)&gt;=100000,INDEX($U$1005:$AC$1005,1,MATCH(COLUMNS($U$1006:X1006),$U$1006:$AC$1006,0))&gt;=100000), " ",IF(INDEX($U$2:$AC$1001,MATCH(ROWS($N$2:N620),$N$2:$N$1001,0),MATCH(COLUMNS($U$1006:X1006),$U$1006:$AC$1006,0)), HYPERLINK("#",""), HYPERLINK(CONCATENATE("#metadata!", ADDRESS(INDEX($P$2:$P$1001,MATCH(ROWS($N$2:N620),$N$2:$N$1001,0),0), INDEX($U$1004:$AC$1004,1,MATCH(COLUMNS($U$1006:X1006),$U$1006:$AC$1006,0)))),"Fix")))</f>
        <v>0</v>
      </c>
      <c r="F620" s="3">
        <f>IF(OR(INDEX($O$2:$O$1001,MATCH(ROWS($N$2:N620),$N$2:$N$1001,0),1)&gt;=100000,INDEX($U$1005:$AC$1005,1,MATCH(COLUMNS($U$1006:Y1006),$U$1006:$AC$1006,0))&gt;=100000), " ",IF(INDEX($U$2:$AC$1001,MATCH(ROWS($N$2:N620),$N$2:$N$1001,0),MATCH(COLUMNS($U$1006:Y1006),$U$1006:$AC$1006,0)), HYPERLINK("#",""), HYPERLINK(CONCATENATE("#metadata!", ADDRESS(INDEX($P$2:$P$1001,MATCH(ROWS($N$2:N620),$N$2:$N$1001,0),0), INDEX($U$1004:$AC$1004,1,MATCH(COLUMNS($U$1006:Y1006),$U$1006:$AC$1006,0)))),"Fix")))</f>
        <v>0</v>
      </c>
      <c r="G620" s="3">
        <f>IF(OR(INDEX($O$2:$O$1001,MATCH(ROWS($N$2:N620),$N$2:$N$1001,0),1)&gt;=100000,INDEX($U$1005:$AC$1005,1,MATCH(COLUMNS($U$1006:Z1006),$U$1006:$AC$1006,0))&gt;=100000), " ",IF(INDEX($U$2:$AC$1001,MATCH(ROWS($N$2:N620),$N$2:$N$1001,0),MATCH(COLUMNS($U$1006:Z1006),$U$1006:$AC$1006,0)), HYPERLINK("#",""), HYPERLINK(CONCATENATE("#metadata!", ADDRESS(INDEX($P$2:$P$1001,MATCH(ROWS($N$2:N620),$N$2:$N$1001,0),0), INDEX($U$1004:$AC$1004,1,MATCH(COLUMNS($U$1006:Z1006),$U$1006:$AC$1006,0)))),"Fix")))</f>
        <v>0</v>
      </c>
      <c r="H620" s="3">
        <f>IF(OR(INDEX($O$2:$O$1001,MATCH(ROWS($N$2:N620),$N$2:$N$1001,0),1)&gt;=100000,INDEX($U$1005:$AC$1005,1,MATCH(COLUMNS($U$1006:AA1006),$U$1006:$AC$1006,0))&gt;=100000), " ",IF(INDEX($U$2:$AC$1001,MATCH(ROWS($N$2:N620),$N$2:$N$1001,0),MATCH(COLUMNS($U$1006:AA1006),$U$1006:$AC$1006,0)), HYPERLINK("#",""), HYPERLINK(CONCATENATE("#metadata!", ADDRESS(INDEX($P$2:$P$1001,MATCH(ROWS($N$2:N620),$N$2:$N$1001,0),0), INDEX($U$1004:$AC$1004,1,MATCH(COLUMNS($U$1006:AA1006),$U$1006:$AC$1006,0)))),"Fix")))</f>
        <v>0</v>
      </c>
      <c r="I620" s="3">
        <f>IF(OR(INDEX($O$2:$O$1001,MATCH(ROWS($N$2:N620),$N$2:$N$1001,0),1)&gt;=100000,INDEX($U$1005:$AC$1005,1,MATCH(COLUMNS($U$1006:AB1006),$U$1006:$AC$1006,0))&gt;=100000), " ",IF(INDEX($U$2:$AC$1001,MATCH(ROWS($N$2:N620),$N$2:$N$1001,0),MATCH(COLUMNS($U$1006:AB1006),$U$1006:$AC$1006,0)), HYPERLINK("#",""), HYPERLINK(CONCATENATE("#metadata!", ADDRESS(INDEX($P$2:$P$1001,MATCH(ROWS($N$2:N620),$N$2:$N$1001,0),0), INDEX($U$1004:$AC$1004,1,MATCH(COLUMNS($U$1006:AB1006),$U$1006:$AC$1006,0)))),"Fix")))</f>
        <v>0</v>
      </c>
      <c r="J620" s="3">
        <f>IF(OR(INDEX($O$2:$O$1001,MATCH(ROWS($N$2:N620),$N$2:$N$1001,0),1)&gt;=100000,INDEX($U$1005:$AC$1005,1,MATCH(COLUMNS($U$1006:AC1006),$U$1006:$AC$1006,0))&gt;=100000), " ",IF(INDEX($U$2:$AC$1001,MATCH(ROWS($N$2:N620),$N$2:$N$1001,0),MATCH(COLUMNS($U$1006:AC1006),$U$1006:$AC$1006,0)), HYPERLINK("#",""), HYPERLINK(CONCATENATE("#metadata!", ADDRESS(INDEX($P$2:$P$1001,MATCH(ROWS($N$2:N620),$N$2:$N$1001,0),0), INDEX($U$1004:$AC$1004,1,MATCH(COLUMNS($U$1006:AC1006),$U$1006:$AC$1006,0)))),"Fix")))</f>
        <v>0</v>
      </c>
      <c r="N620">
        <v>0</v>
      </c>
      <c r="O620">
        <v>0</v>
      </c>
      <c r="P620">
        <v>0</v>
      </c>
      <c r="Q620">
        <f>IF(R620,TRUE,AND(U620:AC620))</f>
        <v>0</v>
      </c>
      <c r="R620">
        <f>COUNTBLANK(metadata!B620:J620)=COLUMNS(metadata!B620:J620)</f>
        <v>0</v>
      </c>
      <c r="S620">
        <v>0</v>
      </c>
      <c r="U620">
        <f>AND(IF(metadata!B620="",FALSE,TRUE),COUNTIF(metadata!B:B, metadata!B620) = 1,NOT(ISERROR(SUMPRODUCT(SEARCH(MID(metadata!B620,ROW(INDIRECT("1:"&amp;LEN(metadata!B620))), 1),"0123456789abcdefghijklmnopqrstuvwxyzABCDEFGHIJKLMNOPQRSTUVWXYZ.")))))</f>
        <v>0</v>
      </c>
      <c r="V620">
        <f>AND(IF(metadata!C620="",FALSE,TRUE),exact(metadata!C620,"UBERON:genitourinary"))</f>
        <v>0</v>
      </c>
      <c r="W620">
        <f>AND(IF(metadata!D620="",FALSE,TRUE),exact(metadata!D620,"UBERON:urine"))</f>
        <v>0</v>
      </c>
      <c r="X620">
        <f>AND(IF(metadata!E620="",FALSE,TRUE),exact(metadata!E620,"UBERON:kidney"))</f>
        <v>0</v>
      </c>
      <c r="Y620">
        <f>AND(IF(metadata!F620="",FALSE,TRUE),exact(metadata!F620,"animal corpus"))</f>
        <v>0</v>
      </c>
      <c r="Z620">
        <f>AND(IF(metadata!G620="",FALSE,TRUE),exact(metadata!G620,"urine"))</f>
        <v>0</v>
      </c>
      <c r="AA620">
        <f>AND(IF(metadata!H620="",FALSE,TRUE),exact(metadata!H620,"urine"))</f>
        <v>0</v>
      </c>
      <c r="AB620">
        <f>AND(IF(metadata!I620="",FALSE,TRUE),exact(metadata!I620,"urine metagenome"))</f>
        <v>0</v>
      </c>
      <c r="AC620">
        <f>AND(IF(metadata!J620="",FALSE,TRUE),exact(metadata!J620,"1346744"))</f>
        <v>0</v>
      </c>
    </row>
    <row r="621" spans="1:29">
      <c r="A621" s="4">
        <f>IF(B621=" "," ",HYPERLINK(CONCATENATE("#metadata!",ADDRESS(INDEX($P$2:$P$1001,MATCH(ROWS($N$2:N621),$N$2:$N$1001,0),0),1)),INDEX($S$2:$S$1001,MATCH(ROWS($N$2:N621),$N$2:$N$1001,0),0)))</f>
        <v>0</v>
      </c>
      <c r="B621" s="3">
        <f>IF(OR(INDEX($O$2:$O$1001,MATCH(ROWS($N$2:N621),$N$2:$N$1001,0),1)&gt;=100000,INDEX($U$1005:$AC$1005,1,MATCH(COLUMNS($U$1006:U1006),$U$1006:$AC$1006,0))&gt;=100000), " ",IF(INDEX($U$2:$AC$1001,MATCH(ROWS($N$2:N621),$N$2:$N$1001,0),MATCH(COLUMNS($U$1006:U1006),$U$1006:$AC$1006,0)), HYPERLINK("#",""), HYPERLINK(CONCATENATE("#metadata!", ADDRESS(INDEX($P$2:$P$1001,MATCH(ROWS($N$2:N621),$N$2:$N$1001,0),0), INDEX($U$1004:$AC$1004,1,MATCH(COLUMNS($U$1006:U1006),$U$1006:$AC$1006,0)))),"Fix")))</f>
        <v>0</v>
      </c>
      <c r="C621" s="3">
        <f>IF(OR(INDEX($O$2:$O$1001,MATCH(ROWS($N$2:N621),$N$2:$N$1001,0),1)&gt;=100000,INDEX($U$1005:$AC$1005,1,MATCH(COLUMNS($U$1006:V1006),$U$1006:$AC$1006,0))&gt;=100000), " ",IF(INDEX($U$2:$AC$1001,MATCH(ROWS($N$2:N621),$N$2:$N$1001,0),MATCH(COLUMNS($U$1006:V1006),$U$1006:$AC$1006,0)), HYPERLINK("#",""), HYPERLINK(CONCATENATE("#metadata!", ADDRESS(INDEX($P$2:$P$1001,MATCH(ROWS($N$2:N621),$N$2:$N$1001,0),0), INDEX($U$1004:$AC$1004,1,MATCH(COLUMNS($U$1006:V1006),$U$1006:$AC$1006,0)))),"Fix")))</f>
        <v>0</v>
      </c>
      <c r="D621" s="3">
        <f>IF(OR(INDEX($O$2:$O$1001,MATCH(ROWS($N$2:N621),$N$2:$N$1001,0),1)&gt;=100000,INDEX($U$1005:$AC$1005,1,MATCH(COLUMNS($U$1006:W1006),$U$1006:$AC$1006,0))&gt;=100000), " ",IF(INDEX($U$2:$AC$1001,MATCH(ROWS($N$2:N621),$N$2:$N$1001,0),MATCH(COLUMNS($U$1006:W1006),$U$1006:$AC$1006,0)), HYPERLINK("#",""), HYPERLINK(CONCATENATE("#metadata!", ADDRESS(INDEX($P$2:$P$1001,MATCH(ROWS($N$2:N621),$N$2:$N$1001,0),0), INDEX($U$1004:$AC$1004,1,MATCH(COLUMNS($U$1006:W1006),$U$1006:$AC$1006,0)))),"Fix")))</f>
        <v>0</v>
      </c>
      <c r="E621" s="3">
        <f>IF(OR(INDEX($O$2:$O$1001,MATCH(ROWS($N$2:N621),$N$2:$N$1001,0),1)&gt;=100000,INDEX($U$1005:$AC$1005,1,MATCH(COLUMNS($U$1006:X1006),$U$1006:$AC$1006,0))&gt;=100000), " ",IF(INDEX($U$2:$AC$1001,MATCH(ROWS($N$2:N621),$N$2:$N$1001,0),MATCH(COLUMNS($U$1006:X1006),$U$1006:$AC$1006,0)), HYPERLINK("#",""), HYPERLINK(CONCATENATE("#metadata!", ADDRESS(INDEX($P$2:$P$1001,MATCH(ROWS($N$2:N621),$N$2:$N$1001,0),0), INDEX($U$1004:$AC$1004,1,MATCH(COLUMNS($U$1006:X1006),$U$1006:$AC$1006,0)))),"Fix")))</f>
        <v>0</v>
      </c>
      <c r="F621" s="3">
        <f>IF(OR(INDEX($O$2:$O$1001,MATCH(ROWS($N$2:N621),$N$2:$N$1001,0),1)&gt;=100000,INDEX($U$1005:$AC$1005,1,MATCH(COLUMNS($U$1006:Y1006),$U$1006:$AC$1006,0))&gt;=100000), " ",IF(INDEX($U$2:$AC$1001,MATCH(ROWS($N$2:N621),$N$2:$N$1001,0),MATCH(COLUMNS($U$1006:Y1006),$U$1006:$AC$1006,0)), HYPERLINK("#",""), HYPERLINK(CONCATENATE("#metadata!", ADDRESS(INDEX($P$2:$P$1001,MATCH(ROWS($N$2:N621),$N$2:$N$1001,0),0), INDEX($U$1004:$AC$1004,1,MATCH(COLUMNS($U$1006:Y1006),$U$1006:$AC$1006,0)))),"Fix")))</f>
        <v>0</v>
      </c>
      <c r="G621" s="3">
        <f>IF(OR(INDEX($O$2:$O$1001,MATCH(ROWS($N$2:N621),$N$2:$N$1001,0),1)&gt;=100000,INDEX($U$1005:$AC$1005,1,MATCH(COLUMNS($U$1006:Z1006),$U$1006:$AC$1006,0))&gt;=100000), " ",IF(INDEX($U$2:$AC$1001,MATCH(ROWS($N$2:N621),$N$2:$N$1001,0),MATCH(COLUMNS($U$1006:Z1006),$U$1006:$AC$1006,0)), HYPERLINK("#",""), HYPERLINK(CONCATENATE("#metadata!", ADDRESS(INDEX($P$2:$P$1001,MATCH(ROWS($N$2:N621),$N$2:$N$1001,0),0), INDEX($U$1004:$AC$1004,1,MATCH(COLUMNS($U$1006:Z1006),$U$1006:$AC$1006,0)))),"Fix")))</f>
        <v>0</v>
      </c>
      <c r="H621" s="3">
        <f>IF(OR(INDEX($O$2:$O$1001,MATCH(ROWS($N$2:N621),$N$2:$N$1001,0),1)&gt;=100000,INDEX($U$1005:$AC$1005,1,MATCH(COLUMNS($U$1006:AA1006),$U$1006:$AC$1006,0))&gt;=100000), " ",IF(INDEX($U$2:$AC$1001,MATCH(ROWS($N$2:N621),$N$2:$N$1001,0),MATCH(COLUMNS($U$1006:AA1006),$U$1006:$AC$1006,0)), HYPERLINK("#",""), HYPERLINK(CONCATENATE("#metadata!", ADDRESS(INDEX($P$2:$P$1001,MATCH(ROWS($N$2:N621),$N$2:$N$1001,0),0), INDEX($U$1004:$AC$1004,1,MATCH(COLUMNS($U$1006:AA1006),$U$1006:$AC$1006,0)))),"Fix")))</f>
        <v>0</v>
      </c>
      <c r="I621" s="3">
        <f>IF(OR(INDEX($O$2:$O$1001,MATCH(ROWS($N$2:N621),$N$2:$N$1001,0),1)&gt;=100000,INDEX($U$1005:$AC$1005,1,MATCH(COLUMNS($U$1006:AB1006),$U$1006:$AC$1006,0))&gt;=100000), " ",IF(INDEX($U$2:$AC$1001,MATCH(ROWS($N$2:N621),$N$2:$N$1001,0),MATCH(COLUMNS($U$1006:AB1006),$U$1006:$AC$1006,0)), HYPERLINK("#",""), HYPERLINK(CONCATENATE("#metadata!", ADDRESS(INDEX($P$2:$P$1001,MATCH(ROWS($N$2:N621),$N$2:$N$1001,0),0), INDEX($U$1004:$AC$1004,1,MATCH(COLUMNS($U$1006:AB1006),$U$1006:$AC$1006,0)))),"Fix")))</f>
        <v>0</v>
      </c>
      <c r="J621" s="3">
        <f>IF(OR(INDEX($O$2:$O$1001,MATCH(ROWS($N$2:N621),$N$2:$N$1001,0),1)&gt;=100000,INDEX($U$1005:$AC$1005,1,MATCH(COLUMNS($U$1006:AC1006),$U$1006:$AC$1006,0))&gt;=100000), " ",IF(INDEX($U$2:$AC$1001,MATCH(ROWS($N$2:N621),$N$2:$N$1001,0),MATCH(COLUMNS($U$1006:AC1006),$U$1006:$AC$1006,0)), HYPERLINK("#",""), HYPERLINK(CONCATENATE("#metadata!", ADDRESS(INDEX($P$2:$P$1001,MATCH(ROWS($N$2:N621),$N$2:$N$1001,0),0), INDEX($U$1004:$AC$1004,1,MATCH(COLUMNS($U$1006:AC1006),$U$1006:$AC$1006,0)))),"Fix")))</f>
        <v>0</v>
      </c>
      <c r="N621">
        <v>0</v>
      </c>
      <c r="O621">
        <v>0</v>
      </c>
      <c r="P621">
        <v>0</v>
      </c>
      <c r="Q621">
        <f>IF(R621,TRUE,AND(U621:AC621))</f>
        <v>0</v>
      </c>
      <c r="R621">
        <f>COUNTBLANK(metadata!B621:J621)=COLUMNS(metadata!B621:J621)</f>
        <v>0</v>
      </c>
      <c r="S621">
        <v>0</v>
      </c>
      <c r="U621">
        <f>AND(IF(metadata!B621="",FALSE,TRUE),COUNTIF(metadata!B:B, metadata!B621) = 1,NOT(ISERROR(SUMPRODUCT(SEARCH(MID(metadata!B621,ROW(INDIRECT("1:"&amp;LEN(metadata!B621))), 1),"0123456789abcdefghijklmnopqrstuvwxyzABCDEFGHIJKLMNOPQRSTUVWXYZ.")))))</f>
        <v>0</v>
      </c>
      <c r="V621">
        <f>AND(IF(metadata!C621="",FALSE,TRUE),exact(metadata!C621,"UBERON:genitourinary"))</f>
        <v>0</v>
      </c>
      <c r="W621">
        <f>AND(IF(metadata!D621="",FALSE,TRUE),exact(metadata!D621,"UBERON:urine"))</f>
        <v>0</v>
      </c>
      <c r="X621">
        <f>AND(IF(metadata!E621="",FALSE,TRUE),exact(metadata!E621,"UBERON:kidney"))</f>
        <v>0</v>
      </c>
      <c r="Y621">
        <f>AND(IF(metadata!F621="",FALSE,TRUE),exact(metadata!F621,"animal corpus"))</f>
        <v>0</v>
      </c>
      <c r="Z621">
        <f>AND(IF(metadata!G621="",FALSE,TRUE),exact(metadata!G621,"urine"))</f>
        <v>0</v>
      </c>
      <c r="AA621">
        <f>AND(IF(metadata!H621="",FALSE,TRUE),exact(metadata!H621,"urine"))</f>
        <v>0</v>
      </c>
      <c r="AB621">
        <f>AND(IF(metadata!I621="",FALSE,TRUE),exact(metadata!I621,"urine metagenome"))</f>
        <v>0</v>
      </c>
      <c r="AC621">
        <f>AND(IF(metadata!J621="",FALSE,TRUE),exact(metadata!J621,"1346744"))</f>
        <v>0</v>
      </c>
    </row>
    <row r="622" spans="1:29">
      <c r="A622" s="4">
        <f>IF(B622=" "," ",HYPERLINK(CONCATENATE("#metadata!",ADDRESS(INDEX($P$2:$P$1001,MATCH(ROWS($N$2:N622),$N$2:$N$1001,0),0),1)),INDEX($S$2:$S$1001,MATCH(ROWS($N$2:N622),$N$2:$N$1001,0),0)))</f>
        <v>0</v>
      </c>
      <c r="B622" s="3">
        <f>IF(OR(INDEX($O$2:$O$1001,MATCH(ROWS($N$2:N622),$N$2:$N$1001,0),1)&gt;=100000,INDEX($U$1005:$AC$1005,1,MATCH(COLUMNS($U$1006:U1006),$U$1006:$AC$1006,0))&gt;=100000), " ",IF(INDEX($U$2:$AC$1001,MATCH(ROWS($N$2:N622),$N$2:$N$1001,0),MATCH(COLUMNS($U$1006:U1006),$U$1006:$AC$1006,0)), HYPERLINK("#",""), HYPERLINK(CONCATENATE("#metadata!", ADDRESS(INDEX($P$2:$P$1001,MATCH(ROWS($N$2:N622),$N$2:$N$1001,0),0), INDEX($U$1004:$AC$1004,1,MATCH(COLUMNS($U$1006:U1006),$U$1006:$AC$1006,0)))),"Fix")))</f>
        <v>0</v>
      </c>
      <c r="C622" s="3">
        <f>IF(OR(INDEX($O$2:$O$1001,MATCH(ROWS($N$2:N622),$N$2:$N$1001,0),1)&gt;=100000,INDEX($U$1005:$AC$1005,1,MATCH(COLUMNS($U$1006:V1006),$U$1006:$AC$1006,0))&gt;=100000), " ",IF(INDEX($U$2:$AC$1001,MATCH(ROWS($N$2:N622),$N$2:$N$1001,0),MATCH(COLUMNS($U$1006:V1006),$U$1006:$AC$1006,0)), HYPERLINK("#",""), HYPERLINK(CONCATENATE("#metadata!", ADDRESS(INDEX($P$2:$P$1001,MATCH(ROWS($N$2:N622),$N$2:$N$1001,0),0), INDEX($U$1004:$AC$1004,1,MATCH(COLUMNS($U$1006:V1006),$U$1006:$AC$1006,0)))),"Fix")))</f>
        <v>0</v>
      </c>
      <c r="D622" s="3">
        <f>IF(OR(INDEX($O$2:$O$1001,MATCH(ROWS($N$2:N622),$N$2:$N$1001,0),1)&gt;=100000,INDEX($U$1005:$AC$1005,1,MATCH(COLUMNS($U$1006:W1006),$U$1006:$AC$1006,0))&gt;=100000), " ",IF(INDEX($U$2:$AC$1001,MATCH(ROWS($N$2:N622),$N$2:$N$1001,0),MATCH(COLUMNS($U$1006:W1006),$U$1006:$AC$1006,0)), HYPERLINK("#",""), HYPERLINK(CONCATENATE("#metadata!", ADDRESS(INDEX($P$2:$P$1001,MATCH(ROWS($N$2:N622),$N$2:$N$1001,0),0), INDEX($U$1004:$AC$1004,1,MATCH(COLUMNS($U$1006:W1006),$U$1006:$AC$1006,0)))),"Fix")))</f>
        <v>0</v>
      </c>
      <c r="E622" s="3">
        <f>IF(OR(INDEX($O$2:$O$1001,MATCH(ROWS($N$2:N622),$N$2:$N$1001,0),1)&gt;=100000,INDEX($U$1005:$AC$1005,1,MATCH(COLUMNS($U$1006:X1006),$U$1006:$AC$1006,0))&gt;=100000), " ",IF(INDEX($U$2:$AC$1001,MATCH(ROWS($N$2:N622),$N$2:$N$1001,0),MATCH(COLUMNS($U$1006:X1006),$U$1006:$AC$1006,0)), HYPERLINK("#",""), HYPERLINK(CONCATENATE("#metadata!", ADDRESS(INDEX($P$2:$P$1001,MATCH(ROWS($N$2:N622),$N$2:$N$1001,0),0), INDEX($U$1004:$AC$1004,1,MATCH(COLUMNS($U$1006:X1006),$U$1006:$AC$1006,0)))),"Fix")))</f>
        <v>0</v>
      </c>
      <c r="F622" s="3">
        <f>IF(OR(INDEX($O$2:$O$1001,MATCH(ROWS($N$2:N622),$N$2:$N$1001,0),1)&gt;=100000,INDEX($U$1005:$AC$1005,1,MATCH(COLUMNS($U$1006:Y1006),$U$1006:$AC$1006,0))&gt;=100000), " ",IF(INDEX($U$2:$AC$1001,MATCH(ROWS($N$2:N622),$N$2:$N$1001,0),MATCH(COLUMNS($U$1006:Y1006),$U$1006:$AC$1006,0)), HYPERLINK("#",""), HYPERLINK(CONCATENATE("#metadata!", ADDRESS(INDEX($P$2:$P$1001,MATCH(ROWS($N$2:N622),$N$2:$N$1001,0),0), INDEX($U$1004:$AC$1004,1,MATCH(COLUMNS($U$1006:Y1006),$U$1006:$AC$1006,0)))),"Fix")))</f>
        <v>0</v>
      </c>
      <c r="G622" s="3">
        <f>IF(OR(INDEX($O$2:$O$1001,MATCH(ROWS($N$2:N622),$N$2:$N$1001,0),1)&gt;=100000,INDEX($U$1005:$AC$1005,1,MATCH(COLUMNS($U$1006:Z1006),$U$1006:$AC$1006,0))&gt;=100000), " ",IF(INDEX($U$2:$AC$1001,MATCH(ROWS($N$2:N622),$N$2:$N$1001,0),MATCH(COLUMNS($U$1006:Z1006),$U$1006:$AC$1006,0)), HYPERLINK("#",""), HYPERLINK(CONCATENATE("#metadata!", ADDRESS(INDEX($P$2:$P$1001,MATCH(ROWS($N$2:N622),$N$2:$N$1001,0),0), INDEX($U$1004:$AC$1004,1,MATCH(COLUMNS($U$1006:Z1006),$U$1006:$AC$1006,0)))),"Fix")))</f>
        <v>0</v>
      </c>
      <c r="H622" s="3">
        <f>IF(OR(INDEX($O$2:$O$1001,MATCH(ROWS($N$2:N622),$N$2:$N$1001,0),1)&gt;=100000,INDEX($U$1005:$AC$1005,1,MATCH(COLUMNS($U$1006:AA1006),$U$1006:$AC$1006,0))&gt;=100000), " ",IF(INDEX($U$2:$AC$1001,MATCH(ROWS($N$2:N622),$N$2:$N$1001,0),MATCH(COLUMNS($U$1006:AA1006),$U$1006:$AC$1006,0)), HYPERLINK("#",""), HYPERLINK(CONCATENATE("#metadata!", ADDRESS(INDEX($P$2:$P$1001,MATCH(ROWS($N$2:N622),$N$2:$N$1001,0),0), INDEX($U$1004:$AC$1004,1,MATCH(COLUMNS($U$1006:AA1006),$U$1006:$AC$1006,0)))),"Fix")))</f>
        <v>0</v>
      </c>
      <c r="I622" s="3">
        <f>IF(OR(INDEX($O$2:$O$1001,MATCH(ROWS($N$2:N622),$N$2:$N$1001,0),1)&gt;=100000,INDEX($U$1005:$AC$1005,1,MATCH(COLUMNS($U$1006:AB1006),$U$1006:$AC$1006,0))&gt;=100000), " ",IF(INDEX($U$2:$AC$1001,MATCH(ROWS($N$2:N622),$N$2:$N$1001,0),MATCH(COLUMNS($U$1006:AB1006),$U$1006:$AC$1006,0)), HYPERLINK("#",""), HYPERLINK(CONCATENATE("#metadata!", ADDRESS(INDEX($P$2:$P$1001,MATCH(ROWS($N$2:N622),$N$2:$N$1001,0),0), INDEX($U$1004:$AC$1004,1,MATCH(COLUMNS($U$1006:AB1006),$U$1006:$AC$1006,0)))),"Fix")))</f>
        <v>0</v>
      </c>
      <c r="J622" s="3">
        <f>IF(OR(INDEX($O$2:$O$1001,MATCH(ROWS($N$2:N622),$N$2:$N$1001,0),1)&gt;=100000,INDEX($U$1005:$AC$1005,1,MATCH(COLUMNS($U$1006:AC1006),$U$1006:$AC$1006,0))&gt;=100000), " ",IF(INDEX($U$2:$AC$1001,MATCH(ROWS($N$2:N622),$N$2:$N$1001,0),MATCH(COLUMNS($U$1006:AC1006),$U$1006:$AC$1006,0)), HYPERLINK("#",""), HYPERLINK(CONCATENATE("#metadata!", ADDRESS(INDEX($P$2:$P$1001,MATCH(ROWS($N$2:N622),$N$2:$N$1001,0),0), INDEX($U$1004:$AC$1004,1,MATCH(COLUMNS($U$1006:AC1006),$U$1006:$AC$1006,0)))),"Fix")))</f>
        <v>0</v>
      </c>
      <c r="N622">
        <v>0</v>
      </c>
      <c r="O622">
        <v>0</v>
      </c>
      <c r="P622">
        <v>0</v>
      </c>
      <c r="Q622">
        <f>IF(R622,TRUE,AND(U622:AC622))</f>
        <v>0</v>
      </c>
      <c r="R622">
        <f>COUNTBLANK(metadata!B622:J622)=COLUMNS(metadata!B622:J622)</f>
        <v>0</v>
      </c>
      <c r="S622">
        <v>0</v>
      </c>
      <c r="U622">
        <f>AND(IF(metadata!B622="",FALSE,TRUE),COUNTIF(metadata!B:B, metadata!B622) = 1,NOT(ISERROR(SUMPRODUCT(SEARCH(MID(metadata!B622,ROW(INDIRECT("1:"&amp;LEN(metadata!B622))), 1),"0123456789abcdefghijklmnopqrstuvwxyzABCDEFGHIJKLMNOPQRSTUVWXYZ.")))))</f>
        <v>0</v>
      </c>
      <c r="V622">
        <f>AND(IF(metadata!C622="",FALSE,TRUE),exact(metadata!C622,"UBERON:genitourinary"))</f>
        <v>0</v>
      </c>
      <c r="W622">
        <f>AND(IF(metadata!D622="",FALSE,TRUE),exact(metadata!D622,"UBERON:urine"))</f>
        <v>0</v>
      </c>
      <c r="X622">
        <f>AND(IF(metadata!E622="",FALSE,TRUE),exact(metadata!E622,"UBERON:kidney"))</f>
        <v>0</v>
      </c>
      <c r="Y622">
        <f>AND(IF(metadata!F622="",FALSE,TRUE),exact(metadata!F622,"animal corpus"))</f>
        <v>0</v>
      </c>
      <c r="Z622">
        <f>AND(IF(metadata!G622="",FALSE,TRUE),exact(metadata!G622,"urine"))</f>
        <v>0</v>
      </c>
      <c r="AA622">
        <f>AND(IF(metadata!H622="",FALSE,TRUE),exact(metadata!H622,"urine"))</f>
        <v>0</v>
      </c>
      <c r="AB622">
        <f>AND(IF(metadata!I622="",FALSE,TRUE),exact(metadata!I622,"urine metagenome"))</f>
        <v>0</v>
      </c>
      <c r="AC622">
        <f>AND(IF(metadata!J622="",FALSE,TRUE),exact(metadata!J622,"1346744"))</f>
        <v>0</v>
      </c>
    </row>
    <row r="623" spans="1:29">
      <c r="A623" s="4">
        <f>IF(B623=" "," ",HYPERLINK(CONCATENATE("#metadata!",ADDRESS(INDEX($P$2:$P$1001,MATCH(ROWS($N$2:N623),$N$2:$N$1001,0),0),1)),INDEX($S$2:$S$1001,MATCH(ROWS($N$2:N623),$N$2:$N$1001,0),0)))</f>
        <v>0</v>
      </c>
      <c r="B623" s="3">
        <f>IF(OR(INDEX($O$2:$O$1001,MATCH(ROWS($N$2:N623),$N$2:$N$1001,0),1)&gt;=100000,INDEX($U$1005:$AC$1005,1,MATCH(COLUMNS($U$1006:U1006),$U$1006:$AC$1006,0))&gt;=100000), " ",IF(INDEX($U$2:$AC$1001,MATCH(ROWS($N$2:N623),$N$2:$N$1001,0),MATCH(COLUMNS($U$1006:U1006),$U$1006:$AC$1006,0)), HYPERLINK("#",""), HYPERLINK(CONCATENATE("#metadata!", ADDRESS(INDEX($P$2:$P$1001,MATCH(ROWS($N$2:N623),$N$2:$N$1001,0),0), INDEX($U$1004:$AC$1004,1,MATCH(COLUMNS($U$1006:U1006),$U$1006:$AC$1006,0)))),"Fix")))</f>
        <v>0</v>
      </c>
      <c r="C623" s="3">
        <f>IF(OR(INDEX($O$2:$O$1001,MATCH(ROWS($N$2:N623),$N$2:$N$1001,0),1)&gt;=100000,INDEX($U$1005:$AC$1005,1,MATCH(COLUMNS($U$1006:V1006),$U$1006:$AC$1006,0))&gt;=100000), " ",IF(INDEX($U$2:$AC$1001,MATCH(ROWS($N$2:N623),$N$2:$N$1001,0),MATCH(COLUMNS($U$1006:V1006),$U$1006:$AC$1006,0)), HYPERLINK("#",""), HYPERLINK(CONCATENATE("#metadata!", ADDRESS(INDEX($P$2:$P$1001,MATCH(ROWS($N$2:N623),$N$2:$N$1001,0),0), INDEX($U$1004:$AC$1004,1,MATCH(COLUMNS($U$1006:V1006),$U$1006:$AC$1006,0)))),"Fix")))</f>
        <v>0</v>
      </c>
      <c r="D623" s="3">
        <f>IF(OR(INDEX($O$2:$O$1001,MATCH(ROWS($N$2:N623),$N$2:$N$1001,0),1)&gt;=100000,INDEX($U$1005:$AC$1005,1,MATCH(COLUMNS($U$1006:W1006),$U$1006:$AC$1006,0))&gt;=100000), " ",IF(INDEX($U$2:$AC$1001,MATCH(ROWS($N$2:N623),$N$2:$N$1001,0),MATCH(COLUMNS($U$1006:W1006),$U$1006:$AC$1006,0)), HYPERLINK("#",""), HYPERLINK(CONCATENATE("#metadata!", ADDRESS(INDEX($P$2:$P$1001,MATCH(ROWS($N$2:N623),$N$2:$N$1001,0),0), INDEX($U$1004:$AC$1004,1,MATCH(COLUMNS($U$1006:W1006),$U$1006:$AC$1006,0)))),"Fix")))</f>
        <v>0</v>
      </c>
      <c r="E623" s="3">
        <f>IF(OR(INDEX($O$2:$O$1001,MATCH(ROWS($N$2:N623),$N$2:$N$1001,0),1)&gt;=100000,INDEX($U$1005:$AC$1005,1,MATCH(COLUMNS($U$1006:X1006),$U$1006:$AC$1006,0))&gt;=100000), " ",IF(INDEX($U$2:$AC$1001,MATCH(ROWS($N$2:N623),$N$2:$N$1001,0),MATCH(COLUMNS($U$1006:X1006),$U$1006:$AC$1006,0)), HYPERLINK("#",""), HYPERLINK(CONCATENATE("#metadata!", ADDRESS(INDEX($P$2:$P$1001,MATCH(ROWS($N$2:N623),$N$2:$N$1001,0),0), INDEX($U$1004:$AC$1004,1,MATCH(COLUMNS($U$1006:X1006),$U$1006:$AC$1006,0)))),"Fix")))</f>
        <v>0</v>
      </c>
      <c r="F623" s="3">
        <f>IF(OR(INDEX($O$2:$O$1001,MATCH(ROWS($N$2:N623),$N$2:$N$1001,0),1)&gt;=100000,INDEX($U$1005:$AC$1005,1,MATCH(COLUMNS($U$1006:Y1006),$U$1006:$AC$1006,0))&gt;=100000), " ",IF(INDEX($U$2:$AC$1001,MATCH(ROWS($N$2:N623),$N$2:$N$1001,0),MATCH(COLUMNS($U$1006:Y1006),$U$1006:$AC$1006,0)), HYPERLINK("#",""), HYPERLINK(CONCATENATE("#metadata!", ADDRESS(INDEX($P$2:$P$1001,MATCH(ROWS($N$2:N623),$N$2:$N$1001,0),0), INDEX($U$1004:$AC$1004,1,MATCH(COLUMNS($U$1006:Y1006),$U$1006:$AC$1006,0)))),"Fix")))</f>
        <v>0</v>
      </c>
      <c r="G623" s="3">
        <f>IF(OR(INDEX($O$2:$O$1001,MATCH(ROWS($N$2:N623),$N$2:$N$1001,0),1)&gt;=100000,INDEX($U$1005:$AC$1005,1,MATCH(COLUMNS($U$1006:Z1006),$U$1006:$AC$1006,0))&gt;=100000), " ",IF(INDEX($U$2:$AC$1001,MATCH(ROWS($N$2:N623),$N$2:$N$1001,0),MATCH(COLUMNS($U$1006:Z1006),$U$1006:$AC$1006,0)), HYPERLINK("#",""), HYPERLINK(CONCATENATE("#metadata!", ADDRESS(INDEX($P$2:$P$1001,MATCH(ROWS($N$2:N623),$N$2:$N$1001,0),0), INDEX($U$1004:$AC$1004,1,MATCH(COLUMNS($U$1006:Z1006),$U$1006:$AC$1006,0)))),"Fix")))</f>
        <v>0</v>
      </c>
      <c r="H623" s="3">
        <f>IF(OR(INDEX($O$2:$O$1001,MATCH(ROWS($N$2:N623),$N$2:$N$1001,0),1)&gt;=100000,INDEX($U$1005:$AC$1005,1,MATCH(COLUMNS($U$1006:AA1006),$U$1006:$AC$1006,0))&gt;=100000), " ",IF(INDEX($U$2:$AC$1001,MATCH(ROWS($N$2:N623),$N$2:$N$1001,0),MATCH(COLUMNS($U$1006:AA1006),$U$1006:$AC$1006,0)), HYPERLINK("#",""), HYPERLINK(CONCATENATE("#metadata!", ADDRESS(INDEX($P$2:$P$1001,MATCH(ROWS($N$2:N623),$N$2:$N$1001,0),0), INDEX($U$1004:$AC$1004,1,MATCH(COLUMNS($U$1006:AA1006),$U$1006:$AC$1006,0)))),"Fix")))</f>
        <v>0</v>
      </c>
      <c r="I623" s="3">
        <f>IF(OR(INDEX($O$2:$O$1001,MATCH(ROWS($N$2:N623),$N$2:$N$1001,0),1)&gt;=100000,INDEX($U$1005:$AC$1005,1,MATCH(COLUMNS($U$1006:AB1006),$U$1006:$AC$1006,0))&gt;=100000), " ",IF(INDEX($U$2:$AC$1001,MATCH(ROWS($N$2:N623),$N$2:$N$1001,0),MATCH(COLUMNS($U$1006:AB1006),$U$1006:$AC$1006,0)), HYPERLINK("#",""), HYPERLINK(CONCATENATE("#metadata!", ADDRESS(INDEX($P$2:$P$1001,MATCH(ROWS($N$2:N623),$N$2:$N$1001,0),0), INDEX($U$1004:$AC$1004,1,MATCH(COLUMNS($U$1006:AB1006),$U$1006:$AC$1006,0)))),"Fix")))</f>
        <v>0</v>
      </c>
      <c r="J623" s="3">
        <f>IF(OR(INDEX($O$2:$O$1001,MATCH(ROWS($N$2:N623),$N$2:$N$1001,0),1)&gt;=100000,INDEX($U$1005:$AC$1005,1,MATCH(COLUMNS($U$1006:AC1006),$U$1006:$AC$1006,0))&gt;=100000), " ",IF(INDEX($U$2:$AC$1001,MATCH(ROWS($N$2:N623),$N$2:$N$1001,0),MATCH(COLUMNS($U$1006:AC1006),$U$1006:$AC$1006,0)), HYPERLINK("#",""), HYPERLINK(CONCATENATE("#metadata!", ADDRESS(INDEX($P$2:$P$1001,MATCH(ROWS($N$2:N623),$N$2:$N$1001,0),0), INDEX($U$1004:$AC$1004,1,MATCH(COLUMNS($U$1006:AC1006),$U$1006:$AC$1006,0)))),"Fix")))</f>
        <v>0</v>
      </c>
      <c r="N623">
        <v>0</v>
      </c>
      <c r="O623">
        <v>0</v>
      </c>
      <c r="P623">
        <v>0</v>
      </c>
      <c r="Q623">
        <f>IF(R623,TRUE,AND(U623:AC623))</f>
        <v>0</v>
      </c>
      <c r="R623">
        <f>COUNTBLANK(metadata!B623:J623)=COLUMNS(metadata!B623:J623)</f>
        <v>0</v>
      </c>
      <c r="S623">
        <v>0</v>
      </c>
      <c r="U623">
        <f>AND(IF(metadata!B623="",FALSE,TRUE),COUNTIF(metadata!B:B, metadata!B623) = 1,NOT(ISERROR(SUMPRODUCT(SEARCH(MID(metadata!B623,ROW(INDIRECT("1:"&amp;LEN(metadata!B623))), 1),"0123456789abcdefghijklmnopqrstuvwxyzABCDEFGHIJKLMNOPQRSTUVWXYZ.")))))</f>
        <v>0</v>
      </c>
      <c r="V623">
        <f>AND(IF(metadata!C623="",FALSE,TRUE),exact(metadata!C623,"UBERON:genitourinary"))</f>
        <v>0</v>
      </c>
      <c r="W623">
        <f>AND(IF(metadata!D623="",FALSE,TRUE),exact(metadata!D623,"UBERON:urine"))</f>
        <v>0</v>
      </c>
      <c r="X623">
        <f>AND(IF(metadata!E623="",FALSE,TRUE),exact(metadata!E623,"UBERON:kidney"))</f>
        <v>0</v>
      </c>
      <c r="Y623">
        <f>AND(IF(metadata!F623="",FALSE,TRUE),exact(metadata!F623,"animal corpus"))</f>
        <v>0</v>
      </c>
      <c r="Z623">
        <f>AND(IF(metadata!G623="",FALSE,TRUE),exact(metadata!G623,"urine"))</f>
        <v>0</v>
      </c>
      <c r="AA623">
        <f>AND(IF(metadata!H623="",FALSE,TRUE),exact(metadata!H623,"urine"))</f>
        <v>0</v>
      </c>
      <c r="AB623">
        <f>AND(IF(metadata!I623="",FALSE,TRUE),exact(metadata!I623,"urine metagenome"))</f>
        <v>0</v>
      </c>
      <c r="AC623">
        <f>AND(IF(metadata!J623="",FALSE,TRUE),exact(metadata!J623,"1346744"))</f>
        <v>0</v>
      </c>
    </row>
    <row r="624" spans="1:29">
      <c r="A624" s="4">
        <f>IF(B624=" "," ",HYPERLINK(CONCATENATE("#metadata!",ADDRESS(INDEX($P$2:$P$1001,MATCH(ROWS($N$2:N624),$N$2:$N$1001,0),0),1)),INDEX($S$2:$S$1001,MATCH(ROWS($N$2:N624),$N$2:$N$1001,0),0)))</f>
        <v>0</v>
      </c>
      <c r="B624" s="3">
        <f>IF(OR(INDEX($O$2:$O$1001,MATCH(ROWS($N$2:N624),$N$2:$N$1001,0),1)&gt;=100000,INDEX($U$1005:$AC$1005,1,MATCH(COLUMNS($U$1006:U1006),$U$1006:$AC$1006,0))&gt;=100000), " ",IF(INDEX($U$2:$AC$1001,MATCH(ROWS($N$2:N624),$N$2:$N$1001,0),MATCH(COLUMNS($U$1006:U1006),$U$1006:$AC$1006,0)), HYPERLINK("#",""), HYPERLINK(CONCATENATE("#metadata!", ADDRESS(INDEX($P$2:$P$1001,MATCH(ROWS($N$2:N624),$N$2:$N$1001,0),0), INDEX($U$1004:$AC$1004,1,MATCH(COLUMNS($U$1006:U1006),$U$1006:$AC$1006,0)))),"Fix")))</f>
        <v>0</v>
      </c>
      <c r="C624" s="3">
        <f>IF(OR(INDEX($O$2:$O$1001,MATCH(ROWS($N$2:N624),$N$2:$N$1001,0),1)&gt;=100000,INDEX($U$1005:$AC$1005,1,MATCH(COLUMNS($U$1006:V1006),$U$1006:$AC$1006,0))&gt;=100000), " ",IF(INDEX($U$2:$AC$1001,MATCH(ROWS($N$2:N624),$N$2:$N$1001,0),MATCH(COLUMNS($U$1006:V1006),$U$1006:$AC$1006,0)), HYPERLINK("#",""), HYPERLINK(CONCATENATE("#metadata!", ADDRESS(INDEX($P$2:$P$1001,MATCH(ROWS($N$2:N624),$N$2:$N$1001,0),0), INDEX($U$1004:$AC$1004,1,MATCH(COLUMNS($U$1006:V1006),$U$1006:$AC$1006,0)))),"Fix")))</f>
        <v>0</v>
      </c>
      <c r="D624" s="3">
        <f>IF(OR(INDEX($O$2:$O$1001,MATCH(ROWS($N$2:N624),$N$2:$N$1001,0),1)&gt;=100000,INDEX($U$1005:$AC$1005,1,MATCH(COLUMNS($U$1006:W1006),$U$1006:$AC$1006,0))&gt;=100000), " ",IF(INDEX($U$2:$AC$1001,MATCH(ROWS($N$2:N624),$N$2:$N$1001,0),MATCH(COLUMNS($U$1006:W1006),$U$1006:$AC$1006,0)), HYPERLINK("#",""), HYPERLINK(CONCATENATE("#metadata!", ADDRESS(INDEX($P$2:$P$1001,MATCH(ROWS($N$2:N624),$N$2:$N$1001,0),0), INDEX($U$1004:$AC$1004,1,MATCH(COLUMNS($U$1006:W1006),$U$1006:$AC$1006,0)))),"Fix")))</f>
        <v>0</v>
      </c>
      <c r="E624" s="3">
        <f>IF(OR(INDEX($O$2:$O$1001,MATCH(ROWS($N$2:N624),$N$2:$N$1001,0),1)&gt;=100000,INDEX($U$1005:$AC$1005,1,MATCH(COLUMNS($U$1006:X1006),$U$1006:$AC$1006,0))&gt;=100000), " ",IF(INDEX($U$2:$AC$1001,MATCH(ROWS($N$2:N624),$N$2:$N$1001,0),MATCH(COLUMNS($U$1006:X1006),$U$1006:$AC$1006,0)), HYPERLINK("#",""), HYPERLINK(CONCATENATE("#metadata!", ADDRESS(INDEX($P$2:$P$1001,MATCH(ROWS($N$2:N624),$N$2:$N$1001,0),0), INDEX($U$1004:$AC$1004,1,MATCH(COLUMNS($U$1006:X1006),$U$1006:$AC$1006,0)))),"Fix")))</f>
        <v>0</v>
      </c>
      <c r="F624" s="3">
        <f>IF(OR(INDEX($O$2:$O$1001,MATCH(ROWS($N$2:N624),$N$2:$N$1001,0),1)&gt;=100000,INDEX($U$1005:$AC$1005,1,MATCH(COLUMNS($U$1006:Y1006),$U$1006:$AC$1006,0))&gt;=100000), " ",IF(INDEX($U$2:$AC$1001,MATCH(ROWS($N$2:N624),$N$2:$N$1001,0),MATCH(COLUMNS($U$1006:Y1006),$U$1006:$AC$1006,0)), HYPERLINK("#",""), HYPERLINK(CONCATENATE("#metadata!", ADDRESS(INDEX($P$2:$P$1001,MATCH(ROWS($N$2:N624),$N$2:$N$1001,0),0), INDEX($U$1004:$AC$1004,1,MATCH(COLUMNS($U$1006:Y1006),$U$1006:$AC$1006,0)))),"Fix")))</f>
        <v>0</v>
      </c>
      <c r="G624" s="3">
        <f>IF(OR(INDEX($O$2:$O$1001,MATCH(ROWS($N$2:N624),$N$2:$N$1001,0),1)&gt;=100000,INDEX($U$1005:$AC$1005,1,MATCH(COLUMNS($U$1006:Z1006),$U$1006:$AC$1006,0))&gt;=100000), " ",IF(INDEX($U$2:$AC$1001,MATCH(ROWS($N$2:N624),$N$2:$N$1001,0),MATCH(COLUMNS($U$1006:Z1006),$U$1006:$AC$1006,0)), HYPERLINK("#",""), HYPERLINK(CONCATENATE("#metadata!", ADDRESS(INDEX($P$2:$P$1001,MATCH(ROWS($N$2:N624),$N$2:$N$1001,0),0), INDEX($U$1004:$AC$1004,1,MATCH(COLUMNS($U$1006:Z1006),$U$1006:$AC$1006,0)))),"Fix")))</f>
        <v>0</v>
      </c>
      <c r="H624" s="3">
        <f>IF(OR(INDEX($O$2:$O$1001,MATCH(ROWS($N$2:N624),$N$2:$N$1001,0),1)&gt;=100000,INDEX($U$1005:$AC$1005,1,MATCH(COLUMNS($U$1006:AA1006),$U$1006:$AC$1006,0))&gt;=100000), " ",IF(INDEX($U$2:$AC$1001,MATCH(ROWS($N$2:N624),$N$2:$N$1001,0),MATCH(COLUMNS($U$1006:AA1006),$U$1006:$AC$1006,0)), HYPERLINK("#",""), HYPERLINK(CONCATENATE("#metadata!", ADDRESS(INDEX($P$2:$P$1001,MATCH(ROWS($N$2:N624),$N$2:$N$1001,0),0), INDEX($U$1004:$AC$1004,1,MATCH(COLUMNS($U$1006:AA1006),$U$1006:$AC$1006,0)))),"Fix")))</f>
        <v>0</v>
      </c>
      <c r="I624" s="3">
        <f>IF(OR(INDEX($O$2:$O$1001,MATCH(ROWS($N$2:N624),$N$2:$N$1001,0),1)&gt;=100000,INDEX($U$1005:$AC$1005,1,MATCH(COLUMNS($U$1006:AB1006),$U$1006:$AC$1006,0))&gt;=100000), " ",IF(INDEX($U$2:$AC$1001,MATCH(ROWS($N$2:N624),$N$2:$N$1001,0),MATCH(COLUMNS($U$1006:AB1006),$U$1006:$AC$1006,0)), HYPERLINK("#",""), HYPERLINK(CONCATENATE("#metadata!", ADDRESS(INDEX($P$2:$P$1001,MATCH(ROWS($N$2:N624),$N$2:$N$1001,0),0), INDEX($U$1004:$AC$1004,1,MATCH(COLUMNS($U$1006:AB1006),$U$1006:$AC$1006,0)))),"Fix")))</f>
        <v>0</v>
      </c>
      <c r="J624" s="3">
        <f>IF(OR(INDEX($O$2:$O$1001,MATCH(ROWS($N$2:N624),$N$2:$N$1001,0),1)&gt;=100000,INDEX($U$1005:$AC$1005,1,MATCH(COLUMNS($U$1006:AC1006),$U$1006:$AC$1006,0))&gt;=100000), " ",IF(INDEX($U$2:$AC$1001,MATCH(ROWS($N$2:N624),$N$2:$N$1001,0),MATCH(COLUMNS($U$1006:AC1006),$U$1006:$AC$1006,0)), HYPERLINK("#",""), HYPERLINK(CONCATENATE("#metadata!", ADDRESS(INDEX($P$2:$P$1001,MATCH(ROWS($N$2:N624),$N$2:$N$1001,0),0), INDEX($U$1004:$AC$1004,1,MATCH(COLUMNS($U$1006:AC1006),$U$1006:$AC$1006,0)))),"Fix")))</f>
        <v>0</v>
      </c>
      <c r="N624">
        <v>0</v>
      </c>
      <c r="O624">
        <v>0</v>
      </c>
      <c r="P624">
        <v>0</v>
      </c>
      <c r="Q624">
        <f>IF(R624,TRUE,AND(U624:AC624))</f>
        <v>0</v>
      </c>
      <c r="R624">
        <f>COUNTBLANK(metadata!B624:J624)=COLUMNS(metadata!B624:J624)</f>
        <v>0</v>
      </c>
      <c r="S624">
        <v>0</v>
      </c>
      <c r="U624">
        <f>AND(IF(metadata!B624="",FALSE,TRUE),COUNTIF(metadata!B:B, metadata!B624) = 1,NOT(ISERROR(SUMPRODUCT(SEARCH(MID(metadata!B624,ROW(INDIRECT("1:"&amp;LEN(metadata!B624))), 1),"0123456789abcdefghijklmnopqrstuvwxyzABCDEFGHIJKLMNOPQRSTUVWXYZ.")))))</f>
        <v>0</v>
      </c>
      <c r="V624">
        <f>AND(IF(metadata!C624="",FALSE,TRUE),exact(metadata!C624,"UBERON:genitourinary"))</f>
        <v>0</v>
      </c>
      <c r="W624">
        <f>AND(IF(metadata!D624="",FALSE,TRUE),exact(metadata!D624,"UBERON:urine"))</f>
        <v>0</v>
      </c>
      <c r="X624">
        <f>AND(IF(metadata!E624="",FALSE,TRUE),exact(metadata!E624,"UBERON:kidney"))</f>
        <v>0</v>
      </c>
      <c r="Y624">
        <f>AND(IF(metadata!F624="",FALSE,TRUE),exact(metadata!F624,"animal corpus"))</f>
        <v>0</v>
      </c>
      <c r="Z624">
        <f>AND(IF(metadata!G624="",FALSE,TRUE),exact(metadata!G624,"urine"))</f>
        <v>0</v>
      </c>
      <c r="AA624">
        <f>AND(IF(metadata!H624="",FALSE,TRUE),exact(metadata!H624,"urine"))</f>
        <v>0</v>
      </c>
      <c r="AB624">
        <f>AND(IF(metadata!I624="",FALSE,TRUE),exact(metadata!I624,"urine metagenome"))</f>
        <v>0</v>
      </c>
      <c r="AC624">
        <f>AND(IF(metadata!J624="",FALSE,TRUE),exact(metadata!J624,"1346744"))</f>
        <v>0</v>
      </c>
    </row>
    <row r="625" spans="1:29">
      <c r="A625" s="4">
        <f>IF(B625=" "," ",HYPERLINK(CONCATENATE("#metadata!",ADDRESS(INDEX($P$2:$P$1001,MATCH(ROWS($N$2:N625),$N$2:$N$1001,0),0),1)),INDEX($S$2:$S$1001,MATCH(ROWS($N$2:N625),$N$2:$N$1001,0),0)))</f>
        <v>0</v>
      </c>
      <c r="B625" s="3">
        <f>IF(OR(INDEX($O$2:$O$1001,MATCH(ROWS($N$2:N625),$N$2:$N$1001,0),1)&gt;=100000,INDEX($U$1005:$AC$1005,1,MATCH(COLUMNS($U$1006:U1006),$U$1006:$AC$1006,0))&gt;=100000), " ",IF(INDEX($U$2:$AC$1001,MATCH(ROWS($N$2:N625),$N$2:$N$1001,0),MATCH(COLUMNS($U$1006:U1006),$U$1006:$AC$1006,0)), HYPERLINK("#",""), HYPERLINK(CONCATENATE("#metadata!", ADDRESS(INDEX($P$2:$P$1001,MATCH(ROWS($N$2:N625),$N$2:$N$1001,0),0), INDEX($U$1004:$AC$1004,1,MATCH(COLUMNS($U$1006:U1006),$U$1006:$AC$1006,0)))),"Fix")))</f>
        <v>0</v>
      </c>
      <c r="C625" s="3">
        <f>IF(OR(INDEX($O$2:$O$1001,MATCH(ROWS($N$2:N625),$N$2:$N$1001,0),1)&gt;=100000,INDEX($U$1005:$AC$1005,1,MATCH(COLUMNS($U$1006:V1006),$U$1006:$AC$1006,0))&gt;=100000), " ",IF(INDEX($U$2:$AC$1001,MATCH(ROWS($N$2:N625),$N$2:$N$1001,0),MATCH(COLUMNS($U$1006:V1006),$U$1006:$AC$1006,0)), HYPERLINK("#",""), HYPERLINK(CONCATENATE("#metadata!", ADDRESS(INDEX($P$2:$P$1001,MATCH(ROWS($N$2:N625),$N$2:$N$1001,0),0), INDEX($U$1004:$AC$1004,1,MATCH(COLUMNS($U$1006:V1006),$U$1006:$AC$1006,0)))),"Fix")))</f>
        <v>0</v>
      </c>
      <c r="D625" s="3">
        <f>IF(OR(INDEX($O$2:$O$1001,MATCH(ROWS($N$2:N625),$N$2:$N$1001,0),1)&gt;=100000,INDEX($U$1005:$AC$1005,1,MATCH(COLUMNS($U$1006:W1006),$U$1006:$AC$1006,0))&gt;=100000), " ",IF(INDEX($U$2:$AC$1001,MATCH(ROWS($N$2:N625),$N$2:$N$1001,0),MATCH(COLUMNS($U$1006:W1006),$U$1006:$AC$1006,0)), HYPERLINK("#",""), HYPERLINK(CONCATENATE("#metadata!", ADDRESS(INDEX($P$2:$P$1001,MATCH(ROWS($N$2:N625),$N$2:$N$1001,0),0), INDEX($U$1004:$AC$1004,1,MATCH(COLUMNS($U$1006:W1006),$U$1006:$AC$1006,0)))),"Fix")))</f>
        <v>0</v>
      </c>
      <c r="E625" s="3">
        <f>IF(OR(INDEX($O$2:$O$1001,MATCH(ROWS($N$2:N625),$N$2:$N$1001,0),1)&gt;=100000,INDEX($U$1005:$AC$1005,1,MATCH(COLUMNS($U$1006:X1006),$U$1006:$AC$1006,0))&gt;=100000), " ",IF(INDEX($U$2:$AC$1001,MATCH(ROWS($N$2:N625),$N$2:$N$1001,0),MATCH(COLUMNS($U$1006:X1006),$U$1006:$AC$1006,0)), HYPERLINK("#",""), HYPERLINK(CONCATENATE("#metadata!", ADDRESS(INDEX($P$2:$P$1001,MATCH(ROWS($N$2:N625),$N$2:$N$1001,0),0), INDEX($U$1004:$AC$1004,1,MATCH(COLUMNS($U$1006:X1006),$U$1006:$AC$1006,0)))),"Fix")))</f>
        <v>0</v>
      </c>
      <c r="F625" s="3">
        <f>IF(OR(INDEX($O$2:$O$1001,MATCH(ROWS($N$2:N625),$N$2:$N$1001,0),1)&gt;=100000,INDEX($U$1005:$AC$1005,1,MATCH(COLUMNS($U$1006:Y1006),$U$1006:$AC$1006,0))&gt;=100000), " ",IF(INDEX($U$2:$AC$1001,MATCH(ROWS($N$2:N625),$N$2:$N$1001,0),MATCH(COLUMNS($U$1006:Y1006),$U$1006:$AC$1006,0)), HYPERLINK("#",""), HYPERLINK(CONCATENATE("#metadata!", ADDRESS(INDEX($P$2:$P$1001,MATCH(ROWS($N$2:N625),$N$2:$N$1001,0),0), INDEX($U$1004:$AC$1004,1,MATCH(COLUMNS($U$1006:Y1006),$U$1006:$AC$1006,0)))),"Fix")))</f>
        <v>0</v>
      </c>
      <c r="G625" s="3">
        <f>IF(OR(INDEX($O$2:$O$1001,MATCH(ROWS($N$2:N625),$N$2:$N$1001,0),1)&gt;=100000,INDEX($U$1005:$AC$1005,1,MATCH(COLUMNS($U$1006:Z1006),$U$1006:$AC$1006,0))&gt;=100000), " ",IF(INDEX($U$2:$AC$1001,MATCH(ROWS($N$2:N625),$N$2:$N$1001,0),MATCH(COLUMNS($U$1006:Z1006),$U$1006:$AC$1006,0)), HYPERLINK("#",""), HYPERLINK(CONCATENATE("#metadata!", ADDRESS(INDEX($P$2:$P$1001,MATCH(ROWS($N$2:N625),$N$2:$N$1001,0),0), INDEX($U$1004:$AC$1004,1,MATCH(COLUMNS($U$1006:Z1006),$U$1006:$AC$1006,0)))),"Fix")))</f>
        <v>0</v>
      </c>
      <c r="H625" s="3">
        <f>IF(OR(INDEX($O$2:$O$1001,MATCH(ROWS($N$2:N625),$N$2:$N$1001,0),1)&gt;=100000,INDEX($U$1005:$AC$1005,1,MATCH(COLUMNS($U$1006:AA1006),$U$1006:$AC$1006,0))&gt;=100000), " ",IF(INDEX($U$2:$AC$1001,MATCH(ROWS($N$2:N625),$N$2:$N$1001,0),MATCH(COLUMNS($U$1006:AA1006),$U$1006:$AC$1006,0)), HYPERLINK("#",""), HYPERLINK(CONCATENATE("#metadata!", ADDRESS(INDEX($P$2:$P$1001,MATCH(ROWS($N$2:N625),$N$2:$N$1001,0),0), INDEX($U$1004:$AC$1004,1,MATCH(COLUMNS($U$1006:AA1006),$U$1006:$AC$1006,0)))),"Fix")))</f>
        <v>0</v>
      </c>
      <c r="I625" s="3">
        <f>IF(OR(INDEX($O$2:$O$1001,MATCH(ROWS($N$2:N625),$N$2:$N$1001,0),1)&gt;=100000,INDEX($U$1005:$AC$1005,1,MATCH(COLUMNS($U$1006:AB1006),$U$1006:$AC$1006,0))&gt;=100000), " ",IF(INDEX($U$2:$AC$1001,MATCH(ROWS($N$2:N625),$N$2:$N$1001,0),MATCH(COLUMNS($U$1006:AB1006),$U$1006:$AC$1006,0)), HYPERLINK("#",""), HYPERLINK(CONCATENATE("#metadata!", ADDRESS(INDEX($P$2:$P$1001,MATCH(ROWS($N$2:N625),$N$2:$N$1001,0),0), INDEX($U$1004:$AC$1004,1,MATCH(COLUMNS($U$1006:AB1006),$U$1006:$AC$1006,0)))),"Fix")))</f>
        <v>0</v>
      </c>
      <c r="J625" s="3">
        <f>IF(OR(INDEX($O$2:$O$1001,MATCH(ROWS($N$2:N625),$N$2:$N$1001,0),1)&gt;=100000,INDEX($U$1005:$AC$1005,1,MATCH(COLUMNS($U$1006:AC1006),$U$1006:$AC$1006,0))&gt;=100000), " ",IF(INDEX($U$2:$AC$1001,MATCH(ROWS($N$2:N625),$N$2:$N$1001,0),MATCH(COLUMNS($U$1006:AC1006),$U$1006:$AC$1006,0)), HYPERLINK("#",""), HYPERLINK(CONCATENATE("#metadata!", ADDRESS(INDEX($P$2:$P$1001,MATCH(ROWS($N$2:N625),$N$2:$N$1001,0),0), INDEX($U$1004:$AC$1004,1,MATCH(COLUMNS($U$1006:AC1006),$U$1006:$AC$1006,0)))),"Fix")))</f>
        <v>0</v>
      </c>
      <c r="N625">
        <v>0</v>
      </c>
      <c r="O625">
        <v>0</v>
      </c>
      <c r="P625">
        <v>0</v>
      </c>
      <c r="Q625">
        <f>IF(R625,TRUE,AND(U625:AC625))</f>
        <v>0</v>
      </c>
      <c r="R625">
        <f>COUNTBLANK(metadata!B625:J625)=COLUMNS(metadata!B625:J625)</f>
        <v>0</v>
      </c>
      <c r="S625">
        <v>0</v>
      </c>
      <c r="U625">
        <f>AND(IF(metadata!B625="",FALSE,TRUE),COUNTIF(metadata!B:B, metadata!B625) = 1,NOT(ISERROR(SUMPRODUCT(SEARCH(MID(metadata!B625,ROW(INDIRECT("1:"&amp;LEN(metadata!B625))), 1),"0123456789abcdefghijklmnopqrstuvwxyzABCDEFGHIJKLMNOPQRSTUVWXYZ.")))))</f>
        <v>0</v>
      </c>
      <c r="V625">
        <f>AND(IF(metadata!C625="",FALSE,TRUE),exact(metadata!C625,"UBERON:genitourinary"))</f>
        <v>0</v>
      </c>
      <c r="W625">
        <f>AND(IF(metadata!D625="",FALSE,TRUE),exact(metadata!D625,"UBERON:urine"))</f>
        <v>0</v>
      </c>
      <c r="X625">
        <f>AND(IF(metadata!E625="",FALSE,TRUE),exact(metadata!E625,"UBERON:kidney"))</f>
        <v>0</v>
      </c>
      <c r="Y625">
        <f>AND(IF(metadata!F625="",FALSE,TRUE),exact(metadata!F625,"animal corpus"))</f>
        <v>0</v>
      </c>
      <c r="Z625">
        <f>AND(IF(metadata!G625="",FALSE,TRUE),exact(metadata!G625,"urine"))</f>
        <v>0</v>
      </c>
      <c r="AA625">
        <f>AND(IF(metadata!H625="",FALSE,TRUE),exact(metadata!H625,"urine"))</f>
        <v>0</v>
      </c>
      <c r="AB625">
        <f>AND(IF(metadata!I625="",FALSE,TRUE),exact(metadata!I625,"urine metagenome"))</f>
        <v>0</v>
      </c>
      <c r="AC625">
        <f>AND(IF(metadata!J625="",FALSE,TRUE),exact(metadata!J625,"1346744"))</f>
        <v>0</v>
      </c>
    </row>
    <row r="626" spans="1:29">
      <c r="A626" s="4">
        <f>IF(B626=" "," ",HYPERLINK(CONCATENATE("#metadata!",ADDRESS(INDEX($P$2:$P$1001,MATCH(ROWS($N$2:N626),$N$2:$N$1001,0),0),1)),INDEX($S$2:$S$1001,MATCH(ROWS($N$2:N626),$N$2:$N$1001,0),0)))</f>
        <v>0</v>
      </c>
      <c r="B626" s="3">
        <f>IF(OR(INDEX($O$2:$O$1001,MATCH(ROWS($N$2:N626),$N$2:$N$1001,0),1)&gt;=100000,INDEX($U$1005:$AC$1005,1,MATCH(COLUMNS($U$1006:U1006),$U$1006:$AC$1006,0))&gt;=100000), " ",IF(INDEX($U$2:$AC$1001,MATCH(ROWS($N$2:N626),$N$2:$N$1001,0),MATCH(COLUMNS($U$1006:U1006),$U$1006:$AC$1006,0)), HYPERLINK("#",""), HYPERLINK(CONCATENATE("#metadata!", ADDRESS(INDEX($P$2:$P$1001,MATCH(ROWS($N$2:N626),$N$2:$N$1001,0),0), INDEX($U$1004:$AC$1004,1,MATCH(COLUMNS($U$1006:U1006),$U$1006:$AC$1006,0)))),"Fix")))</f>
        <v>0</v>
      </c>
      <c r="C626" s="3">
        <f>IF(OR(INDEX($O$2:$O$1001,MATCH(ROWS($N$2:N626),$N$2:$N$1001,0),1)&gt;=100000,INDEX($U$1005:$AC$1005,1,MATCH(COLUMNS($U$1006:V1006),$U$1006:$AC$1006,0))&gt;=100000), " ",IF(INDEX($U$2:$AC$1001,MATCH(ROWS($N$2:N626),$N$2:$N$1001,0),MATCH(COLUMNS($U$1006:V1006),$U$1006:$AC$1006,0)), HYPERLINK("#",""), HYPERLINK(CONCATENATE("#metadata!", ADDRESS(INDEX($P$2:$P$1001,MATCH(ROWS($N$2:N626),$N$2:$N$1001,0),0), INDEX($U$1004:$AC$1004,1,MATCH(COLUMNS($U$1006:V1006),$U$1006:$AC$1006,0)))),"Fix")))</f>
        <v>0</v>
      </c>
      <c r="D626" s="3">
        <f>IF(OR(INDEX($O$2:$O$1001,MATCH(ROWS($N$2:N626),$N$2:$N$1001,0),1)&gt;=100000,INDEX($U$1005:$AC$1005,1,MATCH(COLUMNS($U$1006:W1006),$U$1006:$AC$1006,0))&gt;=100000), " ",IF(INDEX($U$2:$AC$1001,MATCH(ROWS($N$2:N626),$N$2:$N$1001,0),MATCH(COLUMNS($U$1006:W1006),$U$1006:$AC$1006,0)), HYPERLINK("#",""), HYPERLINK(CONCATENATE("#metadata!", ADDRESS(INDEX($P$2:$P$1001,MATCH(ROWS($N$2:N626),$N$2:$N$1001,0),0), INDEX($U$1004:$AC$1004,1,MATCH(COLUMNS($U$1006:W1006),$U$1006:$AC$1006,0)))),"Fix")))</f>
        <v>0</v>
      </c>
      <c r="E626" s="3">
        <f>IF(OR(INDEX($O$2:$O$1001,MATCH(ROWS($N$2:N626),$N$2:$N$1001,0),1)&gt;=100000,INDEX($U$1005:$AC$1005,1,MATCH(COLUMNS($U$1006:X1006),$U$1006:$AC$1006,0))&gt;=100000), " ",IF(INDEX($U$2:$AC$1001,MATCH(ROWS($N$2:N626),$N$2:$N$1001,0),MATCH(COLUMNS($U$1006:X1006),$U$1006:$AC$1006,0)), HYPERLINK("#",""), HYPERLINK(CONCATENATE("#metadata!", ADDRESS(INDEX($P$2:$P$1001,MATCH(ROWS($N$2:N626),$N$2:$N$1001,0),0), INDEX($U$1004:$AC$1004,1,MATCH(COLUMNS($U$1006:X1006),$U$1006:$AC$1006,0)))),"Fix")))</f>
        <v>0</v>
      </c>
      <c r="F626" s="3">
        <f>IF(OR(INDEX($O$2:$O$1001,MATCH(ROWS($N$2:N626),$N$2:$N$1001,0),1)&gt;=100000,INDEX($U$1005:$AC$1005,1,MATCH(COLUMNS($U$1006:Y1006),$U$1006:$AC$1006,0))&gt;=100000), " ",IF(INDEX($U$2:$AC$1001,MATCH(ROWS($N$2:N626),$N$2:$N$1001,0),MATCH(COLUMNS($U$1006:Y1006),$U$1006:$AC$1006,0)), HYPERLINK("#",""), HYPERLINK(CONCATENATE("#metadata!", ADDRESS(INDEX($P$2:$P$1001,MATCH(ROWS($N$2:N626),$N$2:$N$1001,0),0), INDEX($U$1004:$AC$1004,1,MATCH(COLUMNS($U$1006:Y1006),$U$1006:$AC$1006,0)))),"Fix")))</f>
        <v>0</v>
      </c>
      <c r="G626" s="3">
        <f>IF(OR(INDEX($O$2:$O$1001,MATCH(ROWS($N$2:N626),$N$2:$N$1001,0),1)&gt;=100000,INDEX($U$1005:$AC$1005,1,MATCH(COLUMNS($U$1006:Z1006),$U$1006:$AC$1006,0))&gt;=100000), " ",IF(INDEX($U$2:$AC$1001,MATCH(ROWS($N$2:N626),$N$2:$N$1001,0),MATCH(COLUMNS($U$1006:Z1006),$U$1006:$AC$1006,0)), HYPERLINK("#",""), HYPERLINK(CONCATENATE("#metadata!", ADDRESS(INDEX($P$2:$P$1001,MATCH(ROWS($N$2:N626),$N$2:$N$1001,0),0), INDEX($U$1004:$AC$1004,1,MATCH(COLUMNS($U$1006:Z1006),$U$1006:$AC$1006,0)))),"Fix")))</f>
        <v>0</v>
      </c>
      <c r="H626" s="3">
        <f>IF(OR(INDEX($O$2:$O$1001,MATCH(ROWS($N$2:N626),$N$2:$N$1001,0),1)&gt;=100000,INDEX($U$1005:$AC$1005,1,MATCH(COLUMNS($U$1006:AA1006),$U$1006:$AC$1006,0))&gt;=100000), " ",IF(INDEX($U$2:$AC$1001,MATCH(ROWS($N$2:N626),$N$2:$N$1001,0),MATCH(COLUMNS($U$1006:AA1006),$U$1006:$AC$1006,0)), HYPERLINK("#",""), HYPERLINK(CONCATENATE("#metadata!", ADDRESS(INDEX($P$2:$P$1001,MATCH(ROWS($N$2:N626),$N$2:$N$1001,0),0), INDEX($U$1004:$AC$1004,1,MATCH(COLUMNS($U$1006:AA1006),$U$1006:$AC$1006,0)))),"Fix")))</f>
        <v>0</v>
      </c>
      <c r="I626" s="3">
        <f>IF(OR(INDEX($O$2:$O$1001,MATCH(ROWS($N$2:N626),$N$2:$N$1001,0),1)&gt;=100000,INDEX($U$1005:$AC$1005,1,MATCH(COLUMNS($U$1006:AB1006),$U$1006:$AC$1006,0))&gt;=100000), " ",IF(INDEX($U$2:$AC$1001,MATCH(ROWS($N$2:N626),$N$2:$N$1001,0),MATCH(COLUMNS($U$1006:AB1006),$U$1006:$AC$1006,0)), HYPERLINK("#",""), HYPERLINK(CONCATENATE("#metadata!", ADDRESS(INDEX($P$2:$P$1001,MATCH(ROWS($N$2:N626),$N$2:$N$1001,0),0), INDEX($U$1004:$AC$1004,1,MATCH(COLUMNS($U$1006:AB1006),$U$1006:$AC$1006,0)))),"Fix")))</f>
        <v>0</v>
      </c>
      <c r="J626" s="3">
        <f>IF(OR(INDEX($O$2:$O$1001,MATCH(ROWS($N$2:N626),$N$2:$N$1001,0),1)&gt;=100000,INDEX($U$1005:$AC$1005,1,MATCH(COLUMNS($U$1006:AC1006),$U$1006:$AC$1006,0))&gt;=100000), " ",IF(INDEX($U$2:$AC$1001,MATCH(ROWS($N$2:N626),$N$2:$N$1001,0),MATCH(COLUMNS($U$1006:AC1006),$U$1006:$AC$1006,0)), HYPERLINK("#",""), HYPERLINK(CONCATENATE("#metadata!", ADDRESS(INDEX($P$2:$P$1001,MATCH(ROWS($N$2:N626),$N$2:$N$1001,0),0), INDEX($U$1004:$AC$1004,1,MATCH(COLUMNS($U$1006:AC1006),$U$1006:$AC$1006,0)))),"Fix")))</f>
        <v>0</v>
      </c>
      <c r="N626">
        <v>0</v>
      </c>
      <c r="O626">
        <v>0</v>
      </c>
      <c r="P626">
        <v>0</v>
      </c>
      <c r="Q626">
        <f>IF(R626,TRUE,AND(U626:AC626))</f>
        <v>0</v>
      </c>
      <c r="R626">
        <f>COUNTBLANK(metadata!B626:J626)=COLUMNS(metadata!B626:J626)</f>
        <v>0</v>
      </c>
      <c r="S626">
        <v>0</v>
      </c>
      <c r="U626">
        <f>AND(IF(metadata!B626="",FALSE,TRUE),COUNTIF(metadata!B:B, metadata!B626) = 1,NOT(ISERROR(SUMPRODUCT(SEARCH(MID(metadata!B626,ROW(INDIRECT("1:"&amp;LEN(metadata!B626))), 1),"0123456789abcdefghijklmnopqrstuvwxyzABCDEFGHIJKLMNOPQRSTUVWXYZ.")))))</f>
        <v>0</v>
      </c>
      <c r="V626">
        <f>AND(IF(metadata!C626="",FALSE,TRUE),exact(metadata!C626,"UBERON:genitourinary"))</f>
        <v>0</v>
      </c>
      <c r="W626">
        <f>AND(IF(metadata!D626="",FALSE,TRUE),exact(metadata!D626,"UBERON:urine"))</f>
        <v>0</v>
      </c>
      <c r="X626">
        <f>AND(IF(metadata!E626="",FALSE,TRUE),exact(metadata!E626,"UBERON:kidney"))</f>
        <v>0</v>
      </c>
      <c r="Y626">
        <f>AND(IF(metadata!F626="",FALSE,TRUE),exact(metadata!F626,"animal corpus"))</f>
        <v>0</v>
      </c>
      <c r="Z626">
        <f>AND(IF(metadata!G626="",FALSE,TRUE),exact(metadata!G626,"urine"))</f>
        <v>0</v>
      </c>
      <c r="AA626">
        <f>AND(IF(metadata!H626="",FALSE,TRUE),exact(metadata!H626,"urine"))</f>
        <v>0</v>
      </c>
      <c r="AB626">
        <f>AND(IF(metadata!I626="",FALSE,TRUE),exact(metadata!I626,"urine metagenome"))</f>
        <v>0</v>
      </c>
      <c r="AC626">
        <f>AND(IF(metadata!J626="",FALSE,TRUE),exact(metadata!J626,"1346744"))</f>
        <v>0</v>
      </c>
    </row>
    <row r="627" spans="1:29">
      <c r="A627" s="4">
        <f>IF(B627=" "," ",HYPERLINK(CONCATENATE("#metadata!",ADDRESS(INDEX($P$2:$P$1001,MATCH(ROWS($N$2:N627),$N$2:$N$1001,0),0),1)),INDEX($S$2:$S$1001,MATCH(ROWS($N$2:N627),$N$2:$N$1001,0),0)))</f>
        <v>0</v>
      </c>
      <c r="B627" s="3">
        <f>IF(OR(INDEX($O$2:$O$1001,MATCH(ROWS($N$2:N627),$N$2:$N$1001,0),1)&gt;=100000,INDEX($U$1005:$AC$1005,1,MATCH(COLUMNS($U$1006:U1006),$U$1006:$AC$1006,0))&gt;=100000), " ",IF(INDEX($U$2:$AC$1001,MATCH(ROWS($N$2:N627),$N$2:$N$1001,0),MATCH(COLUMNS($U$1006:U1006),$U$1006:$AC$1006,0)), HYPERLINK("#",""), HYPERLINK(CONCATENATE("#metadata!", ADDRESS(INDEX($P$2:$P$1001,MATCH(ROWS($N$2:N627),$N$2:$N$1001,0),0), INDEX($U$1004:$AC$1004,1,MATCH(COLUMNS($U$1006:U1006),$U$1006:$AC$1006,0)))),"Fix")))</f>
        <v>0</v>
      </c>
      <c r="C627" s="3">
        <f>IF(OR(INDEX($O$2:$O$1001,MATCH(ROWS($N$2:N627),$N$2:$N$1001,0),1)&gt;=100000,INDEX($U$1005:$AC$1005,1,MATCH(COLUMNS($U$1006:V1006),$U$1006:$AC$1006,0))&gt;=100000), " ",IF(INDEX($U$2:$AC$1001,MATCH(ROWS($N$2:N627),$N$2:$N$1001,0),MATCH(COLUMNS($U$1006:V1006),$U$1006:$AC$1006,0)), HYPERLINK("#",""), HYPERLINK(CONCATENATE("#metadata!", ADDRESS(INDEX($P$2:$P$1001,MATCH(ROWS($N$2:N627),$N$2:$N$1001,0),0), INDEX($U$1004:$AC$1004,1,MATCH(COLUMNS($U$1006:V1006),$U$1006:$AC$1006,0)))),"Fix")))</f>
        <v>0</v>
      </c>
      <c r="D627" s="3">
        <f>IF(OR(INDEX($O$2:$O$1001,MATCH(ROWS($N$2:N627),$N$2:$N$1001,0),1)&gt;=100000,INDEX($U$1005:$AC$1005,1,MATCH(COLUMNS($U$1006:W1006),$U$1006:$AC$1006,0))&gt;=100000), " ",IF(INDEX($U$2:$AC$1001,MATCH(ROWS($N$2:N627),$N$2:$N$1001,0),MATCH(COLUMNS($U$1006:W1006),$U$1006:$AC$1006,0)), HYPERLINK("#",""), HYPERLINK(CONCATENATE("#metadata!", ADDRESS(INDEX($P$2:$P$1001,MATCH(ROWS($N$2:N627),$N$2:$N$1001,0),0), INDEX($U$1004:$AC$1004,1,MATCH(COLUMNS($U$1006:W1006),$U$1006:$AC$1006,0)))),"Fix")))</f>
        <v>0</v>
      </c>
      <c r="E627" s="3">
        <f>IF(OR(INDEX($O$2:$O$1001,MATCH(ROWS($N$2:N627),$N$2:$N$1001,0),1)&gt;=100000,INDEX($U$1005:$AC$1005,1,MATCH(COLUMNS($U$1006:X1006),$U$1006:$AC$1006,0))&gt;=100000), " ",IF(INDEX($U$2:$AC$1001,MATCH(ROWS($N$2:N627),$N$2:$N$1001,0),MATCH(COLUMNS($U$1006:X1006),$U$1006:$AC$1006,0)), HYPERLINK("#",""), HYPERLINK(CONCATENATE("#metadata!", ADDRESS(INDEX($P$2:$P$1001,MATCH(ROWS($N$2:N627),$N$2:$N$1001,0),0), INDEX($U$1004:$AC$1004,1,MATCH(COLUMNS($U$1006:X1006),$U$1006:$AC$1006,0)))),"Fix")))</f>
        <v>0</v>
      </c>
      <c r="F627" s="3">
        <f>IF(OR(INDEX($O$2:$O$1001,MATCH(ROWS($N$2:N627),$N$2:$N$1001,0),1)&gt;=100000,INDEX($U$1005:$AC$1005,1,MATCH(COLUMNS($U$1006:Y1006),$U$1006:$AC$1006,0))&gt;=100000), " ",IF(INDEX($U$2:$AC$1001,MATCH(ROWS($N$2:N627),$N$2:$N$1001,0),MATCH(COLUMNS($U$1006:Y1006),$U$1006:$AC$1006,0)), HYPERLINK("#",""), HYPERLINK(CONCATENATE("#metadata!", ADDRESS(INDEX($P$2:$P$1001,MATCH(ROWS($N$2:N627),$N$2:$N$1001,0),0), INDEX($U$1004:$AC$1004,1,MATCH(COLUMNS($U$1006:Y1006),$U$1006:$AC$1006,0)))),"Fix")))</f>
        <v>0</v>
      </c>
      <c r="G627" s="3">
        <f>IF(OR(INDEX($O$2:$O$1001,MATCH(ROWS($N$2:N627),$N$2:$N$1001,0),1)&gt;=100000,INDEX($U$1005:$AC$1005,1,MATCH(COLUMNS($U$1006:Z1006),$U$1006:$AC$1006,0))&gt;=100000), " ",IF(INDEX($U$2:$AC$1001,MATCH(ROWS($N$2:N627),$N$2:$N$1001,0),MATCH(COLUMNS($U$1006:Z1006),$U$1006:$AC$1006,0)), HYPERLINK("#",""), HYPERLINK(CONCATENATE("#metadata!", ADDRESS(INDEX($P$2:$P$1001,MATCH(ROWS($N$2:N627),$N$2:$N$1001,0),0), INDEX($U$1004:$AC$1004,1,MATCH(COLUMNS($U$1006:Z1006),$U$1006:$AC$1006,0)))),"Fix")))</f>
        <v>0</v>
      </c>
      <c r="H627" s="3">
        <f>IF(OR(INDEX($O$2:$O$1001,MATCH(ROWS($N$2:N627),$N$2:$N$1001,0),1)&gt;=100000,INDEX($U$1005:$AC$1005,1,MATCH(COLUMNS($U$1006:AA1006),$U$1006:$AC$1006,0))&gt;=100000), " ",IF(INDEX($U$2:$AC$1001,MATCH(ROWS($N$2:N627),$N$2:$N$1001,0),MATCH(COLUMNS($U$1006:AA1006),$U$1006:$AC$1006,0)), HYPERLINK("#",""), HYPERLINK(CONCATENATE("#metadata!", ADDRESS(INDEX($P$2:$P$1001,MATCH(ROWS($N$2:N627),$N$2:$N$1001,0),0), INDEX($U$1004:$AC$1004,1,MATCH(COLUMNS($U$1006:AA1006),$U$1006:$AC$1006,0)))),"Fix")))</f>
        <v>0</v>
      </c>
      <c r="I627" s="3">
        <f>IF(OR(INDEX($O$2:$O$1001,MATCH(ROWS($N$2:N627),$N$2:$N$1001,0),1)&gt;=100000,INDEX($U$1005:$AC$1005,1,MATCH(COLUMNS($U$1006:AB1006),$U$1006:$AC$1006,0))&gt;=100000), " ",IF(INDEX($U$2:$AC$1001,MATCH(ROWS($N$2:N627),$N$2:$N$1001,0),MATCH(COLUMNS($U$1006:AB1006),$U$1006:$AC$1006,0)), HYPERLINK("#",""), HYPERLINK(CONCATENATE("#metadata!", ADDRESS(INDEX($P$2:$P$1001,MATCH(ROWS($N$2:N627),$N$2:$N$1001,0),0), INDEX($U$1004:$AC$1004,1,MATCH(COLUMNS($U$1006:AB1006),$U$1006:$AC$1006,0)))),"Fix")))</f>
        <v>0</v>
      </c>
      <c r="J627" s="3">
        <f>IF(OR(INDEX($O$2:$O$1001,MATCH(ROWS($N$2:N627),$N$2:$N$1001,0),1)&gt;=100000,INDEX($U$1005:$AC$1005,1,MATCH(COLUMNS($U$1006:AC1006),$U$1006:$AC$1006,0))&gt;=100000), " ",IF(INDEX($U$2:$AC$1001,MATCH(ROWS($N$2:N627),$N$2:$N$1001,0),MATCH(COLUMNS($U$1006:AC1006),$U$1006:$AC$1006,0)), HYPERLINK("#",""), HYPERLINK(CONCATENATE("#metadata!", ADDRESS(INDEX($P$2:$P$1001,MATCH(ROWS($N$2:N627),$N$2:$N$1001,0),0), INDEX($U$1004:$AC$1004,1,MATCH(COLUMNS($U$1006:AC1006),$U$1006:$AC$1006,0)))),"Fix")))</f>
        <v>0</v>
      </c>
      <c r="N627">
        <v>0</v>
      </c>
      <c r="O627">
        <v>0</v>
      </c>
      <c r="P627">
        <v>0</v>
      </c>
      <c r="Q627">
        <f>IF(R627,TRUE,AND(U627:AC627))</f>
        <v>0</v>
      </c>
      <c r="R627">
        <f>COUNTBLANK(metadata!B627:J627)=COLUMNS(metadata!B627:J627)</f>
        <v>0</v>
      </c>
      <c r="S627">
        <v>0</v>
      </c>
      <c r="U627">
        <f>AND(IF(metadata!B627="",FALSE,TRUE),COUNTIF(metadata!B:B, metadata!B627) = 1,NOT(ISERROR(SUMPRODUCT(SEARCH(MID(metadata!B627,ROW(INDIRECT("1:"&amp;LEN(metadata!B627))), 1),"0123456789abcdefghijklmnopqrstuvwxyzABCDEFGHIJKLMNOPQRSTUVWXYZ.")))))</f>
        <v>0</v>
      </c>
      <c r="V627">
        <f>AND(IF(metadata!C627="",FALSE,TRUE),exact(metadata!C627,"UBERON:genitourinary"))</f>
        <v>0</v>
      </c>
      <c r="W627">
        <f>AND(IF(metadata!D627="",FALSE,TRUE),exact(metadata!D627,"UBERON:urine"))</f>
        <v>0</v>
      </c>
      <c r="X627">
        <f>AND(IF(metadata!E627="",FALSE,TRUE),exact(metadata!E627,"UBERON:kidney"))</f>
        <v>0</v>
      </c>
      <c r="Y627">
        <f>AND(IF(metadata!F627="",FALSE,TRUE),exact(metadata!F627,"animal corpus"))</f>
        <v>0</v>
      </c>
      <c r="Z627">
        <f>AND(IF(metadata!G627="",FALSE,TRUE),exact(metadata!G627,"urine"))</f>
        <v>0</v>
      </c>
      <c r="AA627">
        <f>AND(IF(metadata!H627="",FALSE,TRUE),exact(metadata!H627,"urine"))</f>
        <v>0</v>
      </c>
      <c r="AB627">
        <f>AND(IF(metadata!I627="",FALSE,TRUE),exact(metadata!I627,"urine metagenome"))</f>
        <v>0</v>
      </c>
      <c r="AC627">
        <f>AND(IF(metadata!J627="",FALSE,TRUE),exact(metadata!J627,"1346744"))</f>
        <v>0</v>
      </c>
    </row>
    <row r="628" spans="1:29">
      <c r="A628" s="4">
        <f>IF(B628=" "," ",HYPERLINK(CONCATENATE("#metadata!",ADDRESS(INDEX($P$2:$P$1001,MATCH(ROWS($N$2:N628),$N$2:$N$1001,0),0),1)),INDEX($S$2:$S$1001,MATCH(ROWS($N$2:N628),$N$2:$N$1001,0),0)))</f>
        <v>0</v>
      </c>
      <c r="B628" s="3">
        <f>IF(OR(INDEX($O$2:$O$1001,MATCH(ROWS($N$2:N628),$N$2:$N$1001,0),1)&gt;=100000,INDEX($U$1005:$AC$1005,1,MATCH(COLUMNS($U$1006:U1006),$U$1006:$AC$1006,0))&gt;=100000), " ",IF(INDEX($U$2:$AC$1001,MATCH(ROWS($N$2:N628),$N$2:$N$1001,0),MATCH(COLUMNS($U$1006:U1006),$U$1006:$AC$1006,0)), HYPERLINK("#",""), HYPERLINK(CONCATENATE("#metadata!", ADDRESS(INDEX($P$2:$P$1001,MATCH(ROWS($N$2:N628),$N$2:$N$1001,0),0), INDEX($U$1004:$AC$1004,1,MATCH(COLUMNS($U$1006:U1006),$U$1006:$AC$1006,0)))),"Fix")))</f>
        <v>0</v>
      </c>
      <c r="C628" s="3">
        <f>IF(OR(INDEX($O$2:$O$1001,MATCH(ROWS($N$2:N628),$N$2:$N$1001,0),1)&gt;=100000,INDEX($U$1005:$AC$1005,1,MATCH(COLUMNS($U$1006:V1006),$U$1006:$AC$1006,0))&gt;=100000), " ",IF(INDEX($U$2:$AC$1001,MATCH(ROWS($N$2:N628),$N$2:$N$1001,0),MATCH(COLUMNS($U$1006:V1006),$U$1006:$AC$1006,0)), HYPERLINK("#",""), HYPERLINK(CONCATENATE("#metadata!", ADDRESS(INDEX($P$2:$P$1001,MATCH(ROWS($N$2:N628),$N$2:$N$1001,0),0), INDEX($U$1004:$AC$1004,1,MATCH(COLUMNS($U$1006:V1006),$U$1006:$AC$1006,0)))),"Fix")))</f>
        <v>0</v>
      </c>
      <c r="D628" s="3">
        <f>IF(OR(INDEX($O$2:$O$1001,MATCH(ROWS($N$2:N628),$N$2:$N$1001,0),1)&gt;=100000,INDEX($U$1005:$AC$1005,1,MATCH(COLUMNS($U$1006:W1006),$U$1006:$AC$1006,0))&gt;=100000), " ",IF(INDEX($U$2:$AC$1001,MATCH(ROWS($N$2:N628),$N$2:$N$1001,0),MATCH(COLUMNS($U$1006:W1006),$U$1006:$AC$1006,0)), HYPERLINK("#",""), HYPERLINK(CONCATENATE("#metadata!", ADDRESS(INDEX($P$2:$P$1001,MATCH(ROWS($N$2:N628),$N$2:$N$1001,0),0), INDEX($U$1004:$AC$1004,1,MATCH(COLUMNS($U$1006:W1006),$U$1006:$AC$1006,0)))),"Fix")))</f>
        <v>0</v>
      </c>
      <c r="E628" s="3">
        <f>IF(OR(INDEX($O$2:$O$1001,MATCH(ROWS($N$2:N628),$N$2:$N$1001,0),1)&gt;=100000,INDEX($U$1005:$AC$1005,1,MATCH(COLUMNS($U$1006:X1006),$U$1006:$AC$1006,0))&gt;=100000), " ",IF(INDEX($U$2:$AC$1001,MATCH(ROWS($N$2:N628),$N$2:$N$1001,0),MATCH(COLUMNS($U$1006:X1006),$U$1006:$AC$1006,0)), HYPERLINK("#",""), HYPERLINK(CONCATENATE("#metadata!", ADDRESS(INDEX($P$2:$P$1001,MATCH(ROWS($N$2:N628),$N$2:$N$1001,0),0), INDEX($U$1004:$AC$1004,1,MATCH(COLUMNS($U$1006:X1006),$U$1006:$AC$1006,0)))),"Fix")))</f>
        <v>0</v>
      </c>
      <c r="F628" s="3">
        <f>IF(OR(INDEX($O$2:$O$1001,MATCH(ROWS($N$2:N628),$N$2:$N$1001,0),1)&gt;=100000,INDEX($U$1005:$AC$1005,1,MATCH(COLUMNS($U$1006:Y1006),$U$1006:$AC$1006,0))&gt;=100000), " ",IF(INDEX($U$2:$AC$1001,MATCH(ROWS($N$2:N628),$N$2:$N$1001,0),MATCH(COLUMNS($U$1006:Y1006),$U$1006:$AC$1006,0)), HYPERLINK("#",""), HYPERLINK(CONCATENATE("#metadata!", ADDRESS(INDEX($P$2:$P$1001,MATCH(ROWS($N$2:N628),$N$2:$N$1001,0),0), INDEX($U$1004:$AC$1004,1,MATCH(COLUMNS($U$1006:Y1006),$U$1006:$AC$1006,0)))),"Fix")))</f>
        <v>0</v>
      </c>
      <c r="G628" s="3">
        <f>IF(OR(INDEX($O$2:$O$1001,MATCH(ROWS($N$2:N628),$N$2:$N$1001,0),1)&gt;=100000,INDEX($U$1005:$AC$1005,1,MATCH(COLUMNS($U$1006:Z1006),$U$1006:$AC$1006,0))&gt;=100000), " ",IF(INDEX($U$2:$AC$1001,MATCH(ROWS($N$2:N628),$N$2:$N$1001,0),MATCH(COLUMNS($U$1006:Z1006),$U$1006:$AC$1006,0)), HYPERLINK("#",""), HYPERLINK(CONCATENATE("#metadata!", ADDRESS(INDEX($P$2:$P$1001,MATCH(ROWS($N$2:N628),$N$2:$N$1001,0),0), INDEX($U$1004:$AC$1004,1,MATCH(COLUMNS($U$1006:Z1006),$U$1006:$AC$1006,0)))),"Fix")))</f>
        <v>0</v>
      </c>
      <c r="H628" s="3">
        <f>IF(OR(INDEX($O$2:$O$1001,MATCH(ROWS($N$2:N628),$N$2:$N$1001,0),1)&gt;=100000,INDEX($U$1005:$AC$1005,1,MATCH(COLUMNS($U$1006:AA1006),$U$1006:$AC$1006,0))&gt;=100000), " ",IF(INDEX($U$2:$AC$1001,MATCH(ROWS($N$2:N628),$N$2:$N$1001,0),MATCH(COLUMNS($U$1006:AA1006),$U$1006:$AC$1006,0)), HYPERLINK("#",""), HYPERLINK(CONCATENATE("#metadata!", ADDRESS(INDEX($P$2:$P$1001,MATCH(ROWS($N$2:N628),$N$2:$N$1001,0),0), INDEX($U$1004:$AC$1004,1,MATCH(COLUMNS($U$1006:AA1006),$U$1006:$AC$1006,0)))),"Fix")))</f>
        <v>0</v>
      </c>
      <c r="I628" s="3">
        <f>IF(OR(INDEX($O$2:$O$1001,MATCH(ROWS($N$2:N628),$N$2:$N$1001,0),1)&gt;=100000,INDEX($U$1005:$AC$1005,1,MATCH(COLUMNS($U$1006:AB1006),$U$1006:$AC$1006,0))&gt;=100000), " ",IF(INDEX($U$2:$AC$1001,MATCH(ROWS($N$2:N628),$N$2:$N$1001,0),MATCH(COLUMNS($U$1006:AB1006),$U$1006:$AC$1006,0)), HYPERLINK("#",""), HYPERLINK(CONCATENATE("#metadata!", ADDRESS(INDEX($P$2:$P$1001,MATCH(ROWS($N$2:N628),$N$2:$N$1001,0),0), INDEX($U$1004:$AC$1004,1,MATCH(COLUMNS($U$1006:AB1006),$U$1006:$AC$1006,0)))),"Fix")))</f>
        <v>0</v>
      </c>
      <c r="J628" s="3">
        <f>IF(OR(INDEX($O$2:$O$1001,MATCH(ROWS($N$2:N628),$N$2:$N$1001,0),1)&gt;=100000,INDEX($U$1005:$AC$1005,1,MATCH(COLUMNS($U$1006:AC1006),$U$1006:$AC$1006,0))&gt;=100000), " ",IF(INDEX($U$2:$AC$1001,MATCH(ROWS($N$2:N628),$N$2:$N$1001,0),MATCH(COLUMNS($U$1006:AC1006),$U$1006:$AC$1006,0)), HYPERLINK("#",""), HYPERLINK(CONCATENATE("#metadata!", ADDRESS(INDEX($P$2:$P$1001,MATCH(ROWS($N$2:N628),$N$2:$N$1001,0),0), INDEX($U$1004:$AC$1004,1,MATCH(COLUMNS($U$1006:AC1006),$U$1006:$AC$1006,0)))),"Fix")))</f>
        <v>0</v>
      </c>
      <c r="N628">
        <v>0</v>
      </c>
      <c r="O628">
        <v>0</v>
      </c>
      <c r="P628">
        <v>0</v>
      </c>
      <c r="Q628">
        <f>IF(R628,TRUE,AND(U628:AC628))</f>
        <v>0</v>
      </c>
      <c r="R628">
        <f>COUNTBLANK(metadata!B628:J628)=COLUMNS(metadata!B628:J628)</f>
        <v>0</v>
      </c>
      <c r="S628">
        <v>0</v>
      </c>
      <c r="U628">
        <f>AND(IF(metadata!B628="",FALSE,TRUE),COUNTIF(metadata!B:B, metadata!B628) = 1,NOT(ISERROR(SUMPRODUCT(SEARCH(MID(metadata!B628,ROW(INDIRECT("1:"&amp;LEN(metadata!B628))), 1),"0123456789abcdefghijklmnopqrstuvwxyzABCDEFGHIJKLMNOPQRSTUVWXYZ.")))))</f>
        <v>0</v>
      </c>
      <c r="V628">
        <f>AND(IF(metadata!C628="",FALSE,TRUE),exact(metadata!C628,"UBERON:genitourinary"))</f>
        <v>0</v>
      </c>
      <c r="W628">
        <f>AND(IF(metadata!D628="",FALSE,TRUE),exact(metadata!D628,"UBERON:urine"))</f>
        <v>0</v>
      </c>
      <c r="X628">
        <f>AND(IF(metadata!E628="",FALSE,TRUE),exact(metadata!E628,"UBERON:kidney"))</f>
        <v>0</v>
      </c>
      <c r="Y628">
        <f>AND(IF(metadata!F628="",FALSE,TRUE),exact(metadata!F628,"animal corpus"))</f>
        <v>0</v>
      </c>
      <c r="Z628">
        <f>AND(IF(metadata!G628="",FALSE,TRUE),exact(metadata!G628,"urine"))</f>
        <v>0</v>
      </c>
      <c r="AA628">
        <f>AND(IF(metadata!H628="",FALSE,TRUE),exact(metadata!H628,"urine"))</f>
        <v>0</v>
      </c>
      <c r="AB628">
        <f>AND(IF(metadata!I628="",FALSE,TRUE),exact(metadata!I628,"urine metagenome"))</f>
        <v>0</v>
      </c>
      <c r="AC628">
        <f>AND(IF(metadata!J628="",FALSE,TRUE),exact(metadata!J628,"1346744"))</f>
        <v>0</v>
      </c>
    </row>
    <row r="629" spans="1:29">
      <c r="A629" s="4">
        <f>IF(B629=" "," ",HYPERLINK(CONCATENATE("#metadata!",ADDRESS(INDEX($P$2:$P$1001,MATCH(ROWS($N$2:N629),$N$2:$N$1001,0),0),1)),INDEX($S$2:$S$1001,MATCH(ROWS($N$2:N629),$N$2:$N$1001,0),0)))</f>
        <v>0</v>
      </c>
      <c r="B629" s="3">
        <f>IF(OR(INDEX($O$2:$O$1001,MATCH(ROWS($N$2:N629),$N$2:$N$1001,0),1)&gt;=100000,INDEX($U$1005:$AC$1005,1,MATCH(COLUMNS($U$1006:U1006),$U$1006:$AC$1006,0))&gt;=100000), " ",IF(INDEX($U$2:$AC$1001,MATCH(ROWS($N$2:N629),$N$2:$N$1001,0),MATCH(COLUMNS($U$1006:U1006),$U$1006:$AC$1006,0)), HYPERLINK("#",""), HYPERLINK(CONCATENATE("#metadata!", ADDRESS(INDEX($P$2:$P$1001,MATCH(ROWS($N$2:N629),$N$2:$N$1001,0),0), INDEX($U$1004:$AC$1004,1,MATCH(COLUMNS($U$1006:U1006),$U$1006:$AC$1006,0)))),"Fix")))</f>
        <v>0</v>
      </c>
      <c r="C629" s="3">
        <f>IF(OR(INDEX($O$2:$O$1001,MATCH(ROWS($N$2:N629),$N$2:$N$1001,0),1)&gt;=100000,INDEX($U$1005:$AC$1005,1,MATCH(COLUMNS($U$1006:V1006),$U$1006:$AC$1006,0))&gt;=100000), " ",IF(INDEX($U$2:$AC$1001,MATCH(ROWS($N$2:N629),$N$2:$N$1001,0),MATCH(COLUMNS($U$1006:V1006),$U$1006:$AC$1006,0)), HYPERLINK("#",""), HYPERLINK(CONCATENATE("#metadata!", ADDRESS(INDEX($P$2:$P$1001,MATCH(ROWS($N$2:N629),$N$2:$N$1001,0),0), INDEX($U$1004:$AC$1004,1,MATCH(COLUMNS($U$1006:V1006),$U$1006:$AC$1006,0)))),"Fix")))</f>
        <v>0</v>
      </c>
      <c r="D629" s="3">
        <f>IF(OR(INDEX($O$2:$O$1001,MATCH(ROWS($N$2:N629),$N$2:$N$1001,0),1)&gt;=100000,INDEX($U$1005:$AC$1005,1,MATCH(COLUMNS($U$1006:W1006),$U$1006:$AC$1006,0))&gt;=100000), " ",IF(INDEX($U$2:$AC$1001,MATCH(ROWS($N$2:N629),$N$2:$N$1001,0),MATCH(COLUMNS($U$1006:W1006),$U$1006:$AC$1006,0)), HYPERLINK("#",""), HYPERLINK(CONCATENATE("#metadata!", ADDRESS(INDEX($P$2:$P$1001,MATCH(ROWS($N$2:N629),$N$2:$N$1001,0),0), INDEX($U$1004:$AC$1004,1,MATCH(COLUMNS($U$1006:W1006),$U$1006:$AC$1006,0)))),"Fix")))</f>
        <v>0</v>
      </c>
      <c r="E629" s="3">
        <f>IF(OR(INDEX($O$2:$O$1001,MATCH(ROWS($N$2:N629),$N$2:$N$1001,0),1)&gt;=100000,INDEX($U$1005:$AC$1005,1,MATCH(COLUMNS($U$1006:X1006),$U$1006:$AC$1006,0))&gt;=100000), " ",IF(INDEX($U$2:$AC$1001,MATCH(ROWS($N$2:N629),$N$2:$N$1001,0),MATCH(COLUMNS($U$1006:X1006),$U$1006:$AC$1006,0)), HYPERLINK("#",""), HYPERLINK(CONCATENATE("#metadata!", ADDRESS(INDEX($P$2:$P$1001,MATCH(ROWS($N$2:N629),$N$2:$N$1001,0),0), INDEX($U$1004:$AC$1004,1,MATCH(COLUMNS($U$1006:X1006),$U$1006:$AC$1006,0)))),"Fix")))</f>
        <v>0</v>
      </c>
      <c r="F629" s="3">
        <f>IF(OR(INDEX($O$2:$O$1001,MATCH(ROWS($N$2:N629),$N$2:$N$1001,0),1)&gt;=100000,INDEX($U$1005:$AC$1005,1,MATCH(COLUMNS($U$1006:Y1006),$U$1006:$AC$1006,0))&gt;=100000), " ",IF(INDEX($U$2:$AC$1001,MATCH(ROWS($N$2:N629),$N$2:$N$1001,0),MATCH(COLUMNS($U$1006:Y1006),$U$1006:$AC$1006,0)), HYPERLINK("#",""), HYPERLINK(CONCATENATE("#metadata!", ADDRESS(INDEX($P$2:$P$1001,MATCH(ROWS($N$2:N629),$N$2:$N$1001,0),0), INDEX($U$1004:$AC$1004,1,MATCH(COLUMNS($U$1006:Y1006),$U$1006:$AC$1006,0)))),"Fix")))</f>
        <v>0</v>
      </c>
      <c r="G629" s="3">
        <f>IF(OR(INDEX($O$2:$O$1001,MATCH(ROWS($N$2:N629),$N$2:$N$1001,0),1)&gt;=100000,INDEX($U$1005:$AC$1005,1,MATCH(COLUMNS($U$1006:Z1006),$U$1006:$AC$1006,0))&gt;=100000), " ",IF(INDEX($U$2:$AC$1001,MATCH(ROWS($N$2:N629),$N$2:$N$1001,0),MATCH(COLUMNS($U$1006:Z1006),$U$1006:$AC$1006,0)), HYPERLINK("#",""), HYPERLINK(CONCATENATE("#metadata!", ADDRESS(INDEX($P$2:$P$1001,MATCH(ROWS($N$2:N629),$N$2:$N$1001,0),0), INDEX($U$1004:$AC$1004,1,MATCH(COLUMNS($U$1006:Z1006),$U$1006:$AC$1006,0)))),"Fix")))</f>
        <v>0</v>
      </c>
      <c r="H629" s="3">
        <f>IF(OR(INDEX($O$2:$O$1001,MATCH(ROWS($N$2:N629),$N$2:$N$1001,0),1)&gt;=100000,INDEX($U$1005:$AC$1005,1,MATCH(COLUMNS($U$1006:AA1006),$U$1006:$AC$1006,0))&gt;=100000), " ",IF(INDEX($U$2:$AC$1001,MATCH(ROWS($N$2:N629),$N$2:$N$1001,0),MATCH(COLUMNS($U$1006:AA1006),$U$1006:$AC$1006,0)), HYPERLINK("#",""), HYPERLINK(CONCATENATE("#metadata!", ADDRESS(INDEX($P$2:$P$1001,MATCH(ROWS($N$2:N629),$N$2:$N$1001,0),0), INDEX($U$1004:$AC$1004,1,MATCH(COLUMNS($U$1006:AA1006),$U$1006:$AC$1006,0)))),"Fix")))</f>
        <v>0</v>
      </c>
      <c r="I629" s="3">
        <f>IF(OR(INDEX($O$2:$O$1001,MATCH(ROWS($N$2:N629),$N$2:$N$1001,0),1)&gt;=100000,INDEX($U$1005:$AC$1005,1,MATCH(COLUMNS($U$1006:AB1006),$U$1006:$AC$1006,0))&gt;=100000), " ",IF(INDEX($U$2:$AC$1001,MATCH(ROWS($N$2:N629),$N$2:$N$1001,0),MATCH(COLUMNS($U$1006:AB1006),$U$1006:$AC$1006,0)), HYPERLINK("#",""), HYPERLINK(CONCATENATE("#metadata!", ADDRESS(INDEX($P$2:$P$1001,MATCH(ROWS($N$2:N629),$N$2:$N$1001,0),0), INDEX($U$1004:$AC$1004,1,MATCH(COLUMNS($U$1006:AB1006),$U$1006:$AC$1006,0)))),"Fix")))</f>
        <v>0</v>
      </c>
      <c r="J629" s="3">
        <f>IF(OR(INDEX($O$2:$O$1001,MATCH(ROWS($N$2:N629),$N$2:$N$1001,0),1)&gt;=100000,INDEX($U$1005:$AC$1005,1,MATCH(COLUMNS($U$1006:AC1006),$U$1006:$AC$1006,0))&gt;=100000), " ",IF(INDEX($U$2:$AC$1001,MATCH(ROWS($N$2:N629),$N$2:$N$1001,0),MATCH(COLUMNS($U$1006:AC1006),$U$1006:$AC$1006,0)), HYPERLINK("#",""), HYPERLINK(CONCATENATE("#metadata!", ADDRESS(INDEX($P$2:$P$1001,MATCH(ROWS($N$2:N629),$N$2:$N$1001,0),0), INDEX($U$1004:$AC$1004,1,MATCH(COLUMNS($U$1006:AC1006),$U$1006:$AC$1006,0)))),"Fix")))</f>
        <v>0</v>
      </c>
      <c r="N629">
        <v>0</v>
      </c>
      <c r="O629">
        <v>0</v>
      </c>
      <c r="P629">
        <v>0</v>
      </c>
      <c r="Q629">
        <f>IF(R629,TRUE,AND(U629:AC629))</f>
        <v>0</v>
      </c>
      <c r="R629">
        <f>COUNTBLANK(metadata!B629:J629)=COLUMNS(metadata!B629:J629)</f>
        <v>0</v>
      </c>
      <c r="S629">
        <v>0</v>
      </c>
      <c r="U629">
        <f>AND(IF(metadata!B629="",FALSE,TRUE),COUNTIF(metadata!B:B, metadata!B629) = 1,NOT(ISERROR(SUMPRODUCT(SEARCH(MID(metadata!B629,ROW(INDIRECT("1:"&amp;LEN(metadata!B629))), 1),"0123456789abcdefghijklmnopqrstuvwxyzABCDEFGHIJKLMNOPQRSTUVWXYZ.")))))</f>
        <v>0</v>
      </c>
      <c r="V629">
        <f>AND(IF(metadata!C629="",FALSE,TRUE),exact(metadata!C629,"UBERON:genitourinary"))</f>
        <v>0</v>
      </c>
      <c r="W629">
        <f>AND(IF(metadata!D629="",FALSE,TRUE),exact(metadata!D629,"UBERON:urine"))</f>
        <v>0</v>
      </c>
      <c r="X629">
        <f>AND(IF(metadata!E629="",FALSE,TRUE),exact(metadata!E629,"UBERON:kidney"))</f>
        <v>0</v>
      </c>
      <c r="Y629">
        <f>AND(IF(metadata!F629="",FALSE,TRUE),exact(metadata!F629,"animal corpus"))</f>
        <v>0</v>
      </c>
      <c r="Z629">
        <f>AND(IF(metadata!G629="",FALSE,TRUE),exact(metadata!G629,"urine"))</f>
        <v>0</v>
      </c>
      <c r="AA629">
        <f>AND(IF(metadata!H629="",FALSE,TRUE),exact(metadata!H629,"urine"))</f>
        <v>0</v>
      </c>
      <c r="AB629">
        <f>AND(IF(metadata!I629="",FALSE,TRUE),exact(metadata!I629,"urine metagenome"))</f>
        <v>0</v>
      </c>
      <c r="AC629">
        <f>AND(IF(metadata!J629="",FALSE,TRUE),exact(metadata!J629,"1346744"))</f>
        <v>0</v>
      </c>
    </row>
    <row r="630" spans="1:29">
      <c r="A630" s="4">
        <f>IF(B630=" "," ",HYPERLINK(CONCATENATE("#metadata!",ADDRESS(INDEX($P$2:$P$1001,MATCH(ROWS($N$2:N630),$N$2:$N$1001,0),0),1)),INDEX($S$2:$S$1001,MATCH(ROWS($N$2:N630),$N$2:$N$1001,0),0)))</f>
        <v>0</v>
      </c>
      <c r="B630" s="3">
        <f>IF(OR(INDEX($O$2:$O$1001,MATCH(ROWS($N$2:N630),$N$2:$N$1001,0),1)&gt;=100000,INDEX($U$1005:$AC$1005,1,MATCH(COLUMNS($U$1006:U1006),$U$1006:$AC$1006,0))&gt;=100000), " ",IF(INDEX($U$2:$AC$1001,MATCH(ROWS($N$2:N630),$N$2:$N$1001,0),MATCH(COLUMNS($U$1006:U1006),$U$1006:$AC$1006,0)), HYPERLINK("#",""), HYPERLINK(CONCATENATE("#metadata!", ADDRESS(INDEX($P$2:$P$1001,MATCH(ROWS($N$2:N630),$N$2:$N$1001,0),0), INDEX($U$1004:$AC$1004,1,MATCH(COLUMNS($U$1006:U1006),$U$1006:$AC$1006,0)))),"Fix")))</f>
        <v>0</v>
      </c>
      <c r="C630" s="3">
        <f>IF(OR(INDEX($O$2:$O$1001,MATCH(ROWS($N$2:N630),$N$2:$N$1001,0),1)&gt;=100000,INDEX($U$1005:$AC$1005,1,MATCH(COLUMNS($U$1006:V1006),$U$1006:$AC$1006,0))&gt;=100000), " ",IF(INDEX($U$2:$AC$1001,MATCH(ROWS($N$2:N630),$N$2:$N$1001,0),MATCH(COLUMNS($U$1006:V1006),$U$1006:$AC$1006,0)), HYPERLINK("#",""), HYPERLINK(CONCATENATE("#metadata!", ADDRESS(INDEX($P$2:$P$1001,MATCH(ROWS($N$2:N630),$N$2:$N$1001,0),0), INDEX($U$1004:$AC$1004,1,MATCH(COLUMNS($U$1006:V1006),$U$1006:$AC$1006,0)))),"Fix")))</f>
        <v>0</v>
      </c>
      <c r="D630" s="3">
        <f>IF(OR(INDEX($O$2:$O$1001,MATCH(ROWS($N$2:N630),$N$2:$N$1001,0),1)&gt;=100000,INDEX($U$1005:$AC$1005,1,MATCH(COLUMNS($U$1006:W1006),$U$1006:$AC$1006,0))&gt;=100000), " ",IF(INDEX($U$2:$AC$1001,MATCH(ROWS($N$2:N630),$N$2:$N$1001,0),MATCH(COLUMNS($U$1006:W1006),$U$1006:$AC$1006,0)), HYPERLINK("#",""), HYPERLINK(CONCATENATE("#metadata!", ADDRESS(INDEX($P$2:$P$1001,MATCH(ROWS($N$2:N630),$N$2:$N$1001,0),0), INDEX($U$1004:$AC$1004,1,MATCH(COLUMNS($U$1006:W1006),$U$1006:$AC$1006,0)))),"Fix")))</f>
        <v>0</v>
      </c>
      <c r="E630" s="3">
        <f>IF(OR(INDEX($O$2:$O$1001,MATCH(ROWS($N$2:N630),$N$2:$N$1001,0),1)&gt;=100000,INDEX($U$1005:$AC$1005,1,MATCH(COLUMNS($U$1006:X1006),$U$1006:$AC$1006,0))&gt;=100000), " ",IF(INDEX($U$2:$AC$1001,MATCH(ROWS($N$2:N630),$N$2:$N$1001,0),MATCH(COLUMNS($U$1006:X1006),$U$1006:$AC$1006,0)), HYPERLINK("#",""), HYPERLINK(CONCATENATE("#metadata!", ADDRESS(INDEX($P$2:$P$1001,MATCH(ROWS($N$2:N630),$N$2:$N$1001,0),0), INDEX($U$1004:$AC$1004,1,MATCH(COLUMNS($U$1006:X1006),$U$1006:$AC$1006,0)))),"Fix")))</f>
        <v>0</v>
      </c>
      <c r="F630" s="3">
        <f>IF(OR(INDEX($O$2:$O$1001,MATCH(ROWS($N$2:N630),$N$2:$N$1001,0),1)&gt;=100000,INDEX($U$1005:$AC$1005,1,MATCH(COLUMNS($U$1006:Y1006),$U$1006:$AC$1006,0))&gt;=100000), " ",IF(INDEX($U$2:$AC$1001,MATCH(ROWS($N$2:N630),$N$2:$N$1001,0),MATCH(COLUMNS($U$1006:Y1006),$U$1006:$AC$1006,0)), HYPERLINK("#",""), HYPERLINK(CONCATENATE("#metadata!", ADDRESS(INDEX($P$2:$P$1001,MATCH(ROWS($N$2:N630),$N$2:$N$1001,0),0), INDEX($U$1004:$AC$1004,1,MATCH(COLUMNS($U$1006:Y1006),$U$1006:$AC$1006,0)))),"Fix")))</f>
        <v>0</v>
      </c>
      <c r="G630" s="3">
        <f>IF(OR(INDEX($O$2:$O$1001,MATCH(ROWS($N$2:N630),$N$2:$N$1001,0),1)&gt;=100000,INDEX($U$1005:$AC$1005,1,MATCH(COLUMNS($U$1006:Z1006),$U$1006:$AC$1006,0))&gt;=100000), " ",IF(INDEX($U$2:$AC$1001,MATCH(ROWS($N$2:N630),$N$2:$N$1001,0),MATCH(COLUMNS($U$1006:Z1006),$U$1006:$AC$1006,0)), HYPERLINK("#",""), HYPERLINK(CONCATENATE("#metadata!", ADDRESS(INDEX($P$2:$P$1001,MATCH(ROWS($N$2:N630),$N$2:$N$1001,0),0), INDEX($U$1004:$AC$1004,1,MATCH(COLUMNS($U$1006:Z1006),$U$1006:$AC$1006,0)))),"Fix")))</f>
        <v>0</v>
      </c>
      <c r="H630" s="3">
        <f>IF(OR(INDEX($O$2:$O$1001,MATCH(ROWS($N$2:N630),$N$2:$N$1001,0),1)&gt;=100000,INDEX($U$1005:$AC$1005,1,MATCH(COLUMNS($U$1006:AA1006),$U$1006:$AC$1006,0))&gt;=100000), " ",IF(INDEX($U$2:$AC$1001,MATCH(ROWS($N$2:N630),$N$2:$N$1001,0),MATCH(COLUMNS($U$1006:AA1006),$U$1006:$AC$1006,0)), HYPERLINK("#",""), HYPERLINK(CONCATENATE("#metadata!", ADDRESS(INDEX($P$2:$P$1001,MATCH(ROWS($N$2:N630),$N$2:$N$1001,0),0), INDEX($U$1004:$AC$1004,1,MATCH(COLUMNS($U$1006:AA1006),$U$1006:$AC$1006,0)))),"Fix")))</f>
        <v>0</v>
      </c>
      <c r="I630" s="3">
        <f>IF(OR(INDEX($O$2:$O$1001,MATCH(ROWS($N$2:N630),$N$2:$N$1001,0),1)&gt;=100000,INDEX($U$1005:$AC$1005,1,MATCH(COLUMNS($U$1006:AB1006),$U$1006:$AC$1006,0))&gt;=100000), " ",IF(INDEX($U$2:$AC$1001,MATCH(ROWS($N$2:N630),$N$2:$N$1001,0),MATCH(COLUMNS($U$1006:AB1006),$U$1006:$AC$1006,0)), HYPERLINK("#",""), HYPERLINK(CONCATENATE("#metadata!", ADDRESS(INDEX($P$2:$P$1001,MATCH(ROWS($N$2:N630),$N$2:$N$1001,0),0), INDEX($U$1004:$AC$1004,1,MATCH(COLUMNS($U$1006:AB1006),$U$1006:$AC$1006,0)))),"Fix")))</f>
        <v>0</v>
      </c>
      <c r="J630" s="3">
        <f>IF(OR(INDEX($O$2:$O$1001,MATCH(ROWS($N$2:N630),$N$2:$N$1001,0),1)&gt;=100000,INDEX($U$1005:$AC$1005,1,MATCH(COLUMNS($U$1006:AC1006),$U$1006:$AC$1006,0))&gt;=100000), " ",IF(INDEX($U$2:$AC$1001,MATCH(ROWS($N$2:N630),$N$2:$N$1001,0),MATCH(COLUMNS($U$1006:AC1006),$U$1006:$AC$1006,0)), HYPERLINK("#",""), HYPERLINK(CONCATENATE("#metadata!", ADDRESS(INDEX($P$2:$P$1001,MATCH(ROWS($N$2:N630),$N$2:$N$1001,0),0), INDEX($U$1004:$AC$1004,1,MATCH(COLUMNS($U$1006:AC1006),$U$1006:$AC$1006,0)))),"Fix")))</f>
        <v>0</v>
      </c>
      <c r="N630">
        <v>0</v>
      </c>
      <c r="O630">
        <v>0</v>
      </c>
      <c r="P630">
        <v>0</v>
      </c>
      <c r="Q630">
        <f>IF(R630,TRUE,AND(U630:AC630))</f>
        <v>0</v>
      </c>
      <c r="R630">
        <f>COUNTBLANK(metadata!B630:J630)=COLUMNS(metadata!B630:J630)</f>
        <v>0</v>
      </c>
      <c r="S630">
        <v>0</v>
      </c>
      <c r="U630">
        <f>AND(IF(metadata!B630="",FALSE,TRUE),COUNTIF(metadata!B:B, metadata!B630) = 1,NOT(ISERROR(SUMPRODUCT(SEARCH(MID(metadata!B630,ROW(INDIRECT("1:"&amp;LEN(metadata!B630))), 1),"0123456789abcdefghijklmnopqrstuvwxyzABCDEFGHIJKLMNOPQRSTUVWXYZ.")))))</f>
        <v>0</v>
      </c>
      <c r="V630">
        <f>AND(IF(metadata!C630="",FALSE,TRUE),exact(metadata!C630,"UBERON:genitourinary"))</f>
        <v>0</v>
      </c>
      <c r="W630">
        <f>AND(IF(metadata!D630="",FALSE,TRUE),exact(metadata!D630,"UBERON:urine"))</f>
        <v>0</v>
      </c>
      <c r="X630">
        <f>AND(IF(metadata!E630="",FALSE,TRUE),exact(metadata!E630,"UBERON:kidney"))</f>
        <v>0</v>
      </c>
      <c r="Y630">
        <f>AND(IF(metadata!F630="",FALSE,TRUE),exact(metadata!F630,"animal corpus"))</f>
        <v>0</v>
      </c>
      <c r="Z630">
        <f>AND(IF(metadata!G630="",FALSE,TRUE),exact(metadata!G630,"urine"))</f>
        <v>0</v>
      </c>
      <c r="AA630">
        <f>AND(IF(metadata!H630="",FALSE,TRUE),exact(metadata!H630,"urine"))</f>
        <v>0</v>
      </c>
      <c r="AB630">
        <f>AND(IF(metadata!I630="",FALSE,TRUE),exact(metadata!I630,"urine metagenome"))</f>
        <v>0</v>
      </c>
      <c r="AC630">
        <f>AND(IF(metadata!J630="",FALSE,TRUE),exact(metadata!J630,"1346744"))</f>
        <v>0</v>
      </c>
    </row>
    <row r="631" spans="1:29">
      <c r="A631" s="4">
        <f>IF(B631=" "," ",HYPERLINK(CONCATENATE("#metadata!",ADDRESS(INDEX($P$2:$P$1001,MATCH(ROWS($N$2:N631),$N$2:$N$1001,0),0),1)),INDEX($S$2:$S$1001,MATCH(ROWS($N$2:N631),$N$2:$N$1001,0),0)))</f>
        <v>0</v>
      </c>
      <c r="B631" s="3">
        <f>IF(OR(INDEX($O$2:$O$1001,MATCH(ROWS($N$2:N631),$N$2:$N$1001,0),1)&gt;=100000,INDEX($U$1005:$AC$1005,1,MATCH(COLUMNS($U$1006:U1006),$U$1006:$AC$1006,0))&gt;=100000), " ",IF(INDEX($U$2:$AC$1001,MATCH(ROWS($N$2:N631),$N$2:$N$1001,0),MATCH(COLUMNS($U$1006:U1006),$U$1006:$AC$1006,0)), HYPERLINK("#",""), HYPERLINK(CONCATENATE("#metadata!", ADDRESS(INDEX($P$2:$P$1001,MATCH(ROWS($N$2:N631),$N$2:$N$1001,0),0), INDEX($U$1004:$AC$1004,1,MATCH(COLUMNS($U$1006:U1006),$U$1006:$AC$1006,0)))),"Fix")))</f>
        <v>0</v>
      </c>
      <c r="C631" s="3">
        <f>IF(OR(INDEX($O$2:$O$1001,MATCH(ROWS($N$2:N631),$N$2:$N$1001,0),1)&gt;=100000,INDEX($U$1005:$AC$1005,1,MATCH(COLUMNS($U$1006:V1006),$U$1006:$AC$1006,0))&gt;=100000), " ",IF(INDEX($U$2:$AC$1001,MATCH(ROWS($N$2:N631),$N$2:$N$1001,0),MATCH(COLUMNS($U$1006:V1006),$U$1006:$AC$1006,0)), HYPERLINK("#",""), HYPERLINK(CONCATENATE("#metadata!", ADDRESS(INDEX($P$2:$P$1001,MATCH(ROWS($N$2:N631),$N$2:$N$1001,0),0), INDEX($U$1004:$AC$1004,1,MATCH(COLUMNS($U$1006:V1006),$U$1006:$AC$1006,0)))),"Fix")))</f>
        <v>0</v>
      </c>
      <c r="D631" s="3">
        <f>IF(OR(INDEX($O$2:$O$1001,MATCH(ROWS($N$2:N631),$N$2:$N$1001,0),1)&gt;=100000,INDEX($U$1005:$AC$1005,1,MATCH(COLUMNS($U$1006:W1006),$U$1006:$AC$1006,0))&gt;=100000), " ",IF(INDEX($U$2:$AC$1001,MATCH(ROWS($N$2:N631),$N$2:$N$1001,0),MATCH(COLUMNS($U$1006:W1006),$U$1006:$AC$1006,0)), HYPERLINK("#",""), HYPERLINK(CONCATENATE("#metadata!", ADDRESS(INDEX($P$2:$P$1001,MATCH(ROWS($N$2:N631),$N$2:$N$1001,0),0), INDEX($U$1004:$AC$1004,1,MATCH(COLUMNS($U$1006:W1006),$U$1006:$AC$1006,0)))),"Fix")))</f>
        <v>0</v>
      </c>
      <c r="E631" s="3">
        <f>IF(OR(INDEX($O$2:$O$1001,MATCH(ROWS($N$2:N631),$N$2:$N$1001,0),1)&gt;=100000,INDEX($U$1005:$AC$1005,1,MATCH(COLUMNS($U$1006:X1006),$U$1006:$AC$1006,0))&gt;=100000), " ",IF(INDEX($U$2:$AC$1001,MATCH(ROWS($N$2:N631),$N$2:$N$1001,0),MATCH(COLUMNS($U$1006:X1006),$U$1006:$AC$1006,0)), HYPERLINK("#",""), HYPERLINK(CONCATENATE("#metadata!", ADDRESS(INDEX($P$2:$P$1001,MATCH(ROWS($N$2:N631),$N$2:$N$1001,0),0), INDEX($U$1004:$AC$1004,1,MATCH(COLUMNS($U$1006:X1006),$U$1006:$AC$1006,0)))),"Fix")))</f>
        <v>0</v>
      </c>
      <c r="F631" s="3">
        <f>IF(OR(INDEX($O$2:$O$1001,MATCH(ROWS($N$2:N631),$N$2:$N$1001,0),1)&gt;=100000,INDEX($U$1005:$AC$1005,1,MATCH(COLUMNS($U$1006:Y1006),$U$1006:$AC$1006,0))&gt;=100000), " ",IF(INDEX($U$2:$AC$1001,MATCH(ROWS($N$2:N631),$N$2:$N$1001,0),MATCH(COLUMNS($U$1006:Y1006),$U$1006:$AC$1006,0)), HYPERLINK("#",""), HYPERLINK(CONCATENATE("#metadata!", ADDRESS(INDEX($P$2:$P$1001,MATCH(ROWS($N$2:N631),$N$2:$N$1001,0),0), INDEX($U$1004:$AC$1004,1,MATCH(COLUMNS($U$1006:Y1006),$U$1006:$AC$1006,0)))),"Fix")))</f>
        <v>0</v>
      </c>
      <c r="G631" s="3">
        <f>IF(OR(INDEX($O$2:$O$1001,MATCH(ROWS($N$2:N631),$N$2:$N$1001,0),1)&gt;=100000,INDEX($U$1005:$AC$1005,1,MATCH(COLUMNS($U$1006:Z1006),$U$1006:$AC$1006,0))&gt;=100000), " ",IF(INDEX($U$2:$AC$1001,MATCH(ROWS($N$2:N631),$N$2:$N$1001,0),MATCH(COLUMNS($U$1006:Z1006),$U$1006:$AC$1006,0)), HYPERLINK("#",""), HYPERLINK(CONCATENATE("#metadata!", ADDRESS(INDEX($P$2:$P$1001,MATCH(ROWS($N$2:N631),$N$2:$N$1001,0),0), INDEX($U$1004:$AC$1004,1,MATCH(COLUMNS($U$1006:Z1006),$U$1006:$AC$1006,0)))),"Fix")))</f>
        <v>0</v>
      </c>
      <c r="H631" s="3">
        <f>IF(OR(INDEX($O$2:$O$1001,MATCH(ROWS($N$2:N631),$N$2:$N$1001,0),1)&gt;=100000,INDEX($U$1005:$AC$1005,1,MATCH(COLUMNS($U$1006:AA1006),$U$1006:$AC$1006,0))&gt;=100000), " ",IF(INDEX($U$2:$AC$1001,MATCH(ROWS($N$2:N631),$N$2:$N$1001,0),MATCH(COLUMNS($U$1006:AA1006),$U$1006:$AC$1006,0)), HYPERLINK("#",""), HYPERLINK(CONCATENATE("#metadata!", ADDRESS(INDEX($P$2:$P$1001,MATCH(ROWS($N$2:N631),$N$2:$N$1001,0),0), INDEX($U$1004:$AC$1004,1,MATCH(COLUMNS($U$1006:AA1006),$U$1006:$AC$1006,0)))),"Fix")))</f>
        <v>0</v>
      </c>
      <c r="I631" s="3">
        <f>IF(OR(INDEX($O$2:$O$1001,MATCH(ROWS($N$2:N631),$N$2:$N$1001,0),1)&gt;=100000,INDEX($U$1005:$AC$1005,1,MATCH(COLUMNS($U$1006:AB1006),$U$1006:$AC$1006,0))&gt;=100000), " ",IF(INDEX($U$2:$AC$1001,MATCH(ROWS($N$2:N631),$N$2:$N$1001,0),MATCH(COLUMNS($U$1006:AB1006),$U$1006:$AC$1006,0)), HYPERLINK("#",""), HYPERLINK(CONCATENATE("#metadata!", ADDRESS(INDEX($P$2:$P$1001,MATCH(ROWS($N$2:N631),$N$2:$N$1001,0),0), INDEX($U$1004:$AC$1004,1,MATCH(COLUMNS($U$1006:AB1006),$U$1006:$AC$1006,0)))),"Fix")))</f>
        <v>0</v>
      </c>
      <c r="J631" s="3">
        <f>IF(OR(INDEX($O$2:$O$1001,MATCH(ROWS($N$2:N631),$N$2:$N$1001,0),1)&gt;=100000,INDEX($U$1005:$AC$1005,1,MATCH(COLUMNS($U$1006:AC1006),$U$1006:$AC$1006,0))&gt;=100000), " ",IF(INDEX($U$2:$AC$1001,MATCH(ROWS($N$2:N631),$N$2:$N$1001,0),MATCH(COLUMNS($U$1006:AC1006),$U$1006:$AC$1006,0)), HYPERLINK("#",""), HYPERLINK(CONCATENATE("#metadata!", ADDRESS(INDEX($P$2:$P$1001,MATCH(ROWS($N$2:N631),$N$2:$N$1001,0),0), INDEX($U$1004:$AC$1004,1,MATCH(COLUMNS($U$1006:AC1006),$U$1006:$AC$1006,0)))),"Fix")))</f>
        <v>0</v>
      </c>
      <c r="N631">
        <v>0</v>
      </c>
      <c r="O631">
        <v>0</v>
      </c>
      <c r="P631">
        <v>0</v>
      </c>
      <c r="Q631">
        <f>IF(R631,TRUE,AND(U631:AC631))</f>
        <v>0</v>
      </c>
      <c r="R631">
        <f>COUNTBLANK(metadata!B631:J631)=COLUMNS(metadata!B631:J631)</f>
        <v>0</v>
      </c>
      <c r="S631">
        <v>0</v>
      </c>
      <c r="U631">
        <f>AND(IF(metadata!B631="",FALSE,TRUE),COUNTIF(metadata!B:B, metadata!B631) = 1,NOT(ISERROR(SUMPRODUCT(SEARCH(MID(metadata!B631,ROW(INDIRECT("1:"&amp;LEN(metadata!B631))), 1),"0123456789abcdefghijklmnopqrstuvwxyzABCDEFGHIJKLMNOPQRSTUVWXYZ.")))))</f>
        <v>0</v>
      </c>
      <c r="V631">
        <f>AND(IF(metadata!C631="",FALSE,TRUE),exact(metadata!C631,"UBERON:genitourinary"))</f>
        <v>0</v>
      </c>
      <c r="W631">
        <f>AND(IF(metadata!D631="",FALSE,TRUE),exact(metadata!D631,"UBERON:urine"))</f>
        <v>0</v>
      </c>
      <c r="X631">
        <f>AND(IF(metadata!E631="",FALSE,TRUE),exact(metadata!E631,"UBERON:kidney"))</f>
        <v>0</v>
      </c>
      <c r="Y631">
        <f>AND(IF(metadata!F631="",FALSE,TRUE),exact(metadata!F631,"animal corpus"))</f>
        <v>0</v>
      </c>
      <c r="Z631">
        <f>AND(IF(metadata!G631="",FALSE,TRUE),exact(metadata!G631,"urine"))</f>
        <v>0</v>
      </c>
      <c r="AA631">
        <f>AND(IF(metadata!H631="",FALSE,TRUE),exact(metadata!H631,"urine"))</f>
        <v>0</v>
      </c>
      <c r="AB631">
        <f>AND(IF(metadata!I631="",FALSE,TRUE),exact(metadata!I631,"urine metagenome"))</f>
        <v>0</v>
      </c>
      <c r="AC631">
        <f>AND(IF(metadata!J631="",FALSE,TRUE),exact(metadata!J631,"1346744"))</f>
        <v>0</v>
      </c>
    </row>
    <row r="632" spans="1:29">
      <c r="A632" s="4">
        <f>IF(B632=" "," ",HYPERLINK(CONCATENATE("#metadata!",ADDRESS(INDEX($P$2:$P$1001,MATCH(ROWS($N$2:N632),$N$2:$N$1001,0),0),1)),INDEX($S$2:$S$1001,MATCH(ROWS($N$2:N632),$N$2:$N$1001,0),0)))</f>
        <v>0</v>
      </c>
      <c r="B632" s="3">
        <f>IF(OR(INDEX($O$2:$O$1001,MATCH(ROWS($N$2:N632),$N$2:$N$1001,0),1)&gt;=100000,INDEX($U$1005:$AC$1005,1,MATCH(COLUMNS($U$1006:U1006),$U$1006:$AC$1006,0))&gt;=100000), " ",IF(INDEX($U$2:$AC$1001,MATCH(ROWS($N$2:N632),$N$2:$N$1001,0),MATCH(COLUMNS($U$1006:U1006),$U$1006:$AC$1006,0)), HYPERLINK("#",""), HYPERLINK(CONCATENATE("#metadata!", ADDRESS(INDEX($P$2:$P$1001,MATCH(ROWS($N$2:N632),$N$2:$N$1001,0),0), INDEX($U$1004:$AC$1004,1,MATCH(COLUMNS($U$1006:U1006),$U$1006:$AC$1006,0)))),"Fix")))</f>
        <v>0</v>
      </c>
      <c r="C632" s="3">
        <f>IF(OR(INDEX($O$2:$O$1001,MATCH(ROWS($N$2:N632),$N$2:$N$1001,0),1)&gt;=100000,INDEX($U$1005:$AC$1005,1,MATCH(COLUMNS($U$1006:V1006),$U$1006:$AC$1006,0))&gt;=100000), " ",IF(INDEX($U$2:$AC$1001,MATCH(ROWS($N$2:N632),$N$2:$N$1001,0),MATCH(COLUMNS($U$1006:V1006),$U$1006:$AC$1006,0)), HYPERLINK("#",""), HYPERLINK(CONCATENATE("#metadata!", ADDRESS(INDEX($P$2:$P$1001,MATCH(ROWS($N$2:N632),$N$2:$N$1001,0),0), INDEX($U$1004:$AC$1004,1,MATCH(COLUMNS($U$1006:V1006),$U$1006:$AC$1006,0)))),"Fix")))</f>
        <v>0</v>
      </c>
      <c r="D632" s="3">
        <f>IF(OR(INDEX($O$2:$O$1001,MATCH(ROWS($N$2:N632),$N$2:$N$1001,0),1)&gt;=100000,INDEX($U$1005:$AC$1005,1,MATCH(COLUMNS($U$1006:W1006),$U$1006:$AC$1006,0))&gt;=100000), " ",IF(INDEX($U$2:$AC$1001,MATCH(ROWS($N$2:N632),$N$2:$N$1001,0),MATCH(COLUMNS($U$1006:W1006),$U$1006:$AC$1006,0)), HYPERLINK("#",""), HYPERLINK(CONCATENATE("#metadata!", ADDRESS(INDEX($P$2:$P$1001,MATCH(ROWS($N$2:N632),$N$2:$N$1001,0),0), INDEX($U$1004:$AC$1004,1,MATCH(COLUMNS($U$1006:W1006),$U$1006:$AC$1006,0)))),"Fix")))</f>
        <v>0</v>
      </c>
      <c r="E632" s="3">
        <f>IF(OR(INDEX($O$2:$O$1001,MATCH(ROWS($N$2:N632),$N$2:$N$1001,0),1)&gt;=100000,INDEX($U$1005:$AC$1005,1,MATCH(COLUMNS($U$1006:X1006),$U$1006:$AC$1006,0))&gt;=100000), " ",IF(INDEX($U$2:$AC$1001,MATCH(ROWS($N$2:N632),$N$2:$N$1001,0),MATCH(COLUMNS($U$1006:X1006),$U$1006:$AC$1006,0)), HYPERLINK("#",""), HYPERLINK(CONCATENATE("#metadata!", ADDRESS(INDEX($P$2:$P$1001,MATCH(ROWS($N$2:N632),$N$2:$N$1001,0),0), INDEX($U$1004:$AC$1004,1,MATCH(COLUMNS($U$1006:X1006),$U$1006:$AC$1006,0)))),"Fix")))</f>
        <v>0</v>
      </c>
      <c r="F632" s="3">
        <f>IF(OR(INDEX($O$2:$O$1001,MATCH(ROWS($N$2:N632),$N$2:$N$1001,0),1)&gt;=100000,INDEX($U$1005:$AC$1005,1,MATCH(COLUMNS($U$1006:Y1006),$U$1006:$AC$1006,0))&gt;=100000), " ",IF(INDEX($U$2:$AC$1001,MATCH(ROWS($N$2:N632),$N$2:$N$1001,0),MATCH(COLUMNS($U$1006:Y1006),$U$1006:$AC$1006,0)), HYPERLINK("#",""), HYPERLINK(CONCATENATE("#metadata!", ADDRESS(INDEX($P$2:$P$1001,MATCH(ROWS($N$2:N632),$N$2:$N$1001,0),0), INDEX($U$1004:$AC$1004,1,MATCH(COLUMNS($U$1006:Y1006),$U$1006:$AC$1006,0)))),"Fix")))</f>
        <v>0</v>
      </c>
      <c r="G632" s="3">
        <f>IF(OR(INDEX($O$2:$O$1001,MATCH(ROWS($N$2:N632),$N$2:$N$1001,0),1)&gt;=100000,INDEX($U$1005:$AC$1005,1,MATCH(COLUMNS($U$1006:Z1006),$U$1006:$AC$1006,0))&gt;=100000), " ",IF(INDEX($U$2:$AC$1001,MATCH(ROWS($N$2:N632),$N$2:$N$1001,0),MATCH(COLUMNS($U$1006:Z1006),$U$1006:$AC$1006,0)), HYPERLINK("#",""), HYPERLINK(CONCATENATE("#metadata!", ADDRESS(INDEX($P$2:$P$1001,MATCH(ROWS($N$2:N632),$N$2:$N$1001,0),0), INDEX($U$1004:$AC$1004,1,MATCH(COLUMNS($U$1006:Z1006),$U$1006:$AC$1006,0)))),"Fix")))</f>
        <v>0</v>
      </c>
      <c r="H632" s="3">
        <f>IF(OR(INDEX($O$2:$O$1001,MATCH(ROWS($N$2:N632),$N$2:$N$1001,0),1)&gt;=100000,INDEX($U$1005:$AC$1005,1,MATCH(COLUMNS($U$1006:AA1006),$U$1006:$AC$1006,0))&gt;=100000), " ",IF(INDEX($U$2:$AC$1001,MATCH(ROWS($N$2:N632),$N$2:$N$1001,0),MATCH(COLUMNS($U$1006:AA1006),$U$1006:$AC$1006,0)), HYPERLINK("#",""), HYPERLINK(CONCATENATE("#metadata!", ADDRESS(INDEX($P$2:$P$1001,MATCH(ROWS($N$2:N632),$N$2:$N$1001,0),0), INDEX($U$1004:$AC$1004,1,MATCH(COLUMNS($U$1006:AA1006),$U$1006:$AC$1006,0)))),"Fix")))</f>
        <v>0</v>
      </c>
      <c r="I632" s="3">
        <f>IF(OR(INDEX($O$2:$O$1001,MATCH(ROWS($N$2:N632),$N$2:$N$1001,0),1)&gt;=100000,INDEX($U$1005:$AC$1005,1,MATCH(COLUMNS($U$1006:AB1006),$U$1006:$AC$1006,0))&gt;=100000), " ",IF(INDEX($U$2:$AC$1001,MATCH(ROWS($N$2:N632),$N$2:$N$1001,0),MATCH(COLUMNS($U$1006:AB1006),$U$1006:$AC$1006,0)), HYPERLINK("#",""), HYPERLINK(CONCATENATE("#metadata!", ADDRESS(INDEX($P$2:$P$1001,MATCH(ROWS($N$2:N632),$N$2:$N$1001,0),0), INDEX($U$1004:$AC$1004,1,MATCH(COLUMNS($U$1006:AB1006),$U$1006:$AC$1006,0)))),"Fix")))</f>
        <v>0</v>
      </c>
      <c r="J632" s="3">
        <f>IF(OR(INDEX($O$2:$O$1001,MATCH(ROWS($N$2:N632),$N$2:$N$1001,0),1)&gt;=100000,INDEX($U$1005:$AC$1005,1,MATCH(COLUMNS($U$1006:AC1006),$U$1006:$AC$1006,0))&gt;=100000), " ",IF(INDEX($U$2:$AC$1001,MATCH(ROWS($N$2:N632),$N$2:$N$1001,0),MATCH(COLUMNS($U$1006:AC1006),$U$1006:$AC$1006,0)), HYPERLINK("#",""), HYPERLINK(CONCATENATE("#metadata!", ADDRESS(INDEX($P$2:$P$1001,MATCH(ROWS($N$2:N632),$N$2:$N$1001,0),0), INDEX($U$1004:$AC$1004,1,MATCH(COLUMNS($U$1006:AC1006),$U$1006:$AC$1006,0)))),"Fix")))</f>
        <v>0</v>
      </c>
      <c r="N632">
        <v>0</v>
      </c>
      <c r="O632">
        <v>0</v>
      </c>
      <c r="P632">
        <v>0</v>
      </c>
      <c r="Q632">
        <f>IF(R632,TRUE,AND(U632:AC632))</f>
        <v>0</v>
      </c>
      <c r="R632">
        <f>COUNTBLANK(metadata!B632:J632)=COLUMNS(metadata!B632:J632)</f>
        <v>0</v>
      </c>
      <c r="S632">
        <v>0</v>
      </c>
      <c r="U632">
        <f>AND(IF(metadata!B632="",FALSE,TRUE),COUNTIF(metadata!B:B, metadata!B632) = 1,NOT(ISERROR(SUMPRODUCT(SEARCH(MID(metadata!B632,ROW(INDIRECT("1:"&amp;LEN(metadata!B632))), 1),"0123456789abcdefghijklmnopqrstuvwxyzABCDEFGHIJKLMNOPQRSTUVWXYZ.")))))</f>
        <v>0</v>
      </c>
      <c r="V632">
        <f>AND(IF(metadata!C632="",FALSE,TRUE),exact(metadata!C632,"UBERON:genitourinary"))</f>
        <v>0</v>
      </c>
      <c r="W632">
        <f>AND(IF(metadata!D632="",FALSE,TRUE),exact(metadata!D632,"UBERON:urine"))</f>
        <v>0</v>
      </c>
      <c r="X632">
        <f>AND(IF(metadata!E632="",FALSE,TRUE),exact(metadata!E632,"UBERON:kidney"))</f>
        <v>0</v>
      </c>
      <c r="Y632">
        <f>AND(IF(metadata!F632="",FALSE,TRUE),exact(metadata!F632,"animal corpus"))</f>
        <v>0</v>
      </c>
      <c r="Z632">
        <f>AND(IF(metadata!G632="",FALSE,TRUE),exact(metadata!G632,"urine"))</f>
        <v>0</v>
      </c>
      <c r="AA632">
        <f>AND(IF(metadata!H632="",FALSE,TRUE),exact(metadata!H632,"urine"))</f>
        <v>0</v>
      </c>
      <c r="AB632">
        <f>AND(IF(metadata!I632="",FALSE,TRUE),exact(metadata!I632,"urine metagenome"))</f>
        <v>0</v>
      </c>
      <c r="AC632">
        <f>AND(IF(metadata!J632="",FALSE,TRUE),exact(metadata!J632,"1346744"))</f>
        <v>0</v>
      </c>
    </row>
    <row r="633" spans="1:29">
      <c r="A633" s="4">
        <f>IF(B633=" "," ",HYPERLINK(CONCATENATE("#metadata!",ADDRESS(INDEX($P$2:$P$1001,MATCH(ROWS($N$2:N633),$N$2:$N$1001,0),0),1)),INDEX($S$2:$S$1001,MATCH(ROWS($N$2:N633),$N$2:$N$1001,0),0)))</f>
        <v>0</v>
      </c>
      <c r="B633" s="3">
        <f>IF(OR(INDEX($O$2:$O$1001,MATCH(ROWS($N$2:N633),$N$2:$N$1001,0),1)&gt;=100000,INDEX($U$1005:$AC$1005,1,MATCH(COLUMNS($U$1006:U1006),$U$1006:$AC$1006,0))&gt;=100000), " ",IF(INDEX($U$2:$AC$1001,MATCH(ROWS($N$2:N633),$N$2:$N$1001,0),MATCH(COLUMNS($U$1006:U1006),$U$1006:$AC$1006,0)), HYPERLINK("#",""), HYPERLINK(CONCATENATE("#metadata!", ADDRESS(INDEX($P$2:$P$1001,MATCH(ROWS($N$2:N633),$N$2:$N$1001,0),0), INDEX($U$1004:$AC$1004,1,MATCH(COLUMNS($U$1006:U1006),$U$1006:$AC$1006,0)))),"Fix")))</f>
        <v>0</v>
      </c>
      <c r="C633" s="3">
        <f>IF(OR(INDEX($O$2:$O$1001,MATCH(ROWS($N$2:N633),$N$2:$N$1001,0),1)&gt;=100000,INDEX($U$1005:$AC$1005,1,MATCH(COLUMNS($U$1006:V1006),$U$1006:$AC$1006,0))&gt;=100000), " ",IF(INDEX($U$2:$AC$1001,MATCH(ROWS($N$2:N633),$N$2:$N$1001,0),MATCH(COLUMNS($U$1006:V1006),$U$1006:$AC$1006,0)), HYPERLINK("#",""), HYPERLINK(CONCATENATE("#metadata!", ADDRESS(INDEX($P$2:$P$1001,MATCH(ROWS($N$2:N633),$N$2:$N$1001,0),0), INDEX($U$1004:$AC$1004,1,MATCH(COLUMNS($U$1006:V1006),$U$1006:$AC$1006,0)))),"Fix")))</f>
        <v>0</v>
      </c>
      <c r="D633" s="3">
        <f>IF(OR(INDEX($O$2:$O$1001,MATCH(ROWS($N$2:N633),$N$2:$N$1001,0),1)&gt;=100000,INDEX($U$1005:$AC$1005,1,MATCH(COLUMNS($U$1006:W1006),$U$1006:$AC$1006,0))&gt;=100000), " ",IF(INDEX($U$2:$AC$1001,MATCH(ROWS($N$2:N633),$N$2:$N$1001,0),MATCH(COLUMNS($U$1006:W1006),$U$1006:$AC$1006,0)), HYPERLINK("#",""), HYPERLINK(CONCATENATE("#metadata!", ADDRESS(INDEX($P$2:$P$1001,MATCH(ROWS($N$2:N633),$N$2:$N$1001,0),0), INDEX($U$1004:$AC$1004,1,MATCH(COLUMNS($U$1006:W1006),$U$1006:$AC$1006,0)))),"Fix")))</f>
        <v>0</v>
      </c>
      <c r="E633" s="3">
        <f>IF(OR(INDEX($O$2:$O$1001,MATCH(ROWS($N$2:N633),$N$2:$N$1001,0),1)&gt;=100000,INDEX($U$1005:$AC$1005,1,MATCH(COLUMNS($U$1006:X1006),$U$1006:$AC$1006,0))&gt;=100000), " ",IF(INDEX($U$2:$AC$1001,MATCH(ROWS($N$2:N633),$N$2:$N$1001,0),MATCH(COLUMNS($U$1006:X1006),$U$1006:$AC$1006,0)), HYPERLINK("#",""), HYPERLINK(CONCATENATE("#metadata!", ADDRESS(INDEX($P$2:$P$1001,MATCH(ROWS($N$2:N633),$N$2:$N$1001,0),0), INDEX($U$1004:$AC$1004,1,MATCH(COLUMNS($U$1006:X1006),$U$1006:$AC$1006,0)))),"Fix")))</f>
        <v>0</v>
      </c>
      <c r="F633" s="3">
        <f>IF(OR(INDEX($O$2:$O$1001,MATCH(ROWS($N$2:N633),$N$2:$N$1001,0),1)&gt;=100000,INDEX($U$1005:$AC$1005,1,MATCH(COLUMNS($U$1006:Y1006),$U$1006:$AC$1006,0))&gt;=100000), " ",IF(INDEX($U$2:$AC$1001,MATCH(ROWS($N$2:N633),$N$2:$N$1001,0),MATCH(COLUMNS($U$1006:Y1006),$U$1006:$AC$1006,0)), HYPERLINK("#",""), HYPERLINK(CONCATENATE("#metadata!", ADDRESS(INDEX($P$2:$P$1001,MATCH(ROWS($N$2:N633),$N$2:$N$1001,0),0), INDEX($U$1004:$AC$1004,1,MATCH(COLUMNS($U$1006:Y1006),$U$1006:$AC$1006,0)))),"Fix")))</f>
        <v>0</v>
      </c>
      <c r="G633" s="3">
        <f>IF(OR(INDEX($O$2:$O$1001,MATCH(ROWS($N$2:N633),$N$2:$N$1001,0),1)&gt;=100000,INDEX($U$1005:$AC$1005,1,MATCH(COLUMNS($U$1006:Z1006),$U$1006:$AC$1006,0))&gt;=100000), " ",IF(INDEX($U$2:$AC$1001,MATCH(ROWS($N$2:N633),$N$2:$N$1001,0),MATCH(COLUMNS($U$1006:Z1006),$U$1006:$AC$1006,0)), HYPERLINK("#",""), HYPERLINK(CONCATENATE("#metadata!", ADDRESS(INDEX($P$2:$P$1001,MATCH(ROWS($N$2:N633),$N$2:$N$1001,0),0), INDEX($U$1004:$AC$1004,1,MATCH(COLUMNS($U$1006:Z1006),$U$1006:$AC$1006,0)))),"Fix")))</f>
        <v>0</v>
      </c>
      <c r="H633" s="3">
        <f>IF(OR(INDEX($O$2:$O$1001,MATCH(ROWS($N$2:N633),$N$2:$N$1001,0),1)&gt;=100000,INDEX($U$1005:$AC$1005,1,MATCH(COLUMNS($U$1006:AA1006),$U$1006:$AC$1006,0))&gt;=100000), " ",IF(INDEX($U$2:$AC$1001,MATCH(ROWS($N$2:N633),$N$2:$N$1001,0),MATCH(COLUMNS($U$1006:AA1006),$U$1006:$AC$1006,0)), HYPERLINK("#",""), HYPERLINK(CONCATENATE("#metadata!", ADDRESS(INDEX($P$2:$P$1001,MATCH(ROWS($N$2:N633),$N$2:$N$1001,0),0), INDEX($U$1004:$AC$1004,1,MATCH(COLUMNS($U$1006:AA1006),$U$1006:$AC$1006,0)))),"Fix")))</f>
        <v>0</v>
      </c>
      <c r="I633" s="3">
        <f>IF(OR(INDEX($O$2:$O$1001,MATCH(ROWS($N$2:N633),$N$2:$N$1001,0),1)&gt;=100000,INDEX($U$1005:$AC$1005,1,MATCH(COLUMNS($U$1006:AB1006),$U$1006:$AC$1006,0))&gt;=100000), " ",IF(INDEX($U$2:$AC$1001,MATCH(ROWS($N$2:N633),$N$2:$N$1001,0),MATCH(COLUMNS($U$1006:AB1006),$U$1006:$AC$1006,0)), HYPERLINK("#",""), HYPERLINK(CONCATENATE("#metadata!", ADDRESS(INDEX($P$2:$P$1001,MATCH(ROWS($N$2:N633),$N$2:$N$1001,0),0), INDEX($U$1004:$AC$1004,1,MATCH(COLUMNS($U$1006:AB1006),$U$1006:$AC$1006,0)))),"Fix")))</f>
        <v>0</v>
      </c>
      <c r="J633" s="3">
        <f>IF(OR(INDEX($O$2:$O$1001,MATCH(ROWS($N$2:N633),$N$2:$N$1001,0),1)&gt;=100000,INDEX($U$1005:$AC$1005,1,MATCH(COLUMNS($U$1006:AC1006),$U$1006:$AC$1006,0))&gt;=100000), " ",IF(INDEX($U$2:$AC$1001,MATCH(ROWS($N$2:N633),$N$2:$N$1001,0),MATCH(COLUMNS($U$1006:AC1006),$U$1006:$AC$1006,0)), HYPERLINK("#",""), HYPERLINK(CONCATENATE("#metadata!", ADDRESS(INDEX($P$2:$P$1001,MATCH(ROWS($N$2:N633),$N$2:$N$1001,0),0), INDEX($U$1004:$AC$1004,1,MATCH(COLUMNS($U$1006:AC1006),$U$1006:$AC$1006,0)))),"Fix")))</f>
        <v>0</v>
      </c>
      <c r="N633">
        <v>0</v>
      </c>
      <c r="O633">
        <v>0</v>
      </c>
      <c r="P633">
        <v>0</v>
      </c>
      <c r="Q633">
        <f>IF(R633,TRUE,AND(U633:AC633))</f>
        <v>0</v>
      </c>
      <c r="R633">
        <f>COUNTBLANK(metadata!B633:J633)=COLUMNS(metadata!B633:J633)</f>
        <v>0</v>
      </c>
      <c r="S633">
        <v>0</v>
      </c>
      <c r="U633">
        <f>AND(IF(metadata!B633="",FALSE,TRUE),COUNTIF(metadata!B:B, metadata!B633) = 1,NOT(ISERROR(SUMPRODUCT(SEARCH(MID(metadata!B633,ROW(INDIRECT("1:"&amp;LEN(metadata!B633))), 1),"0123456789abcdefghijklmnopqrstuvwxyzABCDEFGHIJKLMNOPQRSTUVWXYZ.")))))</f>
        <v>0</v>
      </c>
      <c r="V633">
        <f>AND(IF(metadata!C633="",FALSE,TRUE),exact(metadata!C633,"UBERON:genitourinary"))</f>
        <v>0</v>
      </c>
      <c r="W633">
        <f>AND(IF(metadata!D633="",FALSE,TRUE),exact(metadata!D633,"UBERON:urine"))</f>
        <v>0</v>
      </c>
      <c r="X633">
        <f>AND(IF(metadata!E633="",FALSE,TRUE),exact(metadata!E633,"UBERON:kidney"))</f>
        <v>0</v>
      </c>
      <c r="Y633">
        <f>AND(IF(metadata!F633="",FALSE,TRUE),exact(metadata!F633,"animal corpus"))</f>
        <v>0</v>
      </c>
      <c r="Z633">
        <f>AND(IF(metadata!G633="",FALSE,TRUE),exact(metadata!G633,"urine"))</f>
        <v>0</v>
      </c>
      <c r="AA633">
        <f>AND(IF(metadata!H633="",FALSE,TRUE),exact(metadata!H633,"urine"))</f>
        <v>0</v>
      </c>
      <c r="AB633">
        <f>AND(IF(metadata!I633="",FALSE,TRUE),exact(metadata!I633,"urine metagenome"))</f>
        <v>0</v>
      </c>
      <c r="AC633">
        <f>AND(IF(metadata!J633="",FALSE,TRUE),exact(metadata!J633,"1346744"))</f>
        <v>0</v>
      </c>
    </row>
    <row r="634" spans="1:29">
      <c r="A634" s="4">
        <f>IF(B634=" "," ",HYPERLINK(CONCATENATE("#metadata!",ADDRESS(INDEX($P$2:$P$1001,MATCH(ROWS($N$2:N634),$N$2:$N$1001,0),0),1)),INDEX($S$2:$S$1001,MATCH(ROWS($N$2:N634),$N$2:$N$1001,0),0)))</f>
        <v>0</v>
      </c>
      <c r="B634" s="3">
        <f>IF(OR(INDEX($O$2:$O$1001,MATCH(ROWS($N$2:N634),$N$2:$N$1001,0),1)&gt;=100000,INDEX($U$1005:$AC$1005,1,MATCH(COLUMNS($U$1006:U1006),$U$1006:$AC$1006,0))&gt;=100000), " ",IF(INDEX($U$2:$AC$1001,MATCH(ROWS($N$2:N634),$N$2:$N$1001,0),MATCH(COLUMNS($U$1006:U1006),$U$1006:$AC$1006,0)), HYPERLINK("#",""), HYPERLINK(CONCATENATE("#metadata!", ADDRESS(INDEX($P$2:$P$1001,MATCH(ROWS($N$2:N634),$N$2:$N$1001,0),0), INDEX($U$1004:$AC$1004,1,MATCH(COLUMNS($U$1006:U1006),$U$1006:$AC$1006,0)))),"Fix")))</f>
        <v>0</v>
      </c>
      <c r="C634" s="3">
        <f>IF(OR(INDEX($O$2:$O$1001,MATCH(ROWS($N$2:N634),$N$2:$N$1001,0),1)&gt;=100000,INDEX($U$1005:$AC$1005,1,MATCH(COLUMNS($U$1006:V1006),$U$1006:$AC$1006,0))&gt;=100000), " ",IF(INDEX($U$2:$AC$1001,MATCH(ROWS($N$2:N634),$N$2:$N$1001,0),MATCH(COLUMNS($U$1006:V1006),$U$1006:$AC$1006,0)), HYPERLINK("#",""), HYPERLINK(CONCATENATE("#metadata!", ADDRESS(INDEX($P$2:$P$1001,MATCH(ROWS($N$2:N634),$N$2:$N$1001,0),0), INDEX($U$1004:$AC$1004,1,MATCH(COLUMNS($U$1006:V1006),$U$1006:$AC$1006,0)))),"Fix")))</f>
        <v>0</v>
      </c>
      <c r="D634" s="3">
        <f>IF(OR(INDEX($O$2:$O$1001,MATCH(ROWS($N$2:N634),$N$2:$N$1001,0),1)&gt;=100000,INDEX($U$1005:$AC$1005,1,MATCH(COLUMNS($U$1006:W1006),$U$1006:$AC$1006,0))&gt;=100000), " ",IF(INDEX($U$2:$AC$1001,MATCH(ROWS($N$2:N634),$N$2:$N$1001,0),MATCH(COLUMNS($U$1006:W1006),$U$1006:$AC$1006,0)), HYPERLINK("#",""), HYPERLINK(CONCATENATE("#metadata!", ADDRESS(INDEX($P$2:$P$1001,MATCH(ROWS($N$2:N634),$N$2:$N$1001,0),0), INDEX($U$1004:$AC$1004,1,MATCH(COLUMNS($U$1006:W1006),$U$1006:$AC$1006,0)))),"Fix")))</f>
        <v>0</v>
      </c>
      <c r="E634" s="3">
        <f>IF(OR(INDEX($O$2:$O$1001,MATCH(ROWS($N$2:N634),$N$2:$N$1001,0),1)&gt;=100000,INDEX($U$1005:$AC$1005,1,MATCH(COLUMNS($U$1006:X1006),$U$1006:$AC$1006,0))&gt;=100000), " ",IF(INDEX($U$2:$AC$1001,MATCH(ROWS($N$2:N634),$N$2:$N$1001,0),MATCH(COLUMNS($U$1006:X1006),$U$1006:$AC$1006,0)), HYPERLINK("#",""), HYPERLINK(CONCATENATE("#metadata!", ADDRESS(INDEX($P$2:$P$1001,MATCH(ROWS($N$2:N634),$N$2:$N$1001,0),0), INDEX($U$1004:$AC$1004,1,MATCH(COLUMNS($U$1006:X1006),$U$1006:$AC$1006,0)))),"Fix")))</f>
        <v>0</v>
      </c>
      <c r="F634" s="3">
        <f>IF(OR(INDEX($O$2:$O$1001,MATCH(ROWS($N$2:N634),$N$2:$N$1001,0),1)&gt;=100000,INDEX($U$1005:$AC$1005,1,MATCH(COLUMNS($U$1006:Y1006),$U$1006:$AC$1006,0))&gt;=100000), " ",IF(INDEX($U$2:$AC$1001,MATCH(ROWS($N$2:N634),$N$2:$N$1001,0),MATCH(COLUMNS($U$1006:Y1006),$U$1006:$AC$1006,0)), HYPERLINK("#",""), HYPERLINK(CONCATENATE("#metadata!", ADDRESS(INDEX($P$2:$P$1001,MATCH(ROWS($N$2:N634),$N$2:$N$1001,0),0), INDEX($U$1004:$AC$1004,1,MATCH(COLUMNS($U$1006:Y1006),$U$1006:$AC$1006,0)))),"Fix")))</f>
        <v>0</v>
      </c>
      <c r="G634" s="3">
        <f>IF(OR(INDEX($O$2:$O$1001,MATCH(ROWS($N$2:N634),$N$2:$N$1001,0),1)&gt;=100000,INDEX($U$1005:$AC$1005,1,MATCH(COLUMNS($U$1006:Z1006),$U$1006:$AC$1006,0))&gt;=100000), " ",IF(INDEX($U$2:$AC$1001,MATCH(ROWS($N$2:N634),$N$2:$N$1001,0),MATCH(COLUMNS($U$1006:Z1006),$U$1006:$AC$1006,0)), HYPERLINK("#",""), HYPERLINK(CONCATENATE("#metadata!", ADDRESS(INDEX($P$2:$P$1001,MATCH(ROWS($N$2:N634),$N$2:$N$1001,0),0), INDEX($U$1004:$AC$1004,1,MATCH(COLUMNS($U$1006:Z1006),$U$1006:$AC$1006,0)))),"Fix")))</f>
        <v>0</v>
      </c>
      <c r="H634" s="3">
        <f>IF(OR(INDEX($O$2:$O$1001,MATCH(ROWS($N$2:N634),$N$2:$N$1001,0),1)&gt;=100000,INDEX($U$1005:$AC$1005,1,MATCH(COLUMNS($U$1006:AA1006),$U$1006:$AC$1006,0))&gt;=100000), " ",IF(INDEX($U$2:$AC$1001,MATCH(ROWS($N$2:N634),$N$2:$N$1001,0),MATCH(COLUMNS($U$1006:AA1006),$U$1006:$AC$1006,0)), HYPERLINK("#",""), HYPERLINK(CONCATENATE("#metadata!", ADDRESS(INDEX($P$2:$P$1001,MATCH(ROWS($N$2:N634),$N$2:$N$1001,0),0), INDEX($U$1004:$AC$1004,1,MATCH(COLUMNS($U$1006:AA1006),$U$1006:$AC$1006,0)))),"Fix")))</f>
        <v>0</v>
      </c>
      <c r="I634" s="3">
        <f>IF(OR(INDEX($O$2:$O$1001,MATCH(ROWS($N$2:N634),$N$2:$N$1001,0),1)&gt;=100000,INDEX($U$1005:$AC$1005,1,MATCH(COLUMNS($U$1006:AB1006),$U$1006:$AC$1006,0))&gt;=100000), " ",IF(INDEX($U$2:$AC$1001,MATCH(ROWS($N$2:N634),$N$2:$N$1001,0),MATCH(COLUMNS($U$1006:AB1006),$U$1006:$AC$1006,0)), HYPERLINK("#",""), HYPERLINK(CONCATENATE("#metadata!", ADDRESS(INDEX($P$2:$P$1001,MATCH(ROWS($N$2:N634),$N$2:$N$1001,0),0), INDEX($U$1004:$AC$1004,1,MATCH(COLUMNS($U$1006:AB1006),$U$1006:$AC$1006,0)))),"Fix")))</f>
        <v>0</v>
      </c>
      <c r="J634" s="3">
        <f>IF(OR(INDEX($O$2:$O$1001,MATCH(ROWS($N$2:N634),$N$2:$N$1001,0),1)&gt;=100000,INDEX($U$1005:$AC$1005,1,MATCH(COLUMNS($U$1006:AC1006),$U$1006:$AC$1006,0))&gt;=100000), " ",IF(INDEX($U$2:$AC$1001,MATCH(ROWS($N$2:N634),$N$2:$N$1001,0),MATCH(COLUMNS($U$1006:AC1006),$U$1006:$AC$1006,0)), HYPERLINK("#",""), HYPERLINK(CONCATENATE("#metadata!", ADDRESS(INDEX($P$2:$P$1001,MATCH(ROWS($N$2:N634),$N$2:$N$1001,0),0), INDEX($U$1004:$AC$1004,1,MATCH(COLUMNS($U$1006:AC1006),$U$1006:$AC$1006,0)))),"Fix")))</f>
        <v>0</v>
      </c>
      <c r="N634">
        <v>0</v>
      </c>
      <c r="O634">
        <v>0</v>
      </c>
      <c r="P634">
        <v>0</v>
      </c>
      <c r="Q634">
        <f>IF(R634,TRUE,AND(U634:AC634))</f>
        <v>0</v>
      </c>
      <c r="R634">
        <f>COUNTBLANK(metadata!B634:J634)=COLUMNS(metadata!B634:J634)</f>
        <v>0</v>
      </c>
      <c r="S634">
        <v>0</v>
      </c>
      <c r="U634">
        <f>AND(IF(metadata!B634="",FALSE,TRUE),COUNTIF(metadata!B:B, metadata!B634) = 1,NOT(ISERROR(SUMPRODUCT(SEARCH(MID(metadata!B634,ROW(INDIRECT("1:"&amp;LEN(metadata!B634))), 1),"0123456789abcdefghijklmnopqrstuvwxyzABCDEFGHIJKLMNOPQRSTUVWXYZ.")))))</f>
        <v>0</v>
      </c>
      <c r="V634">
        <f>AND(IF(metadata!C634="",FALSE,TRUE),exact(metadata!C634,"UBERON:genitourinary"))</f>
        <v>0</v>
      </c>
      <c r="W634">
        <f>AND(IF(metadata!D634="",FALSE,TRUE),exact(metadata!D634,"UBERON:urine"))</f>
        <v>0</v>
      </c>
      <c r="X634">
        <f>AND(IF(metadata!E634="",FALSE,TRUE),exact(metadata!E634,"UBERON:kidney"))</f>
        <v>0</v>
      </c>
      <c r="Y634">
        <f>AND(IF(metadata!F634="",FALSE,TRUE),exact(metadata!F634,"animal corpus"))</f>
        <v>0</v>
      </c>
      <c r="Z634">
        <f>AND(IF(metadata!G634="",FALSE,TRUE),exact(metadata!G634,"urine"))</f>
        <v>0</v>
      </c>
      <c r="AA634">
        <f>AND(IF(metadata!H634="",FALSE,TRUE),exact(metadata!H634,"urine"))</f>
        <v>0</v>
      </c>
      <c r="AB634">
        <f>AND(IF(metadata!I634="",FALSE,TRUE),exact(metadata!I634,"urine metagenome"))</f>
        <v>0</v>
      </c>
      <c r="AC634">
        <f>AND(IF(metadata!J634="",FALSE,TRUE),exact(metadata!J634,"1346744"))</f>
        <v>0</v>
      </c>
    </row>
    <row r="635" spans="1:29">
      <c r="A635" s="4">
        <f>IF(B635=" "," ",HYPERLINK(CONCATENATE("#metadata!",ADDRESS(INDEX($P$2:$P$1001,MATCH(ROWS($N$2:N635),$N$2:$N$1001,0),0),1)),INDEX($S$2:$S$1001,MATCH(ROWS($N$2:N635),$N$2:$N$1001,0),0)))</f>
        <v>0</v>
      </c>
      <c r="B635" s="3">
        <f>IF(OR(INDEX($O$2:$O$1001,MATCH(ROWS($N$2:N635),$N$2:$N$1001,0),1)&gt;=100000,INDEX($U$1005:$AC$1005,1,MATCH(COLUMNS($U$1006:U1006),$U$1006:$AC$1006,0))&gt;=100000), " ",IF(INDEX($U$2:$AC$1001,MATCH(ROWS($N$2:N635),$N$2:$N$1001,0),MATCH(COLUMNS($U$1006:U1006),$U$1006:$AC$1006,0)), HYPERLINK("#",""), HYPERLINK(CONCATENATE("#metadata!", ADDRESS(INDEX($P$2:$P$1001,MATCH(ROWS($N$2:N635),$N$2:$N$1001,0),0), INDEX($U$1004:$AC$1004,1,MATCH(COLUMNS($U$1006:U1006),$U$1006:$AC$1006,0)))),"Fix")))</f>
        <v>0</v>
      </c>
      <c r="C635" s="3">
        <f>IF(OR(INDEX($O$2:$O$1001,MATCH(ROWS($N$2:N635),$N$2:$N$1001,0),1)&gt;=100000,INDEX($U$1005:$AC$1005,1,MATCH(COLUMNS($U$1006:V1006),$U$1006:$AC$1006,0))&gt;=100000), " ",IF(INDEX($U$2:$AC$1001,MATCH(ROWS($N$2:N635),$N$2:$N$1001,0),MATCH(COLUMNS($U$1006:V1006),$U$1006:$AC$1006,0)), HYPERLINK("#",""), HYPERLINK(CONCATENATE("#metadata!", ADDRESS(INDEX($P$2:$P$1001,MATCH(ROWS($N$2:N635),$N$2:$N$1001,0),0), INDEX($U$1004:$AC$1004,1,MATCH(COLUMNS($U$1006:V1006),$U$1006:$AC$1006,0)))),"Fix")))</f>
        <v>0</v>
      </c>
      <c r="D635" s="3">
        <f>IF(OR(INDEX($O$2:$O$1001,MATCH(ROWS($N$2:N635),$N$2:$N$1001,0),1)&gt;=100000,INDEX($U$1005:$AC$1005,1,MATCH(COLUMNS($U$1006:W1006),$U$1006:$AC$1006,0))&gt;=100000), " ",IF(INDEX($U$2:$AC$1001,MATCH(ROWS($N$2:N635),$N$2:$N$1001,0),MATCH(COLUMNS($U$1006:W1006),$U$1006:$AC$1006,0)), HYPERLINK("#",""), HYPERLINK(CONCATENATE("#metadata!", ADDRESS(INDEX($P$2:$P$1001,MATCH(ROWS($N$2:N635),$N$2:$N$1001,0),0), INDEX($U$1004:$AC$1004,1,MATCH(COLUMNS($U$1006:W1006),$U$1006:$AC$1006,0)))),"Fix")))</f>
        <v>0</v>
      </c>
      <c r="E635" s="3">
        <f>IF(OR(INDEX($O$2:$O$1001,MATCH(ROWS($N$2:N635),$N$2:$N$1001,0),1)&gt;=100000,INDEX($U$1005:$AC$1005,1,MATCH(COLUMNS($U$1006:X1006),$U$1006:$AC$1006,0))&gt;=100000), " ",IF(INDEX($U$2:$AC$1001,MATCH(ROWS($N$2:N635),$N$2:$N$1001,0),MATCH(COLUMNS($U$1006:X1006),$U$1006:$AC$1006,0)), HYPERLINK("#",""), HYPERLINK(CONCATENATE("#metadata!", ADDRESS(INDEX($P$2:$P$1001,MATCH(ROWS($N$2:N635),$N$2:$N$1001,0),0), INDEX($U$1004:$AC$1004,1,MATCH(COLUMNS($U$1006:X1006),$U$1006:$AC$1006,0)))),"Fix")))</f>
        <v>0</v>
      </c>
      <c r="F635" s="3">
        <f>IF(OR(INDEX($O$2:$O$1001,MATCH(ROWS($N$2:N635),$N$2:$N$1001,0),1)&gt;=100000,INDEX($U$1005:$AC$1005,1,MATCH(COLUMNS($U$1006:Y1006),$U$1006:$AC$1006,0))&gt;=100000), " ",IF(INDEX($U$2:$AC$1001,MATCH(ROWS($N$2:N635),$N$2:$N$1001,0),MATCH(COLUMNS($U$1006:Y1006),$U$1006:$AC$1006,0)), HYPERLINK("#",""), HYPERLINK(CONCATENATE("#metadata!", ADDRESS(INDEX($P$2:$P$1001,MATCH(ROWS($N$2:N635),$N$2:$N$1001,0),0), INDEX($U$1004:$AC$1004,1,MATCH(COLUMNS($U$1006:Y1006),$U$1006:$AC$1006,0)))),"Fix")))</f>
        <v>0</v>
      </c>
      <c r="G635" s="3">
        <f>IF(OR(INDEX($O$2:$O$1001,MATCH(ROWS($N$2:N635),$N$2:$N$1001,0),1)&gt;=100000,INDEX($U$1005:$AC$1005,1,MATCH(COLUMNS($U$1006:Z1006),$U$1006:$AC$1006,0))&gt;=100000), " ",IF(INDEX($U$2:$AC$1001,MATCH(ROWS($N$2:N635),$N$2:$N$1001,0),MATCH(COLUMNS($U$1006:Z1006),$U$1006:$AC$1006,0)), HYPERLINK("#",""), HYPERLINK(CONCATENATE("#metadata!", ADDRESS(INDEX($P$2:$P$1001,MATCH(ROWS($N$2:N635),$N$2:$N$1001,0),0), INDEX($U$1004:$AC$1004,1,MATCH(COLUMNS($U$1006:Z1006),$U$1006:$AC$1006,0)))),"Fix")))</f>
        <v>0</v>
      </c>
      <c r="H635" s="3">
        <f>IF(OR(INDEX($O$2:$O$1001,MATCH(ROWS($N$2:N635),$N$2:$N$1001,0),1)&gt;=100000,INDEX($U$1005:$AC$1005,1,MATCH(COLUMNS($U$1006:AA1006),$U$1006:$AC$1006,0))&gt;=100000), " ",IF(INDEX($U$2:$AC$1001,MATCH(ROWS($N$2:N635),$N$2:$N$1001,0),MATCH(COLUMNS($U$1006:AA1006),$U$1006:$AC$1006,0)), HYPERLINK("#",""), HYPERLINK(CONCATENATE("#metadata!", ADDRESS(INDEX($P$2:$P$1001,MATCH(ROWS($N$2:N635),$N$2:$N$1001,0),0), INDEX($U$1004:$AC$1004,1,MATCH(COLUMNS($U$1006:AA1006),$U$1006:$AC$1006,0)))),"Fix")))</f>
        <v>0</v>
      </c>
      <c r="I635" s="3">
        <f>IF(OR(INDEX($O$2:$O$1001,MATCH(ROWS($N$2:N635),$N$2:$N$1001,0),1)&gt;=100000,INDEX($U$1005:$AC$1005,1,MATCH(COLUMNS($U$1006:AB1006),$U$1006:$AC$1006,0))&gt;=100000), " ",IF(INDEX($U$2:$AC$1001,MATCH(ROWS($N$2:N635),$N$2:$N$1001,0),MATCH(COLUMNS($U$1006:AB1006),$U$1006:$AC$1006,0)), HYPERLINK("#",""), HYPERLINK(CONCATENATE("#metadata!", ADDRESS(INDEX($P$2:$P$1001,MATCH(ROWS($N$2:N635),$N$2:$N$1001,0),0), INDEX($U$1004:$AC$1004,1,MATCH(COLUMNS($U$1006:AB1006),$U$1006:$AC$1006,0)))),"Fix")))</f>
        <v>0</v>
      </c>
      <c r="J635" s="3">
        <f>IF(OR(INDEX($O$2:$O$1001,MATCH(ROWS($N$2:N635),$N$2:$N$1001,0),1)&gt;=100000,INDEX($U$1005:$AC$1005,1,MATCH(COLUMNS($U$1006:AC1006),$U$1006:$AC$1006,0))&gt;=100000), " ",IF(INDEX($U$2:$AC$1001,MATCH(ROWS($N$2:N635),$N$2:$N$1001,0),MATCH(COLUMNS($U$1006:AC1006),$U$1006:$AC$1006,0)), HYPERLINK("#",""), HYPERLINK(CONCATENATE("#metadata!", ADDRESS(INDEX($P$2:$P$1001,MATCH(ROWS($N$2:N635),$N$2:$N$1001,0),0), INDEX($U$1004:$AC$1004,1,MATCH(COLUMNS($U$1006:AC1006),$U$1006:$AC$1006,0)))),"Fix")))</f>
        <v>0</v>
      </c>
      <c r="N635">
        <v>0</v>
      </c>
      <c r="O635">
        <v>0</v>
      </c>
      <c r="P635">
        <v>0</v>
      </c>
      <c r="Q635">
        <f>IF(R635,TRUE,AND(U635:AC635))</f>
        <v>0</v>
      </c>
      <c r="R635">
        <f>COUNTBLANK(metadata!B635:J635)=COLUMNS(metadata!B635:J635)</f>
        <v>0</v>
      </c>
      <c r="S635">
        <v>0</v>
      </c>
      <c r="U635">
        <f>AND(IF(metadata!B635="",FALSE,TRUE),COUNTIF(metadata!B:B, metadata!B635) = 1,NOT(ISERROR(SUMPRODUCT(SEARCH(MID(metadata!B635,ROW(INDIRECT("1:"&amp;LEN(metadata!B635))), 1),"0123456789abcdefghijklmnopqrstuvwxyzABCDEFGHIJKLMNOPQRSTUVWXYZ.")))))</f>
        <v>0</v>
      </c>
      <c r="V635">
        <f>AND(IF(metadata!C635="",FALSE,TRUE),exact(metadata!C635,"UBERON:genitourinary"))</f>
        <v>0</v>
      </c>
      <c r="W635">
        <f>AND(IF(metadata!D635="",FALSE,TRUE),exact(metadata!D635,"UBERON:urine"))</f>
        <v>0</v>
      </c>
      <c r="X635">
        <f>AND(IF(metadata!E635="",FALSE,TRUE),exact(metadata!E635,"UBERON:kidney"))</f>
        <v>0</v>
      </c>
      <c r="Y635">
        <f>AND(IF(metadata!F635="",FALSE,TRUE),exact(metadata!F635,"animal corpus"))</f>
        <v>0</v>
      </c>
      <c r="Z635">
        <f>AND(IF(metadata!G635="",FALSE,TRUE),exact(metadata!G635,"urine"))</f>
        <v>0</v>
      </c>
      <c r="AA635">
        <f>AND(IF(metadata!H635="",FALSE,TRUE),exact(metadata!H635,"urine"))</f>
        <v>0</v>
      </c>
      <c r="AB635">
        <f>AND(IF(metadata!I635="",FALSE,TRUE),exact(metadata!I635,"urine metagenome"))</f>
        <v>0</v>
      </c>
      <c r="AC635">
        <f>AND(IF(metadata!J635="",FALSE,TRUE),exact(metadata!J635,"1346744"))</f>
        <v>0</v>
      </c>
    </row>
    <row r="636" spans="1:29">
      <c r="A636" s="4">
        <f>IF(B636=" "," ",HYPERLINK(CONCATENATE("#metadata!",ADDRESS(INDEX($P$2:$P$1001,MATCH(ROWS($N$2:N636),$N$2:$N$1001,0),0),1)),INDEX($S$2:$S$1001,MATCH(ROWS($N$2:N636),$N$2:$N$1001,0),0)))</f>
        <v>0</v>
      </c>
      <c r="B636" s="3">
        <f>IF(OR(INDEX($O$2:$O$1001,MATCH(ROWS($N$2:N636),$N$2:$N$1001,0),1)&gt;=100000,INDEX($U$1005:$AC$1005,1,MATCH(COLUMNS($U$1006:U1006),$U$1006:$AC$1006,0))&gt;=100000), " ",IF(INDEX($U$2:$AC$1001,MATCH(ROWS($N$2:N636),$N$2:$N$1001,0),MATCH(COLUMNS($U$1006:U1006),$U$1006:$AC$1006,0)), HYPERLINK("#",""), HYPERLINK(CONCATENATE("#metadata!", ADDRESS(INDEX($P$2:$P$1001,MATCH(ROWS($N$2:N636),$N$2:$N$1001,0),0), INDEX($U$1004:$AC$1004,1,MATCH(COLUMNS($U$1006:U1006),$U$1006:$AC$1006,0)))),"Fix")))</f>
        <v>0</v>
      </c>
      <c r="C636" s="3">
        <f>IF(OR(INDEX($O$2:$O$1001,MATCH(ROWS($N$2:N636),$N$2:$N$1001,0),1)&gt;=100000,INDEX($U$1005:$AC$1005,1,MATCH(COLUMNS($U$1006:V1006),$U$1006:$AC$1006,0))&gt;=100000), " ",IF(INDEX($U$2:$AC$1001,MATCH(ROWS($N$2:N636),$N$2:$N$1001,0),MATCH(COLUMNS($U$1006:V1006),$U$1006:$AC$1006,0)), HYPERLINK("#",""), HYPERLINK(CONCATENATE("#metadata!", ADDRESS(INDEX($P$2:$P$1001,MATCH(ROWS($N$2:N636),$N$2:$N$1001,0),0), INDEX($U$1004:$AC$1004,1,MATCH(COLUMNS($U$1006:V1006),$U$1006:$AC$1006,0)))),"Fix")))</f>
        <v>0</v>
      </c>
      <c r="D636" s="3">
        <f>IF(OR(INDEX($O$2:$O$1001,MATCH(ROWS($N$2:N636),$N$2:$N$1001,0),1)&gt;=100000,INDEX($U$1005:$AC$1005,1,MATCH(COLUMNS($U$1006:W1006),$U$1006:$AC$1006,0))&gt;=100000), " ",IF(INDEX($U$2:$AC$1001,MATCH(ROWS($N$2:N636),$N$2:$N$1001,0),MATCH(COLUMNS($U$1006:W1006),$U$1006:$AC$1006,0)), HYPERLINK("#",""), HYPERLINK(CONCATENATE("#metadata!", ADDRESS(INDEX($P$2:$P$1001,MATCH(ROWS($N$2:N636),$N$2:$N$1001,0),0), INDEX($U$1004:$AC$1004,1,MATCH(COLUMNS($U$1006:W1006),$U$1006:$AC$1006,0)))),"Fix")))</f>
        <v>0</v>
      </c>
      <c r="E636" s="3">
        <f>IF(OR(INDEX($O$2:$O$1001,MATCH(ROWS($N$2:N636),$N$2:$N$1001,0),1)&gt;=100000,INDEX($U$1005:$AC$1005,1,MATCH(COLUMNS($U$1006:X1006),$U$1006:$AC$1006,0))&gt;=100000), " ",IF(INDEX($U$2:$AC$1001,MATCH(ROWS($N$2:N636),$N$2:$N$1001,0),MATCH(COLUMNS($U$1006:X1006),$U$1006:$AC$1006,0)), HYPERLINK("#",""), HYPERLINK(CONCATENATE("#metadata!", ADDRESS(INDEX($P$2:$P$1001,MATCH(ROWS($N$2:N636),$N$2:$N$1001,0),0), INDEX($U$1004:$AC$1004,1,MATCH(COLUMNS($U$1006:X1006),$U$1006:$AC$1006,0)))),"Fix")))</f>
        <v>0</v>
      </c>
      <c r="F636" s="3">
        <f>IF(OR(INDEX($O$2:$O$1001,MATCH(ROWS($N$2:N636),$N$2:$N$1001,0),1)&gt;=100000,INDEX($U$1005:$AC$1005,1,MATCH(COLUMNS($U$1006:Y1006),$U$1006:$AC$1006,0))&gt;=100000), " ",IF(INDEX($U$2:$AC$1001,MATCH(ROWS($N$2:N636),$N$2:$N$1001,0),MATCH(COLUMNS($U$1006:Y1006),$U$1006:$AC$1006,0)), HYPERLINK("#",""), HYPERLINK(CONCATENATE("#metadata!", ADDRESS(INDEX($P$2:$P$1001,MATCH(ROWS($N$2:N636),$N$2:$N$1001,0),0), INDEX($U$1004:$AC$1004,1,MATCH(COLUMNS($U$1006:Y1006),$U$1006:$AC$1006,0)))),"Fix")))</f>
        <v>0</v>
      </c>
      <c r="G636" s="3">
        <f>IF(OR(INDEX($O$2:$O$1001,MATCH(ROWS($N$2:N636),$N$2:$N$1001,0),1)&gt;=100000,INDEX($U$1005:$AC$1005,1,MATCH(COLUMNS($U$1006:Z1006),$U$1006:$AC$1006,0))&gt;=100000), " ",IF(INDEX($U$2:$AC$1001,MATCH(ROWS($N$2:N636),$N$2:$N$1001,0),MATCH(COLUMNS($U$1006:Z1006),$U$1006:$AC$1006,0)), HYPERLINK("#",""), HYPERLINK(CONCATENATE("#metadata!", ADDRESS(INDEX($P$2:$P$1001,MATCH(ROWS($N$2:N636),$N$2:$N$1001,0),0), INDEX($U$1004:$AC$1004,1,MATCH(COLUMNS($U$1006:Z1006),$U$1006:$AC$1006,0)))),"Fix")))</f>
        <v>0</v>
      </c>
      <c r="H636" s="3">
        <f>IF(OR(INDEX($O$2:$O$1001,MATCH(ROWS($N$2:N636),$N$2:$N$1001,0),1)&gt;=100000,INDEX($U$1005:$AC$1005,1,MATCH(COLUMNS($U$1006:AA1006),$U$1006:$AC$1006,0))&gt;=100000), " ",IF(INDEX($U$2:$AC$1001,MATCH(ROWS($N$2:N636),$N$2:$N$1001,0),MATCH(COLUMNS($U$1006:AA1006),$U$1006:$AC$1006,0)), HYPERLINK("#",""), HYPERLINK(CONCATENATE("#metadata!", ADDRESS(INDEX($P$2:$P$1001,MATCH(ROWS($N$2:N636),$N$2:$N$1001,0),0), INDEX($U$1004:$AC$1004,1,MATCH(COLUMNS($U$1006:AA1006),$U$1006:$AC$1006,0)))),"Fix")))</f>
        <v>0</v>
      </c>
      <c r="I636" s="3">
        <f>IF(OR(INDEX($O$2:$O$1001,MATCH(ROWS($N$2:N636),$N$2:$N$1001,0),1)&gt;=100000,INDEX($U$1005:$AC$1005,1,MATCH(COLUMNS($U$1006:AB1006),$U$1006:$AC$1006,0))&gt;=100000), " ",IF(INDEX($U$2:$AC$1001,MATCH(ROWS($N$2:N636),$N$2:$N$1001,0),MATCH(COLUMNS($U$1006:AB1006),$U$1006:$AC$1006,0)), HYPERLINK("#",""), HYPERLINK(CONCATENATE("#metadata!", ADDRESS(INDEX($P$2:$P$1001,MATCH(ROWS($N$2:N636),$N$2:$N$1001,0),0), INDEX($U$1004:$AC$1004,1,MATCH(COLUMNS($U$1006:AB1006),$U$1006:$AC$1006,0)))),"Fix")))</f>
        <v>0</v>
      </c>
      <c r="J636" s="3">
        <f>IF(OR(INDEX($O$2:$O$1001,MATCH(ROWS($N$2:N636),$N$2:$N$1001,0),1)&gt;=100000,INDEX($U$1005:$AC$1005,1,MATCH(COLUMNS($U$1006:AC1006),$U$1006:$AC$1006,0))&gt;=100000), " ",IF(INDEX($U$2:$AC$1001,MATCH(ROWS($N$2:N636),$N$2:$N$1001,0),MATCH(COLUMNS($U$1006:AC1006),$U$1006:$AC$1006,0)), HYPERLINK("#",""), HYPERLINK(CONCATENATE("#metadata!", ADDRESS(INDEX($P$2:$P$1001,MATCH(ROWS($N$2:N636),$N$2:$N$1001,0),0), INDEX($U$1004:$AC$1004,1,MATCH(COLUMNS($U$1006:AC1006),$U$1006:$AC$1006,0)))),"Fix")))</f>
        <v>0</v>
      </c>
      <c r="N636">
        <v>0</v>
      </c>
      <c r="O636">
        <v>0</v>
      </c>
      <c r="P636">
        <v>0</v>
      </c>
      <c r="Q636">
        <f>IF(R636,TRUE,AND(U636:AC636))</f>
        <v>0</v>
      </c>
      <c r="R636">
        <f>COUNTBLANK(metadata!B636:J636)=COLUMNS(metadata!B636:J636)</f>
        <v>0</v>
      </c>
      <c r="S636">
        <v>0</v>
      </c>
      <c r="U636">
        <f>AND(IF(metadata!B636="",FALSE,TRUE),COUNTIF(metadata!B:B, metadata!B636) = 1,NOT(ISERROR(SUMPRODUCT(SEARCH(MID(metadata!B636,ROW(INDIRECT("1:"&amp;LEN(metadata!B636))), 1),"0123456789abcdefghijklmnopqrstuvwxyzABCDEFGHIJKLMNOPQRSTUVWXYZ.")))))</f>
        <v>0</v>
      </c>
      <c r="V636">
        <f>AND(IF(metadata!C636="",FALSE,TRUE),exact(metadata!C636,"UBERON:genitourinary"))</f>
        <v>0</v>
      </c>
      <c r="W636">
        <f>AND(IF(metadata!D636="",FALSE,TRUE),exact(metadata!D636,"UBERON:urine"))</f>
        <v>0</v>
      </c>
      <c r="X636">
        <f>AND(IF(metadata!E636="",FALSE,TRUE),exact(metadata!E636,"UBERON:kidney"))</f>
        <v>0</v>
      </c>
      <c r="Y636">
        <f>AND(IF(metadata!F636="",FALSE,TRUE),exact(metadata!F636,"animal corpus"))</f>
        <v>0</v>
      </c>
      <c r="Z636">
        <f>AND(IF(metadata!G636="",FALSE,TRUE),exact(metadata!G636,"urine"))</f>
        <v>0</v>
      </c>
      <c r="AA636">
        <f>AND(IF(metadata!H636="",FALSE,TRUE),exact(metadata!H636,"urine"))</f>
        <v>0</v>
      </c>
      <c r="AB636">
        <f>AND(IF(metadata!I636="",FALSE,TRUE),exact(metadata!I636,"urine metagenome"))</f>
        <v>0</v>
      </c>
      <c r="AC636">
        <f>AND(IF(metadata!J636="",FALSE,TRUE),exact(metadata!J636,"1346744"))</f>
        <v>0</v>
      </c>
    </row>
    <row r="637" spans="1:29">
      <c r="A637" s="4">
        <f>IF(B637=" "," ",HYPERLINK(CONCATENATE("#metadata!",ADDRESS(INDEX($P$2:$P$1001,MATCH(ROWS($N$2:N637),$N$2:$N$1001,0),0),1)),INDEX($S$2:$S$1001,MATCH(ROWS($N$2:N637),$N$2:$N$1001,0),0)))</f>
        <v>0</v>
      </c>
      <c r="B637" s="3">
        <f>IF(OR(INDEX($O$2:$O$1001,MATCH(ROWS($N$2:N637),$N$2:$N$1001,0),1)&gt;=100000,INDEX($U$1005:$AC$1005,1,MATCH(COLUMNS($U$1006:U1006),$U$1006:$AC$1006,0))&gt;=100000), " ",IF(INDEX($U$2:$AC$1001,MATCH(ROWS($N$2:N637),$N$2:$N$1001,0),MATCH(COLUMNS($U$1006:U1006),$U$1006:$AC$1006,0)), HYPERLINK("#",""), HYPERLINK(CONCATENATE("#metadata!", ADDRESS(INDEX($P$2:$P$1001,MATCH(ROWS($N$2:N637),$N$2:$N$1001,0),0), INDEX($U$1004:$AC$1004,1,MATCH(COLUMNS($U$1006:U1006),$U$1006:$AC$1006,0)))),"Fix")))</f>
        <v>0</v>
      </c>
      <c r="C637" s="3">
        <f>IF(OR(INDEX($O$2:$O$1001,MATCH(ROWS($N$2:N637),$N$2:$N$1001,0),1)&gt;=100000,INDEX($U$1005:$AC$1005,1,MATCH(COLUMNS($U$1006:V1006),$U$1006:$AC$1006,0))&gt;=100000), " ",IF(INDEX($U$2:$AC$1001,MATCH(ROWS($N$2:N637),$N$2:$N$1001,0),MATCH(COLUMNS($U$1006:V1006),$U$1006:$AC$1006,0)), HYPERLINK("#",""), HYPERLINK(CONCATENATE("#metadata!", ADDRESS(INDEX($P$2:$P$1001,MATCH(ROWS($N$2:N637),$N$2:$N$1001,0),0), INDEX($U$1004:$AC$1004,1,MATCH(COLUMNS($U$1006:V1006),$U$1006:$AC$1006,0)))),"Fix")))</f>
        <v>0</v>
      </c>
      <c r="D637" s="3">
        <f>IF(OR(INDEX($O$2:$O$1001,MATCH(ROWS($N$2:N637),$N$2:$N$1001,0),1)&gt;=100000,INDEX($U$1005:$AC$1005,1,MATCH(COLUMNS($U$1006:W1006),$U$1006:$AC$1006,0))&gt;=100000), " ",IF(INDEX($U$2:$AC$1001,MATCH(ROWS($N$2:N637),$N$2:$N$1001,0),MATCH(COLUMNS($U$1006:W1006),$U$1006:$AC$1006,0)), HYPERLINK("#",""), HYPERLINK(CONCATENATE("#metadata!", ADDRESS(INDEX($P$2:$P$1001,MATCH(ROWS($N$2:N637),$N$2:$N$1001,0),0), INDEX($U$1004:$AC$1004,1,MATCH(COLUMNS($U$1006:W1006),$U$1006:$AC$1006,0)))),"Fix")))</f>
        <v>0</v>
      </c>
      <c r="E637" s="3">
        <f>IF(OR(INDEX($O$2:$O$1001,MATCH(ROWS($N$2:N637),$N$2:$N$1001,0),1)&gt;=100000,INDEX($U$1005:$AC$1005,1,MATCH(COLUMNS($U$1006:X1006),$U$1006:$AC$1006,0))&gt;=100000), " ",IF(INDEX($U$2:$AC$1001,MATCH(ROWS($N$2:N637),$N$2:$N$1001,0),MATCH(COLUMNS($U$1006:X1006),$U$1006:$AC$1006,0)), HYPERLINK("#",""), HYPERLINK(CONCATENATE("#metadata!", ADDRESS(INDEX($P$2:$P$1001,MATCH(ROWS($N$2:N637),$N$2:$N$1001,0),0), INDEX($U$1004:$AC$1004,1,MATCH(COLUMNS($U$1006:X1006),$U$1006:$AC$1006,0)))),"Fix")))</f>
        <v>0</v>
      </c>
      <c r="F637" s="3">
        <f>IF(OR(INDEX($O$2:$O$1001,MATCH(ROWS($N$2:N637),$N$2:$N$1001,0),1)&gt;=100000,INDEX($U$1005:$AC$1005,1,MATCH(COLUMNS($U$1006:Y1006),$U$1006:$AC$1006,0))&gt;=100000), " ",IF(INDEX($U$2:$AC$1001,MATCH(ROWS($N$2:N637),$N$2:$N$1001,0),MATCH(COLUMNS($U$1006:Y1006),$U$1006:$AC$1006,0)), HYPERLINK("#",""), HYPERLINK(CONCATENATE("#metadata!", ADDRESS(INDEX($P$2:$P$1001,MATCH(ROWS($N$2:N637),$N$2:$N$1001,0),0), INDEX($U$1004:$AC$1004,1,MATCH(COLUMNS($U$1006:Y1006),$U$1006:$AC$1006,0)))),"Fix")))</f>
        <v>0</v>
      </c>
      <c r="G637" s="3">
        <f>IF(OR(INDEX($O$2:$O$1001,MATCH(ROWS($N$2:N637),$N$2:$N$1001,0),1)&gt;=100000,INDEX($U$1005:$AC$1005,1,MATCH(COLUMNS($U$1006:Z1006),$U$1006:$AC$1006,0))&gt;=100000), " ",IF(INDEX($U$2:$AC$1001,MATCH(ROWS($N$2:N637),$N$2:$N$1001,0),MATCH(COLUMNS($U$1006:Z1006),$U$1006:$AC$1006,0)), HYPERLINK("#",""), HYPERLINK(CONCATENATE("#metadata!", ADDRESS(INDEX($P$2:$P$1001,MATCH(ROWS($N$2:N637),$N$2:$N$1001,0),0), INDEX($U$1004:$AC$1004,1,MATCH(COLUMNS($U$1006:Z1006),$U$1006:$AC$1006,0)))),"Fix")))</f>
        <v>0</v>
      </c>
      <c r="H637" s="3">
        <f>IF(OR(INDEX($O$2:$O$1001,MATCH(ROWS($N$2:N637),$N$2:$N$1001,0),1)&gt;=100000,INDEX($U$1005:$AC$1005,1,MATCH(COLUMNS($U$1006:AA1006),$U$1006:$AC$1006,0))&gt;=100000), " ",IF(INDEX($U$2:$AC$1001,MATCH(ROWS($N$2:N637),$N$2:$N$1001,0),MATCH(COLUMNS($U$1006:AA1006),$U$1006:$AC$1006,0)), HYPERLINK("#",""), HYPERLINK(CONCATENATE("#metadata!", ADDRESS(INDEX($P$2:$P$1001,MATCH(ROWS($N$2:N637),$N$2:$N$1001,0),0), INDEX($U$1004:$AC$1004,1,MATCH(COLUMNS($U$1006:AA1006),$U$1006:$AC$1006,0)))),"Fix")))</f>
        <v>0</v>
      </c>
      <c r="I637" s="3">
        <f>IF(OR(INDEX($O$2:$O$1001,MATCH(ROWS($N$2:N637),$N$2:$N$1001,0),1)&gt;=100000,INDEX($U$1005:$AC$1005,1,MATCH(COLUMNS($U$1006:AB1006),$U$1006:$AC$1006,0))&gt;=100000), " ",IF(INDEX($U$2:$AC$1001,MATCH(ROWS($N$2:N637),$N$2:$N$1001,0),MATCH(COLUMNS($U$1006:AB1006),$U$1006:$AC$1006,0)), HYPERLINK("#",""), HYPERLINK(CONCATENATE("#metadata!", ADDRESS(INDEX($P$2:$P$1001,MATCH(ROWS($N$2:N637),$N$2:$N$1001,0),0), INDEX($U$1004:$AC$1004,1,MATCH(COLUMNS($U$1006:AB1006),$U$1006:$AC$1006,0)))),"Fix")))</f>
        <v>0</v>
      </c>
      <c r="J637" s="3">
        <f>IF(OR(INDEX($O$2:$O$1001,MATCH(ROWS($N$2:N637),$N$2:$N$1001,0),1)&gt;=100000,INDEX($U$1005:$AC$1005,1,MATCH(COLUMNS($U$1006:AC1006),$U$1006:$AC$1006,0))&gt;=100000), " ",IF(INDEX($U$2:$AC$1001,MATCH(ROWS($N$2:N637),$N$2:$N$1001,0),MATCH(COLUMNS($U$1006:AC1006),$U$1006:$AC$1006,0)), HYPERLINK("#",""), HYPERLINK(CONCATENATE("#metadata!", ADDRESS(INDEX($P$2:$P$1001,MATCH(ROWS($N$2:N637),$N$2:$N$1001,0),0), INDEX($U$1004:$AC$1004,1,MATCH(COLUMNS($U$1006:AC1006),$U$1006:$AC$1006,0)))),"Fix")))</f>
        <v>0</v>
      </c>
      <c r="N637">
        <v>0</v>
      </c>
      <c r="O637">
        <v>0</v>
      </c>
      <c r="P637">
        <v>0</v>
      </c>
      <c r="Q637">
        <f>IF(R637,TRUE,AND(U637:AC637))</f>
        <v>0</v>
      </c>
      <c r="R637">
        <f>COUNTBLANK(metadata!B637:J637)=COLUMNS(metadata!B637:J637)</f>
        <v>0</v>
      </c>
      <c r="S637">
        <v>0</v>
      </c>
      <c r="U637">
        <f>AND(IF(metadata!B637="",FALSE,TRUE),COUNTIF(metadata!B:B, metadata!B637) = 1,NOT(ISERROR(SUMPRODUCT(SEARCH(MID(metadata!B637,ROW(INDIRECT("1:"&amp;LEN(metadata!B637))), 1),"0123456789abcdefghijklmnopqrstuvwxyzABCDEFGHIJKLMNOPQRSTUVWXYZ.")))))</f>
        <v>0</v>
      </c>
      <c r="V637">
        <f>AND(IF(metadata!C637="",FALSE,TRUE),exact(metadata!C637,"UBERON:genitourinary"))</f>
        <v>0</v>
      </c>
      <c r="W637">
        <f>AND(IF(metadata!D637="",FALSE,TRUE),exact(metadata!D637,"UBERON:urine"))</f>
        <v>0</v>
      </c>
      <c r="X637">
        <f>AND(IF(metadata!E637="",FALSE,TRUE),exact(metadata!E637,"UBERON:kidney"))</f>
        <v>0</v>
      </c>
      <c r="Y637">
        <f>AND(IF(metadata!F637="",FALSE,TRUE),exact(metadata!F637,"animal corpus"))</f>
        <v>0</v>
      </c>
      <c r="Z637">
        <f>AND(IF(metadata!G637="",FALSE,TRUE),exact(metadata!G637,"urine"))</f>
        <v>0</v>
      </c>
      <c r="AA637">
        <f>AND(IF(metadata!H637="",FALSE,TRUE),exact(metadata!H637,"urine"))</f>
        <v>0</v>
      </c>
      <c r="AB637">
        <f>AND(IF(metadata!I637="",FALSE,TRUE),exact(metadata!I637,"urine metagenome"))</f>
        <v>0</v>
      </c>
      <c r="AC637">
        <f>AND(IF(metadata!J637="",FALSE,TRUE),exact(metadata!J637,"1346744"))</f>
        <v>0</v>
      </c>
    </row>
    <row r="638" spans="1:29">
      <c r="A638" s="4">
        <f>IF(B638=" "," ",HYPERLINK(CONCATENATE("#metadata!",ADDRESS(INDEX($P$2:$P$1001,MATCH(ROWS($N$2:N638),$N$2:$N$1001,0),0),1)),INDEX($S$2:$S$1001,MATCH(ROWS($N$2:N638),$N$2:$N$1001,0),0)))</f>
        <v>0</v>
      </c>
      <c r="B638" s="3">
        <f>IF(OR(INDEX($O$2:$O$1001,MATCH(ROWS($N$2:N638),$N$2:$N$1001,0),1)&gt;=100000,INDEX($U$1005:$AC$1005,1,MATCH(COLUMNS($U$1006:U1006),$U$1006:$AC$1006,0))&gt;=100000), " ",IF(INDEX($U$2:$AC$1001,MATCH(ROWS($N$2:N638),$N$2:$N$1001,0),MATCH(COLUMNS($U$1006:U1006),$U$1006:$AC$1006,0)), HYPERLINK("#",""), HYPERLINK(CONCATENATE("#metadata!", ADDRESS(INDEX($P$2:$P$1001,MATCH(ROWS($N$2:N638),$N$2:$N$1001,0),0), INDEX($U$1004:$AC$1004,1,MATCH(COLUMNS($U$1006:U1006),$U$1006:$AC$1006,0)))),"Fix")))</f>
        <v>0</v>
      </c>
      <c r="C638" s="3">
        <f>IF(OR(INDEX($O$2:$O$1001,MATCH(ROWS($N$2:N638),$N$2:$N$1001,0),1)&gt;=100000,INDEX($U$1005:$AC$1005,1,MATCH(COLUMNS($U$1006:V1006),$U$1006:$AC$1006,0))&gt;=100000), " ",IF(INDEX($U$2:$AC$1001,MATCH(ROWS($N$2:N638),$N$2:$N$1001,0),MATCH(COLUMNS($U$1006:V1006),$U$1006:$AC$1006,0)), HYPERLINK("#",""), HYPERLINK(CONCATENATE("#metadata!", ADDRESS(INDEX($P$2:$P$1001,MATCH(ROWS($N$2:N638),$N$2:$N$1001,0),0), INDEX($U$1004:$AC$1004,1,MATCH(COLUMNS($U$1006:V1006),$U$1006:$AC$1006,0)))),"Fix")))</f>
        <v>0</v>
      </c>
      <c r="D638" s="3">
        <f>IF(OR(INDEX($O$2:$O$1001,MATCH(ROWS($N$2:N638),$N$2:$N$1001,0),1)&gt;=100000,INDEX($U$1005:$AC$1005,1,MATCH(COLUMNS($U$1006:W1006),$U$1006:$AC$1006,0))&gt;=100000), " ",IF(INDEX($U$2:$AC$1001,MATCH(ROWS($N$2:N638),$N$2:$N$1001,0),MATCH(COLUMNS($U$1006:W1006),$U$1006:$AC$1006,0)), HYPERLINK("#",""), HYPERLINK(CONCATENATE("#metadata!", ADDRESS(INDEX($P$2:$P$1001,MATCH(ROWS($N$2:N638),$N$2:$N$1001,0),0), INDEX($U$1004:$AC$1004,1,MATCH(COLUMNS($U$1006:W1006),$U$1006:$AC$1006,0)))),"Fix")))</f>
        <v>0</v>
      </c>
      <c r="E638" s="3">
        <f>IF(OR(INDEX($O$2:$O$1001,MATCH(ROWS($N$2:N638),$N$2:$N$1001,0),1)&gt;=100000,INDEX($U$1005:$AC$1005,1,MATCH(COLUMNS($U$1006:X1006),$U$1006:$AC$1006,0))&gt;=100000), " ",IF(INDEX($U$2:$AC$1001,MATCH(ROWS($N$2:N638),$N$2:$N$1001,0),MATCH(COLUMNS($U$1006:X1006),$U$1006:$AC$1006,0)), HYPERLINK("#",""), HYPERLINK(CONCATENATE("#metadata!", ADDRESS(INDEX($P$2:$P$1001,MATCH(ROWS($N$2:N638),$N$2:$N$1001,0),0), INDEX($U$1004:$AC$1004,1,MATCH(COLUMNS($U$1006:X1006),$U$1006:$AC$1006,0)))),"Fix")))</f>
        <v>0</v>
      </c>
      <c r="F638" s="3">
        <f>IF(OR(INDEX($O$2:$O$1001,MATCH(ROWS($N$2:N638),$N$2:$N$1001,0),1)&gt;=100000,INDEX($U$1005:$AC$1005,1,MATCH(COLUMNS($U$1006:Y1006),$U$1006:$AC$1006,0))&gt;=100000), " ",IF(INDEX($U$2:$AC$1001,MATCH(ROWS($N$2:N638),$N$2:$N$1001,0),MATCH(COLUMNS($U$1006:Y1006),$U$1006:$AC$1006,0)), HYPERLINK("#",""), HYPERLINK(CONCATENATE("#metadata!", ADDRESS(INDEX($P$2:$P$1001,MATCH(ROWS($N$2:N638),$N$2:$N$1001,0),0), INDEX($U$1004:$AC$1004,1,MATCH(COLUMNS($U$1006:Y1006),$U$1006:$AC$1006,0)))),"Fix")))</f>
        <v>0</v>
      </c>
      <c r="G638" s="3">
        <f>IF(OR(INDEX($O$2:$O$1001,MATCH(ROWS($N$2:N638),$N$2:$N$1001,0),1)&gt;=100000,INDEX($U$1005:$AC$1005,1,MATCH(COLUMNS($U$1006:Z1006),$U$1006:$AC$1006,0))&gt;=100000), " ",IF(INDEX($U$2:$AC$1001,MATCH(ROWS($N$2:N638),$N$2:$N$1001,0),MATCH(COLUMNS($U$1006:Z1006),$U$1006:$AC$1006,0)), HYPERLINK("#",""), HYPERLINK(CONCATENATE("#metadata!", ADDRESS(INDEX($P$2:$P$1001,MATCH(ROWS($N$2:N638),$N$2:$N$1001,0),0), INDEX($U$1004:$AC$1004,1,MATCH(COLUMNS($U$1006:Z1006),$U$1006:$AC$1006,0)))),"Fix")))</f>
        <v>0</v>
      </c>
      <c r="H638" s="3">
        <f>IF(OR(INDEX($O$2:$O$1001,MATCH(ROWS($N$2:N638),$N$2:$N$1001,0),1)&gt;=100000,INDEX($U$1005:$AC$1005,1,MATCH(COLUMNS($U$1006:AA1006),$U$1006:$AC$1006,0))&gt;=100000), " ",IF(INDEX($U$2:$AC$1001,MATCH(ROWS($N$2:N638),$N$2:$N$1001,0),MATCH(COLUMNS($U$1006:AA1006),$U$1006:$AC$1006,0)), HYPERLINK("#",""), HYPERLINK(CONCATENATE("#metadata!", ADDRESS(INDEX($P$2:$P$1001,MATCH(ROWS($N$2:N638),$N$2:$N$1001,0),0), INDEX($U$1004:$AC$1004,1,MATCH(COLUMNS($U$1006:AA1006),$U$1006:$AC$1006,0)))),"Fix")))</f>
        <v>0</v>
      </c>
      <c r="I638" s="3">
        <f>IF(OR(INDEX($O$2:$O$1001,MATCH(ROWS($N$2:N638),$N$2:$N$1001,0),1)&gt;=100000,INDEX($U$1005:$AC$1005,1,MATCH(COLUMNS($U$1006:AB1006),$U$1006:$AC$1006,0))&gt;=100000), " ",IF(INDEX($U$2:$AC$1001,MATCH(ROWS($N$2:N638),$N$2:$N$1001,0),MATCH(COLUMNS($U$1006:AB1006),$U$1006:$AC$1006,0)), HYPERLINK("#",""), HYPERLINK(CONCATENATE("#metadata!", ADDRESS(INDEX($P$2:$P$1001,MATCH(ROWS($N$2:N638),$N$2:$N$1001,0),0), INDEX($U$1004:$AC$1004,1,MATCH(COLUMNS($U$1006:AB1006),$U$1006:$AC$1006,0)))),"Fix")))</f>
        <v>0</v>
      </c>
      <c r="J638" s="3">
        <f>IF(OR(INDEX($O$2:$O$1001,MATCH(ROWS($N$2:N638),$N$2:$N$1001,0),1)&gt;=100000,INDEX($U$1005:$AC$1005,1,MATCH(COLUMNS($U$1006:AC1006),$U$1006:$AC$1006,0))&gt;=100000), " ",IF(INDEX($U$2:$AC$1001,MATCH(ROWS($N$2:N638),$N$2:$N$1001,0),MATCH(COLUMNS($U$1006:AC1006),$U$1006:$AC$1006,0)), HYPERLINK("#",""), HYPERLINK(CONCATENATE("#metadata!", ADDRESS(INDEX($P$2:$P$1001,MATCH(ROWS($N$2:N638),$N$2:$N$1001,0),0), INDEX($U$1004:$AC$1004,1,MATCH(COLUMNS($U$1006:AC1006),$U$1006:$AC$1006,0)))),"Fix")))</f>
        <v>0</v>
      </c>
      <c r="N638">
        <v>0</v>
      </c>
      <c r="O638">
        <v>0</v>
      </c>
      <c r="P638">
        <v>0</v>
      </c>
      <c r="Q638">
        <f>IF(R638,TRUE,AND(U638:AC638))</f>
        <v>0</v>
      </c>
      <c r="R638">
        <f>COUNTBLANK(metadata!B638:J638)=COLUMNS(metadata!B638:J638)</f>
        <v>0</v>
      </c>
      <c r="S638">
        <v>0</v>
      </c>
      <c r="U638">
        <f>AND(IF(metadata!B638="",FALSE,TRUE),COUNTIF(metadata!B:B, metadata!B638) = 1,NOT(ISERROR(SUMPRODUCT(SEARCH(MID(metadata!B638,ROW(INDIRECT("1:"&amp;LEN(metadata!B638))), 1),"0123456789abcdefghijklmnopqrstuvwxyzABCDEFGHIJKLMNOPQRSTUVWXYZ.")))))</f>
        <v>0</v>
      </c>
      <c r="V638">
        <f>AND(IF(metadata!C638="",FALSE,TRUE),exact(metadata!C638,"UBERON:genitourinary"))</f>
        <v>0</v>
      </c>
      <c r="W638">
        <f>AND(IF(metadata!D638="",FALSE,TRUE),exact(metadata!D638,"UBERON:urine"))</f>
        <v>0</v>
      </c>
      <c r="X638">
        <f>AND(IF(metadata!E638="",FALSE,TRUE),exact(metadata!E638,"UBERON:kidney"))</f>
        <v>0</v>
      </c>
      <c r="Y638">
        <f>AND(IF(metadata!F638="",FALSE,TRUE),exact(metadata!F638,"animal corpus"))</f>
        <v>0</v>
      </c>
      <c r="Z638">
        <f>AND(IF(metadata!G638="",FALSE,TRUE),exact(metadata!G638,"urine"))</f>
        <v>0</v>
      </c>
      <c r="AA638">
        <f>AND(IF(metadata!H638="",FALSE,TRUE),exact(metadata!H638,"urine"))</f>
        <v>0</v>
      </c>
      <c r="AB638">
        <f>AND(IF(metadata!I638="",FALSE,TRUE),exact(metadata!I638,"urine metagenome"))</f>
        <v>0</v>
      </c>
      <c r="AC638">
        <f>AND(IF(metadata!J638="",FALSE,TRUE),exact(metadata!J638,"1346744"))</f>
        <v>0</v>
      </c>
    </row>
    <row r="639" spans="1:29">
      <c r="A639" s="4">
        <f>IF(B639=" "," ",HYPERLINK(CONCATENATE("#metadata!",ADDRESS(INDEX($P$2:$P$1001,MATCH(ROWS($N$2:N639),$N$2:$N$1001,0),0),1)),INDEX($S$2:$S$1001,MATCH(ROWS($N$2:N639),$N$2:$N$1001,0),0)))</f>
        <v>0</v>
      </c>
      <c r="B639" s="3">
        <f>IF(OR(INDEX($O$2:$O$1001,MATCH(ROWS($N$2:N639),$N$2:$N$1001,0),1)&gt;=100000,INDEX($U$1005:$AC$1005,1,MATCH(COLUMNS($U$1006:U1006),$U$1006:$AC$1006,0))&gt;=100000), " ",IF(INDEX($U$2:$AC$1001,MATCH(ROWS($N$2:N639),$N$2:$N$1001,0),MATCH(COLUMNS($U$1006:U1006),$U$1006:$AC$1006,0)), HYPERLINK("#",""), HYPERLINK(CONCATENATE("#metadata!", ADDRESS(INDEX($P$2:$P$1001,MATCH(ROWS($N$2:N639),$N$2:$N$1001,0),0), INDEX($U$1004:$AC$1004,1,MATCH(COLUMNS($U$1006:U1006),$U$1006:$AC$1006,0)))),"Fix")))</f>
        <v>0</v>
      </c>
      <c r="C639" s="3">
        <f>IF(OR(INDEX($O$2:$O$1001,MATCH(ROWS($N$2:N639),$N$2:$N$1001,0),1)&gt;=100000,INDEX($U$1005:$AC$1005,1,MATCH(COLUMNS($U$1006:V1006),$U$1006:$AC$1006,0))&gt;=100000), " ",IF(INDEX($U$2:$AC$1001,MATCH(ROWS($N$2:N639),$N$2:$N$1001,0),MATCH(COLUMNS($U$1006:V1006),$U$1006:$AC$1006,0)), HYPERLINK("#",""), HYPERLINK(CONCATENATE("#metadata!", ADDRESS(INDEX($P$2:$P$1001,MATCH(ROWS($N$2:N639),$N$2:$N$1001,0),0), INDEX($U$1004:$AC$1004,1,MATCH(COLUMNS($U$1006:V1006),$U$1006:$AC$1006,0)))),"Fix")))</f>
        <v>0</v>
      </c>
      <c r="D639" s="3">
        <f>IF(OR(INDEX($O$2:$O$1001,MATCH(ROWS($N$2:N639),$N$2:$N$1001,0),1)&gt;=100000,INDEX($U$1005:$AC$1005,1,MATCH(COLUMNS($U$1006:W1006),$U$1006:$AC$1006,0))&gt;=100000), " ",IF(INDEX($U$2:$AC$1001,MATCH(ROWS($N$2:N639),$N$2:$N$1001,0),MATCH(COLUMNS($U$1006:W1006),$U$1006:$AC$1006,0)), HYPERLINK("#",""), HYPERLINK(CONCATENATE("#metadata!", ADDRESS(INDEX($P$2:$P$1001,MATCH(ROWS($N$2:N639),$N$2:$N$1001,0),0), INDEX($U$1004:$AC$1004,1,MATCH(COLUMNS($U$1006:W1006),$U$1006:$AC$1006,0)))),"Fix")))</f>
        <v>0</v>
      </c>
      <c r="E639" s="3">
        <f>IF(OR(INDEX($O$2:$O$1001,MATCH(ROWS($N$2:N639),$N$2:$N$1001,0),1)&gt;=100000,INDEX($U$1005:$AC$1005,1,MATCH(COLUMNS($U$1006:X1006),$U$1006:$AC$1006,0))&gt;=100000), " ",IF(INDEX($U$2:$AC$1001,MATCH(ROWS($N$2:N639),$N$2:$N$1001,0),MATCH(COLUMNS($U$1006:X1006),$U$1006:$AC$1006,0)), HYPERLINK("#",""), HYPERLINK(CONCATENATE("#metadata!", ADDRESS(INDEX($P$2:$P$1001,MATCH(ROWS($N$2:N639),$N$2:$N$1001,0),0), INDEX($U$1004:$AC$1004,1,MATCH(COLUMNS($U$1006:X1006),$U$1006:$AC$1006,0)))),"Fix")))</f>
        <v>0</v>
      </c>
      <c r="F639" s="3">
        <f>IF(OR(INDEX($O$2:$O$1001,MATCH(ROWS($N$2:N639),$N$2:$N$1001,0),1)&gt;=100000,INDEX($U$1005:$AC$1005,1,MATCH(COLUMNS($U$1006:Y1006),$U$1006:$AC$1006,0))&gt;=100000), " ",IF(INDEX($U$2:$AC$1001,MATCH(ROWS($N$2:N639),$N$2:$N$1001,0),MATCH(COLUMNS($U$1006:Y1006),$U$1006:$AC$1006,0)), HYPERLINK("#",""), HYPERLINK(CONCATENATE("#metadata!", ADDRESS(INDEX($P$2:$P$1001,MATCH(ROWS($N$2:N639),$N$2:$N$1001,0),0), INDEX($U$1004:$AC$1004,1,MATCH(COLUMNS($U$1006:Y1006),$U$1006:$AC$1006,0)))),"Fix")))</f>
        <v>0</v>
      </c>
      <c r="G639" s="3">
        <f>IF(OR(INDEX($O$2:$O$1001,MATCH(ROWS($N$2:N639),$N$2:$N$1001,0),1)&gt;=100000,INDEX($U$1005:$AC$1005,1,MATCH(COLUMNS($U$1006:Z1006),$U$1006:$AC$1006,0))&gt;=100000), " ",IF(INDEX($U$2:$AC$1001,MATCH(ROWS($N$2:N639),$N$2:$N$1001,0),MATCH(COLUMNS($U$1006:Z1006),$U$1006:$AC$1006,0)), HYPERLINK("#",""), HYPERLINK(CONCATENATE("#metadata!", ADDRESS(INDEX($P$2:$P$1001,MATCH(ROWS($N$2:N639),$N$2:$N$1001,0),0), INDEX($U$1004:$AC$1004,1,MATCH(COLUMNS($U$1006:Z1006),$U$1006:$AC$1006,0)))),"Fix")))</f>
        <v>0</v>
      </c>
      <c r="H639" s="3">
        <f>IF(OR(INDEX($O$2:$O$1001,MATCH(ROWS($N$2:N639),$N$2:$N$1001,0),1)&gt;=100000,INDEX($U$1005:$AC$1005,1,MATCH(COLUMNS($U$1006:AA1006),$U$1006:$AC$1006,0))&gt;=100000), " ",IF(INDEX($U$2:$AC$1001,MATCH(ROWS($N$2:N639),$N$2:$N$1001,0),MATCH(COLUMNS($U$1006:AA1006),$U$1006:$AC$1006,0)), HYPERLINK("#",""), HYPERLINK(CONCATENATE("#metadata!", ADDRESS(INDEX($P$2:$P$1001,MATCH(ROWS($N$2:N639),$N$2:$N$1001,0),0), INDEX($U$1004:$AC$1004,1,MATCH(COLUMNS($U$1006:AA1006),$U$1006:$AC$1006,0)))),"Fix")))</f>
        <v>0</v>
      </c>
      <c r="I639" s="3">
        <f>IF(OR(INDEX($O$2:$O$1001,MATCH(ROWS($N$2:N639),$N$2:$N$1001,0),1)&gt;=100000,INDEX($U$1005:$AC$1005,1,MATCH(COLUMNS($U$1006:AB1006),$U$1006:$AC$1006,0))&gt;=100000), " ",IF(INDEX($U$2:$AC$1001,MATCH(ROWS($N$2:N639),$N$2:$N$1001,0),MATCH(COLUMNS($U$1006:AB1006),$U$1006:$AC$1006,0)), HYPERLINK("#",""), HYPERLINK(CONCATENATE("#metadata!", ADDRESS(INDEX($P$2:$P$1001,MATCH(ROWS($N$2:N639),$N$2:$N$1001,0),0), INDEX($U$1004:$AC$1004,1,MATCH(COLUMNS($U$1006:AB1006),$U$1006:$AC$1006,0)))),"Fix")))</f>
        <v>0</v>
      </c>
      <c r="J639" s="3">
        <f>IF(OR(INDEX($O$2:$O$1001,MATCH(ROWS($N$2:N639),$N$2:$N$1001,0),1)&gt;=100000,INDEX($U$1005:$AC$1005,1,MATCH(COLUMNS($U$1006:AC1006),$U$1006:$AC$1006,0))&gt;=100000), " ",IF(INDEX($U$2:$AC$1001,MATCH(ROWS($N$2:N639),$N$2:$N$1001,0),MATCH(COLUMNS($U$1006:AC1006),$U$1006:$AC$1006,0)), HYPERLINK("#",""), HYPERLINK(CONCATENATE("#metadata!", ADDRESS(INDEX($P$2:$P$1001,MATCH(ROWS($N$2:N639),$N$2:$N$1001,0),0), INDEX($U$1004:$AC$1004,1,MATCH(COLUMNS($U$1006:AC1006),$U$1006:$AC$1006,0)))),"Fix")))</f>
        <v>0</v>
      </c>
      <c r="N639">
        <v>0</v>
      </c>
      <c r="O639">
        <v>0</v>
      </c>
      <c r="P639">
        <v>0</v>
      </c>
      <c r="Q639">
        <f>IF(R639,TRUE,AND(U639:AC639))</f>
        <v>0</v>
      </c>
      <c r="R639">
        <f>COUNTBLANK(metadata!B639:J639)=COLUMNS(metadata!B639:J639)</f>
        <v>0</v>
      </c>
      <c r="S639">
        <v>0</v>
      </c>
      <c r="U639">
        <f>AND(IF(metadata!B639="",FALSE,TRUE),COUNTIF(metadata!B:B, metadata!B639) = 1,NOT(ISERROR(SUMPRODUCT(SEARCH(MID(metadata!B639,ROW(INDIRECT("1:"&amp;LEN(metadata!B639))), 1),"0123456789abcdefghijklmnopqrstuvwxyzABCDEFGHIJKLMNOPQRSTUVWXYZ.")))))</f>
        <v>0</v>
      </c>
      <c r="V639">
        <f>AND(IF(metadata!C639="",FALSE,TRUE),exact(metadata!C639,"UBERON:genitourinary"))</f>
        <v>0</v>
      </c>
      <c r="W639">
        <f>AND(IF(metadata!D639="",FALSE,TRUE),exact(metadata!D639,"UBERON:urine"))</f>
        <v>0</v>
      </c>
      <c r="X639">
        <f>AND(IF(metadata!E639="",FALSE,TRUE),exact(metadata!E639,"UBERON:kidney"))</f>
        <v>0</v>
      </c>
      <c r="Y639">
        <f>AND(IF(metadata!F639="",FALSE,TRUE),exact(metadata!F639,"animal corpus"))</f>
        <v>0</v>
      </c>
      <c r="Z639">
        <f>AND(IF(metadata!G639="",FALSE,TRUE),exact(metadata!G639,"urine"))</f>
        <v>0</v>
      </c>
      <c r="AA639">
        <f>AND(IF(metadata!H639="",FALSE,TRUE),exact(metadata!H639,"urine"))</f>
        <v>0</v>
      </c>
      <c r="AB639">
        <f>AND(IF(metadata!I639="",FALSE,TRUE),exact(metadata!I639,"urine metagenome"))</f>
        <v>0</v>
      </c>
      <c r="AC639">
        <f>AND(IF(metadata!J639="",FALSE,TRUE),exact(metadata!J639,"1346744"))</f>
        <v>0</v>
      </c>
    </row>
    <row r="640" spans="1:29">
      <c r="A640" s="4">
        <f>IF(B640=" "," ",HYPERLINK(CONCATENATE("#metadata!",ADDRESS(INDEX($P$2:$P$1001,MATCH(ROWS($N$2:N640),$N$2:$N$1001,0),0),1)),INDEX($S$2:$S$1001,MATCH(ROWS($N$2:N640),$N$2:$N$1001,0),0)))</f>
        <v>0</v>
      </c>
      <c r="B640" s="3">
        <f>IF(OR(INDEX($O$2:$O$1001,MATCH(ROWS($N$2:N640),$N$2:$N$1001,0),1)&gt;=100000,INDEX($U$1005:$AC$1005,1,MATCH(COLUMNS($U$1006:U1006),$U$1006:$AC$1006,0))&gt;=100000), " ",IF(INDEX($U$2:$AC$1001,MATCH(ROWS($N$2:N640),$N$2:$N$1001,0),MATCH(COLUMNS($U$1006:U1006),$U$1006:$AC$1006,0)), HYPERLINK("#",""), HYPERLINK(CONCATENATE("#metadata!", ADDRESS(INDEX($P$2:$P$1001,MATCH(ROWS($N$2:N640),$N$2:$N$1001,0),0), INDEX($U$1004:$AC$1004,1,MATCH(COLUMNS($U$1006:U1006),$U$1006:$AC$1006,0)))),"Fix")))</f>
        <v>0</v>
      </c>
      <c r="C640" s="3">
        <f>IF(OR(INDEX($O$2:$O$1001,MATCH(ROWS($N$2:N640),$N$2:$N$1001,0),1)&gt;=100000,INDEX($U$1005:$AC$1005,1,MATCH(COLUMNS($U$1006:V1006),$U$1006:$AC$1006,0))&gt;=100000), " ",IF(INDEX($U$2:$AC$1001,MATCH(ROWS($N$2:N640),$N$2:$N$1001,0),MATCH(COLUMNS($U$1006:V1006),$U$1006:$AC$1006,0)), HYPERLINK("#",""), HYPERLINK(CONCATENATE("#metadata!", ADDRESS(INDEX($P$2:$P$1001,MATCH(ROWS($N$2:N640),$N$2:$N$1001,0),0), INDEX($U$1004:$AC$1004,1,MATCH(COLUMNS($U$1006:V1006),$U$1006:$AC$1006,0)))),"Fix")))</f>
        <v>0</v>
      </c>
      <c r="D640" s="3">
        <f>IF(OR(INDEX($O$2:$O$1001,MATCH(ROWS($N$2:N640),$N$2:$N$1001,0),1)&gt;=100000,INDEX($U$1005:$AC$1005,1,MATCH(COLUMNS($U$1006:W1006),$U$1006:$AC$1006,0))&gt;=100000), " ",IF(INDEX($U$2:$AC$1001,MATCH(ROWS($N$2:N640),$N$2:$N$1001,0),MATCH(COLUMNS($U$1006:W1006),$U$1006:$AC$1006,0)), HYPERLINK("#",""), HYPERLINK(CONCATENATE("#metadata!", ADDRESS(INDEX($P$2:$P$1001,MATCH(ROWS($N$2:N640),$N$2:$N$1001,0),0), INDEX($U$1004:$AC$1004,1,MATCH(COLUMNS($U$1006:W1006),$U$1006:$AC$1006,0)))),"Fix")))</f>
        <v>0</v>
      </c>
      <c r="E640" s="3">
        <f>IF(OR(INDEX($O$2:$O$1001,MATCH(ROWS($N$2:N640),$N$2:$N$1001,0),1)&gt;=100000,INDEX($U$1005:$AC$1005,1,MATCH(COLUMNS($U$1006:X1006),$U$1006:$AC$1006,0))&gt;=100000), " ",IF(INDEX($U$2:$AC$1001,MATCH(ROWS($N$2:N640),$N$2:$N$1001,0),MATCH(COLUMNS($U$1006:X1006),$U$1006:$AC$1006,0)), HYPERLINK("#",""), HYPERLINK(CONCATENATE("#metadata!", ADDRESS(INDEX($P$2:$P$1001,MATCH(ROWS($N$2:N640),$N$2:$N$1001,0),0), INDEX($U$1004:$AC$1004,1,MATCH(COLUMNS($U$1006:X1006),$U$1006:$AC$1006,0)))),"Fix")))</f>
        <v>0</v>
      </c>
      <c r="F640" s="3">
        <f>IF(OR(INDEX($O$2:$O$1001,MATCH(ROWS($N$2:N640),$N$2:$N$1001,0),1)&gt;=100000,INDEX($U$1005:$AC$1005,1,MATCH(COLUMNS($U$1006:Y1006),$U$1006:$AC$1006,0))&gt;=100000), " ",IF(INDEX($U$2:$AC$1001,MATCH(ROWS($N$2:N640),$N$2:$N$1001,0),MATCH(COLUMNS($U$1006:Y1006),$U$1006:$AC$1006,0)), HYPERLINK("#",""), HYPERLINK(CONCATENATE("#metadata!", ADDRESS(INDEX($P$2:$P$1001,MATCH(ROWS($N$2:N640),$N$2:$N$1001,0),0), INDEX($U$1004:$AC$1004,1,MATCH(COLUMNS($U$1006:Y1006),$U$1006:$AC$1006,0)))),"Fix")))</f>
        <v>0</v>
      </c>
      <c r="G640" s="3">
        <f>IF(OR(INDEX($O$2:$O$1001,MATCH(ROWS($N$2:N640),$N$2:$N$1001,0),1)&gt;=100000,INDEX($U$1005:$AC$1005,1,MATCH(COLUMNS($U$1006:Z1006),$U$1006:$AC$1006,0))&gt;=100000), " ",IF(INDEX($U$2:$AC$1001,MATCH(ROWS($N$2:N640),$N$2:$N$1001,0),MATCH(COLUMNS($U$1006:Z1006),$U$1006:$AC$1006,0)), HYPERLINK("#",""), HYPERLINK(CONCATENATE("#metadata!", ADDRESS(INDEX($P$2:$P$1001,MATCH(ROWS($N$2:N640),$N$2:$N$1001,0),0), INDEX($U$1004:$AC$1004,1,MATCH(COLUMNS($U$1006:Z1006),$U$1006:$AC$1006,0)))),"Fix")))</f>
        <v>0</v>
      </c>
      <c r="H640" s="3">
        <f>IF(OR(INDEX($O$2:$O$1001,MATCH(ROWS($N$2:N640),$N$2:$N$1001,0),1)&gt;=100000,INDEX($U$1005:$AC$1005,1,MATCH(COLUMNS($U$1006:AA1006),$U$1006:$AC$1006,0))&gt;=100000), " ",IF(INDEX($U$2:$AC$1001,MATCH(ROWS($N$2:N640),$N$2:$N$1001,0),MATCH(COLUMNS($U$1006:AA1006),$U$1006:$AC$1006,0)), HYPERLINK("#",""), HYPERLINK(CONCATENATE("#metadata!", ADDRESS(INDEX($P$2:$P$1001,MATCH(ROWS($N$2:N640),$N$2:$N$1001,0),0), INDEX($U$1004:$AC$1004,1,MATCH(COLUMNS($U$1006:AA1006),$U$1006:$AC$1006,0)))),"Fix")))</f>
        <v>0</v>
      </c>
      <c r="I640" s="3">
        <f>IF(OR(INDEX($O$2:$O$1001,MATCH(ROWS($N$2:N640),$N$2:$N$1001,0),1)&gt;=100000,INDEX($U$1005:$AC$1005,1,MATCH(COLUMNS($U$1006:AB1006),$U$1006:$AC$1006,0))&gt;=100000), " ",IF(INDEX($U$2:$AC$1001,MATCH(ROWS($N$2:N640),$N$2:$N$1001,0),MATCH(COLUMNS($U$1006:AB1006),$U$1006:$AC$1006,0)), HYPERLINK("#",""), HYPERLINK(CONCATENATE("#metadata!", ADDRESS(INDEX($P$2:$P$1001,MATCH(ROWS($N$2:N640),$N$2:$N$1001,0),0), INDEX($U$1004:$AC$1004,1,MATCH(COLUMNS($U$1006:AB1006),$U$1006:$AC$1006,0)))),"Fix")))</f>
        <v>0</v>
      </c>
      <c r="J640" s="3">
        <f>IF(OR(INDEX($O$2:$O$1001,MATCH(ROWS($N$2:N640),$N$2:$N$1001,0),1)&gt;=100000,INDEX($U$1005:$AC$1005,1,MATCH(COLUMNS($U$1006:AC1006),$U$1006:$AC$1006,0))&gt;=100000), " ",IF(INDEX($U$2:$AC$1001,MATCH(ROWS($N$2:N640),$N$2:$N$1001,0),MATCH(COLUMNS($U$1006:AC1006),$U$1006:$AC$1006,0)), HYPERLINK("#",""), HYPERLINK(CONCATENATE("#metadata!", ADDRESS(INDEX($P$2:$P$1001,MATCH(ROWS($N$2:N640),$N$2:$N$1001,0),0), INDEX($U$1004:$AC$1004,1,MATCH(COLUMNS($U$1006:AC1006),$U$1006:$AC$1006,0)))),"Fix")))</f>
        <v>0</v>
      </c>
      <c r="N640">
        <v>0</v>
      </c>
      <c r="O640">
        <v>0</v>
      </c>
      <c r="P640">
        <v>0</v>
      </c>
      <c r="Q640">
        <f>IF(R640,TRUE,AND(U640:AC640))</f>
        <v>0</v>
      </c>
      <c r="R640">
        <f>COUNTBLANK(metadata!B640:J640)=COLUMNS(metadata!B640:J640)</f>
        <v>0</v>
      </c>
      <c r="S640">
        <v>0</v>
      </c>
      <c r="U640">
        <f>AND(IF(metadata!B640="",FALSE,TRUE),COUNTIF(metadata!B:B, metadata!B640) = 1,NOT(ISERROR(SUMPRODUCT(SEARCH(MID(metadata!B640,ROW(INDIRECT("1:"&amp;LEN(metadata!B640))), 1),"0123456789abcdefghijklmnopqrstuvwxyzABCDEFGHIJKLMNOPQRSTUVWXYZ.")))))</f>
        <v>0</v>
      </c>
      <c r="V640">
        <f>AND(IF(metadata!C640="",FALSE,TRUE),exact(metadata!C640,"UBERON:genitourinary"))</f>
        <v>0</v>
      </c>
      <c r="W640">
        <f>AND(IF(metadata!D640="",FALSE,TRUE),exact(metadata!D640,"UBERON:urine"))</f>
        <v>0</v>
      </c>
      <c r="X640">
        <f>AND(IF(metadata!E640="",FALSE,TRUE),exact(metadata!E640,"UBERON:kidney"))</f>
        <v>0</v>
      </c>
      <c r="Y640">
        <f>AND(IF(metadata!F640="",FALSE,TRUE),exact(metadata!F640,"animal corpus"))</f>
        <v>0</v>
      </c>
      <c r="Z640">
        <f>AND(IF(metadata!G640="",FALSE,TRUE),exact(metadata!G640,"urine"))</f>
        <v>0</v>
      </c>
      <c r="AA640">
        <f>AND(IF(metadata!H640="",FALSE,TRUE),exact(metadata!H640,"urine"))</f>
        <v>0</v>
      </c>
      <c r="AB640">
        <f>AND(IF(metadata!I640="",FALSE,TRUE),exact(metadata!I640,"urine metagenome"))</f>
        <v>0</v>
      </c>
      <c r="AC640">
        <f>AND(IF(metadata!J640="",FALSE,TRUE),exact(metadata!J640,"1346744"))</f>
        <v>0</v>
      </c>
    </row>
    <row r="641" spans="1:29">
      <c r="A641" s="4">
        <f>IF(B641=" "," ",HYPERLINK(CONCATENATE("#metadata!",ADDRESS(INDEX($P$2:$P$1001,MATCH(ROWS($N$2:N641),$N$2:$N$1001,0),0),1)),INDEX($S$2:$S$1001,MATCH(ROWS($N$2:N641),$N$2:$N$1001,0),0)))</f>
        <v>0</v>
      </c>
      <c r="B641" s="3">
        <f>IF(OR(INDEX($O$2:$O$1001,MATCH(ROWS($N$2:N641),$N$2:$N$1001,0),1)&gt;=100000,INDEX($U$1005:$AC$1005,1,MATCH(COLUMNS($U$1006:U1006),$U$1006:$AC$1006,0))&gt;=100000), " ",IF(INDEX($U$2:$AC$1001,MATCH(ROWS($N$2:N641),$N$2:$N$1001,0),MATCH(COLUMNS($U$1006:U1006),$U$1006:$AC$1006,0)), HYPERLINK("#",""), HYPERLINK(CONCATENATE("#metadata!", ADDRESS(INDEX($P$2:$P$1001,MATCH(ROWS($N$2:N641),$N$2:$N$1001,0),0), INDEX($U$1004:$AC$1004,1,MATCH(COLUMNS($U$1006:U1006),$U$1006:$AC$1006,0)))),"Fix")))</f>
        <v>0</v>
      </c>
      <c r="C641" s="3">
        <f>IF(OR(INDEX($O$2:$O$1001,MATCH(ROWS($N$2:N641),$N$2:$N$1001,0),1)&gt;=100000,INDEX($U$1005:$AC$1005,1,MATCH(COLUMNS($U$1006:V1006),$U$1006:$AC$1006,0))&gt;=100000), " ",IF(INDEX($U$2:$AC$1001,MATCH(ROWS($N$2:N641),$N$2:$N$1001,0),MATCH(COLUMNS($U$1006:V1006),$U$1006:$AC$1006,0)), HYPERLINK("#",""), HYPERLINK(CONCATENATE("#metadata!", ADDRESS(INDEX($P$2:$P$1001,MATCH(ROWS($N$2:N641),$N$2:$N$1001,0),0), INDEX($U$1004:$AC$1004,1,MATCH(COLUMNS($U$1006:V1006),$U$1006:$AC$1006,0)))),"Fix")))</f>
        <v>0</v>
      </c>
      <c r="D641" s="3">
        <f>IF(OR(INDEX($O$2:$O$1001,MATCH(ROWS($N$2:N641),$N$2:$N$1001,0),1)&gt;=100000,INDEX($U$1005:$AC$1005,1,MATCH(COLUMNS($U$1006:W1006),$U$1006:$AC$1006,0))&gt;=100000), " ",IF(INDEX($U$2:$AC$1001,MATCH(ROWS($N$2:N641),$N$2:$N$1001,0),MATCH(COLUMNS($U$1006:W1006),$U$1006:$AC$1006,0)), HYPERLINK("#",""), HYPERLINK(CONCATENATE("#metadata!", ADDRESS(INDEX($P$2:$P$1001,MATCH(ROWS($N$2:N641),$N$2:$N$1001,0),0), INDEX($U$1004:$AC$1004,1,MATCH(COLUMNS($U$1006:W1006),$U$1006:$AC$1006,0)))),"Fix")))</f>
        <v>0</v>
      </c>
      <c r="E641" s="3">
        <f>IF(OR(INDEX($O$2:$O$1001,MATCH(ROWS($N$2:N641),$N$2:$N$1001,0),1)&gt;=100000,INDEX($U$1005:$AC$1005,1,MATCH(COLUMNS($U$1006:X1006),$U$1006:$AC$1006,0))&gt;=100000), " ",IF(INDEX($U$2:$AC$1001,MATCH(ROWS($N$2:N641),$N$2:$N$1001,0),MATCH(COLUMNS($U$1006:X1006),$U$1006:$AC$1006,0)), HYPERLINK("#",""), HYPERLINK(CONCATENATE("#metadata!", ADDRESS(INDEX($P$2:$P$1001,MATCH(ROWS($N$2:N641),$N$2:$N$1001,0),0), INDEX($U$1004:$AC$1004,1,MATCH(COLUMNS($U$1006:X1006),$U$1006:$AC$1006,0)))),"Fix")))</f>
        <v>0</v>
      </c>
      <c r="F641" s="3">
        <f>IF(OR(INDEX($O$2:$O$1001,MATCH(ROWS($N$2:N641),$N$2:$N$1001,0),1)&gt;=100000,INDEX($U$1005:$AC$1005,1,MATCH(COLUMNS($U$1006:Y1006),$U$1006:$AC$1006,0))&gt;=100000), " ",IF(INDEX($U$2:$AC$1001,MATCH(ROWS($N$2:N641),$N$2:$N$1001,0),MATCH(COLUMNS($U$1006:Y1006),$U$1006:$AC$1006,0)), HYPERLINK("#",""), HYPERLINK(CONCATENATE("#metadata!", ADDRESS(INDEX($P$2:$P$1001,MATCH(ROWS($N$2:N641),$N$2:$N$1001,0),0), INDEX($U$1004:$AC$1004,1,MATCH(COLUMNS($U$1006:Y1006),$U$1006:$AC$1006,0)))),"Fix")))</f>
        <v>0</v>
      </c>
      <c r="G641" s="3">
        <f>IF(OR(INDEX($O$2:$O$1001,MATCH(ROWS($N$2:N641),$N$2:$N$1001,0),1)&gt;=100000,INDEX($U$1005:$AC$1005,1,MATCH(COLUMNS($U$1006:Z1006),$U$1006:$AC$1006,0))&gt;=100000), " ",IF(INDEX($U$2:$AC$1001,MATCH(ROWS($N$2:N641),$N$2:$N$1001,0),MATCH(COLUMNS($U$1006:Z1006),$U$1006:$AC$1006,0)), HYPERLINK("#",""), HYPERLINK(CONCATENATE("#metadata!", ADDRESS(INDEX($P$2:$P$1001,MATCH(ROWS($N$2:N641),$N$2:$N$1001,0),0), INDEX($U$1004:$AC$1004,1,MATCH(COLUMNS($U$1006:Z1006),$U$1006:$AC$1006,0)))),"Fix")))</f>
        <v>0</v>
      </c>
      <c r="H641" s="3">
        <f>IF(OR(INDEX($O$2:$O$1001,MATCH(ROWS($N$2:N641),$N$2:$N$1001,0),1)&gt;=100000,INDEX($U$1005:$AC$1005,1,MATCH(COLUMNS($U$1006:AA1006),$U$1006:$AC$1006,0))&gt;=100000), " ",IF(INDEX($U$2:$AC$1001,MATCH(ROWS($N$2:N641),$N$2:$N$1001,0),MATCH(COLUMNS($U$1006:AA1006),$U$1006:$AC$1006,0)), HYPERLINK("#",""), HYPERLINK(CONCATENATE("#metadata!", ADDRESS(INDEX($P$2:$P$1001,MATCH(ROWS($N$2:N641),$N$2:$N$1001,0),0), INDEX($U$1004:$AC$1004,1,MATCH(COLUMNS($U$1006:AA1006),$U$1006:$AC$1006,0)))),"Fix")))</f>
        <v>0</v>
      </c>
      <c r="I641" s="3">
        <f>IF(OR(INDEX($O$2:$O$1001,MATCH(ROWS($N$2:N641),$N$2:$N$1001,0),1)&gt;=100000,INDEX($U$1005:$AC$1005,1,MATCH(COLUMNS($U$1006:AB1006),$U$1006:$AC$1006,0))&gt;=100000), " ",IF(INDEX($U$2:$AC$1001,MATCH(ROWS($N$2:N641),$N$2:$N$1001,0),MATCH(COLUMNS($U$1006:AB1006),$U$1006:$AC$1006,0)), HYPERLINK("#",""), HYPERLINK(CONCATENATE("#metadata!", ADDRESS(INDEX($P$2:$P$1001,MATCH(ROWS($N$2:N641),$N$2:$N$1001,0),0), INDEX($U$1004:$AC$1004,1,MATCH(COLUMNS($U$1006:AB1006),$U$1006:$AC$1006,0)))),"Fix")))</f>
        <v>0</v>
      </c>
      <c r="J641" s="3">
        <f>IF(OR(INDEX($O$2:$O$1001,MATCH(ROWS($N$2:N641),$N$2:$N$1001,0),1)&gt;=100000,INDEX($U$1005:$AC$1005,1,MATCH(COLUMNS($U$1006:AC1006),$U$1006:$AC$1006,0))&gt;=100000), " ",IF(INDEX($U$2:$AC$1001,MATCH(ROWS($N$2:N641),$N$2:$N$1001,0),MATCH(COLUMNS($U$1006:AC1006),$U$1006:$AC$1006,0)), HYPERLINK("#",""), HYPERLINK(CONCATENATE("#metadata!", ADDRESS(INDEX($P$2:$P$1001,MATCH(ROWS($N$2:N641),$N$2:$N$1001,0),0), INDEX($U$1004:$AC$1004,1,MATCH(COLUMNS($U$1006:AC1006),$U$1006:$AC$1006,0)))),"Fix")))</f>
        <v>0</v>
      </c>
      <c r="N641">
        <v>0</v>
      </c>
      <c r="O641">
        <v>0</v>
      </c>
      <c r="P641">
        <v>0</v>
      </c>
      <c r="Q641">
        <f>IF(R641,TRUE,AND(U641:AC641))</f>
        <v>0</v>
      </c>
      <c r="R641">
        <f>COUNTBLANK(metadata!B641:J641)=COLUMNS(metadata!B641:J641)</f>
        <v>0</v>
      </c>
      <c r="S641">
        <v>0</v>
      </c>
      <c r="U641">
        <f>AND(IF(metadata!B641="",FALSE,TRUE),COUNTIF(metadata!B:B, metadata!B641) = 1,NOT(ISERROR(SUMPRODUCT(SEARCH(MID(metadata!B641,ROW(INDIRECT("1:"&amp;LEN(metadata!B641))), 1),"0123456789abcdefghijklmnopqrstuvwxyzABCDEFGHIJKLMNOPQRSTUVWXYZ.")))))</f>
        <v>0</v>
      </c>
      <c r="V641">
        <f>AND(IF(metadata!C641="",FALSE,TRUE),exact(metadata!C641,"UBERON:genitourinary"))</f>
        <v>0</v>
      </c>
      <c r="W641">
        <f>AND(IF(metadata!D641="",FALSE,TRUE),exact(metadata!D641,"UBERON:urine"))</f>
        <v>0</v>
      </c>
      <c r="X641">
        <f>AND(IF(metadata!E641="",FALSE,TRUE),exact(metadata!E641,"UBERON:kidney"))</f>
        <v>0</v>
      </c>
      <c r="Y641">
        <f>AND(IF(metadata!F641="",FALSE,TRUE),exact(metadata!F641,"animal corpus"))</f>
        <v>0</v>
      </c>
      <c r="Z641">
        <f>AND(IF(metadata!G641="",FALSE,TRUE),exact(metadata!G641,"urine"))</f>
        <v>0</v>
      </c>
      <c r="AA641">
        <f>AND(IF(metadata!H641="",FALSE,TRUE),exact(metadata!H641,"urine"))</f>
        <v>0</v>
      </c>
      <c r="AB641">
        <f>AND(IF(metadata!I641="",FALSE,TRUE),exact(metadata!I641,"urine metagenome"))</f>
        <v>0</v>
      </c>
      <c r="AC641">
        <f>AND(IF(metadata!J641="",FALSE,TRUE),exact(metadata!J641,"1346744"))</f>
        <v>0</v>
      </c>
    </row>
    <row r="642" spans="1:29">
      <c r="A642" s="4">
        <f>IF(B642=" "," ",HYPERLINK(CONCATENATE("#metadata!",ADDRESS(INDEX($P$2:$P$1001,MATCH(ROWS($N$2:N642),$N$2:$N$1001,0),0),1)),INDEX($S$2:$S$1001,MATCH(ROWS($N$2:N642),$N$2:$N$1001,0),0)))</f>
        <v>0</v>
      </c>
      <c r="B642" s="3">
        <f>IF(OR(INDEX($O$2:$O$1001,MATCH(ROWS($N$2:N642),$N$2:$N$1001,0),1)&gt;=100000,INDEX($U$1005:$AC$1005,1,MATCH(COLUMNS($U$1006:U1006),$U$1006:$AC$1006,0))&gt;=100000), " ",IF(INDEX($U$2:$AC$1001,MATCH(ROWS($N$2:N642),$N$2:$N$1001,0),MATCH(COLUMNS($U$1006:U1006),$U$1006:$AC$1006,0)), HYPERLINK("#",""), HYPERLINK(CONCATENATE("#metadata!", ADDRESS(INDEX($P$2:$P$1001,MATCH(ROWS($N$2:N642),$N$2:$N$1001,0),0), INDEX($U$1004:$AC$1004,1,MATCH(COLUMNS($U$1006:U1006),$U$1006:$AC$1006,0)))),"Fix")))</f>
        <v>0</v>
      </c>
      <c r="C642" s="3">
        <f>IF(OR(INDEX($O$2:$O$1001,MATCH(ROWS($N$2:N642),$N$2:$N$1001,0),1)&gt;=100000,INDEX($U$1005:$AC$1005,1,MATCH(COLUMNS($U$1006:V1006),$U$1006:$AC$1006,0))&gt;=100000), " ",IF(INDEX($U$2:$AC$1001,MATCH(ROWS($N$2:N642),$N$2:$N$1001,0),MATCH(COLUMNS($U$1006:V1006),$U$1006:$AC$1006,0)), HYPERLINK("#",""), HYPERLINK(CONCATENATE("#metadata!", ADDRESS(INDEX($P$2:$P$1001,MATCH(ROWS($N$2:N642),$N$2:$N$1001,0),0), INDEX($U$1004:$AC$1004,1,MATCH(COLUMNS($U$1006:V1006),$U$1006:$AC$1006,0)))),"Fix")))</f>
        <v>0</v>
      </c>
      <c r="D642" s="3">
        <f>IF(OR(INDEX($O$2:$O$1001,MATCH(ROWS($N$2:N642),$N$2:$N$1001,0),1)&gt;=100000,INDEX($U$1005:$AC$1005,1,MATCH(COLUMNS($U$1006:W1006),$U$1006:$AC$1006,0))&gt;=100000), " ",IF(INDEX($U$2:$AC$1001,MATCH(ROWS($N$2:N642),$N$2:$N$1001,0),MATCH(COLUMNS($U$1006:W1006),$U$1006:$AC$1006,0)), HYPERLINK("#",""), HYPERLINK(CONCATENATE("#metadata!", ADDRESS(INDEX($P$2:$P$1001,MATCH(ROWS($N$2:N642),$N$2:$N$1001,0),0), INDEX($U$1004:$AC$1004,1,MATCH(COLUMNS($U$1006:W1006),$U$1006:$AC$1006,0)))),"Fix")))</f>
        <v>0</v>
      </c>
      <c r="E642" s="3">
        <f>IF(OR(INDEX($O$2:$O$1001,MATCH(ROWS($N$2:N642),$N$2:$N$1001,0),1)&gt;=100000,INDEX($U$1005:$AC$1005,1,MATCH(COLUMNS($U$1006:X1006),$U$1006:$AC$1006,0))&gt;=100000), " ",IF(INDEX($U$2:$AC$1001,MATCH(ROWS($N$2:N642),$N$2:$N$1001,0),MATCH(COLUMNS($U$1006:X1006),$U$1006:$AC$1006,0)), HYPERLINK("#",""), HYPERLINK(CONCATENATE("#metadata!", ADDRESS(INDEX($P$2:$P$1001,MATCH(ROWS($N$2:N642),$N$2:$N$1001,0),0), INDEX($U$1004:$AC$1004,1,MATCH(COLUMNS($U$1006:X1006),$U$1006:$AC$1006,0)))),"Fix")))</f>
        <v>0</v>
      </c>
      <c r="F642" s="3">
        <f>IF(OR(INDEX($O$2:$O$1001,MATCH(ROWS($N$2:N642),$N$2:$N$1001,0),1)&gt;=100000,INDEX($U$1005:$AC$1005,1,MATCH(COLUMNS($U$1006:Y1006),$U$1006:$AC$1006,0))&gt;=100000), " ",IF(INDEX($U$2:$AC$1001,MATCH(ROWS($N$2:N642),$N$2:$N$1001,0),MATCH(COLUMNS($U$1006:Y1006),$U$1006:$AC$1006,0)), HYPERLINK("#",""), HYPERLINK(CONCATENATE("#metadata!", ADDRESS(INDEX($P$2:$P$1001,MATCH(ROWS($N$2:N642),$N$2:$N$1001,0),0), INDEX($U$1004:$AC$1004,1,MATCH(COLUMNS($U$1006:Y1006),$U$1006:$AC$1006,0)))),"Fix")))</f>
        <v>0</v>
      </c>
      <c r="G642" s="3">
        <f>IF(OR(INDEX($O$2:$O$1001,MATCH(ROWS($N$2:N642),$N$2:$N$1001,0),1)&gt;=100000,INDEX($U$1005:$AC$1005,1,MATCH(COLUMNS($U$1006:Z1006),$U$1006:$AC$1006,0))&gt;=100000), " ",IF(INDEX($U$2:$AC$1001,MATCH(ROWS($N$2:N642),$N$2:$N$1001,0),MATCH(COLUMNS($U$1006:Z1006),$U$1006:$AC$1006,0)), HYPERLINK("#",""), HYPERLINK(CONCATENATE("#metadata!", ADDRESS(INDEX($P$2:$P$1001,MATCH(ROWS($N$2:N642),$N$2:$N$1001,0),0), INDEX($U$1004:$AC$1004,1,MATCH(COLUMNS($U$1006:Z1006),$U$1006:$AC$1006,0)))),"Fix")))</f>
        <v>0</v>
      </c>
      <c r="H642" s="3">
        <f>IF(OR(INDEX($O$2:$O$1001,MATCH(ROWS($N$2:N642),$N$2:$N$1001,0),1)&gt;=100000,INDEX($U$1005:$AC$1005,1,MATCH(COLUMNS($U$1006:AA1006),$U$1006:$AC$1006,0))&gt;=100000), " ",IF(INDEX($U$2:$AC$1001,MATCH(ROWS($N$2:N642),$N$2:$N$1001,0),MATCH(COLUMNS($U$1006:AA1006),$U$1006:$AC$1006,0)), HYPERLINK("#",""), HYPERLINK(CONCATENATE("#metadata!", ADDRESS(INDEX($P$2:$P$1001,MATCH(ROWS($N$2:N642),$N$2:$N$1001,0),0), INDEX($U$1004:$AC$1004,1,MATCH(COLUMNS($U$1006:AA1006),$U$1006:$AC$1006,0)))),"Fix")))</f>
        <v>0</v>
      </c>
      <c r="I642" s="3">
        <f>IF(OR(INDEX($O$2:$O$1001,MATCH(ROWS($N$2:N642),$N$2:$N$1001,0),1)&gt;=100000,INDEX($U$1005:$AC$1005,1,MATCH(COLUMNS($U$1006:AB1006),$U$1006:$AC$1006,0))&gt;=100000), " ",IF(INDEX($U$2:$AC$1001,MATCH(ROWS($N$2:N642),$N$2:$N$1001,0),MATCH(COLUMNS($U$1006:AB1006),$U$1006:$AC$1006,0)), HYPERLINK("#",""), HYPERLINK(CONCATENATE("#metadata!", ADDRESS(INDEX($P$2:$P$1001,MATCH(ROWS($N$2:N642),$N$2:$N$1001,0),0), INDEX($U$1004:$AC$1004,1,MATCH(COLUMNS($U$1006:AB1006),$U$1006:$AC$1006,0)))),"Fix")))</f>
        <v>0</v>
      </c>
      <c r="J642" s="3">
        <f>IF(OR(INDEX($O$2:$O$1001,MATCH(ROWS($N$2:N642),$N$2:$N$1001,0),1)&gt;=100000,INDEX($U$1005:$AC$1005,1,MATCH(COLUMNS($U$1006:AC1006),$U$1006:$AC$1006,0))&gt;=100000), " ",IF(INDEX($U$2:$AC$1001,MATCH(ROWS($N$2:N642),$N$2:$N$1001,0),MATCH(COLUMNS($U$1006:AC1006),$U$1006:$AC$1006,0)), HYPERLINK("#",""), HYPERLINK(CONCATENATE("#metadata!", ADDRESS(INDEX($P$2:$P$1001,MATCH(ROWS($N$2:N642),$N$2:$N$1001,0),0), INDEX($U$1004:$AC$1004,1,MATCH(COLUMNS($U$1006:AC1006),$U$1006:$AC$1006,0)))),"Fix")))</f>
        <v>0</v>
      </c>
      <c r="N642">
        <v>0</v>
      </c>
      <c r="O642">
        <v>0</v>
      </c>
      <c r="P642">
        <v>0</v>
      </c>
      <c r="Q642">
        <f>IF(R642,TRUE,AND(U642:AC642))</f>
        <v>0</v>
      </c>
      <c r="R642">
        <f>COUNTBLANK(metadata!B642:J642)=COLUMNS(metadata!B642:J642)</f>
        <v>0</v>
      </c>
      <c r="S642">
        <v>0</v>
      </c>
      <c r="U642">
        <f>AND(IF(metadata!B642="",FALSE,TRUE),COUNTIF(metadata!B:B, metadata!B642) = 1,NOT(ISERROR(SUMPRODUCT(SEARCH(MID(metadata!B642,ROW(INDIRECT("1:"&amp;LEN(metadata!B642))), 1),"0123456789abcdefghijklmnopqrstuvwxyzABCDEFGHIJKLMNOPQRSTUVWXYZ.")))))</f>
        <v>0</v>
      </c>
      <c r="V642">
        <f>AND(IF(metadata!C642="",FALSE,TRUE),exact(metadata!C642,"UBERON:genitourinary"))</f>
        <v>0</v>
      </c>
      <c r="W642">
        <f>AND(IF(metadata!D642="",FALSE,TRUE),exact(metadata!D642,"UBERON:urine"))</f>
        <v>0</v>
      </c>
      <c r="X642">
        <f>AND(IF(metadata!E642="",FALSE,TRUE),exact(metadata!E642,"UBERON:kidney"))</f>
        <v>0</v>
      </c>
      <c r="Y642">
        <f>AND(IF(metadata!F642="",FALSE,TRUE),exact(metadata!F642,"animal corpus"))</f>
        <v>0</v>
      </c>
      <c r="Z642">
        <f>AND(IF(metadata!G642="",FALSE,TRUE),exact(metadata!G642,"urine"))</f>
        <v>0</v>
      </c>
      <c r="AA642">
        <f>AND(IF(metadata!H642="",FALSE,TRUE),exact(metadata!H642,"urine"))</f>
        <v>0</v>
      </c>
      <c r="AB642">
        <f>AND(IF(metadata!I642="",FALSE,TRUE),exact(metadata!I642,"urine metagenome"))</f>
        <v>0</v>
      </c>
      <c r="AC642">
        <f>AND(IF(metadata!J642="",FALSE,TRUE),exact(metadata!J642,"1346744"))</f>
        <v>0</v>
      </c>
    </row>
    <row r="643" spans="1:29">
      <c r="A643" s="4">
        <f>IF(B643=" "," ",HYPERLINK(CONCATENATE("#metadata!",ADDRESS(INDEX($P$2:$P$1001,MATCH(ROWS($N$2:N643),$N$2:$N$1001,0),0),1)),INDEX($S$2:$S$1001,MATCH(ROWS($N$2:N643),$N$2:$N$1001,0),0)))</f>
        <v>0</v>
      </c>
      <c r="B643" s="3">
        <f>IF(OR(INDEX($O$2:$O$1001,MATCH(ROWS($N$2:N643),$N$2:$N$1001,0),1)&gt;=100000,INDEX($U$1005:$AC$1005,1,MATCH(COLUMNS($U$1006:U1006),$U$1006:$AC$1006,0))&gt;=100000), " ",IF(INDEX($U$2:$AC$1001,MATCH(ROWS($N$2:N643),$N$2:$N$1001,0),MATCH(COLUMNS($U$1006:U1006),$U$1006:$AC$1006,0)), HYPERLINK("#",""), HYPERLINK(CONCATENATE("#metadata!", ADDRESS(INDEX($P$2:$P$1001,MATCH(ROWS($N$2:N643),$N$2:$N$1001,0),0), INDEX($U$1004:$AC$1004,1,MATCH(COLUMNS($U$1006:U1006),$U$1006:$AC$1006,0)))),"Fix")))</f>
        <v>0</v>
      </c>
      <c r="C643" s="3">
        <f>IF(OR(INDEX($O$2:$O$1001,MATCH(ROWS($N$2:N643),$N$2:$N$1001,0),1)&gt;=100000,INDEX($U$1005:$AC$1005,1,MATCH(COLUMNS($U$1006:V1006),$U$1006:$AC$1006,0))&gt;=100000), " ",IF(INDEX($U$2:$AC$1001,MATCH(ROWS($N$2:N643),$N$2:$N$1001,0),MATCH(COLUMNS($U$1006:V1006),$U$1006:$AC$1006,0)), HYPERLINK("#",""), HYPERLINK(CONCATENATE("#metadata!", ADDRESS(INDEX($P$2:$P$1001,MATCH(ROWS($N$2:N643),$N$2:$N$1001,0),0), INDEX($U$1004:$AC$1004,1,MATCH(COLUMNS($U$1006:V1006),$U$1006:$AC$1006,0)))),"Fix")))</f>
        <v>0</v>
      </c>
      <c r="D643" s="3">
        <f>IF(OR(INDEX($O$2:$O$1001,MATCH(ROWS($N$2:N643),$N$2:$N$1001,0),1)&gt;=100000,INDEX($U$1005:$AC$1005,1,MATCH(COLUMNS($U$1006:W1006),$U$1006:$AC$1006,0))&gt;=100000), " ",IF(INDEX($U$2:$AC$1001,MATCH(ROWS($N$2:N643),$N$2:$N$1001,0),MATCH(COLUMNS($U$1006:W1006),$U$1006:$AC$1006,0)), HYPERLINK("#",""), HYPERLINK(CONCATENATE("#metadata!", ADDRESS(INDEX($P$2:$P$1001,MATCH(ROWS($N$2:N643),$N$2:$N$1001,0),0), INDEX($U$1004:$AC$1004,1,MATCH(COLUMNS($U$1006:W1006),$U$1006:$AC$1006,0)))),"Fix")))</f>
        <v>0</v>
      </c>
      <c r="E643" s="3">
        <f>IF(OR(INDEX($O$2:$O$1001,MATCH(ROWS($N$2:N643),$N$2:$N$1001,0),1)&gt;=100000,INDEX($U$1005:$AC$1005,1,MATCH(COLUMNS($U$1006:X1006),$U$1006:$AC$1006,0))&gt;=100000), " ",IF(INDEX($U$2:$AC$1001,MATCH(ROWS($N$2:N643),$N$2:$N$1001,0),MATCH(COLUMNS($U$1006:X1006),$U$1006:$AC$1006,0)), HYPERLINK("#",""), HYPERLINK(CONCATENATE("#metadata!", ADDRESS(INDEX($P$2:$P$1001,MATCH(ROWS($N$2:N643),$N$2:$N$1001,0),0), INDEX($U$1004:$AC$1004,1,MATCH(COLUMNS($U$1006:X1006),$U$1006:$AC$1006,0)))),"Fix")))</f>
        <v>0</v>
      </c>
      <c r="F643" s="3">
        <f>IF(OR(INDEX($O$2:$O$1001,MATCH(ROWS($N$2:N643),$N$2:$N$1001,0),1)&gt;=100000,INDEX($U$1005:$AC$1005,1,MATCH(COLUMNS($U$1006:Y1006),$U$1006:$AC$1006,0))&gt;=100000), " ",IF(INDEX($U$2:$AC$1001,MATCH(ROWS($N$2:N643),$N$2:$N$1001,0),MATCH(COLUMNS($U$1006:Y1006),$U$1006:$AC$1006,0)), HYPERLINK("#",""), HYPERLINK(CONCATENATE("#metadata!", ADDRESS(INDEX($P$2:$P$1001,MATCH(ROWS($N$2:N643),$N$2:$N$1001,0),0), INDEX($U$1004:$AC$1004,1,MATCH(COLUMNS($U$1006:Y1006),$U$1006:$AC$1006,0)))),"Fix")))</f>
        <v>0</v>
      </c>
      <c r="G643" s="3">
        <f>IF(OR(INDEX($O$2:$O$1001,MATCH(ROWS($N$2:N643),$N$2:$N$1001,0),1)&gt;=100000,INDEX($U$1005:$AC$1005,1,MATCH(COLUMNS($U$1006:Z1006),$U$1006:$AC$1006,0))&gt;=100000), " ",IF(INDEX($U$2:$AC$1001,MATCH(ROWS($N$2:N643),$N$2:$N$1001,0),MATCH(COLUMNS($U$1006:Z1006),$U$1006:$AC$1006,0)), HYPERLINK("#",""), HYPERLINK(CONCATENATE("#metadata!", ADDRESS(INDEX($P$2:$P$1001,MATCH(ROWS($N$2:N643),$N$2:$N$1001,0),0), INDEX($U$1004:$AC$1004,1,MATCH(COLUMNS($U$1006:Z1006),$U$1006:$AC$1006,0)))),"Fix")))</f>
        <v>0</v>
      </c>
      <c r="H643" s="3">
        <f>IF(OR(INDEX($O$2:$O$1001,MATCH(ROWS($N$2:N643),$N$2:$N$1001,0),1)&gt;=100000,INDEX($U$1005:$AC$1005,1,MATCH(COLUMNS($U$1006:AA1006),$U$1006:$AC$1006,0))&gt;=100000), " ",IF(INDEX($U$2:$AC$1001,MATCH(ROWS($N$2:N643),$N$2:$N$1001,0),MATCH(COLUMNS($U$1006:AA1006),$U$1006:$AC$1006,0)), HYPERLINK("#",""), HYPERLINK(CONCATENATE("#metadata!", ADDRESS(INDEX($P$2:$P$1001,MATCH(ROWS($N$2:N643),$N$2:$N$1001,0),0), INDEX($U$1004:$AC$1004,1,MATCH(COLUMNS($U$1006:AA1006),$U$1006:$AC$1006,0)))),"Fix")))</f>
        <v>0</v>
      </c>
      <c r="I643" s="3">
        <f>IF(OR(INDEX($O$2:$O$1001,MATCH(ROWS($N$2:N643),$N$2:$N$1001,0),1)&gt;=100000,INDEX($U$1005:$AC$1005,1,MATCH(COLUMNS($U$1006:AB1006),$U$1006:$AC$1006,0))&gt;=100000), " ",IF(INDEX($U$2:$AC$1001,MATCH(ROWS($N$2:N643),$N$2:$N$1001,0),MATCH(COLUMNS($U$1006:AB1006),$U$1006:$AC$1006,0)), HYPERLINK("#",""), HYPERLINK(CONCATENATE("#metadata!", ADDRESS(INDEX($P$2:$P$1001,MATCH(ROWS($N$2:N643),$N$2:$N$1001,0),0), INDEX($U$1004:$AC$1004,1,MATCH(COLUMNS($U$1006:AB1006),$U$1006:$AC$1006,0)))),"Fix")))</f>
        <v>0</v>
      </c>
      <c r="J643" s="3">
        <f>IF(OR(INDEX($O$2:$O$1001,MATCH(ROWS($N$2:N643),$N$2:$N$1001,0),1)&gt;=100000,INDEX($U$1005:$AC$1005,1,MATCH(COLUMNS($U$1006:AC1006),$U$1006:$AC$1006,0))&gt;=100000), " ",IF(INDEX($U$2:$AC$1001,MATCH(ROWS($N$2:N643),$N$2:$N$1001,0),MATCH(COLUMNS($U$1006:AC1006),$U$1006:$AC$1006,0)), HYPERLINK("#",""), HYPERLINK(CONCATENATE("#metadata!", ADDRESS(INDEX($P$2:$P$1001,MATCH(ROWS($N$2:N643),$N$2:$N$1001,0),0), INDEX($U$1004:$AC$1004,1,MATCH(COLUMNS($U$1006:AC1006),$U$1006:$AC$1006,0)))),"Fix")))</f>
        <v>0</v>
      </c>
      <c r="N643">
        <v>0</v>
      </c>
      <c r="O643">
        <v>0</v>
      </c>
      <c r="P643">
        <v>0</v>
      </c>
      <c r="Q643">
        <f>IF(R643,TRUE,AND(U643:AC643))</f>
        <v>0</v>
      </c>
      <c r="R643">
        <f>COUNTBLANK(metadata!B643:J643)=COLUMNS(metadata!B643:J643)</f>
        <v>0</v>
      </c>
      <c r="S643">
        <v>0</v>
      </c>
      <c r="U643">
        <f>AND(IF(metadata!B643="",FALSE,TRUE),COUNTIF(metadata!B:B, metadata!B643) = 1,NOT(ISERROR(SUMPRODUCT(SEARCH(MID(metadata!B643,ROW(INDIRECT("1:"&amp;LEN(metadata!B643))), 1),"0123456789abcdefghijklmnopqrstuvwxyzABCDEFGHIJKLMNOPQRSTUVWXYZ.")))))</f>
        <v>0</v>
      </c>
      <c r="V643">
        <f>AND(IF(metadata!C643="",FALSE,TRUE),exact(metadata!C643,"UBERON:genitourinary"))</f>
        <v>0</v>
      </c>
      <c r="W643">
        <f>AND(IF(metadata!D643="",FALSE,TRUE),exact(metadata!D643,"UBERON:urine"))</f>
        <v>0</v>
      </c>
      <c r="X643">
        <f>AND(IF(metadata!E643="",FALSE,TRUE),exact(metadata!E643,"UBERON:kidney"))</f>
        <v>0</v>
      </c>
      <c r="Y643">
        <f>AND(IF(metadata!F643="",FALSE,TRUE),exact(metadata!F643,"animal corpus"))</f>
        <v>0</v>
      </c>
      <c r="Z643">
        <f>AND(IF(metadata!G643="",FALSE,TRUE),exact(metadata!G643,"urine"))</f>
        <v>0</v>
      </c>
      <c r="AA643">
        <f>AND(IF(metadata!H643="",FALSE,TRUE),exact(metadata!H643,"urine"))</f>
        <v>0</v>
      </c>
      <c r="AB643">
        <f>AND(IF(metadata!I643="",FALSE,TRUE),exact(metadata!I643,"urine metagenome"))</f>
        <v>0</v>
      </c>
      <c r="AC643">
        <f>AND(IF(metadata!J643="",FALSE,TRUE),exact(metadata!J643,"1346744"))</f>
        <v>0</v>
      </c>
    </row>
    <row r="644" spans="1:29">
      <c r="A644" s="4">
        <f>IF(B644=" "," ",HYPERLINK(CONCATENATE("#metadata!",ADDRESS(INDEX($P$2:$P$1001,MATCH(ROWS($N$2:N644),$N$2:$N$1001,0),0),1)),INDEX($S$2:$S$1001,MATCH(ROWS($N$2:N644),$N$2:$N$1001,0),0)))</f>
        <v>0</v>
      </c>
      <c r="B644" s="3">
        <f>IF(OR(INDEX($O$2:$O$1001,MATCH(ROWS($N$2:N644),$N$2:$N$1001,0),1)&gt;=100000,INDEX($U$1005:$AC$1005,1,MATCH(COLUMNS($U$1006:U1006),$U$1006:$AC$1006,0))&gt;=100000), " ",IF(INDEX($U$2:$AC$1001,MATCH(ROWS($N$2:N644),$N$2:$N$1001,0),MATCH(COLUMNS($U$1006:U1006),$U$1006:$AC$1006,0)), HYPERLINK("#",""), HYPERLINK(CONCATENATE("#metadata!", ADDRESS(INDEX($P$2:$P$1001,MATCH(ROWS($N$2:N644),$N$2:$N$1001,0),0), INDEX($U$1004:$AC$1004,1,MATCH(COLUMNS($U$1006:U1006),$U$1006:$AC$1006,0)))),"Fix")))</f>
        <v>0</v>
      </c>
      <c r="C644" s="3">
        <f>IF(OR(INDEX($O$2:$O$1001,MATCH(ROWS($N$2:N644),$N$2:$N$1001,0),1)&gt;=100000,INDEX($U$1005:$AC$1005,1,MATCH(COLUMNS($U$1006:V1006),$U$1006:$AC$1006,0))&gt;=100000), " ",IF(INDEX($U$2:$AC$1001,MATCH(ROWS($N$2:N644),$N$2:$N$1001,0),MATCH(COLUMNS($U$1006:V1006),$U$1006:$AC$1006,0)), HYPERLINK("#",""), HYPERLINK(CONCATENATE("#metadata!", ADDRESS(INDEX($P$2:$P$1001,MATCH(ROWS($N$2:N644),$N$2:$N$1001,0),0), INDEX($U$1004:$AC$1004,1,MATCH(COLUMNS($U$1006:V1006),$U$1006:$AC$1006,0)))),"Fix")))</f>
        <v>0</v>
      </c>
      <c r="D644" s="3">
        <f>IF(OR(INDEX($O$2:$O$1001,MATCH(ROWS($N$2:N644),$N$2:$N$1001,0),1)&gt;=100000,INDEX($U$1005:$AC$1005,1,MATCH(COLUMNS($U$1006:W1006),$U$1006:$AC$1006,0))&gt;=100000), " ",IF(INDEX($U$2:$AC$1001,MATCH(ROWS($N$2:N644),$N$2:$N$1001,0),MATCH(COLUMNS($U$1006:W1006),$U$1006:$AC$1006,0)), HYPERLINK("#",""), HYPERLINK(CONCATENATE("#metadata!", ADDRESS(INDEX($P$2:$P$1001,MATCH(ROWS($N$2:N644),$N$2:$N$1001,0),0), INDEX($U$1004:$AC$1004,1,MATCH(COLUMNS($U$1006:W1006),$U$1006:$AC$1006,0)))),"Fix")))</f>
        <v>0</v>
      </c>
      <c r="E644" s="3">
        <f>IF(OR(INDEX($O$2:$O$1001,MATCH(ROWS($N$2:N644),$N$2:$N$1001,0),1)&gt;=100000,INDEX($U$1005:$AC$1005,1,MATCH(COLUMNS($U$1006:X1006),$U$1006:$AC$1006,0))&gt;=100000), " ",IF(INDEX($U$2:$AC$1001,MATCH(ROWS($N$2:N644),$N$2:$N$1001,0),MATCH(COLUMNS($U$1006:X1006),$U$1006:$AC$1006,0)), HYPERLINK("#",""), HYPERLINK(CONCATENATE("#metadata!", ADDRESS(INDEX($P$2:$P$1001,MATCH(ROWS($N$2:N644),$N$2:$N$1001,0),0), INDEX($U$1004:$AC$1004,1,MATCH(COLUMNS($U$1006:X1006),$U$1006:$AC$1006,0)))),"Fix")))</f>
        <v>0</v>
      </c>
      <c r="F644" s="3">
        <f>IF(OR(INDEX($O$2:$O$1001,MATCH(ROWS($N$2:N644),$N$2:$N$1001,0),1)&gt;=100000,INDEX($U$1005:$AC$1005,1,MATCH(COLUMNS($U$1006:Y1006),$U$1006:$AC$1006,0))&gt;=100000), " ",IF(INDEX($U$2:$AC$1001,MATCH(ROWS($N$2:N644),$N$2:$N$1001,0),MATCH(COLUMNS($U$1006:Y1006),$U$1006:$AC$1006,0)), HYPERLINK("#",""), HYPERLINK(CONCATENATE("#metadata!", ADDRESS(INDEX($P$2:$P$1001,MATCH(ROWS($N$2:N644),$N$2:$N$1001,0),0), INDEX($U$1004:$AC$1004,1,MATCH(COLUMNS($U$1006:Y1006),$U$1006:$AC$1006,0)))),"Fix")))</f>
        <v>0</v>
      </c>
      <c r="G644" s="3">
        <f>IF(OR(INDEX($O$2:$O$1001,MATCH(ROWS($N$2:N644),$N$2:$N$1001,0),1)&gt;=100000,INDEX($U$1005:$AC$1005,1,MATCH(COLUMNS($U$1006:Z1006),$U$1006:$AC$1006,0))&gt;=100000), " ",IF(INDEX($U$2:$AC$1001,MATCH(ROWS($N$2:N644),$N$2:$N$1001,0),MATCH(COLUMNS($U$1006:Z1006),$U$1006:$AC$1006,0)), HYPERLINK("#",""), HYPERLINK(CONCATENATE("#metadata!", ADDRESS(INDEX($P$2:$P$1001,MATCH(ROWS($N$2:N644),$N$2:$N$1001,0),0), INDEX($U$1004:$AC$1004,1,MATCH(COLUMNS($U$1006:Z1006),$U$1006:$AC$1006,0)))),"Fix")))</f>
        <v>0</v>
      </c>
      <c r="H644" s="3">
        <f>IF(OR(INDEX($O$2:$O$1001,MATCH(ROWS($N$2:N644),$N$2:$N$1001,0),1)&gt;=100000,INDEX($U$1005:$AC$1005,1,MATCH(COLUMNS($U$1006:AA1006),$U$1006:$AC$1006,0))&gt;=100000), " ",IF(INDEX($U$2:$AC$1001,MATCH(ROWS($N$2:N644),$N$2:$N$1001,0),MATCH(COLUMNS($U$1006:AA1006),$U$1006:$AC$1006,0)), HYPERLINK("#",""), HYPERLINK(CONCATENATE("#metadata!", ADDRESS(INDEX($P$2:$P$1001,MATCH(ROWS($N$2:N644),$N$2:$N$1001,0),0), INDEX($U$1004:$AC$1004,1,MATCH(COLUMNS($U$1006:AA1006),$U$1006:$AC$1006,0)))),"Fix")))</f>
        <v>0</v>
      </c>
      <c r="I644" s="3">
        <f>IF(OR(INDEX($O$2:$O$1001,MATCH(ROWS($N$2:N644),$N$2:$N$1001,0),1)&gt;=100000,INDEX($U$1005:$AC$1005,1,MATCH(COLUMNS($U$1006:AB1006),$U$1006:$AC$1006,0))&gt;=100000), " ",IF(INDEX($U$2:$AC$1001,MATCH(ROWS($N$2:N644),$N$2:$N$1001,0),MATCH(COLUMNS($U$1006:AB1006),$U$1006:$AC$1006,0)), HYPERLINK("#",""), HYPERLINK(CONCATENATE("#metadata!", ADDRESS(INDEX($P$2:$P$1001,MATCH(ROWS($N$2:N644),$N$2:$N$1001,0),0), INDEX($U$1004:$AC$1004,1,MATCH(COLUMNS($U$1006:AB1006),$U$1006:$AC$1006,0)))),"Fix")))</f>
        <v>0</v>
      </c>
      <c r="J644" s="3">
        <f>IF(OR(INDEX($O$2:$O$1001,MATCH(ROWS($N$2:N644),$N$2:$N$1001,0),1)&gt;=100000,INDEX($U$1005:$AC$1005,1,MATCH(COLUMNS($U$1006:AC1006),$U$1006:$AC$1006,0))&gt;=100000), " ",IF(INDEX($U$2:$AC$1001,MATCH(ROWS($N$2:N644),$N$2:$N$1001,0),MATCH(COLUMNS($U$1006:AC1006),$U$1006:$AC$1006,0)), HYPERLINK("#",""), HYPERLINK(CONCATENATE("#metadata!", ADDRESS(INDEX($P$2:$P$1001,MATCH(ROWS($N$2:N644),$N$2:$N$1001,0),0), INDEX($U$1004:$AC$1004,1,MATCH(COLUMNS($U$1006:AC1006),$U$1006:$AC$1006,0)))),"Fix")))</f>
        <v>0</v>
      </c>
      <c r="N644">
        <v>0</v>
      </c>
      <c r="O644">
        <v>0</v>
      </c>
      <c r="P644">
        <v>0</v>
      </c>
      <c r="Q644">
        <f>IF(R644,TRUE,AND(U644:AC644))</f>
        <v>0</v>
      </c>
      <c r="R644">
        <f>COUNTBLANK(metadata!B644:J644)=COLUMNS(metadata!B644:J644)</f>
        <v>0</v>
      </c>
      <c r="S644">
        <v>0</v>
      </c>
      <c r="U644">
        <f>AND(IF(metadata!B644="",FALSE,TRUE),COUNTIF(metadata!B:B, metadata!B644) = 1,NOT(ISERROR(SUMPRODUCT(SEARCH(MID(metadata!B644,ROW(INDIRECT("1:"&amp;LEN(metadata!B644))), 1),"0123456789abcdefghijklmnopqrstuvwxyzABCDEFGHIJKLMNOPQRSTUVWXYZ.")))))</f>
        <v>0</v>
      </c>
      <c r="V644">
        <f>AND(IF(metadata!C644="",FALSE,TRUE),exact(metadata!C644,"UBERON:genitourinary"))</f>
        <v>0</v>
      </c>
      <c r="W644">
        <f>AND(IF(metadata!D644="",FALSE,TRUE),exact(metadata!D644,"UBERON:urine"))</f>
        <v>0</v>
      </c>
      <c r="X644">
        <f>AND(IF(metadata!E644="",FALSE,TRUE),exact(metadata!E644,"UBERON:kidney"))</f>
        <v>0</v>
      </c>
      <c r="Y644">
        <f>AND(IF(metadata!F644="",FALSE,TRUE),exact(metadata!F644,"animal corpus"))</f>
        <v>0</v>
      </c>
      <c r="Z644">
        <f>AND(IF(metadata!G644="",FALSE,TRUE),exact(metadata!G644,"urine"))</f>
        <v>0</v>
      </c>
      <c r="AA644">
        <f>AND(IF(metadata!H644="",FALSE,TRUE),exact(metadata!H644,"urine"))</f>
        <v>0</v>
      </c>
      <c r="AB644">
        <f>AND(IF(metadata!I644="",FALSE,TRUE),exact(metadata!I644,"urine metagenome"))</f>
        <v>0</v>
      </c>
      <c r="AC644">
        <f>AND(IF(metadata!J644="",FALSE,TRUE),exact(metadata!J644,"1346744"))</f>
        <v>0</v>
      </c>
    </row>
    <row r="645" spans="1:29">
      <c r="A645" s="4">
        <f>IF(B645=" "," ",HYPERLINK(CONCATENATE("#metadata!",ADDRESS(INDEX($P$2:$P$1001,MATCH(ROWS($N$2:N645),$N$2:$N$1001,0),0),1)),INDEX($S$2:$S$1001,MATCH(ROWS($N$2:N645),$N$2:$N$1001,0),0)))</f>
        <v>0</v>
      </c>
      <c r="B645" s="3">
        <f>IF(OR(INDEX($O$2:$O$1001,MATCH(ROWS($N$2:N645),$N$2:$N$1001,0),1)&gt;=100000,INDEX($U$1005:$AC$1005,1,MATCH(COLUMNS($U$1006:U1006),$U$1006:$AC$1006,0))&gt;=100000), " ",IF(INDEX($U$2:$AC$1001,MATCH(ROWS($N$2:N645),$N$2:$N$1001,0),MATCH(COLUMNS($U$1006:U1006),$U$1006:$AC$1006,0)), HYPERLINK("#",""), HYPERLINK(CONCATENATE("#metadata!", ADDRESS(INDEX($P$2:$P$1001,MATCH(ROWS($N$2:N645),$N$2:$N$1001,0),0), INDEX($U$1004:$AC$1004,1,MATCH(COLUMNS($U$1006:U1006),$U$1006:$AC$1006,0)))),"Fix")))</f>
        <v>0</v>
      </c>
      <c r="C645" s="3">
        <f>IF(OR(INDEX($O$2:$O$1001,MATCH(ROWS($N$2:N645),$N$2:$N$1001,0),1)&gt;=100000,INDEX($U$1005:$AC$1005,1,MATCH(COLUMNS($U$1006:V1006),$U$1006:$AC$1006,0))&gt;=100000), " ",IF(INDEX($U$2:$AC$1001,MATCH(ROWS($N$2:N645),$N$2:$N$1001,0),MATCH(COLUMNS($U$1006:V1006),$U$1006:$AC$1006,0)), HYPERLINK("#",""), HYPERLINK(CONCATENATE("#metadata!", ADDRESS(INDEX($P$2:$P$1001,MATCH(ROWS($N$2:N645),$N$2:$N$1001,0),0), INDEX($U$1004:$AC$1004,1,MATCH(COLUMNS($U$1006:V1006),$U$1006:$AC$1006,0)))),"Fix")))</f>
        <v>0</v>
      </c>
      <c r="D645" s="3">
        <f>IF(OR(INDEX($O$2:$O$1001,MATCH(ROWS($N$2:N645),$N$2:$N$1001,0),1)&gt;=100000,INDEX($U$1005:$AC$1005,1,MATCH(COLUMNS($U$1006:W1006),$U$1006:$AC$1006,0))&gt;=100000), " ",IF(INDEX($U$2:$AC$1001,MATCH(ROWS($N$2:N645),$N$2:$N$1001,0),MATCH(COLUMNS($U$1006:W1006),$U$1006:$AC$1006,0)), HYPERLINK("#",""), HYPERLINK(CONCATENATE("#metadata!", ADDRESS(INDEX($P$2:$P$1001,MATCH(ROWS($N$2:N645),$N$2:$N$1001,0),0), INDEX($U$1004:$AC$1004,1,MATCH(COLUMNS($U$1006:W1006),$U$1006:$AC$1006,0)))),"Fix")))</f>
        <v>0</v>
      </c>
      <c r="E645" s="3">
        <f>IF(OR(INDEX($O$2:$O$1001,MATCH(ROWS($N$2:N645),$N$2:$N$1001,0),1)&gt;=100000,INDEX($U$1005:$AC$1005,1,MATCH(COLUMNS($U$1006:X1006),$U$1006:$AC$1006,0))&gt;=100000), " ",IF(INDEX($U$2:$AC$1001,MATCH(ROWS($N$2:N645),$N$2:$N$1001,0),MATCH(COLUMNS($U$1006:X1006),$U$1006:$AC$1006,0)), HYPERLINK("#",""), HYPERLINK(CONCATENATE("#metadata!", ADDRESS(INDEX($P$2:$P$1001,MATCH(ROWS($N$2:N645),$N$2:$N$1001,0),0), INDEX($U$1004:$AC$1004,1,MATCH(COLUMNS($U$1006:X1006),$U$1006:$AC$1006,0)))),"Fix")))</f>
        <v>0</v>
      </c>
      <c r="F645" s="3">
        <f>IF(OR(INDEX($O$2:$O$1001,MATCH(ROWS($N$2:N645),$N$2:$N$1001,0),1)&gt;=100000,INDEX($U$1005:$AC$1005,1,MATCH(COLUMNS($U$1006:Y1006),$U$1006:$AC$1006,0))&gt;=100000), " ",IF(INDEX($U$2:$AC$1001,MATCH(ROWS($N$2:N645),$N$2:$N$1001,0),MATCH(COLUMNS($U$1006:Y1006),$U$1006:$AC$1006,0)), HYPERLINK("#",""), HYPERLINK(CONCATENATE("#metadata!", ADDRESS(INDEX($P$2:$P$1001,MATCH(ROWS($N$2:N645),$N$2:$N$1001,0),0), INDEX($U$1004:$AC$1004,1,MATCH(COLUMNS($U$1006:Y1006),$U$1006:$AC$1006,0)))),"Fix")))</f>
        <v>0</v>
      </c>
      <c r="G645" s="3">
        <f>IF(OR(INDEX($O$2:$O$1001,MATCH(ROWS($N$2:N645),$N$2:$N$1001,0),1)&gt;=100000,INDEX($U$1005:$AC$1005,1,MATCH(COLUMNS($U$1006:Z1006),$U$1006:$AC$1006,0))&gt;=100000), " ",IF(INDEX($U$2:$AC$1001,MATCH(ROWS($N$2:N645),$N$2:$N$1001,0),MATCH(COLUMNS($U$1006:Z1006),$U$1006:$AC$1006,0)), HYPERLINK("#",""), HYPERLINK(CONCATENATE("#metadata!", ADDRESS(INDEX($P$2:$P$1001,MATCH(ROWS($N$2:N645),$N$2:$N$1001,0),0), INDEX($U$1004:$AC$1004,1,MATCH(COLUMNS($U$1006:Z1006),$U$1006:$AC$1006,0)))),"Fix")))</f>
        <v>0</v>
      </c>
      <c r="H645" s="3">
        <f>IF(OR(INDEX($O$2:$O$1001,MATCH(ROWS($N$2:N645),$N$2:$N$1001,0),1)&gt;=100000,INDEX($U$1005:$AC$1005,1,MATCH(COLUMNS($U$1006:AA1006),$U$1006:$AC$1006,0))&gt;=100000), " ",IF(INDEX($U$2:$AC$1001,MATCH(ROWS($N$2:N645),$N$2:$N$1001,0),MATCH(COLUMNS($U$1006:AA1006),$U$1006:$AC$1006,0)), HYPERLINK("#",""), HYPERLINK(CONCATENATE("#metadata!", ADDRESS(INDEX($P$2:$P$1001,MATCH(ROWS($N$2:N645),$N$2:$N$1001,0),0), INDEX($U$1004:$AC$1004,1,MATCH(COLUMNS($U$1006:AA1006),$U$1006:$AC$1006,0)))),"Fix")))</f>
        <v>0</v>
      </c>
      <c r="I645" s="3">
        <f>IF(OR(INDEX($O$2:$O$1001,MATCH(ROWS($N$2:N645),$N$2:$N$1001,0),1)&gt;=100000,INDEX($U$1005:$AC$1005,1,MATCH(COLUMNS($U$1006:AB1006),$U$1006:$AC$1006,0))&gt;=100000), " ",IF(INDEX($U$2:$AC$1001,MATCH(ROWS($N$2:N645),$N$2:$N$1001,0),MATCH(COLUMNS($U$1006:AB1006),$U$1006:$AC$1006,0)), HYPERLINK("#",""), HYPERLINK(CONCATENATE("#metadata!", ADDRESS(INDEX($P$2:$P$1001,MATCH(ROWS($N$2:N645),$N$2:$N$1001,0),0), INDEX($U$1004:$AC$1004,1,MATCH(COLUMNS($U$1006:AB1006),$U$1006:$AC$1006,0)))),"Fix")))</f>
        <v>0</v>
      </c>
      <c r="J645" s="3">
        <f>IF(OR(INDEX($O$2:$O$1001,MATCH(ROWS($N$2:N645),$N$2:$N$1001,0),1)&gt;=100000,INDEX($U$1005:$AC$1005,1,MATCH(COLUMNS($U$1006:AC1006),$U$1006:$AC$1006,0))&gt;=100000), " ",IF(INDEX($U$2:$AC$1001,MATCH(ROWS($N$2:N645),$N$2:$N$1001,0),MATCH(COLUMNS($U$1006:AC1006),$U$1006:$AC$1006,0)), HYPERLINK("#",""), HYPERLINK(CONCATENATE("#metadata!", ADDRESS(INDEX($P$2:$P$1001,MATCH(ROWS($N$2:N645),$N$2:$N$1001,0),0), INDEX($U$1004:$AC$1004,1,MATCH(COLUMNS($U$1006:AC1006),$U$1006:$AC$1006,0)))),"Fix")))</f>
        <v>0</v>
      </c>
      <c r="N645">
        <v>0</v>
      </c>
      <c r="O645">
        <v>0</v>
      </c>
      <c r="P645">
        <v>0</v>
      </c>
      <c r="Q645">
        <f>IF(R645,TRUE,AND(U645:AC645))</f>
        <v>0</v>
      </c>
      <c r="R645">
        <f>COUNTBLANK(metadata!B645:J645)=COLUMNS(metadata!B645:J645)</f>
        <v>0</v>
      </c>
      <c r="S645">
        <v>0</v>
      </c>
      <c r="U645">
        <f>AND(IF(metadata!B645="",FALSE,TRUE),COUNTIF(metadata!B:B, metadata!B645) = 1,NOT(ISERROR(SUMPRODUCT(SEARCH(MID(metadata!B645,ROW(INDIRECT("1:"&amp;LEN(metadata!B645))), 1),"0123456789abcdefghijklmnopqrstuvwxyzABCDEFGHIJKLMNOPQRSTUVWXYZ.")))))</f>
        <v>0</v>
      </c>
      <c r="V645">
        <f>AND(IF(metadata!C645="",FALSE,TRUE),exact(metadata!C645,"UBERON:genitourinary"))</f>
        <v>0</v>
      </c>
      <c r="W645">
        <f>AND(IF(metadata!D645="",FALSE,TRUE),exact(metadata!D645,"UBERON:urine"))</f>
        <v>0</v>
      </c>
      <c r="X645">
        <f>AND(IF(metadata!E645="",FALSE,TRUE),exact(metadata!E645,"UBERON:kidney"))</f>
        <v>0</v>
      </c>
      <c r="Y645">
        <f>AND(IF(metadata!F645="",FALSE,TRUE),exact(metadata!F645,"animal corpus"))</f>
        <v>0</v>
      </c>
      <c r="Z645">
        <f>AND(IF(metadata!G645="",FALSE,TRUE),exact(metadata!G645,"urine"))</f>
        <v>0</v>
      </c>
      <c r="AA645">
        <f>AND(IF(metadata!H645="",FALSE,TRUE),exact(metadata!H645,"urine"))</f>
        <v>0</v>
      </c>
      <c r="AB645">
        <f>AND(IF(metadata!I645="",FALSE,TRUE),exact(metadata!I645,"urine metagenome"))</f>
        <v>0</v>
      </c>
      <c r="AC645">
        <f>AND(IF(metadata!J645="",FALSE,TRUE),exact(metadata!J645,"1346744"))</f>
        <v>0</v>
      </c>
    </row>
    <row r="646" spans="1:29">
      <c r="A646" s="4">
        <f>IF(B646=" "," ",HYPERLINK(CONCATENATE("#metadata!",ADDRESS(INDEX($P$2:$P$1001,MATCH(ROWS($N$2:N646),$N$2:$N$1001,0),0),1)),INDEX($S$2:$S$1001,MATCH(ROWS($N$2:N646),$N$2:$N$1001,0),0)))</f>
        <v>0</v>
      </c>
      <c r="B646" s="3">
        <f>IF(OR(INDEX($O$2:$O$1001,MATCH(ROWS($N$2:N646),$N$2:$N$1001,0),1)&gt;=100000,INDEX($U$1005:$AC$1005,1,MATCH(COLUMNS($U$1006:U1006),$U$1006:$AC$1006,0))&gt;=100000), " ",IF(INDEX($U$2:$AC$1001,MATCH(ROWS($N$2:N646),$N$2:$N$1001,0),MATCH(COLUMNS($U$1006:U1006),$U$1006:$AC$1006,0)), HYPERLINK("#",""), HYPERLINK(CONCATENATE("#metadata!", ADDRESS(INDEX($P$2:$P$1001,MATCH(ROWS($N$2:N646),$N$2:$N$1001,0),0), INDEX($U$1004:$AC$1004,1,MATCH(COLUMNS($U$1006:U1006),$U$1006:$AC$1006,0)))),"Fix")))</f>
        <v>0</v>
      </c>
      <c r="C646" s="3">
        <f>IF(OR(INDEX($O$2:$O$1001,MATCH(ROWS($N$2:N646),$N$2:$N$1001,0),1)&gt;=100000,INDEX($U$1005:$AC$1005,1,MATCH(COLUMNS($U$1006:V1006),$U$1006:$AC$1006,0))&gt;=100000), " ",IF(INDEX($U$2:$AC$1001,MATCH(ROWS($N$2:N646),$N$2:$N$1001,0),MATCH(COLUMNS($U$1006:V1006),$U$1006:$AC$1006,0)), HYPERLINK("#",""), HYPERLINK(CONCATENATE("#metadata!", ADDRESS(INDEX($P$2:$P$1001,MATCH(ROWS($N$2:N646),$N$2:$N$1001,0),0), INDEX($U$1004:$AC$1004,1,MATCH(COLUMNS($U$1006:V1006),$U$1006:$AC$1006,0)))),"Fix")))</f>
        <v>0</v>
      </c>
      <c r="D646" s="3">
        <f>IF(OR(INDEX($O$2:$O$1001,MATCH(ROWS($N$2:N646),$N$2:$N$1001,0),1)&gt;=100000,INDEX($U$1005:$AC$1005,1,MATCH(COLUMNS($U$1006:W1006),$U$1006:$AC$1006,0))&gt;=100000), " ",IF(INDEX($U$2:$AC$1001,MATCH(ROWS($N$2:N646),$N$2:$N$1001,0),MATCH(COLUMNS($U$1006:W1006),$U$1006:$AC$1006,0)), HYPERLINK("#",""), HYPERLINK(CONCATENATE("#metadata!", ADDRESS(INDEX($P$2:$P$1001,MATCH(ROWS($N$2:N646),$N$2:$N$1001,0),0), INDEX($U$1004:$AC$1004,1,MATCH(COLUMNS($U$1006:W1006),$U$1006:$AC$1006,0)))),"Fix")))</f>
        <v>0</v>
      </c>
      <c r="E646" s="3">
        <f>IF(OR(INDEX($O$2:$O$1001,MATCH(ROWS($N$2:N646),$N$2:$N$1001,0),1)&gt;=100000,INDEX($U$1005:$AC$1005,1,MATCH(COLUMNS($U$1006:X1006),$U$1006:$AC$1006,0))&gt;=100000), " ",IF(INDEX($U$2:$AC$1001,MATCH(ROWS($N$2:N646),$N$2:$N$1001,0),MATCH(COLUMNS($U$1006:X1006),$U$1006:$AC$1006,0)), HYPERLINK("#",""), HYPERLINK(CONCATENATE("#metadata!", ADDRESS(INDEX($P$2:$P$1001,MATCH(ROWS($N$2:N646),$N$2:$N$1001,0),0), INDEX($U$1004:$AC$1004,1,MATCH(COLUMNS($U$1006:X1006),$U$1006:$AC$1006,0)))),"Fix")))</f>
        <v>0</v>
      </c>
      <c r="F646" s="3">
        <f>IF(OR(INDEX($O$2:$O$1001,MATCH(ROWS($N$2:N646),$N$2:$N$1001,0),1)&gt;=100000,INDEX($U$1005:$AC$1005,1,MATCH(COLUMNS($U$1006:Y1006),$U$1006:$AC$1006,0))&gt;=100000), " ",IF(INDEX($U$2:$AC$1001,MATCH(ROWS($N$2:N646),$N$2:$N$1001,0),MATCH(COLUMNS($U$1006:Y1006),$U$1006:$AC$1006,0)), HYPERLINK("#",""), HYPERLINK(CONCATENATE("#metadata!", ADDRESS(INDEX($P$2:$P$1001,MATCH(ROWS($N$2:N646),$N$2:$N$1001,0),0), INDEX($U$1004:$AC$1004,1,MATCH(COLUMNS($U$1006:Y1006),$U$1006:$AC$1006,0)))),"Fix")))</f>
        <v>0</v>
      </c>
      <c r="G646" s="3">
        <f>IF(OR(INDEX($O$2:$O$1001,MATCH(ROWS($N$2:N646),$N$2:$N$1001,0),1)&gt;=100000,INDEX($U$1005:$AC$1005,1,MATCH(COLUMNS($U$1006:Z1006),$U$1006:$AC$1006,0))&gt;=100000), " ",IF(INDEX($U$2:$AC$1001,MATCH(ROWS($N$2:N646),$N$2:$N$1001,0),MATCH(COLUMNS($U$1006:Z1006),$U$1006:$AC$1006,0)), HYPERLINK("#",""), HYPERLINK(CONCATENATE("#metadata!", ADDRESS(INDEX($P$2:$P$1001,MATCH(ROWS($N$2:N646),$N$2:$N$1001,0),0), INDEX($U$1004:$AC$1004,1,MATCH(COLUMNS($U$1006:Z1006),$U$1006:$AC$1006,0)))),"Fix")))</f>
        <v>0</v>
      </c>
      <c r="H646" s="3">
        <f>IF(OR(INDEX($O$2:$O$1001,MATCH(ROWS($N$2:N646),$N$2:$N$1001,0),1)&gt;=100000,INDEX($U$1005:$AC$1005,1,MATCH(COLUMNS($U$1006:AA1006),$U$1006:$AC$1006,0))&gt;=100000), " ",IF(INDEX($U$2:$AC$1001,MATCH(ROWS($N$2:N646),$N$2:$N$1001,0),MATCH(COLUMNS($U$1006:AA1006),$U$1006:$AC$1006,0)), HYPERLINK("#",""), HYPERLINK(CONCATENATE("#metadata!", ADDRESS(INDEX($P$2:$P$1001,MATCH(ROWS($N$2:N646),$N$2:$N$1001,0),0), INDEX($U$1004:$AC$1004,1,MATCH(COLUMNS($U$1006:AA1006),$U$1006:$AC$1006,0)))),"Fix")))</f>
        <v>0</v>
      </c>
      <c r="I646" s="3">
        <f>IF(OR(INDEX($O$2:$O$1001,MATCH(ROWS($N$2:N646),$N$2:$N$1001,0),1)&gt;=100000,INDEX($U$1005:$AC$1005,1,MATCH(COLUMNS($U$1006:AB1006),$U$1006:$AC$1006,0))&gt;=100000), " ",IF(INDEX($U$2:$AC$1001,MATCH(ROWS($N$2:N646),$N$2:$N$1001,0),MATCH(COLUMNS($U$1006:AB1006),$U$1006:$AC$1006,0)), HYPERLINK("#",""), HYPERLINK(CONCATENATE("#metadata!", ADDRESS(INDEX($P$2:$P$1001,MATCH(ROWS($N$2:N646),$N$2:$N$1001,0),0), INDEX($U$1004:$AC$1004,1,MATCH(COLUMNS($U$1006:AB1006),$U$1006:$AC$1006,0)))),"Fix")))</f>
        <v>0</v>
      </c>
      <c r="J646" s="3">
        <f>IF(OR(INDEX($O$2:$O$1001,MATCH(ROWS($N$2:N646),$N$2:$N$1001,0),1)&gt;=100000,INDEX($U$1005:$AC$1005,1,MATCH(COLUMNS($U$1006:AC1006),$U$1006:$AC$1006,0))&gt;=100000), " ",IF(INDEX($U$2:$AC$1001,MATCH(ROWS($N$2:N646),$N$2:$N$1001,0),MATCH(COLUMNS($U$1006:AC1006),$U$1006:$AC$1006,0)), HYPERLINK("#",""), HYPERLINK(CONCATENATE("#metadata!", ADDRESS(INDEX($P$2:$P$1001,MATCH(ROWS($N$2:N646),$N$2:$N$1001,0),0), INDEX($U$1004:$AC$1004,1,MATCH(COLUMNS($U$1006:AC1006),$U$1006:$AC$1006,0)))),"Fix")))</f>
        <v>0</v>
      </c>
      <c r="N646">
        <v>0</v>
      </c>
      <c r="O646">
        <v>0</v>
      </c>
      <c r="P646">
        <v>0</v>
      </c>
      <c r="Q646">
        <f>IF(R646,TRUE,AND(U646:AC646))</f>
        <v>0</v>
      </c>
      <c r="R646">
        <f>COUNTBLANK(metadata!B646:J646)=COLUMNS(metadata!B646:J646)</f>
        <v>0</v>
      </c>
      <c r="S646">
        <v>0</v>
      </c>
      <c r="U646">
        <f>AND(IF(metadata!B646="",FALSE,TRUE),COUNTIF(metadata!B:B, metadata!B646) = 1,NOT(ISERROR(SUMPRODUCT(SEARCH(MID(metadata!B646,ROW(INDIRECT("1:"&amp;LEN(metadata!B646))), 1),"0123456789abcdefghijklmnopqrstuvwxyzABCDEFGHIJKLMNOPQRSTUVWXYZ.")))))</f>
        <v>0</v>
      </c>
      <c r="V646">
        <f>AND(IF(metadata!C646="",FALSE,TRUE),exact(metadata!C646,"UBERON:genitourinary"))</f>
        <v>0</v>
      </c>
      <c r="W646">
        <f>AND(IF(metadata!D646="",FALSE,TRUE),exact(metadata!D646,"UBERON:urine"))</f>
        <v>0</v>
      </c>
      <c r="X646">
        <f>AND(IF(metadata!E646="",FALSE,TRUE),exact(metadata!E646,"UBERON:kidney"))</f>
        <v>0</v>
      </c>
      <c r="Y646">
        <f>AND(IF(metadata!F646="",FALSE,TRUE),exact(metadata!F646,"animal corpus"))</f>
        <v>0</v>
      </c>
      <c r="Z646">
        <f>AND(IF(metadata!G646="",FALSE,TRUE),exact(metadata!G646,"urine"))</f>
        <v>0</v>
      </c>
      <c r="AA646">
        <f>AND(IF(metadata!H646="",FALSE,TRUE),exact(metadata!H646,"urine"))</f>
        <v>0</v>
      </c>
      <c r="AB646">
        <f>AND(IF(metadata!I646="",FALSE,TRUE),exact(metadata!I646,"urine metagenome"))</f>
        <v>0</v>
      </c>
      <c r="AC646">
        <f>AND(IF(metadata!J646="",FALSE,TRUE),exact(metadata!J646,"1346744"))</f>
        <v>0</v>
      </c>
    </row>
    <row r="647" spans="1:29">
      <c r="A647" s="4">
        <f>IF(B647=" "," ",HYPERLINK(CONCATENATE("#metadata!",ADDRESS(INDEX($P$2:$P$1001,MATCH(ROWS($N$2:N647),$N$2:$N$1001,0),0),1)),INDEX($S$2:$S$1001,MATCH(ROWS($N$2:N647),$N$2:$N$1001,0),0)))</f>
        <v>0</v>
      </c>
      <c r="B647" s="3">
        <f>IF(OR(INDEX($O$2:$O$1001,MATCH(ROWS($N$2:N647),$N$2:$N$1001,0),1)&gt;=100000,INDEX($U$1005:$AC$1005,1,MATCH(COLUMNS($U$1006:U1006),$U$1006:$AC$1006,0))&gt;=100000), " ",IF(INDEX($U$2:$AC$1001,MATCH(ROWS($N$2:N647),$N$2:$N$1001,0),MATCH(COLUMNS($U$1006:U1006),$U$1006:$AC$1006,0)), HYPERLINK("#",""), HYPERLINK(CONCATENATE("#metadata!", ADDRESS(INDEX($P$2:$P$1001,MATCH(ROWS($N$2:N647),$N$2:$N$1001,0),0), INDEX($U$1004:$AC$1004,1,MATCH(COLUMNS($U$1006:U1006),$U$1006:$AC$1006,0)))),"Fix")))</f>
        <v>0</v>
      </c>
      <c r="C647" s="3">
        <f>IF(OR(INDEX($O$2:$O$1001,MATCH(ROWS($N$2:N647),$N$2:$N$1001,0),1)&gt;=100000,INDEX($U$1005:$AC$1005,1,MATCH(COLUMNS($U$1006:V1006),$U$1006:$AC$1006,0))&gt;=100000), " ",IF(INDEX($U$2:$AC$1001,MATCH(ROWS($N$2:N647),$N$2:$N$1001,0),MATCH(COLUMNS($U$1006:V1006),$U$1006:$AC$1006,0)), HYPERLINK("#",""), HYPERLINK(CONCATENATE("#metadata!", ADDRESS(INDEX($P$2:$P$1001,MATCH(ROWS($N$2:N647),$N$2:$N$1001,0),0), INDEX($U$1004:$AC$1004,1,MATCH(COLUMNS($U$1006:V1006),$U$1006:$AC$1006,0)))),"Fix")))</f>
        <v>0</v>
      </c>
      <c r="D647" s="3">
        <f>IF(OR(INDEX($O$2:$O$1001,MATCH(ROWS($N$2:N647),$N$2:$N$1001,0),1)&gt;=100000,INDEX($U$1005:$AC$1005,1,MATCH(COLUMNS($U$1006:W1006),$U$1006:$AC$1006,0))&gt;=100000), " ",IF(INDEX($U$2:$AC$1001,MATCH(ROWS($N$2:N647),$N$2:$N$1001,0),MATCH(COLUMNS($U$1006:W1006),$U$1006:$AC$1006,0)), HYPERLINK("#",""), HYPERLINK(CONCATENATE("#metadata!", ADDRESS(INDEX($P$2:$P$1001,MATCH(ROWS($N$2:N647),$N$2:$N$1001,0),0), INDEX($U$1004:$AC$1004,1,MATCH(COLUMNS($U$1006:W1006),$U$1006:$AC$1006,0)))),"Fix")))</f>
        <v>0</v>
      </c>
      <c r="E647" s="3">
        <f>IF(OR(INDEX($O$2:$O$1001,MATCH(ROWS($N$2:N647),$N$2:$N$1001,0),1)&gt;=100000,INDEX($U$1005:$AC$1005,1,MATCH(COLUMNS($U$1006:X1006),$U$1006:$AC$1006,0))&gt;=100000), " ",IF(INDEX($U$2:$AC$1001,MATCH(ROWS($N$2:N647),$N$2:$N$1001,0),MATCH(COLUMNS($U$1006:X1006),$U$1006:$AC$1006,0)), HYPERLINK("#",""), HYPERLINK(CONCATENATE("#metadata!", ADDRESS(INDEX($P$2:$P$1001,MATCH(ROWS($N$2:N647),$N$2:$N$1001,0),0), INDEX($U$1004:$AC$1004,1,MATCH(COLUMNS($U$1006:X1006),$U$1006:$AC$1006,0)))),"Fix")))</f>
        <v>0</v>
      </c>
      <c r="F647" s="3">
        <f>IF(OR(INDEX($O$2:$O$1001,MATCH(ROWS($N$2:N647),$N$2:$N$1001,0),1)&gt;=100000,INDEX($U$1005:$AC$1005,1,MATCH(COLUMNS($U$1006:Y1006),$U$1006:$AC$1006,0))&gt;=100000), " ",IF(INDEX($U$2:$AC$1001,MATCH(ROWS($N$2:N647),$N$2:$N$1001,0),MATCH(COLUMNS($U$1006:Y1006),$U$1006:$AC$1006,0)), HYPERLINK("#",""), HYPERLINK(CONCATENATE("#metadata!", ADDRESS(INDEX($P$2:$P$1001,MATCH(ROWS($N$2:N647),$N$2:$N$1001,0),0), INDEX($U$1004:$AC$1004,1,MATCH(COLUMNS($U$1006:Y1006),$U$1006:$AC$1006,0)))),"Fix")))</f>
        <v>0</v>
      </c>
      <c r="G647" s="3">
        <f>IF(OR(INDEX($O$2:$O$1001,MATCH(ROWS($N$2:N647),$N$2:$N$1001,0),1)&gt;=100000,INDEX($U$1005:$AC$1005,1,MATCH(COLUMNS($U$1006:Z1006),$U$1006:$AC$1006,0))&gt;=100000), " ",IF(INDEX($U$2:$AC$1001,MATCH(ROWS($N$2:N647),$N$2:$N$1001,0),MATCH(COLUMNS($U$1006:Z1006),$U$1006:$AC$1006,0)), HYPERLINK("#",""), HYPERLINK(CONCATENATE("#metadata!", ADDRESS(INDEX($P$2:$P$1001,MATCH(ROWS($N$2:N647),$N$2:$N$1001,0),0), INDEX($U$1004:$AC$1004,1,MATCH(COLUMNS($U$1006:Z1006),$U$1006:$AC$1006,0)))),"Fix")))</f>
        <v>0</v>
      </c>
      <c r="H647" s="3">
        <f>IF(OR(INDEX($O$2:$O$1001,MATCH(ROWS($N$2:N647),$N$2:$N$1001,0),1)&gt;=100000,INDEX($U$1005:$AC$1005,1,MATCH(COLUMNS($U$1006:AA1006),$U$1006:$AC$1006,0))&gt;=100000), " ",IF(INDEX($U$2:$AC$1001,MATCH(ROWS($N$2:N647),$N$2:$N$1001,0),MATCH(COLUMNS($U$1006:AA1006),$U$1006:$AC$1006,0)), HYPERLINK("#",""), HYPERLINK(CONCATENATE("#metadata!", ADDRESS(INDEX($P$2:$P$1001,MATCH(ROWS($N$2:N647),$N$2:$N$1001,0),0), INDEX($U$1004:$AC$1004,1,MATCH(COLUMNS($U$1006:AA1006),$U$1006:$AC$1006,0)))),"Fix")))</f>
        <v>0</v>
      </c>
      <c r="I647" s="3">
        <f>IF(OR(INDEX($O$2:$O$1001,MATCH(ROWS($N$2:N647),$N$2:$N$1001,0),1)&gt;=100000,INDEX($U$1005:$AC$1005,1,MATCH(COLUMNS($U$1006:AB1006),$U$1006:$AC$1006,0))&gt;=100000), " ",IF(INDEX($U$2:$AC$1001,MATCH(ROWS($N$2:N647),$N$2:$N$1001,0),MATCH(COLUMNS($U$1006:AB1006),$U$1006:$AC$1006,0)), HYPERLINK("#",""), HYPERLINK(CONCATENATE("#metadata!", ADDRESS(INDEX($P$2:$P$1001,MATCH(ROWS($N$2:N647),$N$2:$N$1001,0),0), INDEX($U$1004:$AC$1004,1,MATCH(COLUMNS($U$1006:AB1006),$U$1006:$AC$1006,0)))),"Fix")))</f>
        <v>0</v>
      </c>
      <c r="J647" s="3">
        <f>IF(OR(INDEX($O$2:$O$1001,MATCH(ROWS($N$2:N647),$N$2:$N$1001,0),1)&gt;=100000,INDEX($U$1005:$AC$1005,1,MATCH(COLUMNS($U$1006:AC1006),$U$1006:$AC$1006,0))&gt;=100000), " ",IF(INDEX($U$2:$AC$1001,MATCH(ROWS($N$2:N647),$N$2:$N$1001,0),MATCH(COLUMNS($U$1006:AC1006),$U$1006:$AC$1006,0)), HYPERLINK("#",""), HYPERLINK(CONCATENATE("#metadata!", ADDRESS(INDEX($P$2:$P$1001,MATCH(ROWS($N$2:N647),$N$2:$N$1001,0),0), INDEX($U$1004:$AC$1004,1,MATCH(COLUMNS($U$1006:AC1006),$U$1006:$AC$1006,0)))),"Fix")))</f>
        <v>0</v>
      </c>
      <c r="N647">
        <v>0</v>
      </c>
      <c r="O647">
        <v>0</v>
      </c>
      <c r="P647">
        <v>0</v>
      </c>
      <c r="Q647">
        <f>IF(R647,TRUE,AND(U647:AC647))</f>
        <v>0</v>
      </c>
      <c r="R647">
        <f>COUNTBLANK(metadata!B647:J647)=COLUMNS(metadata!B647:J647)</f>
        <v>0</v>
      </c>
      <c r="S647">
        <v>0</v>
      </c>
      <c r="U647">
        <f>AND(IF(metadata!B647="",FALSE,TRUE),COUNTIF(metadata!B:B, metadata!B647) = 1,NOT(ISERROR(SUMPRODUCT(SEARCH(MID(metadata!B647,ROW(INDIRECT("1:"&amp;LEN(metadata!B647))), 1),"0123456789abcdefghijklmnopqrstuvwxyzABCDEFGHIJKLMNOPQRSTUVWXYZ.")))))</f>
        <v>0</v>
      </c>
      <c r="V647">
        <f>AND(IF(metadata!C647="",FALSE,TRUE),exact(metadata!C647,"UBERON:genitourinary"))</f>
        <v>0</v>
      </c>
      <c r="W647">
        <f>AND(IF(metadata!D647="",FALSE,TRUE),exact(metadata!D647,"UBERON:urine"))</f>
        <v>0</v>
      </c>
      <c r="X647">
        <f>AND(IF(metadata!E647="",FALSE,TRUE),exact(metadata!E647,"UBERON:kidney"))</f>
        <v>0</v>
      </c>
      <c r="Y647">
        <f>AND(IF(metadata!F647="",FALSE,TRUE),exact(metadata!F647,"animal corpus"))</f>
        <v>0</v>
      </c>
      <c r="Z647">
        <f>AND(IF(metadata!G647="",FALSE,TRUE),exact(metadata!G647,"urine"))</f>
        <v>0</v>
      </c>
      <c r="AA647">
        <f>AND(IF(metadata!H647="",FALSE,TRUE),exact(metadata!H647,"urine"))</f>
        <v>0</v>
      </c>
      <c r="AB647">
        <f>AND(IF(metadata!I647="",FALSE,TRUE),exact(metadata!I647,"urine metagenome"))</f>
        <v>0</v>
      </c>
      <c r="AC647">
        <f>AND(IF(metadata!J647="",FALSE,TRUE),exact(metadata!J647,"1346744"))</f>
        <v>0</v>
      </c>
    </row>
    <row r="648" spans="1:29">
      <c r="A648" s="4">
        <f>IF(B648=" "," ",HYPERLINK(CONCATENATE("#metadata!",ADDRESS(INDEX($P$2:$P$1001,MATCH(ROWS($N$2:N648),$N$2:$N$1001,0),0),1)),INDEX($S$2:$S$1001,MATCH(ROWS($N$2:N648),$N$2:$N$1001,0),0)))</f>
        <v>0</v>
      </c>
      <c r="B648" s="3">
        <f>IF(OR(INDEX($O$2:$O$1001,MATCH(ROWS($N$2:N648),$N$2:$N$1001,0),1)&gt;=100000,INDEX($U$1005:$AC$1005,1,MATCH(COLUMNS($U$1006:U1006),$U$1006:$AC$1006,0))&gt;=100000), " ",IF(INDEX($U$2:$AC$1001,MATCH(ROWS($N$2:N648),$N$2:$N$1001,0),MATCH(COLUMNS($U$1006:U1006),$U$1006:$AC$1006,0)), HYPERLINK("#",""), HYPERLINK(CONCATENATE("#metadata!", ADDRESS(INDEX($P$2:$P$1001,MATCH(ROWS($N$2:N648),$N$2:$N$1001,0),0), INDEX($U$1004:$AC$1004,1,MATCH(COLUMNS($U$1006:U1006),$U$1006:$AC$1006,0)))),"Fix")))</f>
        <v>0</v>
      </c>
      <c r="C648" s="3">
        <f>IF(OR(INDEX($O$2:$O$1001,MATCH(ROWS($N$2:N648),$N$2:$N$1001,0),1)&gt;=100000,INDEX($U$1005:$AC$1005,1,MATCH(COLUMNS($U$1006:V1006),$U$1006:$AC$1006,0))&gt;=100000), " ",IF(INDEX($U$2:$AC$1001,MATCH(ROWS($N$2:N648),$N$2:$N$1001,0),MATCH(COLUMNS($U$1006:V1006),$U$1006:$AC$1006,0)), HYPERLINK("#",""), HYPERLINK(CONCATENATE("#metadata!", ADDRESS(INDEX($P$2:$P$1001,MATCH(ROWS($N$2:N648),$N$2:$N$1001,0),0), INDEX($U$1004:$AC$1004,1,MATCH(COLUMNS($U$1006:V1006),$U$1006:$AC$1006,0)))),"Fix")))</f>
        <v>0</v>
      </c>
      <c r="D648" s="3">
        <f>IF(OR(INDEX($O$2:$O$1001,MATCH(ROWS($N$2:N648),$N$2:$N$1001,0),1)&gt;=100000,INDEX($U$1005:$AC$1005,1,MATCH(COLUMNS($U$1006:W1006),$U$1006:$AC$1006,0))&gt;=100000), " ",IF(INDEX($U$2:$AC$1001,MATCH(ROWS($N$2:N648),$N$2:$N$1001,0),MATCH(COLUMNS($U$1006:W1006),$U$1006:$AC$1006,0)), HYPERLINK("#",""), HYPERLINK(CONCATENATE("#metadata!", ADDRESS(INDEX($P$2:$P$1001,MATCH(ROWS($N$2:N648),$N$2:$N$1001,0),0), INDEX($U$1004:$AC$1004,1,MATCH(COLUMNS($U$1006:W1006),$U$1006:$AC$1006,0)))),"Fix")))</f>
        <v>0</v>
      </c>
      <c r="E648" s="3">
        <f>IF(OR(INDEX($O$2:$O$1001,MATCH(ROWS($N$2:N648),$N$2:$N$1001,0),1)&gt;=100000,INDEX($U$1005:$AC$1005,1,MATCH(COLUMNS($U$1006:X1006),$U$1006:$AC$1006,0))&gt;=100000), " ",IF(INDEX($U$2:$AC$1001,MATCH(ROWS($N$2:N648),$N$2:$N$1001,0),MATCH(COLUMNS($U$1006:X1006),$U$1006:$AC$1006,0)), HYPERLINK("#",""), HYPERLINK(CONCATENATE("#metadata!", ADDRESS(INDEX($P$2:$P$1001,MATCH(ROWS($N$2:N648),$N$2:$N$1001,0),0), INDEX($U$1004:$AC$1004,1,MATCH(COLUMNS($U$1006:X1006),$U$1006:$AC$1006,0)))),"Fix")))</f>
        <v>0</v>
      </c>
      <c r="F648" s="3">
        <f>IF(OR(INDEX($O$2:$O$1001,MATCH(ROWS($N$2:N648),$N$2:$N$1001,0),1)&gt;=100000,INDEX($U$1005:$AC$1005,1,MATCH(COLUMNS($U$1006:Y1006),$U$1006:$AC$1006,0))&gt;=100000), " ",IF(INDEX($U$2:$AC$1001,MATCH(ROWS($N$2:N648),$N$2:$N$1001,0),MATCH(COLUMNS($U$1006:Y1006),$U$1006:$AC$1006,0)), HYPERLINK("#",""), HYPERLINK(CONCATENATE("#metadata!", ADDRESS(INDEX($P$2:$P$1001,MATCH(ROWS($N$2:N648),$N$2:$N$1001,0),0), INDEX($U$1004:$AC$1004,1,MATCH(COLUMNS($U$1006:Y1006),$U$1006:$AC$1006,0)))),"Fix")))</f>
        <v>0</v>
      </c>
      <c r="G648" s="3">
        <f>IF(OR(INDEX($O$2:$O$1001,MATCH(ROWS($N$2:N648),$N$2:$N$1001,0),1)&gt;=100000,INDEX($U$1005:$AC$1005,1,MATCH(COLUMNS($U$1006:Z1006),$U$1006:$AC$1006,0))&gt;=100000), " ",IF(INDEX($U$2:$AC$1001,MATCH(ROWS($N$2:N648),$N$2:$N$1001,0),MATCH(COLUMNS($U$1006:Z1006),$U$1006:$AC$1006,0)), HYPERLINK("#",""), HYPERLINK(CONCATENATE("#metadata!", ADDRESS(INDEX($P$2:$P$1001,MATCH(ROWS($N$2:N648),$N$2:$N$1001,0),0), INDEX($U$1004:$AC$1004,1,MATCH(COLUMNS($U$1006:Z1006),$U$1006:$AC$1006,0)))),"Fix")))</f>
        <v>0</v>
      </c>
      <c r="H648" s="3">
        <f>IF(OR(INDEX($O$2:$O$1001,MATCH(ROWS($N$2:N648),$N$2:$N$1001,0),1)&gt;=100000,INDEX($U$1005:$AC$1005,1,MATCH(COLUMNS($U$1006:AA1006),$U$1006:$AC$1006,0))&gt;=100000), " ",IF(INDEX($U$2:$AC$1001,MATCH(ROWS($N$2:N648),$N$2:$N$1001,0),MATCH(COLUMNS($U$1006:AA1006),$U$1006:$AC$1006,0)), HYPERLINK("#",""), HYPERLINK(CONCATENATE("#metadata!", ADDRESS(INDEX($P$2:$P$1001,MATCH(ROWS($N$2:N648),$N$2:$N$1001,0),0), INDEX($U$1004:$AC$1004,1,MATCH(COLUMNS($U$1006:AA1006),$U$1006:$AC$1006,0)))),"Fix")))</f>
        <v>0</v>
      </c>
      <c r="I648" s="3">
        <f>IF(OR(INDEX($O$2:$O$1001,MATCH(ROWS($N$2:N648),$N$2:$N$1001,0),1)&gt;=100000,INDEX($U$1005:$AC$1005,1,MATCH(COLUMNS($U$1006:AB1006),$U$1006:$AC$1006,0))&gt;=100000), " ",IF(INDEX($U$2:$AC$1001,MATCH(ROWS($N$2:N648),$N$2:$N$1001,0),MATCH(COLUMNS($U$1006:AB1006),$U$1006:$AC$1006,0)), HYPERLINK("#",""), HYPERLINK(CONCATENATE("#metadata!", ADDRESS(INDEX($P$2:$P$1001,MATCH(ROWS($N$2:N648),$N$2:$N$1001,0),0), INDEX($U$1004:$AC$1004,1,MATCH(COLUMNS($U$1006:AB1006),$U$1006:$AC$1006,0)))),"Fix")))</f>
        <v>0</v>
      </c>
      <c r="J648" s="3">
        <f>IF(OR(INDEX($O$2:$O$1001,MATCH(ROWS($N$2:N648),$N$2:$N$1001,0),1)&gt;=100000,INDEX($U$1005:$AC$1005,1,MATCH(COLUMNS($U$1006:AC1006),$U$1006:$AC$1006,0))&gt;=100000), " ",IF(INDEX($U$2:$AC$1001,MATCH(ROWS($N$2:N648),$N$2:$N$1001,0),MATCH(COLUMNS($U$1006:AC1006),$U$1006:$AC$1006,0)), HYPERLINK("#",""), HYPERLINK(CONCATENATE("#metadata!", ADDRESS(INDEX($P$2:$P$1001,MATCH(ROWS($N$2:N648),$N$2:$N$1001,0),0), INDEX($U$1004:$AC$1004,1,MATCH(COLUMNS($U$1006:AC1006),$U$1006:$AC$1006,0)))),"Fix")))</f>
        <v>0</v>
      </c>
      <c r="N648">
        <v>0</v>
      </c>
      <c r="O648">
        <v>0</v>
      </c>
      <c r="P648">
        <v>0</v>
      </c>
      <c r="Q648">
        <f>IF(R648,TRUE,AND(U648:AC648))</f>
        <v>0</v>
      </c>
      <c r="R648">
        <f>COUNTBLANK(metadata!B648:J648)=COLUMNS(metadata!B648:J648)</f>
        <v>0</v>
      </c>
      <c r="S648">
        <v>0</v>
      </c>
      <c r="U648">
        <f>AND(IF(metadata!B648="",FALSE,TRUE),COUNTIF(metadata!B:B, metadata!B648) = 1,NOT(ISERROR(SUMPRODUCT(SEARCH(MID(metadata!B648,ROW(INDIRECT("1:"&amp;LEN(metadata!B648))), 1),"0123456789abcdefghijklmnopqrstuvwxyzABCDEFGHIJKLMNOPQRSTUVWXYZ.")))))</f>
        <v>0</v>
      </c>
      <c r="V648">
        <f>AND(IF(metadata!C648="",FALSE,TRUE),exact(metadata!C648,"UBERON:genitourinary"))</f>
        <v>0</v>
      </c>
      <c r="W648">
        <f>AND(IF(metadata!D648="",FALSE,TRUE),exact(metadata!D648,"UBERON:urine"))</f>
        <v>0</v>
      </c>
      <c r="X648">
        <f>AND(IF(metadata!E648="",FALSE,TRUE),exact(metadata!E648,"UBERON:kidney"))</f>
        <v>0</v>
      </c>
      <c r="Y648">
        <f>AND(IF(metadata!F648="",FALSE,TRUE),exact(metadata!F648,"animal corpus"))</f>
        <v>0</v>
      </c>
      <c r="Z648">
        <f>AND(IF(metadata!G648="",FALSE,TRUE),exact(metadata!G648,"urine"))</f>
        <v>0</v>
      </c>
      <c r="AA648">
        <f>AND(IF(metadata!H648="",FALSE,TRUE),exact(metadata!H648,"urine"))</f>
        <v>0</v>
      </c>
      <c r="AB648">
        <f>AND(IF(metadata!I648="",FALSE,TRUE),exact(metadata!I648,"urine metagenome"))</f>
        <v>0</v>
      </c>
      <c r="AC648">
        <f>AND(IF(metadata!J648="",FALSE,TRUE),exact(metadata!J648,"1346744"))</f>
        <v>0</v>
      </c>
    </row>
    <row r="649" spans="1:29">
      <c r="A649" s="4">
        <f>IF(B649=" "," ",HYPERLINK(CONCATENATE("#metadata!",ADDRESS(INDEX($P$2:$P$1001,MATCH(ROWS($N$2:N649),$N$2:$N$1001,0),0),1)),INDEX($S$2:$S$1001,MATCH(ROWS($N$2:N649),$N$2:$N$1001,0),0)))</f>
        <v>0</v>
      </c>
      <c r="B649" s="3">
        <f>IF(OR(INDEX($O$2:$O$1001,MATCH(ROWS($N$2:N649),$N$2:$N$1001,0),1)&gt;=100000,INDEX($U$1005:$AC$1005,1,MATCH(COLUMNS($U$1006:U1006),$U$1006:$AC$1006,0))&gt;=100000), " ",IF(INDEX($U$2:$AC$1001,MATCH(ROWS($N$2:N649),$N$2:$N$1001,0),MATCH(COLUMNS($U$1006:U1006),$U$1006:$AC$1006,0)), HYPERLINK("#",""), HYPERLINK(CONCATENATE("#metadata!", ADDRESS(INDEX($P$2:$P$1001,MATCH(ROWS($N$2:N649),$N$2:$N$1001,0),0), INDEX($U$1004:$AC$1004,1,MATCH(COLUMNS($U$1006:U1006),$U$1006:$AC$1006,0)))),"Fix")))</f>
        <v>0</v>
      </c>
      <c r="C649" s="3">
        <f>IF(OR(INDEX($O$2:$O$1001,MATCH(ROWS($N$2:N649),$N$2:$N$1001,0),1)&gt;=100000,INDEX($U$1005:$AC$1005,1,MATCH(COLUMNS($U$1006:V1006),$U$1006:$AC$1006,0))&gt;=100000), " ",IF(INDEX($U$2:$AC$1001,MATCH(ROWS($N$2:N649),$N$2:$N$1001,0),MATCH(COLUMNS($U$1006:V1006),$U$1006:$AC$1006,0)), HYPERLINK("#",""), HYPERLINK(CONCATENATE("#metadata!", ADDRESS(INDEX($P$2:$P$1001,MATCH(ROWS($N$2:N649),$N$2:$N$1001,0),0), INDEX($U$1004:$AC$1004,1,MATCH(COLUMNS($U$1006:V1006),$U$1006:$AC$1006,0)))),"Fix")))</f>
        <v>0</v>
      </c>
      <c r="D649" s="3">
        <f>IF(OR(INDEX($O$2:$O$1001,MATCH(ROWS($N$2:N649),$N$2:$N$1001,0),1)&gt;=100000,INDEX($U$1005:$AC$1005,1,MATCH(COLUMNS($U$1006:W1006),$U$1006:$AC$1006,0))&gt;=100000), " ",IF(INDEX($U$2:$AC$1001,MATCH(ROWS($N$2:N649),$N$2:$N$1001,0),MATCH(COLUMNS($U$1006:W1006),$U$1006:$AC$1006,0)), HYPERLINK("#",""), HYPERLINK(CONCATENATE("#metadata!", ADDRESS(INDEX($P$2:$P$1001,MATCH(ROWS($N$2:N649),$N$2:$N$1001,0),0), INDEX($U$1004:$AC$1004,1,MATCH(COLUMNS($U$1006:W1006),$U$1006:$AC$1006,0)))),"Fix")))</f>
        <v>0</v>
      </c>
      <c r="E649" s="3">
        <f>IF(OR(INDEX($O$2:$O$1001,MATCH(ROWS($N$2:N649),$N$2:$N$1001,0),1)&gt;=100000,INDEX($U$1005:$AC$1005,1,MATCH(COLUMNS($U$1006:X1006),$U$1006:$AC$1006,0))&gt;=100000), " ",IF(INDEX($U$2:$AC$1001,MATCH(ROWS($N$2:N649),$N$2:$N$1001,0),MATCH(COLUMNS($U$1006:X1006),$U$1006:$AC$1006,0)), HYPERLINK("#",""), HYPERLINK(CONCATENATE("#metadata!", ADDRESS(INDEX($P$2:$P$1001,MATCH(ROWS($N$2:N649),$N$2:$N$1001,0),0), INDEX($U$1004:$AC$1004,1,MATCH(COLUMNS($U$1006:X1006),$U$1006:$AC$1006,0)))),"Fix")))</f>
        <v>0</v>
      </c>
      <c r="F649" s="3">
        <f>IF(OR(INDEX($O$2:$O$1001,MATCH(ROWS($N$2:N649),$N$2:$N$1001,0),1)&gt;=100000,INDEX($U$1005:$AC$1005,1,MATCH(COLUMNS($U$1006:Y1006),$U$1006:$AC$1006,0))&gt;=100000), " ",IF(INDEX($U$2:$AC$1001,MATCH(ROWS($N$2:N649),$N$2:$N$1001,0),MATCH(COLUMNS($U$1006:Y1006),$U$1006:$AC$1006,0)), HYPERLINK("#",""), HYPERLINK(CONCATENATE("#metadata!", ADDRESS(INDEX($P$2:$P$1001,MATCH(ROWS($N$2:N649),$N$2:$N$1001,0),0), INDEX($U$1004:$AC$1004,1,MATCH(COLUMNS($U$1006:Y1006),$U$1006:$AC$1006,0)))),"Fix")))</f>
        <v>0</v>
      </c>
      <c r="G649" s="3">
        <f>IF(OR(INDEX($O$2:$O$1001,MATCH(ROWS($N$2:N649),$N$2:$N$1001,0),1)&gt;=100000,INDEX($U$1005:$AC$1005,1,MATCH(COLUMNS($U$1006:Z1006),$U$1006:$AC$1006,0))&gt;=100000), " ",IF(INDEX($U$2:$AC$1001,MATCH(ROWS($N$2:N649),$N$2:$N$1001,0),MATCH(COLUMNS($U$1006:Z1006),$U$1006:$AC$1006,0)), HYPERLINK("#",""), HYPERLINK(CONCATENATE("#metadata!", ADDRESS(INDEX($P$2:$P$1001,MATCH(ROWS($N$2:N649),$N$2:$N$1001,0),0), INDEX($U$1004:$AC$1004,1,MATCH(COLUMNS($U$1006:Z1006),$U$1006:$AC$1006,0)))),"Fix")))</f>
        <v>0</v>
      </c>
      <c r="H649" s="3">
        <f>IF(OR(INDEX($O$2:$O$1001,MATCH(ROWS($N$2:N649),$N$2:$N$1001,0),1)&gt;=100000,INDEX($U$1005:$AC$1005,1,MATCH(COLUMNS($U$1006:AA1006),$U$1006:$AC$1006,0))&gt;=100000), " ",IF(INDEX($U$2:$AC$1001,MATCH(ROWS($N$2:N649),$N$2:$N$1001,0),MATCH(COLUMNS($U$1006:AA1006),$U$1006:$AC$1006,0)), HYPERLINK("#",""), HYPERLINK(CONCATENATE("#metadata!", ADDRESS(INDEX($P$2:$P$1001,MATCH(ROWS($N$2:N649),$N$2:$N$1001,0),0), INDEX($U$1004:$AC$1004,1,MATCH(COLUMNS($U$1006:AA1006),$U$1006:$AC$1006,0)))),"Fix")))</f>
        <v>0</v>
      </c>
      <c r="I649" s="3">
        <f>IF(OR(INDEX($O$2:$O$1001,MATCH(ROWS($N$2:N649),$N$2:$N$1001,0),1)&gt;=100000,INDEX($U$1005:$AC$1005,1,MATCH(COLUMNS($U$1006:AB1006),$U$1006:$AC$1006,0))&gt;=100000), " ",IF(INDEX($U$2:$AC$1001,MATCH(ROWS($N$2:N649),$N$2:$N$1001,0),MATCH(COLUMNS($U$1006:AB1006),$U$1006:$AC$1006,0)), HYPERLINK("#",""), HYPERLINK(CONCATENATE("#metadata!", ADDRESS(INDEX($P$2:$P$1001,MATCH(ROWS($N$2:N649),$N$2:$N$1001,0),0), INDEX($U$1004:$AC$1004,1,MATCH(COLUMNS($U$1006:AB1006),$U$1006:$AC$1006,0)))),"Fix")))</f>
        <v>0</v>
      </c>
      <c r="J649" s="3">
        <f>IF(OR(INDEX($O$2:$O$1001,MATCH(ROWS($N$2:N649),$N$2:$N$1001,0),1)&gt;=100000,INDEX($U$1005:$AC$1005,1,MATCH(COLUMNS($U$1006:AC1006),$U$1006:$AC$1006,0))&gt;=100000), " ",IF(INDEX($U$2:$AC$1001,MATCH(ROWS($N$2:N649),$N$2:$N$1001,0),MATCH(COLUMNS($U$1006:AC1006),$U$1006:$AC$1006,0)), HYPERLINK("#",""), HYPERLINK(CONCATENATE("#metadata!", ADDRESS(INDEX($P$2:$P$1001,MATCH(ROWS($N$2:N649),$N$2:$N$1001,0),0), INDEX($U$1004:$AC$1004,1,MATCH(COLUMNS($U$1006:AC1006),$U$1006:$AC$1006,0)))),"Fix")))</f>
        <v>0</v>
      </c>
      <c r="N649">
        <v>0</v>
      </c>
      <c r="O649">
        <v>0</v>
      </c>
      <c r="P649">
        <v>0</v>
      </c>
      <c r="Q649">
        <f>IF(R649,TRUE,AND(U649:AC649))</f>
        <v>0</v>
      </c>
      <c r="R649">
        <f>COUNTBLANK(metadata!B649:J649)=COLUMNS(metadata!B649:J649)</f>
        <v>0</v>
      </c>
      <c r="S649">
        <v>0</v>
      </c>
      <c r="U649">
        <f>AND(IF(metadata!B649="",FALSE,TRUE),COUNTIF(metadata!B:B, metadata!B649) = 1,NOT(ISERROR(SUMPRODUCT(SEARCH(MID(metadata!B649,ROW(INDIRECT("1:"&amp;LEN(metadata!B649))), 1),"0123456789abcdefghijklmnopqrstuvwxyzABCDEFGHIJKLMNOPQRSTUVWXYZ.")))))</f>
        <v>0</v>
      </c>
      <c r="V649">
        <f>AND(IF(metadata!C649="",FALSE,TRUE),exact(metadata!C649,"UBERON:genitourinary"))</f>
        <v>0</v>
      </c>
      <c r="W649">
        <f>AND(IF(metadata!D649="",FALSE,TRUE),exact(metadata!D649,"UBERON:urine"))</f>
        <v>0</v>
      </c>
      <c r="X649">
        <f>AND(IF(metadata!E649="",FALSE,TRUE),exact(metadata!E649,"UBERON:kidney"))</f>
        <v>0</v>
      </c>
      <c r="Y649">
        <f>AND(IF(metadata!F649="",FALSE,TRUE),exact(metadata!F649,"animal corpus"))</f>
        <v>0</v>
      </c>
      <c r="Z649">
        <f>AND(IF(metadata!G649="",FALSE,TRUE),exact(metadata!G649,"urine"))</f>
        <v>0</v>
      </c>
      <c r="AA649">
        <f>AND(IF(metadata!H649="",FALSE,TRUE),exact(metadata!H649,"urine"))</f>
        <v>0</v>
      </c>
      <c r="AB649">
        <f>AND(IF(metadata!I649="",FALSE,TRUE),exact(metadata!I649,"urine metagenome"))</f>
        <v>0</v>
      </c>
      <c r="AC649">
        <f>AND(IF(metadata!J649="",FALSE,TRUE),exact(metadata!J649,"1346744"))</f>
        <v>0</v>
      </c>
    </row>
    <row r="650" spans="1:29">
      <c r="A650" s="4">
        <f>IF(B650=" "," ",HYPERLINK(CONCATENATE("#metadata!",ADDRESS(INDEX($P$2:$P$1001,MATCH(ROWS($N$2:N650),$N$2:$N$1001,0),0),1)),INDEX($S$2:$S$1001,MATCH(ROWS($N$2:N650),$N$2:$N$1001,0),0)))</f>
        <v>0</v>
      </c>
      <c r="B650" s="3">
        <f>IF(OR(INDEX($O$2:$O$1001,MATCH(ROWS($N$2:N650),$N$2:$N$1001,0),1)&gt;=100000,INDEX($U$1005:$AC$1005,1,MATCH(COLUMNS($U$1006:U1006),$U$1006:$AC$1006,0))&gt;=100000), " ",IF(INDEX($U$2:$AC$1001,MATCH(ROWS($N$2:N650),$N$2:$N$1001,0),MATCH(COLUMNS($U$1006:U1006),$U$1006:$AC$1006,0)), HYPERLINK("#",""), HYPERLINK(CONCATENATE("#metadata!", ADDRESS(INDEX($P$2:$P$1001,MATCH(ROWS($N$2:N650),$N$2:$N$1001,0),0), INDEX($U$1004:$AC$1004,1,MATCH(COLUMNS($U$1006:U1006),$U$1006:$AC$1006,0)))),"Fix")))</f>
        <v>0</v>
      </c>
      <c r="C650" s="3">
        <f>IF(OR(INDEX($O$2:$O$1001,MATCH(ROWS($N$2:N650),$N$2:$N$1001,0),1)&gt;=100000,INDEX($U$1005:$AC$1005,1,MATCH(COLUMNS($U$1006:V1006),$U$1006:$AC$1006,0))&gt;=100000), " ",IF(INDEX($U$2:$AC$1001,MATCH(ROWS($N$2:N650),$N$2:$N$1001,0),MATCH(COLUMNS($U$1006:V1006),$U$1006:$AC$1006,0)), HYPERLINK("#",""), HYPERLINK(CONCATENATE("#metadata!", ADDRESS(INDEX($P$2:$P$1001,MATCH(ROWS($N$2:N650),$N$2:$N$1001,0),0), INDEX($U$1004:$AC$1004,1,MATCH(COLUMNS($U$1006:V1006),$U$1006:$AC$1006,0)))),"Fix")))</f>
        <v>0</v>
      </c>
      <c r="D650" s="3">
        <f>IF(OR(INDEX($O$2:$O$1001,MATCH(ROWS($N$2:N650),$N$2:$N$1001,0),1)&gt;=100000,INDEX($U$1005:$AC$1005,1,MATCH(COLUMNS($U$1006:W1006),$U$1006:$AC$1006,0))&gt;=100000), " ",IF(INDEX($U$2:$AC$1001,MATCH(ROWS($N$2:N650),$N$2:$N$1001,0),MATCH(COLUMNS($U$1006:W1006),$U$1006:$AC$1006,0)), HYPERLINK("#",""), HYPERLINK(CONCATENATE("#metadata!", ADDRESS(INDEX($P$2:$P$1001,MATCH(ROWS($N$2:N650),$N$2:$N$1001,0),0), INDEX($U$1004:$AC$1004,1,MATCH(COLUMNS($U$1006:W1006),$U$1006:$AC$1006,0)))),"Fix")))</f>
        <v>0</v>
      </c>
      <c r="E650" s="3">
        <f>IF(OR(INDEX($O$2:$O$1001,MATCH(ROWS($N$2:N650),$N$2:$N$1001,0),1)&gt;=100000,INDEX($U$1005:$AC$1005,1,MATCH(COLUMNS($U$1006:X1006),$U$1006:$AC$1006,0))&gt;=100000), " ",IF(INDEX($U$2:$AC$1001,MATCH(ROWS($N$2:N650),$N$2:$N$1001,0),MATCH(COLUMNS($U$1006:X1006),$U$1006:$AC$1006,0)), HYPERLINK("#",""), HYPERLINK(CONCATENATE("#metadata!", ADDRESS(INDEX($P$2:$P$1001,MATCH(ROWS($N$2:N650),$N$2:$N$1001,0),0), INDEX($U$1004:$AC$1004,1,MATCH(COLUMNS($U$1006:X1006),$U$1006:$AC$1006,0)))),"Fix")))</f>
        <v>0</v>
      </c>
      <c r="F650" s="3">
        <f>IF(OR(INDEX($O$2:$O$1001,MATCH(ROWS($N$2:N650),$N$2:$N$1001,0),1)&gt;=100000,INDEX($U$1005:$AC$1005,1,MATCH(COLUMNS($U$1006:Y1006),$U$1006:$AC$1006,0))&gt;=100000), " ",IF(INDEX($U$2:$AC$1001,MATCH(ROWS($N$2:N650),$N$2:$N$1001,0),MATCH(COLUMNS($U$1006:Y1006),$U$1006:$AC$1006,0)), HYPERLINK("#",""), HYPERLINK(CONCATENATE("#metadata!", ADDRESS(INDEX($P$2:$P$1001,MATCH(ROWS($N$2:N650),$N$2:$N$1001,0),0), INDEX($U$1004:$AC$1004,1,MATCH(COLUMNS($U$1006:Y1006),$U$1006:$AC$1006,0)))),"Fix")))</f>
        <v>0</v>
      </c>
      <c r="G650" s="3">
        <f>IF(OR(INDEX($O$2:$O$1001,MATCH(ROWS($N$2:N650),$N$2:$N$1001,0),1)&gt;=100000,INDEX($U$1005:$AC$1005,1,MATCH(COLUMNS($U$1006:Z1006),$U$1006:$AC$1006,0))&gt;=100000), " ",IF(INDEX($U$2:$AC$1001,MATCH(ROWS($N$2:N650),$N$2:$N$1001,0),MATCH(COLUMNS($U$1006:Z1006),$U$1006:$AC$1006,0)), HYPERLINK("#",""), HYPERLINK(CONCATENATE("#metadata!", ADDRESS(INDEX($P$2:$P$1001,MATCH(ROWS($N$2:N650),$N$2:$N$1001,0),0), INDEX($U$1004:$AC$1004,1,MATCH(COLUMNS($U$1006:Z1006),$U$1006:$AC$1006,0)))),"Fix")))</f>
        <v>0</v>
      </c>
      <c r="H650" s="3">
        <f>IF(OR(INDEX($O$2:$O$1001,MATCH(ROWS($N$2:N650),$N$2:$N$1001,0),1)&gt;=100000,INDEX($U$1005:$AC$1005,1,MATCH(COLUMNS($U$1006:AA1006),$U$1006:$AC$1006,0))&gt;=100000), " ",IF(INDEX($U$2:$AC$1001,MATCH(ROWS($N$2:N650),$N$2:$N$1001,0),MATCH(COLUMNS($U$1006:AA1006),$U$1006:$AC$1006,0)), HYPERLINK("#",""), HYPERLINK(CONCATENATE("#metadata!", ADDRESS(INDEX($P$2:$P$1001,MATCH(ROWS($N$2:N650),$N$2:$N$1001,0),0), INDEX($U$1004:$AC$1004,1,MATCH(COLUMNS($U$1006:AA1006),$U$1006:$AC$1006,0)))),"Fix")))</f>
        <v>0</v>
      </c>
      <c r="I650" s="3">
        <f>IF(OR(INDEX($O$2:$O$1001,MATCH(ROWS($N$2:N650),$N$2:$N$1001,0),1)&gt;=100000,INDEX($U$1005:$AC$1005,1,MATCH(COLUMNS($U$1006:AB1006),$U$1006:$AC$1006,0))&gt;=100000), " ",IF(INDEX($U$2:$AC$1001,MATCH(ROWS($N$2:N650),$N$2:$N$1001,0),MATCH(COLUMNS($U$1006:AB1006),$U$1006:$AC$1006,0)), HYPERLINK("#",""), HYPERLINK(CONCATENATE("#metadata!", ADDRESS(INDEX($P$2:$P$1001,MATCH(ROWS($N$2:N650),$N$2:$N$1001,0),0), INDEX($U$1004:$AC$1004,1,MATCH(COLUMNS($U$1006:AB1006),$U$1006:$AC$1006,0)))),"Fix")))</f>
        <v>0</v>
      </c>
      <c r="J650" s="3">
        <f>IF(OR(INDEX($O$2:$O$1001,MATCH(ROWS($N$2:N650),$N$2:$N$1001,0),1)&gt;=100000,INDEX($U$1005:$AC$1005,1,MATCH(COLUMNS($U$1006:AC1006),$U$1006:$AC$1006,0))&gt;=100000), " ",IF(INDEX($U$2:$AC$1001,MATCH(ROWS($N$2:N650),$N$2:$N$1001,0),MATCH(COLUMNS($U$1006:AC1006),$U$1006:$AC$1006,0)), HYPERLINK("#",""), HYPERLINK(CONCATENATE("#metadata!", ADDRESS(INDEX($P$2:$P$1001,MATCH(ROWS($N$2:N650),$N$2:$N$1001,0),0), INDEX($U$1004:$AC$1004,1,MATCH(COLUMNS($U$1006:AC1006),$U$1006:$AC$1006,0)))),"Fix")))</f>
        <v>0</v>
      </c>
      <c r="N650">
        <v>0</v>
      </c>
      <c r="O650">
        <v>0</v>
      </c>
      <c r="P650">
        <v>0</v>
      </c>
      <c r="Q650">
        <f>IF(R650,TRUE,AND(U650:AC650))</f>
        <v>0</v>
      </c>
      <c r="R650">
        <f>COUNTBLANK(metadata!B650:J650)=COLUMNS(metadata!B650:J650)</f>
        <v>0</v>
      </c>
      <c r="S650">
        <v>0</v>
      </c>
      <c r="U650">
        <f>AND(IF(metadata!B650="",FALSE,TRUE),COUNTIF(metadata!B:B, metadata!B650) = 1,NOT(ISERROR(SUMPRODUCT(SEARCH(MID(metadata!B650,ROW(INDIRECT("1:"&amp;LEN(metadata!B650))), 1),"0123456789abcdefghijklmnopqrstuvwxyzABCDEFGHIJKLMNOPQRSTUVWXYZ.")))))</f>
        <v>0</v>
      </c>
      <c r="V650">
        <f>AND(IF(metadata!C650="",FALSE,TRUE),exact(metadata!C650,"UBERON:genitourinary"))</f>
        <v>0</v>
      </c>
      <c r="W650">
        <f>AND(IF(metadata!D650="",FALSE,TRUE),exact(metadata!D650,"UBERON:urine"))</f>
        <v>0</v>
      </c>
      <c r="X650">
        <f>AND(IF(metadata!E650="",FALSE,TRUE),exact(metadata!E650,"UBERON:kidney"))</f>
        <v>0</v>
      </c>
      <c r="Y650">
        <f>AND(IF(metadata!F650="",FALSE,TRUE),exact(metadata!F650,"animal corpus"))</f>
        <v>0</v>
      </c>
      <c r="Z650">
        <f>AND(IF(metadata!G650="",FALSE,TRUE),exact(metadata!G650,"urine"))</f>
        <v>0</v>
      </c>
      <c r="AA650">
        <f>AND(IF(metadata!H650="",FALSE,TRUE),exact(metadata!H650,"urine"))</f>
        <v>0</v>
      </c>
      <c r="AB650">
        <f>AND(IF(metadata!I650="",FALSE,TRUE),exact(metadata!I650,"urine metagenome"))</f>
        <v>0</v>
      </c>
      <c r="AC650">
        <f>AND(IF(metadata!J650="",FALSE,TRUE),exact(metadata!J650,"1346744"))</f>
        <v>0</v>
      </c>
    </row>
    <row r="651" spans="1:29">
      <c r="A651" s="4">
        <f>IF(B651=" "," ",HYPERLINK(CONCATENATE("#metadata!",ADDRESS(INDEX($P$2:$P$1001,MATCH(ROWS($N$2:N651),$N$2:$N$1001,0),0),1)),INDEX($S$2:$S$1001,MATCH(ROWS($N$2:N651),$N$2:$N$1001,0),0)))</f>
        <v>0</v>
      </c>
      <c r="B651" s="3">
        <f>IF(OR(INDEX($O$2:$O$1001,MATCH(ROWS($N$2:N651),$N$2:$N$1001,0),1)&gt;=100000,INDEX($U$1005:$AC$1005,1,MATCH(COLUMNS($U$1006:U1006),$U$1006:$AC$1006,0))&gt;=100000), " ",IF(INDEX($U$2:$AC$1001,MATCH(ROWS($N$2:N651),$N$2:$N$1001,0),MATCH(COLUMNS($U$1006:U1006),$U$1006:$AC$1006,0)), HYPERLINK("#",""), HYPERLINK(CONCATENATE("#metadata!", ADDRESS(INDEX($P$2:$P$1001,MATCH(ROWS($N$2:N651),$N$2:$N$1001,0),0), INDEX($U$1004:$AC$1004,1,MATCH(COLUMNS($U$1006:U1006),$U$1006:$AC$1006,0)))),"Fix")))</f>
        <v>0</v>
      </c>
      <c r="C651" s="3">
        <f>IF(OR(INDEX($O$2:$O$1001,MATCH(ROWS($N$2:N651),$N$2:$N$1001,0),1)&gt;=100000,INDEX($U$1005:$AC$1005,1,MATCH(COLUMNS($U$1006:V1006),$U$1006:$AC$1006,0))&gt;=100000), " ",IF(INDEX($U$2:$AC$1001,MATCH(ROWS($N$2:N651),$N$2:$N$1001,0),MATCH(COLUMNS($U$1006:V1006),$U$1006:$AC$1006,0)), HYPERLINK("#",""), HYPERLINK(CONCATENATE("#metadata!", ADDRESS(INDEX($P$2:$P$1001,MATCH(ROWS($N$2:N651),$N$2:$N$1001,0),0), INDEX($U$1004:$AC$1004,1,MATCH(COLUMNS($U$1006:V1006),$U$1006:$AC$1006,0)))),"Fix")))</f>
        <v>0</v>
      </c>
      <c r="D651" s="3">
        <f>IF(OR(INDEX($O$2:$O$1001,MATCH(ROWS($N$2:N651),$N$2:$N$1001,0),1)&gt;=100000,INDEX($U$1005:$AC$1005,1,MATCH(COLUMNS($U$1006:W1006),$U$1006:$AC$1006,0))&gt;=100000), " ",IF(INDEX($U$2:$AC$1001,MATCH(ROWS($N$2:N651),$N$2:$N$1001,0),MATCH(COLUMNS($U$1006:W1006),$U$1006:$AC$1006,0)), HYPERLINK("#",""), HYPERLINK(CONCATENATE("#metadata!", ADDRESS(INDEX($P$2:$P$1001,MATCH(ROWS($N$2:N651),$N$2:$N$1001,0),0), INDEX($U$1004:$AC$1004,1,MATCH(COLUMNS($U$1006:W1006),$U$1006:$AC$1006,0)))),"Fix")))</f>
        <v>0</v>
      </c>
      <c r="E651" s="3">
        <f>IF(OR(INDEX($O$2:$O$1001,MATCH(ROWS($N$2:N651),$N$2:$N$1001,0),1)&gt;=100000,INDEX($U$1005:$AC$1005,1,MATCH(COLUMNS($U$1006:X1006),$U$1006:$AC$1006,0))&gt;=100000), " ",IF(INDEX($U$2:$AC$1001,MATCH(ROWS($N$2:N651),$N$2:$N$1001,0),MATCH(COLUMNS($U$1006:X1006),$U$1006:$AC$1006,0)), HYPERLINK("#",""), HYPERLINK(CONCATENATE("#metadata!", ADDRESS(INDEX($P$2:$P$1001,MATCH(ROWS($N$2:N651),$N$2:$N$1001,0),0), INDEX($U$1004:$AC$1004,1,MATCH(COLUMNS($U$1006:X1006),$U$1006:$AC$1006,0)))),"Fix")))</f>
        <v>0</v>
      </c>
      <c r="F651" s="3">
        <f>IF(OR(INDEX($O$2:$O$1001,MATCH(ROWS($N$2:N651),$N$2:$N$1001,0),1)&gt;=100000,INDEX($U$1005:$AC$1005,1,MATCH(COLUMNS($U$1006:Y1006),$U$1006:$AC$1006,0))&gt;=100000), " ",IF(INDEX($U$2:$AC$1001,MATCH(ROWS($N$2:N651),$N$2:$N$1001,0),MATCH(COLUMNS($U$1006:Y1006),$U$1006:$AC$1006,0)), HYPERLINK("#",""), HYPERLINK(CONCATENATE("#metadata!", ADDRESS(INDEX($P$2:$P$1001,MATCH(ROWS($N$2:N651),$N$2:$N$1001,0),0), INDEX($U$1004:$AC$1004,1,MATCH(COLUMNS($U$1006:Y1006),$U$1006:$AC$1006,0)))),"Fix")))</f>
        <v>0</v>
      </c>
      <c r="G651" s="3">
        <f>IF(OR(INDEX($O$2:$O$1001,MATCH(ROWS($N$2:N651),$N$2:$N$1001,0),1)&gt;=100000,INDEX($U$1005:$AC$1005,1,MATCH(COLUMNS($U$1006:Z1006),$U$1006:$AC$1006,0))&gt;=100000), " ",IF(INDEX($U$2:$AC$1001,MATCH(ROWS($N$2:N651),$N$2:$N$1001,0),MATCH(COLUMNS($U$1006:Z1006),$U$1006:$AC$1006,0)), HYPERLINK("#",""), HYPERLINK(CONCATENATE("#metadata!", ADDRESS(INDEX($P$2:$P$1001,MATCH(ROWS($N$2:N651),$N$2:$N$1001,0),0), INDEX($U$1004:$AC$1004,1,MATCH(COLUMNS($U$1006:Z1006),$U$1006:$AC$1006,0)))),"Fix")))</f>
        <v>0</v>
      </c>
      <c r="H651" s="3">
        <f>IF(OR(INDEX($O$2:$O$1001,MATCH(ROWS($N$2:N651),$N$2:$N$1001,0),1)&gt;=100000,INDEX($U$1005:$AC$1005,1,MATCH(COLUMNS($U$1006:AA1006),$U$1006:$AC$1006,0))&gt;=100000), " ",IF(INDEX($U$2:$AC$1001,MATCH(ROWS($N$2:N651),$N$2:$N$1001,0),MATCH(COLUMNS($U$1006:AA1006),$U$1006:$AC$1006,0)), HYPERLINK("#",""), HYPERLINK(CONCATENATE("#metadata!", ADDRESS(INDEX($P$2:$P$1001,MATCH(ROWS($N$2:N651),$N$2:$N$1001,0),0), INDEX($U$1004:$AC$1004,1,MATCH(COLUMNS($U$1006:AA1006),$U$1006:$AC$1006,0)))),"Fix")))</f>
        <v>0</v>
      </c>
      <c r="I651" s="3">
        <f>IF(OR(INDEX($O$2:$O$1001,MATCH(ROWS($N$2:N651),$N$2:$N$1001,0),1)&gt;=100000,INDEX($U$1005:$AC$1005,1,MATCH(COLUMNS($U$1006:AB1006),$U$1006:$AC$1006,0))&gt;=100000), " ",IF(INDEX($U$2:$AC$1001,MATCH(ROWS($N$2:N651),$N$2:$N$1001,0),MATCH(COLUMNS($U$1006:AB1006),$U$1006:$AC$1006,0)), HYPERLINK("#",""), HYPERLINK(CONCATENATE("#metadata!", ADDRESS(INDEX($P$2:$P$1001,MATCH(ROWS($N$2:N651),$N$2:$N$1001,0),0), INDEX($U$1004:$AC$1004,1,MATCH(COLUMNS($U$1006:AB1006),$U$1006:$AC$1006,0)))),"Fix")))</f>
        <v>0</v>
      </c>
      <c r="J651" s="3">
        <f>IF(OR(INDEX($O$2:$O$1001,MATCH(ROWS($N$2:N651),$N$2:$N$1001,0),1)&gt;=100000,INDEX($U$1005:$AC$1005,1,MATCH(COLUMNS($U$1006:AC1006),$U$1006:$AC$1006,0))&gt;=100000), " ",IF(INDEX($U$2:$AC$1001,MATCH(ROWS($N$2:N651),$N$2:$N$1001,0),MATCH(COLUMNS($U$1006:AC1006),$U$1006:$AC$1006,0)), HYPERLINK("#",""), HYPERLINK(CONCATENATE("#metadata!", ADDRESS(INDEX($P$2:$P$1001,MATCH(ROWS($N$2:N651),$N$2:$N$1001,0),0), INDEX($U$1004:$AC$1004,1,MATCH(COLUMNS($U$1006:AC1006),$U$1006:$AC$1006,0)))),"Fix")))</f>
        <v>0</v>
      </c>
      <c r="N651">
        <v>0</v>
      </c>
      <c r="O651">
        <v>0</v>
      </c>
      <c r="P651">
        <v>0</v>
      </c>
      <c r="Q651">
        <f>IF(R651,TRUE,AND(U651:AC651))</f>
        <v>0</v>
      </c>
      <c r="R651">
        <f>COUNTBLANK(metadata!B651:J651)=COLUMNS(metadata!B651:J651)</f>
        <v>0</v>
      </c>
      <c r="S651">
        <v>0</v>
      </c>
      <c r="U651">
        <f>AND(IF(metadata!B651="",FALSE,TRUE),COUNTIF(metadata!B:B, metadata!B651) = 1,NOT(ISERROR(SUMPRODUCT(SEARCH(MID(metadata!B651,ROW(INDIRECT("1:"&amp;LEN(metadata!B651))), 1),"0123456789abcdefghijklmnopqrstuvwxyzABCDEFGHIJKLMNOPQRSTUVWXYZ.")))))</f>
        <v>0</v>
      </c>
      <c r="V651">
        <f>AND(IF(metadata!C651="",FALSE,TRUE),exact(metadata!C651,"UBERON:genitourinary"))</f>
        <v>0</v>
      </c>
      <c r="W651">
        <f>AND(IF(metadata!D651="",FALSE,TRUE),exact(metadata!D651,"UBERON:urine"))</f>
        <v>0</v>
      </c>
      <c r="X651">
        <f>AND(IF(metadata!E651="",FALSE,TRUE),exact(metadata!E651,"UBERON:kidney"))</f>
        <v>0</v>
      </c>
      <c r="Y651">
        <f>AND(IF(metadata!F651="",FALSE,TRUE),exact(metadata!F651,"animal corpus"))</f>
        <v>0</v>
      </c>
      <c r="Z651">
        <f>AND(IF(metadata!G651="",FALSE,TRUE),exact(metadata!G651,"urine"))</f>
        <v>0</v>
      </c>
      <c r="AA651">
        <f>AND(IF(metadata!H651="",FALSE,TRUE),exact(metadata!H651,"urine"))</f>
        <v>0</v>
      </c>
      <c r="AB651">
        <f>AND(IF(metadata!I651="",FALSE,TRUE),exact(metadata!I651,"urine metagenome"))</f>
        <v>0</v>
      </c>
      <c r="AC651">
        <f>AND(IF(metadata!J651="",FALSE,TRUE),exact(metadata!J651,"1346744"))</f>
        <v>0</v>
      </c>
    </row>
    <row r="652" spans="1:29">
      <c r="A652" s="4">
        <f>IF(B652=" "," ",HYPERLINK(CONCATENATE("#metadata!",ADDRESS(INDEX($P$2:$P$1001,MATCH(ROWS($N$2:N652),$N$2:$N$1001,0),0),1)),INDEX($S$2:$S$1001,MATCH(ROWS($N$2:N652),$N$2:$N$1001,0),0)))</f>
        <v>0</v>
      </c>
      <c r="B652" s="3">
        <f>IF(OR(INDEX($O$2:$O$1001,MATCH(ROWS($N$2:N652),$N$2:$N$1001,0),1)&gt;=100000,INDEX($U$1005:$AC$1005,1,MATCH(COLUMNS($U$1006:U1006),$U$1006:$AC$1006,0))&gt;=100000), " ",IF(INDEX($U$2:$AC$1001,MATCH(ROWS($N$2:N652),$N$2:$N$1001,0),MATCH(COLUMNS($U$1006:U1006),$U$1006:$AC$1006,0)), HYPERLINK("#",""), HYPERLINK(CONCATENATE("#metadata!", ADDRESS(INDEX($P$2:$P$1001,MATCH(ROWS($N$2:N652),$N$2:$N$1001,0),0), INDEX($U$1004:$AC$1004,1,MATCH(COLUMNS($U$1006:U1006),$U$1006:$AC$1006,0)))),"Fix")))</f>
        <v>0</v>
      </c>
      <c r="C652" s="3">
        <f>IF(OR(INDEX($O$2:$O$1001,MATCH(ROWS($N$2:N652),$N$2:$N$1001,0),1)&gt;=100000,INDEX($U$1005:$AC$1005,1,MATCH(COLUMNS($U$1006:V1006),$U$1006:$AC$1006,0))&gt;=100000), " ",IF(INDEX($U$2:$AC$1001,MATCH(ROWS($N$2:N652),$N$2:$N$1001,0),MATCH(COLUMNS($U$1006:V1006),$U$1006:$AC$1006,0)), HYPERLINK("#",""), HYPERLINK(CONCATENATE("#metadata!", ADDRESS(INDEX($P$2:$P$1001,MATCH(ROWS($N$2:N652),$N$2:$N$1001,0),0), INDEX($U$1004:$AC$1004,1,MATCH(COLUMNS($U$1006:V1006),$U$1006:$AC$1006,0)))),"Fix")))</f>
        <v>0</v>
      </c>
      <c r="D652" s="3">
        <f>IF(OR(INDEX($O$2:$O$1001,MATCH(ROWS($N$2:N652),$N$2:$N$1001,0),1)&gt;=100000,INDEX($U$1005:$AC$1005,1,MATCH(COLUMNS($U$1006:W1006),$U$1006:$AC$1006,0))&gt;=100000), " ",IF(INDEX($U$2:$AC$1001,MATCH(ROWS($N$2:N652),$N$2:$N$1001,0),MATCH(COLUMNS($U$1006:W1006),$U$1006:$AC$1006,0)), HYPERLINK("#",""), HYPERLINK(CONCATENATE("#metadata!", ADDRESS(INDEX($P$2:$P$1001,MATCH(ROWS($N$2:N652),$N$2:$N$1001,0),0), INDEX($U$1004:$AC$1004,1,MATCH(COLUMNS($U$1006:W1006),$U$1006:$AC$1006,0)))),"Fix")))</f>
        <v>0</v>
      </c>
      <c r="E652" s="3">
        <f>IF(OR(INDEX($O$2:$O$1001,MATCH(ROWS($N$2:N652),$N$2:$N$1001,0),1)&gt;=100000,INDEX($U$1005:$AC$1005,1,MATCH(COLUMNS($U$1006:X1006),$U$1006:$AC$1006,0))&gt;=100000), " ",IF(INDEX($U$2:$AC$1001,MATCH(ROWS($N$2:N652),$N$2:$N$1001,0),MATCH(COLUMNS($U$1006:X1006),$U$1006:$AC$1006,0)), HYPERLINK("#",""), HYPERLINK(CONCATENATE("#metadata!", ADDRESS(INDEX($P$2:$P$1001,MATCH(ROWS($N$2:N652),$N$2:$N$1001,0),0), INDEX($U$1004:$AC$1004,1,MATCH(COLUMNS($U$1006:X1006),$U$1006:$AC$1006,0)))),"Fix")))</f>
        <v>0</v>
      </c>
      <c r="F652" s="3">
        <f>IF(OR(INDEX($O$2:$O$1001,MATCH(ROWS($N$2:N652),$N$2:$N$1001,0),1)&gt;=100000,INDEX($U$1005:$AC$1005,1,MATCH(COLUMNS($U$1006:Y1006),$U$1006:$AC$1006,0))&gt;=100000), " ",IF(INDEX($U$2:$AC$1001,MATCH(ROWS($N$2:N652),$N$2:$N$1001,0),MATCH(COLUMNS($U$1006:Y1006),$U$1006:$AC$1006,0)), HYPERLINK("#",""), HYPERLINK(CONCATENATE("#metadata!", ADDRESS(INDEX($P$2:$P$1001,MATCH(ROWS($N$2:N652),$N$2:$N$1001,0),0), INDEX($U$1004:$AC$1004,1,MATCH(COLUMNS($U$1006:Y1006),$U$1006:$AC$1006,0)))),"Fix")))</f>
        <v>0</v>
      </c>
      <c r="G652" s="3">
        <f>IF(OR(INDEX($O$2:$O$1001,MATCH(ROWS($N$2:N652),$N$2:$N$1001,0),1)&gt;=100000,INDEX($U$1005:$AC$1005,1,MATCH(COLUMNS($U$1006:Z1006),$U$1006:$AC$1006,0))&gt;=100000), " ",IF(INDEX($U$2:$AC$1001,MATCH(ROWS($N$2:N652),$N$2:$N$1001,0),MATCH(COLUMNS($U$1006:Z1006),$U$1006:$AC$1006,0)), HYPERLINK("#",""), HYPERLINK(CONCATENATE("#metadata!", ADDRESS(INDEX($P$2:$P$1001,MATCH(ROWS($N$2:N652),$N$2:$N$1001,0),0), INDEX($U$1004:$AC$1004,1,MATCH(COLUMNS($U$1006:Z1006),$U$1006:$AC$1006,0)))),"Fix")))</f>
        <v>0</v>
      </c>
      <c r="H652" s="3">
        <f>IF(OR(INDEX($O$2:$O$1001,MATCH(ROWS($N$2:N652),$N$2:$N$1001,0),1)&gt;=100000,INDEX($U$1005:$AC$1005,1,MATCH(COLUMNS($U$1006:AA1006),$U$1006:$AC$1006,0))&gt;=100000), " ",IF(INDEX($U$2:$AC$1001,MATCH(ROWS($N$2:N652),$N$2:$N$1001,0),MATCH(COLUMNS($U$1006:AA1006),$U$1006:$AC$1006,0)), HYPERLINK("#",""), HYPERLINK(CONCATENATE("#metadata!", ADDRESS(INDEX($P$2:$P$1001,MATCH(ROWS($N$2:N652),$N$2:$N$1001,0),0), INDEX($U$1004:$AC$1004,1,MATCH(COLUMNS($U$1006:AA1006),$U$1006:$AC$1006,0)))),"Fix")))</f>
        <v>0</v>
      </c>
      <c r="I652" s="3">
        <f>IF(OR(INDEX($O$2:$O$1001,MATCH(ROWS($N$2:N652),$N$2:$N$1001,0),1)&gt;=100000,INDEX($U$1005:$AC$1005,1,MATCH(COLUMNS($U$1006:AB1006),$U$1006:$AC$1006,0))&gt;=100000), " ",IF(INDEX($U$2:$AC$1001,MATCH(ROWS($N$2:N652),$N$2:$N$1001,0),MATCH(COLUMNS($U$1006:AB1006),$U$1006:$AC$1006,0)), HYPERLINK("#",""), HYPERLINK(CONCATENATE("#metadata!", ADDRESS(INDEX($P$2:$P$1001,MATCH(ROWS($N$2:N652),$N$2:$N$1001,0),0), INDEX($U$1004:$AC$1004,1,MATCH(COLUMNS($U$1006:AB1006),$U$1006:$AC$1006,0)))),"Fix")))</f>
        <v>0</v>
      </c>
      <c r="J652" s="3">
        <f>IF(OR(INDEX($O$2:$O$1001,MATCH(ROWS($N$2:N652),$N$2:$N$1001,0),1)&gt;=100000,INDEX($U$1005:$AC$1005,1,MATCH(COLUMNS($U$1006:AC1006),$U$1006:$AC$1006,0))&gt;=100000), " ",IF(INDEX($U$2:$AC$1001,MATCH(ROWS($N$2:N652),$N$2:$N$1001,0),MATCH(COLUMNS($U$1006:AC1006),$U$1006:$AC$1006,0)), HYPERLINK("#",""), HYPERLINK(CONCATENATE("#metadata!", ADDRESS(INDEX($P$2:$P$1001,MATCH(ROWS($N$2:N652),$N$2:$N$1001,0),0), INDEX($U$1004:$AC$1004,1,MATCH(COLUMNS($U$1006:AC1006),$U$1006:$AC$1006,0)))),"Fix")))</f>
        <v>0</v>
      </c>
      <c r="N652">
        <v>0</v>
      </c>
      <c r="O652">
        <v>0</v>
      </c>
      <c r="P652">
        <v>0</v>
      </c>
      <c r="Q652">
        <f>IF(R652,TRUE,AND(U652:AC652))</f>
        <v>0</v>
      </c>
      <c r="R652">
        <f>COUNTBLANK(metadata!B652:J652)=COLUMNS(metadata!B652:J652)</f>
        <v>0</v>
      </c>
      <c r="S652">
        <v>0</v>
      </c>
      <c r="U652">
        <f>AND(IF(metadata!B652="",FALSE,TRUE),COUNTIF(metadata!B:B, metadata!B652) = 1,NOT(ISERROR(SUMPRODUCT(SEARCH(MID(metadata!B652,ROW(INDIRECT("1:"&amp;LEN(metadata!B652))), 1),"0123456789abcdefghijklmnopqrstuvwxyzABCDEFGHIJKLMNOPQRSTUVWXYZ.")))))</f>
        <v>0</v>
      </c>
      <c r="V652">
        <f>AND(IF(metadata!C652="",FALSE,TRUE),exact(metadata!C652,"UBERON:genitourinary"))</f>
        <v>0</v>
      </c>
      <c r="W652">
        <f>AND(IF(metadata!D652="",FALSE,TRUE),exact(metadata!D652,"UBERON:urine"))</f>
        <v>0</v>
      </c>
      <c r="X652">
        <f>AND(IF(metadata!E652="",FALSE,TRUE),exact(metadata!E652,"UBERON:kidney"))</f>
        <v>0</v>
      </c>
      <c r="Y652">
        <f>AND(IF(metadata!F652="",FALSE,TRUE),exact(metadata!F652,"animal corpus"))</f>
        <v>0</v>
      </c>
      <c r="Z652">
        <f>AND(IF(metadata!G652="",FALSE,TRUE),exact(metadata!G652,"urine"))</f>
        <v>0</v>
      </c>
      <c r="AA652">
        <f>AND(IF(metadata!H652="",FALSE,TRUE),exact(metadata!H652,"urine"))</f>
        <v>0</v>
      </c>
      <c r="AB652">
        <f>AND(IF(metadata!I652="",FALSE,TRUE),exact(metadata!I652,"urine metagenome"))</f>
        <v>0</v>
      </c>
      <c r="AC652">
        <f>AND(IF(metadata!J652="",FALSE,TRUE),exact(metadata!J652,"1346744"))</f>
        <v>0</v>
      </c>
    </row>
    <row r="653" spans="1:29">
      <c r="A653" s="4">
        <f>IF(B653=" "," ",HYPERLINK(CONCATENATE("#metadata!",ADDRESS(INDEX($P$2:$P$1001,MATCH(ROWS($N$2:N653),$N$2:$N$1001,0),0),1)),INDEX($S$2:$S$1001,MATCH(ROWS($N$2:N653),$N$2:$N$1001,0),0)))</f>
        <v>0</v>
      </c>
      <c r="B653" s="3">
        <f>IF(OR(INDEX($O$2:$O$1001,MATCH(ROWS($N$2:N653),$N$2:$N$1001,0),1)&gt;=100000,INDEX($U$1005:$AC$1005,1,MATCH(COLUMNS($U$1006:U1006),$U$1006:$AC$1006,0))&gt;=100000), " ",IF(INDEX($U$2:$AC$1001,MATCH(ROWS($N$2:N653),$N$2:$N$1001,0),MATCH(COLUMNS($U$1006:U1006),$U$1006:$AC$1006,0)), HYPERLINK("#",""), HYPERLINK(CONCATENATE("#metadata!", ADDRESS(INDEX($P$2:$P$1001,MATCH(ROWS($N$2:N653),$N$2:$N$1001,0),0), INDEX($U$1004:$AC$1004,1,MATCH(COLUMNS($U$1006:U1006),$U$1006:$AC$1006,0)))),"Fix")))</f>
        <v>0</v>
      </c>
      <c r="C653" s="3">
        <f>IF(OR(INDEX($O$2:$O$1001,MATCH(ROWS($N$2:N653),$N$2:$N$1001,0),1)&gt;=100000,INDEX($U$1005:$AC$1005,1,MATCH(COLUMNS($U$1006:V1006),$U$1006:$AC$1006,0))&gt;=100000), " ",IF(INDEX($U$2:$AC$1001,MATCH(ROWS($N$2:N653),$N$2:$N$1001,0),MATCH(COLUMNS($U$1006:V1006),$U$1006:$AC$1006,0)), HYPERLINK("#",""), HYPERLINK(CONCATENATE("#metadata!", ADDRESS(INDEX($P$2:$P$1001,MATCH(ROWS($N$2:N653),$N$2:$N$1001,0),0), INDEX($U$1004:$AC$1004,1,MATCH(COLUMNS($U$1006:V1006),$U$1006:$AC$1006,0)))),"Fix")))</f>
        <v>0</v>
      </c>
      <c r="D653" s="3">
        <f>IF(OR(INDEX($O$2:$O$1001,MATCH(ROWS($N$2:N653),$N$2:$N$1001,0),1)&gt;=100000,INDEX($U$1005:$AC$1005,1,MATCH(COLUMNS($U$1006:W1006),$U$1006:$AC$1006,0))&gt;=100000), " ",IF(INDEX($U$2:$AC$1001,MATCH(ROWS($N$2:N653),$N$2:$N$1001,0),MATCH(COLUMNS($U$1006:W1006),$U$1006:$AC$1006,0)), HYPERLINK("#",""), HYPERLINK(CONCATENATE("#metadata!", ADDRESS(INDEX($P$2:$P$1001,MATCH(ROWS($N$2:N653),$N$2:$N$1001,0),0), INDEX($U$1004:$AC$1004,1,MATCH(COLUMNS($U$1006:W1006),$U$1006:$AC$1006,0)))),"Fix")))</f>
        <v>0</v>
      </c>
      <c r="E653" s="3">
        <f>IF(OR(INDEX($O$2:$O$1001,MATCH(ROWS($N$2:N653),$N$2:$N$1001,0),1)&gt;=100000,INDEX($U$1005:$AC$1005,1,MATCH(COLUMNS($U$1006:X1006),$U$1006:$AC$1006,0))&gt;=100000), " ",IF(INDEX($U$2:$AC$1001,MATCH(ROWS($N$2:N653),$N$2:$N$1001,0),MATCH(COLUMNS($U$1006:X1006),$U$1006:$AC$1006,0)), HYPERLINK("#",""), HYPERLINK(CONCATENATE("#metadata!", ADDRESS(INDEX($P$2:$P$1001,MATCH(ROWS($N$2:N653),$N$2:$N$1001,0),0), INDEX($U$1004:$AC$1004,1,MATCH(COLUMNS($U$1006:X1006),$U$1006:$AC$1006,0)))),"Fix")))</f>
        <v>0</v>
      </c>
      <c r="F653" s="3">
        <f>IF(OR(INDEX($O$2:$O$1001,MATCH(ROWS($N$2:N653),$N$2:$N$1001,0),1)&gt;=100000,INDEX($U$1005:$AC$1005,1,MATCH(COLUMNS($U$1006:Y1006),$U$1006:$AC$1006,0))&gt;=100000), " ",IF(INDEX($U$2:$AC$1001,MATCH(ROWS($N$2:N653),$N$2:$N$1001,0),MATCH(COLUMNS($U$1006:Y1006),$U$1006:$AC$1006,0)), HYPERLINK("#",""), HYPERLINK(CONCATENATE("#metadata!", ADDRESS(INDEX($P$2:$P$1001,MATCH(ROWS($N$2:N653),$N$2:$N$1001,0),0), INDEX($U$1004:$AC$1004,1,MATCH(COLUMNS($U$1006:Y1006),$U$1006:$AC$1006,0)))),"Fix")))</f>
        <v>0</v>
      </c>
      <c r="G653" s="3">
        <f>IF(OR(INDEX($O$2:$O$1001,MATCH(ROWS($N$2:N653),$N$2:$N$1001,0),1)&gt;=100000,INDEX($U$1005:$AC$1005,1,MATCH(COLUMNS($U$1006:Z1006),$U$1006:$AC$1006,0))&gt;=100000), " ",IF(INDEX($U$2:$AC$1001,MATCH(ROWS($N$2:N653),$N$2:$N$1001,0),MATCH(COLUMNS($U$1006:Z1006),$U$1006:$AC$1006,0)), HYPERLINK("#",""), HYPERLINK(CONCATENATE("#metadata!", ADDRESS(INDEX($P$2:$P$1001,MATCH(ROWS($N$2:N653),$N$2:$N$1001,0),0), INDEX($U$1004:$AC$1004,1,MATCH(COLUMNS($U$1006:Z1006),$U$1006:$AC$1006,0)))),"Fix")))</f>
        <v>0</v>
      </c>
      <c r="H653" s="3">
        <f>IF(OR(INDEX($O$2:$O$1001,MATCH(ROWS($N$2:N653),$N$2:$N$1001,0),1)&gt;=100000,INDEX($U$1005:$AC$1005,1,MATCH(COLUMNS($U$1006:AA1006),$U$1006:$AC$1006,0))&gt;=100000), " ",IF(INDEX($U$2:$AC$1001,MATCH(ROWS($N$2:N653),$N$2:$N$1001,0),MATCH(COLUMNS($U$1006:AA1006),$U$1006:$AC$1006,0)), HYPERLINK("#",""), HYPERLINK(CONCATENATE("#metadata!", ADDRESS(INDEX($P$2:$P$1001,MATCH(ROWS($N$2:N653),$N$2:$N$1001,0),0), INDEX($U$1004:$AC$1004,1,MATCH(COLUMNS($U$1006:AA1006),$U$1006:$AC$1006,0)))),"Fix")))</f>
        <v>0</v>
      </c>
      <c r="I653" s="3">
        <f>IF(OR(INDEX($O$2:$O$1001,MATCH(ROWS($N$2:N653),$N$2:$N$1001,0),1)&gt;=100000,INDEX($U$1005:$AC$1005,1,MATCH(COLUMNS($U$1006:AB1006),$U$1006:$AC$1006,0))&gt;=100000), " ",IF(INDEX($U$2:$AC$1001,MATCH(ROWS($N$2:N653),$N$2:$N$1001,0),MATCH(COLUMNS($U$1006:AB1006),$U$1006:$AC$1006,0)), HYPERLINK("#",""), HYPERLINK(CONCATENATE("#metadata!", ADDRESS(INDEX($P$2:$P$1001,MATCH(ROWS($N$2:N653),$N$2:$N$1001,0),0), INDEX($U$1004:$AC$1004,1,MATCH(COLUMNS($U$1006:AB1006),$U$1006:$AC$1006,0)))),"Fix")))</f>
        <v>0</v>
      </c>
      <c r="J653" s="3">
        <f>IF(OR(INDEX($O$2:$O$1001,MATCH(ROWS($N$2:N653),$N$2:$N$1001,0),1)&gt;=100000,INDEX($U$1005:$AC$1005,1,MATCH(COLUMNS($U$1006:AC1006),$U$1006:$AC$1006,0))&gt;=100000), " ",IF(INDEX($U$2:$AC$1001,MATCH(ROWS($N$2:N653),$N$2:$N$1001,0),MATCH(COLUMNS($U$1006:AC1006),$U$1006:$AC$1006,0)), HYPERLINK("#",""), HYPERLINK(CONCATENATE("#metadata!", ADDRESS(INDEX($P$2:$P$1001,MATCH(ROWS($N$2:N653),$N$2:$N$1001,0),0), INDEX($U$1004:$AC$1004,1,MATCH(COLUMNS($U$1006:AC1006),$U$1006:$AC$1006,0)))),"Fix")))</f>
        <v>0</v>
      </c>
      <c r="N653">
        <v>0</v>
      </c>
      <c r="O653">
        <v>0</v>
      </c>
      <c r="P653">
        <v>0</v>
      </c>
      <c r="Q653">
        <f>IF(R653,TRUE,AND(U653:AC653))</f>
        <v>0</v>
      </c>
      <c r="R653">
        <f>COUNTBLANK(metadata!B653:J653)=COLUMNS(metadata!B653:J653)</f>
        <v>0</v>
      </c>
      <c r="S653">
        <v>0</v>
      </c>
      <c r="U653">
        <f>AND(IF(metadata!B653="",FALSE,TRUE),COUNTIF(metadata!B:B, metadata!B653) = 1,NOT(ISERROR(SUMPRODUCT(SEARCH(MID(metadata!B653,ROW(INDIRECT("1:"&amp;LEN(metadata!B653))), 1),"0123456789abcdefghijklmnopqrstuvwxyzABCDEFGHIJKLMNOPQRSTUVWXYZ.")))))</f>
        <v>0</v>
      </c>
      <c r="V653">
        <f>AND(IF(metadata!C653="",FALSE,TRUE),exact(metadata!C653,"UBERON:genitourinary"))</f>
        <v>0</v>
      </c>
      <c r="W653">
        <f>AND(IF(metadata!D653="",FALSE,TRUE),exact(metadata!D653,"UBERON:urine"))</f>
        <v>0</v>
      </c>
      <c r="X653">
        <f>AND(IF(metadata!E653="",FALSE,TRUE),exact(metadata!E653,"UBERON:kidney"))</f>
        <v>0</v>
      </c>
      <c r="Y653">
        <f>AND(IF(metadata!F653="",FALSE,TRUE),exact(metadata!F653,"animal corpus"))</f>
        <v>0</v>
      </c>
      <c r="Z653">
        <f>AND(IF(metadata!G653="",FALSE,TRUE),exact(metadata!G653,"urine"))</f>
        <v>0</v>
      </c>
      <c r="AA653">
        <f>AND(IF(metadata!H653="",FALSE,TRUE),exact(metadata!H653,"urine"))</f>
        <v>0</v>
      </c>
      <c r="AB653">
        <f>AND(IF(metadata!I653="",FALSE,TRUE),exact(metadata!I653,"urine metagenome"))</f>
        <v>0</v>
      </c>
      <c r="AC653">
        <f>AND(IF(metadata!J653="",FALSE,TRUE),exact(metadata!J653,"1346744"))</f>
        <v>0</v>
      </c>
    </row>
    <row r="654" spans="1:29">
      <c r="A654" s="4">
        <f>IF(B654=" "," ",HYPERLINK(CONCATENATE("#metadata!",ADDRESS(INDEX($P$2:$P$1001,MATCH(ROWS($N$2:N654),$N$2:$N$1001,0),0),1)),INDEX($S$2:$S$1001,MATCH(ROWS($N$2:N654),$N$2:$N$1001,0),0)))</f>
        <v>0</v>
      </c>
      <c r="B654" s="3">
        <f>IF(OR(INDEX($O$2:$O$1001,MATCH(ROWS($N$2:N654),$N$2:$N$1001,0),1)&gt;=100000,INDEX($U$1005:$AC$1005,1,MATCH(COLUMNS($U$1006:U1006),$U$1006:$AC$1006,0))&gt;=100000), " ",IF(INDEX($U$2:$AC$1001,MATCH(ROWS($N$2:N654),$N$2:$N$1001,0),MATCH(COLUMNS($U$1006:U1006),$U$1006:$AC$1006,0)), HYPERLINK("#",""), HYPERLINK(CONCATENATE("#metadata!", ADDRESS(INDEX($P$2:$P$1001,MATCH(ROWS($N$2:N654),$N$2:$N$1001,0),0), INDEX($U$1004:$AC$1004,1,MATCH(COLUMNS($U$1006:U1006),$U$1006:$AC$1006,0)))),"Fix")))</f>
        <v>0</v>
      </c>
      <c r="C654" s="3">
        <f>IF(OR(INDEX($O$2:$O$1001,MATCH(ROWS($N$2:N654),$N$2:$N$1001,0),1)&gt;=100000,INDEX($U$1005:$AC$1005,1,MATCH(COLUMNS($U$1006:V1006),$U$1006:$AC$1006,0))&gt;=100000), " ",IF(INDEX($U$2:$AC$1001,MATCH(ROWS($N$2:N654),$N$2:$N$1001,0),MATCH(COLUMNS($U$1006:V1006),$U$1006:$AC$1006,0)), HYPERLINK("#",""), HYPERLINK(CONCATENATE("#metadata!", ADDRESS(INDEX($P$2:$P$1001,MATCH(ROWS($N$2:N654),$N$2:$N$1001,0),0), INDEX($U$1004:$AC$1004,1,MATCH(COLUMNS($U$1006:V1006),$U$1006:$AC$1006,0)))),"Fix")))</f>
        <v>0</v>
      </c>
      <c r="D654" s="3">
        <f>IF(OR(INDEX($O$2:$O$1001,MATCH(ROWS($N$2:N654),$N$2:$N$1001,0),1)&gt;=100000,INDEX($U$1005:$AC$1005,1,MATCH(COLUMNS($U$1006:W1006),$U$1006:$AC$1006,0))&gt;=100000), " ",IF(INDEX($U$2:$AC$1001,MATCH(ROWS($N$2:N654),$N$2:$N$1001,0),MATCH(COLUMNS($U$1006:W1006),$U$1006:$AC$1006,0)), HYPERLINK("#",""), HYPERLINK(CONCATENATE("#metadata!", ADDRESS(INDEX($P$2:$P$1001,MATCH(ROWS($N$2:N654),$N$2:$N$1001,0),0), INDEX($U$1004:$AC$1004,1,MATCH(COLUMNS($U$1006:W1006),$U$1006:$AC$1006,0)))),"Fix")))</f>
        <v>0</v>
      </c>
      <c r="E654" s="3">
        <f>IF(OR(INDEX($O$2:$O$1001,MATCH(ROWS($N$2:N654),$N$2:$N$1001,0),1)&gt;=100000,INDEX($U$1005:$AC$1005,1,MATCH(COLUMNS($U$1006:X1006),$U$1006:$AC$1006,0))&gt;=100000), " ",IF(INDEX($U$2:$AC$1001,MATCH(ROWS($N$2:N654),$N$2:$N$1001,0),MATCH(COLUMNS($U$1006:X1006),$U$1006:$AC$1006,0)), HYPERLINK("#",""), HYPERLINK(CONCATENATE("#metadata!", ADDRESS(INDEX($P$2:$P$1001,MATCH(ROWS($N$2:N654),$N$2:$N$1001,0),0), INDEX($U$1004:$AC$1004,1,MATCH(COLUMNS($U$1006:X1006),$U$1006:$AC$1006,0)))),"Fix")))</f>
        <v>0</v>
      </c>
      <c r="F654" s="3">
        <f>IF(OR(INDEX($O$2:$O$1001,MATCH(ROWS($N$2:N654),$N$2:$N$1001,0),1)&gt;=100000,INDEX($U$1005:$AC$1005,1,MATCH(COLUMNS($U$1006:Y1006),$U$1006:$AC$1006,0))&gt;=100000), " ",IF(INDEX($U$2:$AC$1001,MATCH(ROWS($N$2:N654),$N$2:$N$1001,0),MATCH(COLUMNS($U$1006:Y1006),$U$1006:$AC$1006,0)), HYPERLINK("#",""), HYPERLINK(CONCATENATE("#metadata!", ADDRESS(INDEX($P$2:$P$1001,MATCH(ROWS($N$2:N654),$N$2:$N$1001,0),0), INDEX($U$1004:$AC$1004,1,MATCH(COLUMNS($U$1006:Y1006),$U$1006:$AC$1006,0)))),"Fix")))</f>
        <v>0</v>
      </c>
      <c r="G654" s="3">
        <f>IF(OR(INDEX($O$2:$O$1001,MATCH(ROWS($N$2:N654),$N$2:$N$1001,0),1)&gt;=100000,INDEX($U$1005:$AC$1005,1,MATCH(COLUMNS($U$1006:Z1006),$U$1006:$AC$1006,0))&gt;=100000), " ",IF(INDEX($U$2:$AC$1001,MATCH(ROWS($N$2:N654),$N$2:$N$1001,0),MATCH(COLUMNS($U$1006:Z1006),$U$1006:$AC$1006,0)), HYPERLINK("#",""), HYPERLINK(CONCATENATE("#metadata!", ADDRESS(INDEX($P$2:$P$1001,MATCH(ROWS($N$2:N654),$N$2:$N$1001,0),0), INDEX($U$1004:$AC$1004,1,MATCH(COLUMNS($U$1006:Z1006),$U$1006:$AC$1006,0)))),"Fix")))</f>
        <v>0</v>
      </c>
      <c r="H654" s="3">
        <f>IF(OR(INDEX($O$2:$O$1001,MATCH(ROWS($N$2:N654),$N$2:$N$1001,0),1)&gt;=100000,INDEX($U$1005:$AC$1005,1,MATCH(COLUMNS($U$1006:AA1006),$U$1006:$AC$1006,0))&gt;=100000), " ",IF(INDEX($U$2:$AC$1001,MATCH(ROWS($N$2:N654),$N$2:$N$1001,0),MATCH(COLUMNS($U$1006:AA1006),$U$1006:$AC$1006,0)), HYPERLINK("#",""), HYPERLINK(CONCATENATE("#metadata!", ADDRESS(INDEX($P$2:$P$1001,MATCH(ROWS($N$2:N654),$N$2:$N$1001,0),0), INDEX($U$1004:$AC$1004,1,MATCH(COLUMNS($U$1006:AA1006),$U$1006:$AC$1006,0)))),"Fix")))</f>
        <v>0</v>
      </c>
      <c r="I654" s="3">
        <f>IF(OR(INDEX($O$2:$O$1001,MATCH(ROWS($N$2:N654),$N$2:$N$1001,0),1)&gt;=100000,INDEX($U$1005:$AC$1005,1,MATCH(COLUMNS($U$1006:AB1006),$U$1006:$AC$1006,0))&gt;=100000), " ",IF(INDEX($U$2:$AC$1001,MATCH(ROWS($N$2:N654),$N$2:$N$1001,0),MATCH(COLUMNS($U$1006:AB1006),$U$1006:$AC$1006,0)), HYPERLINK("#",""), HYPERLINK(CONCATENATE("#metadata!", ADDRESS(INDEX($P$2:$P$1001,MATCH(ROWS($N$2:N654),$N$2:$N$1001,0),0), INDEX($U$1004:$AC$1004,1,MATCH(COLUMNS($U$1006:AB1006),$U$1006:$AC$1006,0)))),"Fix")))</f>
        <v>0</v>
      </c>
      <c r="J654" s="3">
        <f>IF(OR(INDEX($O$2:$O$1001,MATCH(ROWS($N$2:N654),$N$2:$N$1001,0),1)&gt;=100000,INDEX($U$1005:$AC$1005,1,MATCH(COLUMNS($U$1006:AC1006),$U$1006:$AC$1006,0))&gt;=100000), " ",IF(INDEX($U$2:$AC$1001,MATCH(ROWS($N$2:N654),$N$2:$N$1001,0),MATCH(COLUMNS($U$1006:AC1006),$U$1006:$AC$1006,0)), HYPERLINK("#",""), HYPERLINK(CONCATENATE("#metadata!", ADDRESS(INDEX($P$2:$P$1001,MATCH(ROWS($N$2:N654),$N$2:$N$1001,0),0), INDEX($U$1004:$AC$1004,1,MATCH(COLUMNS($U$1006:AC1006),$U$1006:$AC$1006,0)))),"Fix")))</f>
        <v>0</v>
      </c>
      <c r="N654">
        <v>0</v>
      </c>
      <c r="O654">
        <v>0</v>
      </c>
      <c r="P654">
        <v>0</v>
      </c>
      <c r="Q654">
        <f>IF(R654,TRUE,AND(U654:AC654))</f>
        <v>0</v>
      </c>
      <c r="R654">
        <f>COUNTBLANK(metadata!B654:J654)=COLUMNS(metadata!B654:J654)</f>
        <v>0</v>
      </c>
      <c r="S654">
        <v>0</v>
      </c>
      <c r="U654">
        <f>AND(IF(metadata!B654="",FALSE,TRUE),COUNTIF(metadata!B:B, metadata!B654) = 1,NOT(ISERROR(SUMPRODUCT(SEARCH(MID(metadata!B654,ROW(INDIRECT("1:"&amp;LEN(metadata!B654))), 1),"0123456789abcdefghijklmnopqrstuvwxyzABCDEFGHIJKLMNOPQRSTUVWXYZ.")))))</f>
        <v>0</v>
      </c>
      <c r="V654">
        <f>AND(IF(metadata!C654="",FALSE,TRUE),exact(metadata!C654,"UBERON:genitourinary"))</f>
        <v>0</v>
      </c>
      <c r="W654">
        <f>AND(IF(metadata!D654="",FALSE,TRUE),exact(metadata!D654,"UBERON:urine"))</f>
        <v>0</v>
      </c>
      <c r="X654">
        <f>AND(IF(metadata!E654="",FALSE,TRUE),exact(metadata!E654,"UBERON:kidney"))</f>
        <v>0</v>
      </c>
      <c r="Y654">
        <f>AND(IF(metadata!F654="",FALSE,TRUE),exact(metadata!F654,"animal corpus"))</f>
        <v>0</v>
      </c>
      <c r="Z654">
        <f>AND(IF(metadata!G654="",FALSE,TRUE),exact(metadata!G654,"urine"))</f>
        <v>0</v>
      </c>
      <c r="AA654">
        <f>AND(IF(metadata!H654="",FALSE,TRUE),exact(metadata!H654,"urine"))</f>
        <v>0</v>
      </c>
      <c r="AB654">
        <f>AND(IF(metadata!I654="",FALSE,TRUE),exact(metadata!I654,"urine metagenome"))</f>
        <v>0</v>
      </c>
      <c r="AC654">
        <f>AND(IF(metadata!J654="",FALSE,TRUE),exact(metadata!J654,"1346744"))</f>
        <v>0</v>
      </c>
    </row>
    <row r="655" spans="1:29">
      <c r="A655" s="4">
        <f>IF(B655=" "," ",HYPERLINK(CONCATENATE("#metadata!",ADDRESS(INDEX($P$2:$P$1001,MATCH(ROWS($N$2:N655),$N$2:$N$1001,0),0),1)),INDEX($S$2:$S$1001,MATCH(ROWS($N$2:N655),$N$2:$N$1001,0),0)))</f>
        <v>0</v>
      </c>
      <c r="B655" s="3">
        <f>IF(OR(INDEX($O$2:$O$1001,MATCH(ROWS($N$2:N655),$N$2:$N$1001,0),1)&gt;=100000,INDEX($U$1005:$AC$1005,1,MATCH(COLUMNS($U$1006:U1006),$U$1006:$AC$1006,0))&gt;=100000), " ",IF(INDEX($U$2:$AC$1001,MATCH(ROWS($N$2:N655),$N$2:$N$1001,0),MATCH(COLUMNS($U$1006:U1006),$U$1006:$AC$1006,0)), HYPERLINK("#",""), HYPERLINK(CONCATENATE("#metadata!", ADDRESS(INDEX($P$2:$P$1001,MATCH(ROWS($N$2:N655),$N$2:$N$1001,0),0), INDEX($U$1004:$AC$1004,1,MATCH(COLUMNS($U$1006:U1006),$U$1006:$AC$1006,0)))),"Fix")))</f>
        <v>0</v>
      </c>
      <c r="C655" s="3">
        <f>IF(OR(INDEX($O$2:$O$1001,MATCH(ROWS($N$2:N655),$N$2:$N$1001,0),1)&gt;=100000,INDEX($U$1005:$AC$1005,1,MATCH(COLUMNS($U$1006:V1006),$U$1006:$AC$1006,0))&gt;=100000), " ",IF(INDEX($U$2:$AC$1001,MATCH(ROWS($N$2:N655),$N$2:$N$1001,0),MATCH(COLUMNS($U$1006:V1006),$U$1006:$AC$1006,0)), HYPERLINK("#",""), HYPERLINK(CONCATENATE("#metadata!", ADDRESS(INDEX($P$2:$P$1001,MATCH(ROWS($N$2:N655),$N$2:$N$1001,0),0), INDEX($U$1004:$AC$1004,1,MATCH(COLUMNS($U$1006:V1006),$U$1006:$AC$1006,0)))),"Fix")))</f>
        <v>0</v>
      </c>
      <c r="D655" s="3">
        <f>IF(OR(INDEX($O$2:$O$1001,MATCH(ROWS($N$2:N655),$N$2:$N$1001,0),1)&gt;=100000,INDEX($U$1005:$AC$1005,1,MATCH(COLUMNS($U$1006:W1006),$U$1006:$AC$1006,0))&gt;=100000), " ",IF(INDEX($U$2:$AC$1001,MATCH(ROWS($N$2:N655),$N$2:$N$1001,0),MATCH(COLUMNS($U$1006:W1006),$U$1006:$AC$1006,0)), HYPERLINK("#",""), HYPERLINK(CONCATENATE("#metadata!", ADDRESS(INDEX($P$2:$P$1001,MATCH(ROWS($N$2:N655),$N$2:$N$1001,0),0), INDEX($U$1004:$AC$1004,1,MATCH(COLUMNS($U$1006:W1006),$U$1006:$AC$1006,0)))),"Fix")))</f>
        <v>0</v>
      </c>
      <c r="E655" s="3">
        <f>IF(OR(INDEX($O$2:$O$1001,MATCH(ROWS($N$2:N655),$N$2:$N$1001,0),1)&gt;=100000,INDEX($U$1005:$AC$1005,1,MATCH(COLUMNS($U$1006:X1006),$U$1006:$AC$1006,0))&gt;=100000), " ",IF(INDEX($U$2:$AC$1001,MATCH(ROWS($N$2:N655),$N$2:$N$1001,0),MATCH(COLUMNS($U$1006:X1006),$U$1006:$AC$1006,0)), HYPERLINK("#",""), HYPERLINK(CONCATENATE("#metadata!", ADDRESS(INDEX($P$2:$P$1001,MATCH(ROWS($N$2:N655),$N$2:$N$1001,0),0), INDEX($U$1004:$AC$1004,1,MATCH(COLUMNS($U$1006:X1006),$U$1006:$AC$1006,0)))),"Fix")))</f>
        <v>0</v>
      </c>
      <c r="F655" s="3">
        <f>IF(OR(INDEX($O$2:$O$1001,MATCH(ROWS($N$2:N655),$N$2:$N$1001,0),1)&gt;=100000,INDEX($U$1005:$AC$1005,1,MATCH(COLUMNS($U$1006:Y1006),$U$1006:$AC$1006,0))&gt;=100000), " ",IF(INDEX($U$2:$AC$1001,MATCH(ROWS($N$2:N655),$N$2:$N$1001,0),MATCH(COLUMNS($U$1006:Y1006),$U$1006:$AC$1006,0)), HYPERLINK("#",""), HYPERLINK(CONCATENATE("#metadata!", ADDRESS(INDEX($P$2:$P$1001,MATCH(ROWS($N$2:N655),$N$2:$N$1001,0),0), INDEX($U$1004:$AC$1004,1,MATCH(COLUMNS($U$1006:Y1006),$U$1006:$AC$1006,0)))),"Fix")))</f>
        <v>0</v>
      </c>
      <c r="G655" s="3">
        <f>IF(OR(INDEX($O$2:$O$1001,MATCH(ROWS($N$2:N655),$N$2:$N$1001,0),1)&gt;=100000,INDEX($U$1005:$AC$1005,1,MATCH(COLUMNS($U$1006:Z1006),$U$1006:$AC$1006,0))&gt;=100000), " ",IF(INDEX($U$2:$AC$1001,MATCH(ROWS($N$2:N655),$N$2:$N$1001,0),MATCH(COLUMNS($U$1006:Z1006),$U$1006:$AC$1006,0)), HYPERLINK("#",""), HYPERLINK(CONCATENATE("#metadata!", ADDRESS(INDEX($P$2:$P$1001,MATCH(ROWS($N$2:N655),$N$2:$N$1001,0),0), INDEX($U$1004:$AC$1004,1,MATCH(COLUMNS($U$1006:Z1006),$U$1006:$AC$1006,0)))),"Fix")))</f>
        <v>0</v>
      </c>
      <c r="H655" s="3">
        <f>IF(OR(INDEX($O$2:$O$1001,MATCH(ROWS($N$2:N655),$N$2:$N$1001,0),1)&gt;=100000,INDEX($U$1005:$AC$1005,1,MATCH(COLUMNS($U$1006:AA1006),$U$1006:$AC$1006,0))&gt;=100000), " ",IF(INDEX($U$2:$AC$1001,MATCH(ROWS($N$2:N655),$N$2:$N$1001,0),MATCH(COLUMNS($U$1006:AA1006),$U$1006:$AC$1006,0)), HYPERLINK("#",""), HYPERLINK(CONCATENATE("#metadata!", ADDRESS(INDEX($P$2:$P$1001,MATCH(ROWS($N$2:N655),$N$2:$N$1001,0),0), INDEX($U$1004:$AC$1004,1,MATCH(COLUMNS($U$1006:AA1006),$U$1006:$AC$1006,0)))),"Fix")))</f>
        <v>0</v>
      </c>
      <c r="I655" s="3">
        <f>IF(OR(INDEX($O$2:$O$1001,MATCH(ROWS($N$2:N655),$N$2:$N$1001,0),1)&gt;=100000,INDEX($U$1005:$AC$1005,1,MATCH(COLUMNS($U$1006:AB1006),$U$1006:$AC$1006,0))&gt;=100000), " ",IF(INDEX($U$2:$AC$1001,MATCH(ROWS($N$2:N655),$N$2:$N$1001,0),MATCH(COLUMNS($U$1006:AB1006),$U$1006:$AC$1006,0)), HYPERLINK("#",""), HYPERLINK(CONCATENATE("#metadata!", ADDRESS(INDEX($P$2:$P$1001,MATCH(ROWS($N$2:N655),$N$2:$N$1001,0),0), INDEX($U$1004:$AC$1004,1,MATCH(COLUMNS($U$1006:AB1006),$U$1006:$AC$1006,0)))),"Fix")))</f>
        <v>0</v>
      </c>
      <c r="J655" s="3">
        <f>IF(OR(INDEX($O$2:$O$1001,MATCH(ROWS($N$2:N655),$N$2:$N$1001,0),1)&gt;=100000,INDEX($U$1005:$AC$1005,1,MATCH(COLUMNS($U$1006:AC1006),$U$1006:$AC$1006,0))&gt;=100000), " ",IF(INDEX($U$2:$AC$1001,MATCH(ROWS($N$2:N655),$N$2:$N$1001,0),MATCH(COLUMNS($U$1006:AC1006),$U$1006:$AC$1006,0)), HYPERLINK("#",""), HYPERLINK(CONCATENATE("#metadata!", ADDRESS(INDEX($P$2:$P$1001,MATCH(ROWS($N$2:N655),$N$2:$N$1001,0),0), INDEX($U$1004:$AC$1004,1,MATCH(COLUMNS($U$1006:AC1006),$U$1006:$AC$1006,0)))),"Fix")))</f>
        <v>0</v>
      </c>
      <c r="N655">
        <v>0</v>
      </c>
      <c r="O655">
        <v>0</v>
      </c>
      <c r="P655">
        <v>0</v>
      </c>
      <c r="Q655">
        <f>IF(R655,TRUE,AND(U655:AC655))</f>
        <v>0</v>
      </c>
      <c r="R655">
        <f>COUNTBLANK(metadata!B655:J655)=COLUMNS(metadata!B655:J655)</f>
        <v>0</v>
      </c>
      <c r="S655">
        <v>0</v>
      </c>
      <c r="U655">
        <f>AND(IF(metadata!B655="",FALSE,TRUE),COUNTIF(metadata!B:B, metadata!B655) = 1,NOT(ISERROR(SUMPRODUCT(SEARCH(MID(metadata!B655,ROW(INDIRECT("1:"&amp;LEN(metadata!B655))), 1),"0123456789abcdefghijklmnopqrstuvwxyzABCDEFGHIJKLMNOPQRSTUVWXYZ.")))))</f>
        <v>0</v>
      </c>
      <c r="V655">
        <f>AND(IF(metadata!C655="",FALSE,TRUE),exact(metadata!C655,"UBERON:genitourinary"))</f>
        <v>0</v>
      </c>
      <c r="W655">
        <f>AND(IF(metadata!D655="",FALSE,TRUE),exact(metadata!D655,"UBERON:urine"))</f>
        <v>0</v>
      </c>
      <c r="X655">
        <f>AND(IF(metadata!E655="",FALSE,TRUE),exact(metadata!E655,"UBERON:kidney"))</f>
        <v>0</v>
      </c>
      <c r="Y655">
        <f>AND(IF(metadata!F655="",FALSE,TRUE),exact(metadata!F655,"animal corpus"))</f>
        <v>0</v>
      </c>
      <c r="Z655">
        <f>AND(IF(metadata!G655="",FALSE,TRUE),exact(metadata!G655,"urine"))</f>
        <v>0</v>
      </c>
      <c r="AA655">
        <f>AND(IF(metadata!H655="",FALSE,TRUE),exact(metadata!H655,"urine"))</f>
        <v>0</v>
      </c>
      <c r="AB655">
        <f>AND(IF(metadata!I655="",FALSE,TRUE),exact(metadata!I655,"urine metagenome"))</f>
        <v>0</v>
      </c>
      <c r="AC655">
        <f>AND(IF(metadata!J655="",FALSE,TRUE),exact(metadata!J655,"1346744"))</f>
        <v>0</v>
      </c>
    </row>
    <row r="656" spans="1:29">
      <c r="A656" s="4">
        <f>IF(B656=" "," ",HYPERLINK(CONCATENATE("#metadata!",ADDRESS(INDEX($P$2:$P$1001,MATCH(ROWS($N$2:N656),$N$2:$N$1001,0),0),1)),INDEX($S$2:$S$1001,MATCH(ROWS($N$2:N656),$N$2:$N$1001,0),0)))</f>
        <v>0</v>
      </c>
      <c r="B656" s="3">
        <f>IF(OR(INDEX($O$2:$O$1001,MATCH(ROWS($N$2:N656),$N$2:$N$1001,0),1)&gt;=100000,INDEX($U$1005:$AC$1005,1,MATCH(COLUMNS($U$1006:U1006),$U$1006:$AC$1006,0))&gt;=100000), " ",IF(INDEX($U$2:$AC$1001,MATCH(ROWS($N$2:N656),$N$2:$N$1001,0),MATCH(COLUMNS($U$1006:U1006),$U$1006:$AC$1006,0)), HYPERLINK("#",""), HYPERLINK(CONCATENATE("#metadata!", ADDRESS(INDEX($P$2:$P$1001,MATCH(ROWS($N$2:N656),$N$2:$N$1001,0),0), INDEX($U$1004:$AC$1004,1,MATCH(COLUMNS($U$1006:U1006),$U$1006:$AC$1006,0)))),"Fix")))</f>
        <v>0</v>
      </c>
      <c r="C656" s="3">
        <f>IF(OR(INDEX($O$2:$O$1001,MATCH(ROWS($N$2:N656),$N$2:$N$1001,0),1)&gt;=100000,INDEX($U$1005:$AC$1005,1,MATCH(COLUMNS($U$1006:V1006),$U$1006:$AC$1006,0))&gt;=100000), " ",IF(INDEX($U$2:$AC$1001,MATCH(ROWS($N$2:N656),$N$2:$N$1001,0),MATCH(COLUMNS($U$1006:V1006),$U$1006:$AC$1006,0)), HYPERLINK("#",""), HYPERLINK(CONCATENATE("#metadata!", ADDRESS(INDEX($P$2:$P$1001,MATCH(ROWS($N$2:N656),$N$2:$N$1001,0),0), INDEX($U$1004:$AC$1004,1,MATCH(COLUMNS($U$1006:V1006),$U$1006:$AC$1006,0)))),"Fix")))</f>
        <v>0</v>
      </c>
      <c r="D656" s="3">
        <f>IF(OR(INDEX($O$2:$O$1001,MATCH(ROWS($N$2:N656),$N$2:$N$1001,0),1)&gt;=100000,INDEX($U$1005:$AC$1005,1,MATCH(COLUMNS($U$1006:W1006),$U$1006:$AC$1006,0))&gt;=100000), " ",IF(INDEX($U$2:$AC$1001,MATCH(ROWS($N$2:N656),$N$2:$N$1001,0),MATCH(COLUMNS($U$1006:W1006),$U$1006:$AC$1006,0)), HYPERLINK("#",""), HYPERLINK(CONCATENATE("#metadata!", ADDRESS(INDEX($P$2:$P$1001,MATCH(ROWS($N$2:N656),$N$2:$N$1001,0),0), INDEX($U$1004:$AC$1004,1,MATCH(COLUMNS($U$1006:W1006),$U$1006:$AC$1006,0)))),"Fix")))</f>
        <v>0</v>
      </c>
      <c r="E656" s="3">
        <f>IF(OR(INDEX($O$2:$O$1001,MATCH(ROWS($N$2:N656),$N$2:$N$1001,0),1)&gt;=100000,INDEX($U$1005:$AC$1005,1,MATCH(COLUMNS($U$1006:X1006),$U$1006:$AC$1006,0))&gt;=100000), " ",IF(INDEX($U$2:$AC$1001,MATCH(ROWS($N$2:N656),$N$2:$N$1001,0),MATCH(COLUMNS($U$1006:X1006),$U$1006:$AC$1006,0)), HYPERLINK("#",""), HYPERLINK(CONCATENATE("#metadata!", ADDRESS(INDEX($P$2:$P$1001,MATCH(ROWS($N$2:N656),$N$2:$N$1001,0),0), INDEX($U$1004:$AC$1004,1,MATCH(COLUMNS($U$1006:X1006),$U$1006:$AC$1006,0)))),"Fix")))</f>
        <v>0</v>
      </c>
      <c r="F656" s="3">
        <f>IF(OR(INDEX($O$2:$O$1001,MATCH(ROWS($N$2:N656),$N$2:$N$1001,0),1)&gt;=100000,INDEX($U$1005:$AC$1005,1,MATCH(COLUMNS($U$1006:Y1006),$U$1006:$AC$1006,0))&gt;=100000), " ",IF(INDEX($U$2:$AC$1001,MATCH(ROWS($N$2:N656),$N$2:$N$1001,0),MATCH(COLUMNS($U$1006:Y1006),$U$1006:$AC$1006,0)), HYPERLINK("#",""), HYPERLINK(CONCATENATE("#metadata!", ADDRESS(INDEX($P$2:$P$1001,MATCH(ROWS($N$2:N656),$N$2:$N$1001,0),0), INDEX($U$1004:$AC$1004,1,MATCH(COLUMNS($U$1006:Y1006),$U$1006:$AC$1006,0)))),"Fix")))</f>
        <v>0</v>
      </c>
      <c r="G656" s="3">
        <f>IF(OR(INDEX($O$2:$O$1001,MATCH(ROWS($N$2:N656),$N$2:$N$1001,0),1)&gt;=100000,INDEX($U$1005:$AC$1005,1,MATCH(COLUMNS($U$1006:Z1006),$U$1006:$AC$1006,0))&gt;=100000), " ",IF(INDEX($U$2:$AC$1001,MATCH(ROWS($N$2:N656),$N$2:$N$1001,0),MATCH(COLUMNS($U$1006:Z1006),$U$1006:$AC$1006,0)), HYPERLINK("#",""), HYPERLINK(CONCATENATE("#metadata!", ADDRESS(INDEX($P$2:$P$1001,MATCH(ROWS($N$2:N656),$N$2:$N$1001,0),0), INDEX($U$1004:$AC$1004,1,MATCH(COLUMNS($U$1006:Z1006),$U$1006:$AC$1006,0)))),"Fix")))</f>
        <v>0</v>
      </c>
      <c r="H656" s="3">
        <f>IF(OR(INDEX($O$2:$O$1001,MATCH(ROWS($N$2:N656),$N$2:$N$1001,0),1)&gt;=100000,INDEX($U$1005:$AC$1005,1,MATCH(COLUMNS($U$1006:AA1006),$U$1006:$AC$1006,0))&gt;=100000), " ",IF(INDEX($U$2:$AC$1001,MATCH(ROWS($N$2:N656),$N$2:$N$1001,0),MATCH(COLUMNS($U$1006:AA1006),$U$1006:$AC$1006,0)), HYPERLINK("#",""), HYPERLINK(CONCATENATE("#metadata!", ADDRESS(INDEX($P$2:$P$1001,MATCH(ROWS($N$2:N656),$N$2:$N$1001,0),0), INDEX($U$1004:$AC$1004,1,MATCH(COLUMNS($U$1006:AA1006),$U$1006:$AC$1006,0)))),"Fix")))</f>
        <v>0</v>
      </c>
      <c r="I656" s="3">
        <f>IF(OR(INDEX($O$2:$O$1001,MATCH(ROWS($N$2:N656),$N$2:$N$1001,0),1)&gt;=100000,INDEX($U$1005:$AC$1005,1,MATCH(COLUMNS($U$1006:AB1006),$U$1006:$AC$1006,0))&gt;=100000), " ",IF(INDEX($U$2:$AC$1001,MATCH(ROWS($N$2:N656),$N$2:$N$1001,0),MATCH(COLUMNS($U$1006:AB1006),$U$1006:$AC$1006,0)), HYPERLINK("#",""), HYPERLINK(CONCATENATE("#metadata!", ADDRESS(INDEX($P$2:$P$1001,MATCH(ROWS($N$2:N656),$N$2:$N$1001,0),0), INDEX($U$1004:$AC$1004,1,MATCH(COLUMNS($U$1006:AB1006),$U$1006:$AC$1006,0)))),"Fix")))</f>
        <v>0</v>
      </c>
      <c r="J656" s="3">
        <f>IF(OR(INDEX($O$2:$O$1001,MATCH(ROWS($N$2:N656),$N$2:$N$1001,0),1)&gt;=100000,INDEX($U$1005:$AC$1005,1,MATCH(COLUMNS($U$1006:AC1006),$U$1006:$AC$1006,0))&gt;=100000), " ",IF(INDEX($U$2:$AC$1001,MATCH(ROWS($N$2:N656),$N$2:$N$1001,0),MATCH(COLUMNS($U$1006:AC1006),$U$1006:$AC$1006,0)), HYPERLINK("#",""), HYPERLINK(CONCATENATE("#metadata!", ADDRESS(INDEX($P$2:$P$1001,MATCH(ROWS($N$2:N656),$N$2:$N$1001,0),0), INDEX($U$1004:$AC$1004,1,MATCH(COLUMNS($U$1006:AC1006),$U$1006:$AC$1006,0)))),"Fix")))</f>
        <v>0</v>
      </c>
      <c r="N656">
        <v>0</v>
      </c>
      <c r="O656">
        <v>0</v>
      </c>
      <c r="P656">
        <v>0</v>
      </c>
      <c r="Q656">
        <f>IF(R656,TRUE,AND(U656:AC656))</f>
        <v>0</v>
      </c>
      <c r="R656">
        <f>COUNTBLANK(metadata!B656:J656)=COLUMNS(metadata!B656:J656)</f>
        <v>0</v>
      </c>
      <c r="S656">
        <v>0</v>
      </c>
      <c r="U656">
        <f>AND(IF(metadata!B656="",FALSE,TRUE),COUNTIF(metadata!B:B, metadata!B656) = 1,NOT(ISERROR(SUMPRODUCT(SEARCH(MID(metadata!B656,ROW(INDIRECT("1:"&amp;LEN(metadata!B656))), 1),"0123456789abcdefghijklmnopqrstuvwxyzABCDEFGHIJKLMNOPQRSTUVWXYZ.")))))</f>
        <v>0</v>
      </c>
      <c r="V656">
        <f>AND(IF(metadata!C656="",FALSE,TRUE),exact(metadata!C656,"UBERON:genitourinary"))</f>
        <v>0</v>
      </c>
      <c r="W656">
        <f>AND(IF(metadata!D656="",FALSE,TRUE),exact(metadata!D656,"UBERON:urine"))</f>
        <v>0</v>
      </c>
      <c r="X656">
        <f>AND(IF(metadata!E656="",FALSE,TRUE),exact(metadata!E656,"UBERON:kidney"))</f>
        <v>0</v>
      </c>
      <c r="Y656">
        <f>AND(IF(metadata!F656="",FALSE,TRUE),exact(metadata!F656,"animal corpus"))</f>
        <v>0</v>
      </c>
      <c r="Z656">
        <f>AND(IF(metadata!G656="",FALSE,TRUE),exact(metadata!G656,"urine"))</f>
        <v>0</v>
      </c>
      <c r="AA656">
        <f>AND(IF(metadata!H656="",FALSE,TRUE),exact(metadata!H656,"urine"))</f>
        <v>0</v>
      </c>
      <c r="AB656">
        <f>AND(IF(metadata!I656="",FALSE,TRUE),exact(metadata!I656,"urine metagenome"))</f>
        <v>0</v>
      </c>
      <c r="AC656">
        <f>AND(IF(metadata!J656="",FALSE,TRUE),exact(metadata!J656,"1346744"))</f>
        <v>0</v>
      </c>
    </row>
    <row r="657" spans="1:29">
      <c r="A657" s="4">
        <f>IF(B657=" "," ",HYPERLINK(CONCATENATE("#metadata!",ADDRESS(INDEX($P$2:$P$1001,MATCH(ROWS($N$2:N657),$N$2:$N$1001,0),0),1)),INDEX($S$2:$S$1001,MATCH(ROWS($N$2:N657),$N$2:$N$1001,0),0)))</f>
        <v>0</v>
      </c>
      <c r="B657" s="3">
        <f>IF(OR(INDEX($O$2:$O$1001,MATCH(ROWS($N$2:N657),$N$2:$N$1001,0),1)&gt;=100000,INDEX($U$1005:$AC$1005,1,MATCH(COLUMNS($U$1006:U1006),$U$1006:$AC$1006,0))&gt;=100000), " ",IF(INDEX($U$2:$AC$1001,MATCH(ROWS($N$2:N657),$N$2:$N$1001,0),MATCH(COLUMNS($U$1006:U1006),$U$1006:$AC$1006,0)), HYPERLINK("#",""), HYPERLINK(CONCATENATE("#metadata!", ADDRESS(INDEX($P$2:$P$1001,MATCH(ROWS($N$2:N657),$N$2:$N$1001,0),0), INDEX($U$1004:$AC$1004,1,MATCH(COLUMNS($U$1006:U1006),$U$1006:$AC$1006,0)))),"Fix")))</f>
        <v>0</v>
      </c>
      <c r="C657" s="3">
        <f>IF(OR(INDEX($O$2:$O$1001,MATCH(ROWS($N$2:N657),$N$2:$N$1001,0),1)&gt;=100000,INDEX($U$1005:$AC$1005,1,MATCH(COLUMNS($U$1006:V1006),$U$1006:$AC$1006,0))&gt;=100000), " ",IF(INDEX($U$2:$AC$1001,MATCH(ROWS($N$2:N657),$N$2:$N$1001,0),MATCH(COLUMNS($U$1006:V1006),$U$1006:$AC$1006,0)), HYPERLINK("#",""), HYPERLINK(CONCATENATE("#metadata!", ADDRESS(INDEX($P$2:$P$1001,MATCH(ROWS($N$2:N657),$N$2:$N$1001,0),0), INDEX($U$1004:$AC$1004,1,MATCH(COLUMNS($U$1006:V1006),$U$1006:$AC$1006,0)))),"Fix")))</f>
        <v>0</v>
      </c>
      <c r="D657" s="3">
        <f>IF(OR(INDEX($O$2:$O$1001,MATCH(ROWS($N$2:N657),$N$2:$N$1001,0),1)&gt;=100000,INDEX($U$1005:$AC$1005,1,MATCH(COLUMNS($U$1006:W1006),$U$1006:$AC$1006,0))&gt;=100000), " ",IF(INDEX($U$2:$AC$1001,MATCH(ROWS($N$2:N657),$N$2:$N$1001,0),MATCH(COLUMNS($U$1006:W1006),$U$1006:$AC$1006,0)), HYPERLINK("#",""), HYPERLINK(CONCATENATE("#metadata!", ADDRESS(INDEX($P$2:$P$1001,MATCH(ROWS($N$2:N657),$N$2:$N$1001,0),0), INDEX($U$1004:$AC$1004,1,MATCH(COLUMNS($U$1006:W1006),$U$1006:$AC$1006,0)))),"Fix")))</f>
        <v>0</v>
      </c>
      <c r="E657" s="3">
        <f>IF(OR(INDEX($O$2:$O$1001,MATCH(ROWS($N$2:N657),$N$2:$N$1001,0),1)&gt;=100000,INDEX($U$1005:$AC$1005,1,MATCH(COLUMNS($U$1006:X1006),$U$1006:$AC$1006,0))&gt;=100000), " ",IF(INDEX($U$2:$AC$1001,MATCH(ROWS($N$2:N657),$N$2:$N$1001,0),MATCH(COLUMNS($U$1006:X1006),$U$1006:$AC$1006,0)), HYPERLINK("#",""), HYPERLINK(CONCATENATE("#metadata!", ADDRESS(INDEX($P$2:$P$1001,MATCH(ROWS($N$2:N657),$N$2:$N$1001,0),0), INDEX($U$1004:$AC$1004,1,MATCH(COLUMNS($U$1006:X1006),$U$1006:$AC$1006,0)))),"Fix")))</f>
        <v>0</v>
      </c>
      <c r="F657" s="3">
        <f>IF(OR(INDEX($O$2:$O$1001,MATCH(ROWS($N$2:N657),$N$2:$N$1001,0),1)&gt;=100000,INDEX($U$1005:$AC$1005,1,MATCH(COLUMNS($U$1006:Y1006),$U$1006:$AC$1006,0))&gt;=100000), " ",IF(INDEX($U$2:$AC$1001,MATCH(ROWS($N$2:N657),$N$2:$N$1001,0),MATCH(COLUMNS($U$1006:Y1006),$U$1006:$AC$1006,0)), HYPERLINK("#",""), HYPERLINK(CONCATENATE("#metadata!", ADDRESS(INDEX($P$2:$P$1001,MATCH(ROWS($N$2:N657),$N$2:$N$1001,0),0), INDEX($U$1004:$AC$1004,1,MATCH(COLUMNS($U$1006:Y1006),$U$1006:$AC$1006,0)))),"Fix")))</f>
        <v>0</v>
      </c>
      <c r="G657" s="3">
        <f>IF(OR(INDEX($O$2:$O$1001,MATCH(ROWS($N$2:N657),$N$2:$N$1001,0),1)&gt;=100000,INDEX($U$1005:$AC$1005,1,MATCH(COLUMNS($U$1006:Z1006),$U$1006:$AC$1006,0))&gt;=100000), " ",IF(INDEX($U$2:$AC$1001,MATCH(ROWS($N$2:N657),$N$2:$N$1001,0),MATCH(COLUMNS($U$1006:Z1006),$U$1006:$AC$1006,0)), HYPERLINK("#",""), HYPERLINK(CONCATENATE("#metadata!", ADDRESS(INDEX($P$2:$P$1001,MATCH(ROWS($N$2:N657),$N$2:$N$1001,0),0), INDEX($U$1004:$AC$1004,1,MATCH(COLUMNS($U$1006:Z1006),$U$1006:$AC$1006,0)))),"Fix")))</f>
        <v>0</v>
      </c>
      <c r="H657" s="3">
        <f>IF(OR(INDEX($O$2:$O$1001,MATCH(ROWS($N$2:N657),$N$2:$N$1001,0),1)&gt;=100000,INDEX($U$1005:$AC$1005,1,MATCH(COLUMNS($U$1006:AA1006),$U$1006:$AC$1006,0))&gt;=100000), " ",IF(INDEX($U$2:$AC$1001,MATCH(ROWS($N$2:N657),$N$2:$N$1001,0),MATCH(COLUMNS($U$1006:AA1006),$U$1006:$AC$1006,0)), HYPERLINK("#",""), HYPERLINK(CONCATENATE("#metadata!", ADDRESS(INDEX($P$2:$P$1001,MATCH(ROWS($N$2:N657),$N$2:$N$1001,0),0), INDEX($U$1004:$AC$1004,1,MATCH(COLUMNS($U$1006:AA1006),$U$1006:$AC$1006,0)))),"Fix")))</f>
        <v>0</v>
      </c>
      <c r="I657" s="3">
        <f>IF(OR(INDEX($O$2:$O$1001,MATCH(ROWS($N$2:N657),$N$2:$N$1001,0),1)&gt;=100000,INDEX($U$1005:$AC$1005,1,MATCH(COLUMNS($U$1006:AB1006),$U$1006:$AC$1006,0))&gt;=100000), " ",IF(INDEX($U$2:$AC$1001,MATCH(ROWS($N$2:N657),$N$2:$N$1001,0),MATCH(COLUMNS($U$1006:AB1006),$U$1006:$AC$1006,0)), HYPERLINK("#",""), HYPERLINK(CONCATENATE("#metadata!", ADDRESS(INDEX($P$2:$P$1001,MATCH(ROWS($N$2:N657),$N$2:$N$1001,0),0), INDEX($U$1004:$AC$1004,1,MATCH(COLUMNS($U$1006:AB1006),$U$1006:$AC$1006,0)))),"Fix")))</f>
        <v>0</v>
      </c>
      <c r="J657" s="3">
        <f>IF(OR(INDEX($O$2:$O$1001,MATCH(ROWS($N$2:N657),$N$2:$N$1001,0),1)&gt;=100000,INDEX($U$1005:$AC$1005,1,MATCH(COLUMNS($U$1006:AC1006),$U$1006:$AC$1006,0))&gt;=100000), " ",IF(INDEX($U$2:$AC$1001,MATCH(ROWS($N$2:N657),$N$2:$N$1001,0),MATCH(COLUMNS($U$1006:AC1006),$U$1006:$AC$1006,0)), HYPERLINK("#",""), HYPERLINK(CONCATENATE("#metadata!", ADDRESS(INDEX($P$2:$P$1001,MATCH(ROWS($N$2:N657),$N$2:$N$1001,0),0), INDEX($U$1004:$AC$1004,1,MATCH(COLUMNS($U$1006:AC1006),$U$1006:$AC$1006,0)))),"Fix")))</f>
        <v>0</v>
      </c>
      <c r="N657">
        <v>0</v>
      </c>
      <c r="O657">
        <v>0</v>
      </c>
      <c r="P657">
        <v>0</v>
      </c>
      <c r="Q657">
        <f>IF(R657,TRUE,AND(U657:AC657))</f>
        <v>0</v>
      </c>
      <c r="R657">
        <f>COUNTBLANK(metadata!B657:J657)=COLUMNS(metadata!B657:J657)</f>
        <v>0</v>
      </c>
      <c r="S657">
        <v>0</v>
      </c>
      <c r="U657">
        <f>AND(IF(metadata!B657="",FALSE,TRUE),COUNTIF(metadata!B:B, metadata!B657) = 1,NOT(ISERROR(SUMPRODUCT(SEARCH(MID(metadata!B657,ROW(INDIRECT("1:"&amp;LEN(metadata!B657))), 1),"0123456789abcdefghijklmnopqrstuvwxyzABCDEFGHIJKLMNOPQRSTUVWXYZ.")))))</f>
        <v>0</v>
      </c>
      <c r="V657">
        <f>AND(IF(metadata!C657="",FALSE,TRUE),exact(metadata!C657,"UBERON:genitourinary"))</f>
        <v>0</v>
      </c>
      <c r="W657">
        <f>AND(IF(metadata!D657="",FALSE,TRUE),exact(metadata!D657,"UBERON:urine"))</f>
        <v>0</v>
      </c>
      <c r="X657">
        <f>AND(IF(metadata!E657="",FALSE,TRUE),exact(metadata!E657,"UBERON:kidney"))</f>
        <v>0</v>
      </c>
      <c r="Y657">
        <f>AND(IF(metadata!F657="",FALSE,TRUE),exact(metadata!F657,"animal corpus"))</f>
        <v>0</v>
      </c>
      <c r="Z657">
        <f>AND(IF(metadata!G657="",FALSE,TRUE),exact(metadata!G657,"urine"))</f>
        <v>0</v>
      </c>
      <c r="AA657">
        <f>AND(IF(metadata!H657="",FALSE,TRUE),exact(metadata!H657,"urine"))</f>
        <v>0</v>
      </c>
      <c r="AB657">
        <f>AND(IF(metadata!I657="",FALSE,TRUE),exact(metadata!I657,"urine metagenome"))</f>
        <v>0</v>
      </c>
      <c r="AC657">
        <f>AND(IF(metadata!J657="",FALSE,TRUE),exact(metadata!J657,"1346744"))</f>
        <v>0</v>
      </c>
    </row>
    <row r="658" spans="1:29">
      <c r="A658" s="4">
        <f>IF(B658=" "," ",HYPERLINK(CONCATENATE("#metadata!",ADDRESS(INDEX($P$2:$P$1001,MATCH(ROWS($N$2:N658),$N$2:$N$1001,0),0),1)),INDEX($S$2:$S$1001,MATCH(ROWS($N$2:N658),$N$2:$N$1001,0),0)))</f>
        <v>0</v>
      </c>
      <c r="B658" s="3">
        <f>IF(OR(INDEX($O$2:$O$1001,MATCH(ROWS($N$2:N658),$N$2:$N$1001,0),1)&gt;=100000,INDEX($U$1005:$AC$1005,1,MATCH(COLUMNS($U$1006:U1006),$U$1006:$AC$1006,0))&gt;=100000), " ",IF(INDEX($U$2:$AC$1001,MATCH(ROWS($N$2:N658),$N$2:$N$1001,0),MATCH(COLUMNS($U$1006:U1006),$U$1006:$AC$1006,0)), HYPERLINK("#",""), HYPERLINK(CONCATENATE("#metadata!", ADDRESS(INDEX($P$2:$P$1001,MATCH(ROWS($N$2:N658),$N$2:$N$1001,0),0), INDEX($U$1004:$AC$1004,1,MATCH(COLUMNS($U$1006:U1006),$U$1006:$AC$1006,0)))),"Fix")))</f>
        <v>0</v>
      </c>
      <c r="C658" s="3">
        <f>IF(OR(INDEX($O$2:$O$1001,MATCH(ROWS($N$2:N658),$N$2:$N$1001,0),1)&gt;=100000,INDEX($U$1005:$AC$1005,1,MATCH(COLUMNS($U$1006:V1006),$U$1006:$AC$1006,0))&gt;=100000), " ",IF(INDEX($U$2:$AC$1001,MATCH(ROWS($N$2:N658),$N$2:$N$1001,0),MATCH(COLUMNS($U$1006:V1006),$U$1006:$AC$1006,0)), HYPERLINK("#",""), HYPERLINK(CONCATENATE("#metadata!", ADDRESS(INDEX($P$2:$P$1001,MATCH(ROWS($N$2:N658),$N$2:$N$1001,0),0), INDEX($U$1004:$AC$1004,1,MATCH(COLUMNS($U$1006:V1006),$U$1006:$AC$1006,0)))),"Fix")))</f>
        <v>0</v>
      </c>
      <c r="D658" s="3">
        <f>IF(OR(INDEX($O$2:$O$1001,MATCH(ROWS($N$2:N658),$N$2:$N$1001,0),1)&gt;=100000,INDEX($U$1005:$AC$1005,1,MATCH(COLUMNS($U$1006:W1006),$U$1006:$AC$1006,0))&gt;=100000), " ",IF(INDEX($U$2:$AC$1001,MATCH(ROWS($N$2:N658),$N$2:$N$1001,0),MATCH(COLUMNS($U$1006:W1006),$U$1006:$AC$1006,0)), HYPERLINK("#",""), HYPERLINK(CONCATENATE("#metadata!", ADDRESS(INDEX($P$2:$P$1001,MATCH(ROWS($N$2:N658),$N$2:$N$1001,0),0), INDEX($U$1004:$AC$1004,1,MATCH(COLUMNS($U$1006:W1006),$U$1006:$AC$1006,0)))),"Fix")))</f>
        <v>0</v>
      </c>
      <c r="E658" s="3">
        <f>IF(OR(INDEX($O$2:$O$1001,MATCH(ROWS($N$2:N658),$N$2:$N$1001,0),1)&gt;=100000,INDEX($U$1005:$AC$1005,1,MATCH(COLUMNS($U$1006:X1006),$U$1006:$AC$1006,0))&gt;=100000), " ",IF(INDEX($U$2:$AC$1001,MATCH(ROWS($N$2:N658),$N$2:$N$1001,0),MATCH(COLUMNS($U$1006:X1006),$U$1006:$AC$1006,0)), HYPERLINK("#",""), HYPERLINK(CONCATENATE("#metadata!", ADDRESS(INDEX($P$2:$P$1001,MATCH(ROWS($N$2:N658),$N$2:$N$1001,0),0), INDEX($U$1004:$AC$1004,1,MATCH(COLUMNS($U$1006:X1006),$U$1006:$AC$1006,0)))),"Fix")))</f>
        <v>0</v>
      </c>
      <c r="F658" s="3">
        <f>IF(OR(INDEX($O$2:$O$1001,MATCH(ROWS($N$2:N658),$N$2:$N$1001,0),1)&gt;=100000,INDEX($U$1005:$AC$1005,1,MATCH(COLUMNS($U$1006:Y1006),$U$1006:$AC$1006,0))&gt;=100000), " ",IF(INDEX($U$2:$AC$1001,MATCH(ROWS($N$2:N658),$N$2:$N$1001,0),MATCH(COLUMNS($U$1006:Y1006),$U$1006:$AC$1006,0)), HYPERLINK("#",""), HYPERLINK(CONCATENATE("#metadata!", ADDRESS(INDEX($P$2:$P$1001,MATCH(ROWS($N$2:N658),$N$2:$N$1001,0),0), INDEX($U$1004:$AC$1004,1,MATCH(COLUMNS($U$1006:Y1006),$U$1006:$AC$1006,0)))),"Fix")))</f>
        <v>0</v>
      </c>
      <c r="G658" s="3">
        <f>IF(OR(INDEX($O$2:$O$1001,MATCH(ROWS($N$2:N658),$N$2:$N$1001,0),1)&gt;=100000,INDEX($U$1005:$AC$1005,1,MATCH(COLUMNS($U$1006:Z1006),$U$1006:$AC$1006,0))&gt;=100000), " ",IF(INDEX($U$2:$AC$1001,MATCH(ROWS($N$2:N658),$N$2:$N$1001,0),MATCH(COLUMNS($U$1006:Z1006),$U$1006:$AC$1006,0)), HYPERLINK("#",""), HYPERLINK(CONCATENATE("#metadata!", ADDRESS(INDEX($P$2:$P$1001,MATCH(ROWS($N$2:N658),$N$2:$N$1001,0),0), INDEX($U$1004:$AC$1004,1,MATCH(COLUMNS($U$1006:Z1006),$U$1006:$AC$1006,0)))),"Fix")))</f>
        <v>0</v>
      </c>
      <c r="H658" s="3">
        <f>IF(OR(INDEX($O$2:$O$1001,MATCH(ROWS($N$2:N658),$N$2:$N$1001,0),1)&gt;=100000,INDEX($U$1005:$AC$1005,1,MATCH(COLUMNS($U$1006:AA1006),$U$1006:$AC$1006,0))&gt;=100000), " ",IF(INDEX($U$2:$AC$1001,MATCH(ROWS($N$2:N658),$N$2:$N$1001,0),MATCH(COLUMNS($U$1006:AA1006),$U$1006:$AC$1006,0)), HYPERLINK("#",""), HYPERLINK(CONCATENATE("#metadata!", ADDRESS(INDEX($P$2:$P$1001,MATCH(ROWS($N$2:N658),$N$2:$N$1001,0),0), INDEX($U$1004:$AC$1004,1,MATCH(COLUMNS($U$1006:AA1006),$U$1006:$AC$1006,0)))),"Fix")))</f>
        <v>0</v>
      </c>
      <c r="I658" s="3">
        <f>IF(OR(INDEX($O$2:$O$1001,MATCH(ROWS($N$2:N658),$N$2:$N$1001,0),1)&gt;=100000,INDEX($U$1005:$AC$1005,1,MATCH(COLUMNS($U$1006:AB1006),$U$1006:$AC$1006,0))&gt;=100000), " ",IF(INDEX($U$2:$AC$1001,MATCH(ROWS($N$2:N658),$N$2:$N$1001,0),MATCH(COLUMNS($U$1006:AB1006),$U$1006:$AC$1006,0)), HYPERLINK("#",""), HYPERLINK(CONCATENATE("#metadata!", ADDRESS(INDEX($P$2:$P$1001,MATCH(ROWS($N$2:N658),$N$2:$N$1001,0),0), INDEX($U$1004:$AC$1004,1,MATCH(COLUMNS($U$1006:AB1006),$U$1006:$AC$1006,0)))),"Fix")))</f>
        <v>0</v>
      </c>
      <c r="J658" s="3">
        <f>IF(OR(INDEX($O$2:$O$1001,MATCH(ROWS($N$2:N658),$N$2:$N$1001,0),1)&gt;=100000,INDEX($U$1005:$AC$1005,1,MATCH(COLUMNS($U$1006:AC1006),$U$1006:$AC$1006,0))&gt;=100000), " ",IF(INDEX($U$2:$AC$1001,MATCH(ROWS($N$2:N658),$N$2:$N$1001,0),MATCH(COLUMNS($U$1006:AC1006),$U$1006:$AC$1006,0)), HYPERLINK("#",""), HYPERLINK(CONCATENATE("#metadata!", ADDRESS(INDEX($P$2:$P$1001,MATCH(ROWS($N$2:N658),$N$2:$N$1001,0),0), INDEX($U$1004:$AC$1004,1,MATCH(COLUMNS($U$1006:AC1006),$U$1006:$AC$1006,0)))),"Fix")))</f>
        <v>0</v>
      </c>
      <c r="N658">
        <v>0</v>
      </c>
      <c r="O658">
        <v>0</v>
      </c>
      <c r="P658">
        <v>0</v>
      </c>
      <c r="Q658">
        <f>IF(R658,TRUE,AND(U658:AC658))</f>
        <v>0</v>
      </c>
      <c r="R658">
        <f>COUNTBLANK(metadata!B658:J658)=COLUMNS(metadata!B658:J658)</f>
        <v>0</v>
      </c>
      <c r="S658">
        <v>0</v>
      </c>
      <c r="U658">
        <f>AND(IF(metadata!B658="",FALSE,TRUE),COUNTIF(metadata!B:B, metadata!B658) = 1,NOT(ISERROR(SUMPRODUCT(SEARCH(MID(metadata!B658,ROW(INDIRECT("1:"&amp;LEN(metadata!B658))), 1),"0123456789abcdefghijklmnopqrstuvwxyzABCDEFGHIJKLMNOPQRSTUVWXYZ.")))))</f>
        <v>0</v>
      </c>
      <c r="V658">
        <f>AND(IF(metadata!C658="",FALSE,TRUE),exact(metadata!C658,"UBERON:genitourinary"))</f>
        <v>0</v>
      </c>
      <c r="W658">
        <f>AND(IF(metadata!D658="",FALSE,TRUE),exact(metadata!D658,"UBERON:urine"))</f>
        <v>0</v>
      </c>
      <c r="X658">
        <f>AND(IF(metadata!E658="",FALSE,TRUE),exact(metadata!E658,"UBERON:kidney"))</f>
        <v>0</v>
      </c>
      <c r="Y658">
        <f>AND(IF(metadata!F658="",FALSE,TRUE),exact(metadata!F658,"animal corpus"))</f>
        <v>0</v>
      </c>
      <c r="Z658">
        <f>AND(IF(metadata!G658="",FALSE,TRUE),exact(metadata!G658,"urine"))</f>
        <v>0</v>
      </c>
      <c r="AA658">
        <f>AND(IF(metadata!H658="",FALSE,TRUE),exact(metadata!H658,"urine"))</f>
        <v>0</v>
      </c>
      <c r="AB658">
        <f>AND(IF(metadata!I658="",FALSE,TRUE),exact(metadata!I658,"urine metagenome"))</f>
        <v>0</v>
      </c>
      <c r="AC658">
        <f>AND(IF(metadata!J658="",FALSE,TRUE),exact(metadata!J658,"1346744"))</f>
        <v>0</v>
      </c>
    </row>
    <row r="659" spans="1:29">
      <c r="A659" s="4">
        <f>IF(B659=" "," ",HYPERLINK(CONCATENATE("#metadata!",ADDRESS(INDEX($P$2:$P$1001,MATCH(ROWS($N$2:N659),$N$2:$N$1001,0),0),1)),INDEX($S$2:$S$1001,MATCH(ROWS($N$2:N659),$N$2:$N$1001,0),0)))</f>
        <v>0</v>
      </c>
      <c r="B659" s="3">
        <f>IF(OR(INDEX($O$2:$O$1001,MATCH(ROWS($N$2:N659),$N$2:$N$1001,0),1)&gt;=100000,INDEX($U$1005:$AC$1005,1,MATCH(COLUMNS($U$1006:U1006),$U$1006:$AC$1006,0))&gt;=100000), " ",IF(INDEX($U$2:$AC$1001,MATCH(ROWS($N$2:N659),$N$2:$N$1001,0),MATCH(COLUMNS($U$1006:U1006),$U$1006:$AC$1006,0)), HYPERLINK("#",""), HYPERLINK(CONCATENATE("#metadata!", ADDRESS(INDEX($P$2:$P$1001,MATCH(ROWS($N$2:N659),$N$2:$N$1001,0),0), INDEX($U$1004:$AC$1004,1,MATCH(COLUMNS($U$1006:U1006),$U$1006:$AC$1006,0)))),"Fix")))</f>
        <v>0</v>
      </c>
      <c r="C659" s="3">
        <f>IF(OR(INDEX($O$2:$O$1001,MATCH(ROWS($N$2:N659),$N$2:$N$1001,0),1)&gt;=100000,INDEX($U$1005:$AC$1005,1,MATCH(COLUMNS($U$1006:V1006),$U$1006:$AC$1006,0))&gt;=100000), " ",IF(INDEX($U$2:$AC$1001,MATCH(ROWS($N$2:N659),$N$2:$N$1001,0),MATCH(COLUMNS($U$1006:V1006),$U$1006:$AC$1006,0)), HYPERLINK("#",""), HYPERLINK(CONCATENATE("#metadata!", ADDRESS(INDEX($P$2:$P$1001,MATCH(ROWS($N$2:N659),$N$2:$N$1001,0),0), INDEX($U$1004:$AC$1004,1,MATCH(COLUMNS($U$1006:V1006),$U$1006:$AC$1006,0)))),"Fix")))</f>
        <v>0</v>
      </c>
      <c r="D659" s="3">
        <f>IF(OR(INDEX($O$2:$O$1001,MATCH(ROWS($N$2:N659),$N$2:$N$1001,0),1)&gt;=100000,INDEX($U$1005:$AC$1005,1,MATCH(COLUMNS($U$1006:W1006),$U$1006:$AC$1006,0))&gt;=100000), " ",IF(INDEX($U$2:$AC$1001,MATCH(ROWS($N$2:N659),$N$2:$N$1001,0),MATCH(COLUMNS($U$1006:W1006),$U$1006:$AC$1006,0)), HYPERLINK("#",""), HYPERLINK(CONCATENATE("#metadata!", ADDRESS(INDEX($P$2:$P$1001,MATCH(ROWS($N$2:N659),$N$2:$N$1001,0),0), INDEX($U$1004:$AC$1004,1,MATCH(COLUMNS($U$1006:W1006),$U$1006:$AC$1006,0)))),"Fix")))</f>
        <v>0</v>
      </c>
      <c r="E659" s="3">
        <f>IF(OR(INDEX($O$2:$O$1001,MATCH(ROWS($N$2:N659),$N$2:$N$1001,0),1)&gt;=100000,INDEX($U$1005:$AC$1005,1,MATCH(COLUMNS($U$1006:X1006),$U$1006:$AC$1006,0))&gt;=100000), " ",IF(INDEX($U$2:$AC$1001,MATCH(ROWS($N$2:N659),$N$2:$N$1001,0),MATCH(COLUMNS($U$1006:X1006),$U$1006:$AC$1006,0)), HYPERLINK("#",""), HYPERLINK(CONCATENATE("#metadata!", ADDRESS(INDEX($P$2:$P$1001,MATCH(ROWS($N$2:N659),$N$2:$N$1001,0),0), INDEX($U$1004:$AC$1004,1,MATCH(COLUMNS($U$1006:X1006),$U$1006:$AC$1006,0)))),"Fix")))</f>
        <v>0</v>
      </c>
      <c r="F659" s="3">
        <f>IF(OR(INDEX($O$2:$O$1001,MATCH(ROWS($N$2:N659),$N$2:$N$1001,0),1)&gt;=100000,INDEX($U$1005:$AC$1005,1,MATCH(COLUMNS($U$1006:Y1006),$U$1006:$AC$1006,0))&gt;=100000), " ",IF(INDEX($U$2:$AC$1001,MATCH(ROWS($N$2:N659),$N$2:$N$1001,0),MATCH(COLUMNS($U$1006:Y1006),$U$1006:$AC$1006,0)), HYPERLINK("#",""), HYPERLINK(CONCATENATE("#metadata!", ADDRESS(INDEX($P$2:$P$1001,MATCH(ROWS($N$2:N659),$N$2:$N$1001,0),0), INDEX($U$1004:$AC$1004,1,MATCH(COLUMNS($U$1006:Y1006),$U$1006:$AC$1006,0)))),"Fix")))</f>
        <v>0</v>
      </c>
      <c r="G659" s="3">
        <f>IF(OR(INDEX($O$2:$O$1001,MATCH(ROWS($N$2:N659),$N$2:$N$1001,0),1)&gt;=100000,INDEX($U$1005:$AC$1005,1,MATCH(COLUMNS($U$1006:Z1006),$U$1006:$AC$1006,0))&gt;=100000), " ",IF(INDEX($U$2:$AC$1001,MATCH(ROWS($N$2:N659),$N$2:$N$1001,0),MATCH(COLUMNS($U$1006:Z1006),$U$1006:$AC$1006,0)), HYPERLINK("#",""), HYPERLINK(CONCATENATE("#metadata!", ADDRESS(INDEX($P$2:$P$1001,MATCH(ROWS($N$2:N659),$N$2:$N$1001,0),0), INDEX($U$1004:$AC$1004,1,MATCH(COLUMNS($U$1006:Z1006),$U$1006:$AC$1006,0)))),"Fix")))</f>
        <v>0</v>
      </c>
      <c r="H659" s="3">
        <f>IF(OR(INDEX($O$2:$O$1001,MATCH(ROWS($N$2:N659),$N$2:$N$1001,0),1)&gt;=100000,INDEX($U$1005:$AC$1005,1,MATCH(COLUMNS($U$1006:AA1006),$U$1006:$AC$1006,0))&gt;=100000), " ",IF(INDEX($U$2:$AC$1001,MATCH(ROWS($N$2:N659),$N$2:$N$1001,0),MATCH(COLUMNS($U$1006:AA1006),$U$1006:$AC$1006,0)), HYPERLINK("#",""), HYPERLINK(CONCATENATE("#metadata!", ADDRESS(INDEX($P$2:$P$1001,MATCH(ROWS($N$2:N659),$N$2:$N$1001,0),0), INDEX($U$1004:$AC$1004,1,MATCH(COLUMNS($U$1006:AA1006),$U$1006:$AC$1006,0)))),"Fix")))</f>
        <v>0</v>
      </c>
      <c r="I659" s="3">
        <f>IF(OR(INDEX($O$2:$O$1001,MATCH(ROWS($N$2:N659),$N$2:$N$1001,0),1)&gt;=100000,INDEX($U$1005:$AC$1005,1,MATCH(COLUMNS($U$1006:AB1006),$U$1006:$AC$1006,0))&gt;=100000), " ",IF(INDEX($U$2:$AC$1001,MATCH(ROWS($N$2:N659),$N$2:$N$1001,0),MATCH(COLUMNS($U$1006:AB1006),$U$1006:$AC$1006,0)), HYPERLINK("#",""), HYPERLINK(CONCATENATE("#metadata!", ADDRESS(INDEX($P$2:$P$1001,MATCH(ROWS($N$2:N659),$N$2:$N$1001,0),0), INDEX($U$1004:$AC$1004,1,MATCH(COLUMNS($U$1006:AB1006),$U$1006:$AC$1006,0)))),"Fix")))</f>
        <v>0</v>
      </c>
      <c r="J659" s="3">
        <f>IF(OR(INDEX($O$2:$O$1001,MATCH(ROWS($N$2:N659),$N$2:$N$1001,0),1)&gt;=100000,INDEX($U$1005:$AC$1005,1,MATCH(COLUMNS($U$1006:AC1006),$U$1006:$AC$1006,0))&gt;=100000), " ",IF(INDEX($U$2:$AC$1001,MATCH(ROWS($N$2:N659),$N$2:$N$1001,0),MATCH(COLUMNS($U$1006:AC1006),$U$1006:$AC$1006,0)), HYPERLINK("#",""), HYPERLINK(CONCATENATE("#metadata!", ADDRESS(INDEX($P$2:$P$1001,MATCH(ROWS($N$2:N659),$N$2:$N$1001,0),0), INDEX($U$1004:$AC$1004,1,MATCH(COLUMNS($U$1006:AC1006),$U$1006:$AC$1006,0)))),"Fix")))</f>
        <v>0</v>
      </c>
      <c r="N659">
        <v>0</v>
      </c>
      <c r="O659">
        <v>0</v>
      </c>
      <c r="P659">
        <v>0</v>
      </c>
      <c r="Q659">
        <f>IF(R659,TRUE,AND(U659:AC659))</f>
        <v>0</v>
      </c>
      <c r="R659">
        <f>COUNTBLANK(metadata!B659:J659)=COLUMNS(metadata!B659:J659)</f>
        <v>0</v>
      </c>
      <c r="S659">
        <v>0</v>
      </c>
      <c r="U659">
        <f>AND(IF(metadata!B659="",FALSE,TRUE),COUNTIF(metadata!B:B, metadata!B659) = 1,NOT(ISERROR(SUMPRODUCT(SEARCH(MID(metadata!B659,ROW(INDIRECT("1:"&amp;LEN(metadata!B659))), 1),"0123456789abcdefghijklmnopqrstuvwxyzABCDEFGHIJKLMNOPQRSTUVWXYZ.")))))</f>
        <v>0</v>
      </c>
      <c r="V659">
        <f>AND(IF(metadata!C659="",FALSE,TRUE),exact(metadata!C659,"UBERON:genitourinary"))</f>
        <v>0</v>
      </c>
      <c r="W659">
        <f>AND(IF(metadata!D659="",FALSE,TRUE),exact(metadata!D659,"UBERON:urine"))</f>
        <v>0</v>
      </c>
      <c r="X659">
        <f>AND(IF(metadata!E659="",FALSE,TRUE),exact(metadata!E659,"UBERON:kidney"))</f>
        <v>0</v>
      </c>
      <c r="Y659">
        <f>AND(IF(metadata!F659="",FALSE,TRUE),exact(metadata!F659,"animal corpus"))</f>
        <v>0</v>
      </c>
      <c r="Z659">
        <f>AND(IF(metadata!G659="",FALSE,TRUE),exact(metadata!G659,"urine"))</f>
        <v>0</v>
      </c>
      <c r="AA659">
        <f>AND(IF(metadata!H659="",FALSE,TRUE),exact(metadata!H659,"urine"))</f>
        <v>0</v>
      </c>
      <c r="AB659">
        <f>AND(IF(metadata!I659="",FALSE,TRUE),exact(metadata!I659,"urine metagenome"))</f>
        <v>0</v>
      </c>
      <c r="AC659">
        <f>AND(IF(metadata!J659="",FALSE,TRUE),exact(metadata!J659,"1346744"))</f>
        <v>0</v>
      </c>
    </row>
    <row r="660" spans="1:29">
      <c r="A660" s="4">
        <f>IF(B660=" "," ",HYPERLINK(CONCATENATE("#metadata!",ADDRESS(INDEX($P$2:$P$1001,MATCH(ROWS($N$2:N660),$N$2:$N$1001,0),0),1)),INDEX($S$2:$S$1001,MATCH(ROWS($N$2:N660),$N$2:$N$1001,0),0)))</f>
        <v>0</v>
      </c>
      <c r="B660" s="3">
        <f>IF(OR(INDEX($O$2:$O$1001,MATCH(ROWS($N$2:N660),$N$2:$N$1001,0),1)&gt;=100000,INDEX($U$1005:$AC$1005,1,MATCH(COLUMNS($U$1006:U1006),$U$1006:$AC$1006,0))&gt;=100000), " ",IF(INDEX($U$2:$AC$1001,MATCH(ROWS($N$2:N660),$N$2:$N$1001,0),MATCH(COLUMNS($U$1006:U1006),$U$1006:$AC$1006,0)), HYPERLINK("#",""), HYPERLINK(CONCATENATE("#metadata!", ADDRESS(INDEX($P$2:$P$1001,MATCH(ROWS($N$2:N660),$N$2:$N$1001,0),0), INDEX($U$1004:$AC$1004,1,MATCH(COLUMNS($U$1006:U1006),$U$1006:$AC$1006,0)))),"Fix")))</f>
        <v>0</v>
      </c>
      <c r="C660" s="3">
        <f>IF(OR(INDEX($O$2:$O$1001,MATCH(ROWS($N$2:N660),$N$2:$N$1001,0),1)&gt;=100000,INDEX($U$1005:$AC$1005,1,MATCH(COLUMNS($U$1006:V1006),$U$1006:$AC$1006,0))&gt;=100000), " ",IF(INDEX($U$2:$AC$1001,MATCH(ROWS($N$2:N660),$N$2:$N$1001,0),MATCH(COLUMNS($U$1006:V1006),$U$1006:$AC$1006,0)), HYPERLINK("#",""), HYPERLINK(CONCATENATE("#metadata!", ADDRESS(INDEX($P$2:$P$1001,MATCH(ROWS($N$2:N660),$N$2:$N$1001,0),0), INDEX($U$1004:$AC$1004,1,MATCH(COLUMNS($U$1006:V1006),$U$1006:$AC$1006,0)))),"Fix")))</f>
        <v>0</v>
      </c>
      <c r="D660" s="3">
        <f>IF(OR(INDEX($O$2:$O$1001,MATCH(ROWS($N$2:N660),$N$2:$N$1001,0),1)&gt;=100000,INDEX($U$1005:$AC$1005,1,MATCH(COLUMNS($U$1006:W1006),$U$1006:$AC$1006,0))&gt;=100000), " ",IF(INDEX($U$2:$AC$1001,MATCH(ROWS($N$2:N660),$N$2:$N$1001,0),MATCH(COLUMNS($U$1006:W1006),$U$1006:$AC$1006,0)), HYPERLINK("#",""), HYPERLINK(CONCATENATE("#metadata!", ADDRESS(INDEX($P$2:$P$1001,MATCH(ROWS($N$2:N660),$N$2:$N$1001,0),0), INDEX($U$1004:$AC$1004,1,MATCH(COLUMNS($U$1006:W1006),$U$1006:$AC$1006,0)))),"Fix")))</f>
        <v>0</v>
      </c>
      <c r="E660" s="3">
        <f>IF(OR(INDEX($O$2:$O$1001,MATCH(ROWS($N$2:N660),$N$2:$N$1001,0),1)&gt;=100000,INDEX($U$1005:$AC$1005,1,MATCH(COLUMNS($U$1006:X1006),$U$1006:$AC$1006,0))&gt;=100000), " ",IF(INDEX($U$2:$AC$1001,MATCH(ROWS($N$2:N660),$N$2:$N$1001,0),MATCH(COLUMNS($U$1006:X1006),$U$1006:$AC$1006,0)), HYPERLINK("#",""), HYPERLINK(CONCATENATE("#metadata!", ADDRESS(INDEX($P$2:$P$1001,MATCH(ROWS($N$2:N660),$N$2:$N$1001,0),0), INDEX($U$1004:$AC$1004,1,MATCH(COLUMNS($U$1006:X1006),$U$1006:$AC$1006,0)))),"Fix")))</f>
        <v>0</v>
      </c>
      <c r="F660" s="3">
        <f>IF(OR(INDEX($O$2:$O$1001,MATCH(ROWS($N$2:N660),$N$2:$N$1001,0),1)&gt;=100000,INDEX($U$1005:$AC$1005,1,MATCH(COLUMNS($U$1006:Y1006),$U$1006:$AC$1006,0))&gt;=100000), " ",IF(INDEX($U$2:$AC$1001,MATCH(ROWS($N$2:N660),$N$2:$N$1001,0),MATCH(COLUMNS($U$1006:Y1006),$U$1006:$AC$1006,0)), HYPERLINK("#",""), HYPERLINK(CONCATENATE("#metadata!", ADDRESS(INDEX($P$2:$P$1001,MATCH(ROWS($N$2:N660),$N$2:$N$1001,0),0), INDEX($U$1004:$AC$1004,1,MATCH(COLUMNS($U$1006:Y1006),$U$1006:$AC$1006,0)))),"Fix")))</f>
        <v>0</v>
      </c>
      <c r="G660" s="3">
        <f>IF(OR(INDEX($O$2:$O$1001,MATCH(ROWS($N$2:N660),$N$2:$N$1001,0),1)&gt;=100000,INDEX($U$1005:$AC$1005,1,MATCH(COLUMNS($U$1006:Z1006),$U$1006:$AC$1006,0))&gt;=100000), " ",IF(INDEX($U$2:$AC$1001,MATCH(ROWS($N$2:N660),$N$2:$N$1001,0),MATCH(COLUMNS($U$1006:Z1006),$U$1006:$AC$1006,0)), HYPERLINK("#",""), HYPERLINK(CONCATENATE("#metadata!", ADDRESS(INDEX($P$2:$P$1001,MATCH(ROWS($N$2:N660),$N$2:$N$1001,0),0), INDEX($U$1004:$AC$1004,1,MATCH(COLUMNS($U$1006:Z1006),$U$1006:$AC$1006,0)))),"Fix")))</f>
        <v>0</v>
      </c>
      <c r="H660" s="3">
        <f>IF(OR(INDEX($O$2:$O$1001,MATCH(ROWS($N$2:N660),$N$2:$N$1001,0),1)&gt;=100000,INDEX($U$1005:$AC$1005,1,MATCH(COLUMNS($U$1006:AA1006),$U$1006:$AC$1006,0))&gt;=100000), " ",IF(INDEX($U$2:$AC$1001,MATCH(ROWS($N$2:N660),$N$2:$N$1001,0),MATCH(COLUMNS($U$1006:AA1006),$U$1006:$AC$1006,0)), HYPERLINK("#",""), HYPERLINK(CONCATENATE("#metadata!", ADDRESS(INDEX($P$2:$P$1001,MATCH(ROWS($N$2:N660),$N$2:$N$1001,0),0), INDEX($U$1004:$AC$1004,1,MATCH(COLUMNS($U$1006:AA1006),$U$1006:$AC$1006,0)))),"Fix")))</f>
        <v>0</v>
      </c>
      <c r="I660" s="3">
        <f>IF(OR(INDEX($O$2:$O$1001,MATCH(ROWS($N$2:N660),$N$2:$N$1001,0),1)&gt;=100000,INDEX($U$1005:$AC$1005,1,MATCH(COLUMNS($U$1006:AB1006),$U$1006:$AC$1006,0))&gt;=100000), " ",IF(INDEX($U$2:$AC$1001,MATCH(ROWS($N$2:N660),$N$2:$N$1001,0),MATCH(COLUMNS($U$1006:AB1006),$U$1006:$AC$1006,0)), HYPERLINK("#",""), HYPERLINK(CONCATENATE("#metadata!", ADDRESS(INDEX($P$2:$P$1001,MATCH(ROWS($N$2:N660),$N$2:$N$1001,0),0), INDEX($U$1004:$AC$1004,1,MATCH(COLUMNS($U$1006:AB1006),$U$1006:$AC$1006,0)))),"Fix")))</f>
        <v>0</v>
      </c>
      <c r="J660" s="3">
        <f>IF(OR(INDEX($O$2:$O$1001,MATCH(ROWS($N$2:N660),$N$2:$N$1001,0),1)&gt;=100000,INDEX($U$1005:$AC$1005,1,MATCH(COLUMNS($U$1006:AC1006),$U$1006:$AC$1006,0))&gt;=100000), " ",IF(INDEX($U$2:$AC$1001,MATCH(ROWS($N$2:N660),$N$2:$N$1001,0),MATCH(COLUMNS($U$1006:AC1006),$U$1006:$AC$1006,0)), HYPERLINK("#",""), HYPERLINK(CONCATENATE("#metadata!", ADDRESS(INDEX($P$2:$P$1001,MATCH(ROWS($N$2:N660),$N$2:$N$1001,0),0), INDEX($U$1004:$AC$1004,1,MATCH(COLUMNS($U$1006:AC1006),$U$1006:$AC$1006,0)))),"Fix")))</f>
        <v>0</v>
      </c>
      <c r="N660">
        <v>0</v>
      </c>
      <c r="O660">
        <v>0</v>
      </c>
      <c r="P660">
        <v>0</v>
      </c>
      <c r="Q660">
        <f>IF(R660,TRUE,AND(U660:AC660))</f>
        <v>0</v>
      </c>
      <c r="R660">
        <f>COUNTBLANK(metadata!B660:J660)=COLUMNS(metadata!B660:J660)</f>
        <v>0</v>
      </c>
      <c r="S660">
        <v>0</v>
      </c>
      <c r="U660">
        <f>AND(IF(metadata!B660="",FALSE,TRUE),COUNTIF(metadata!B:B, metadata!B660) = 1,NOT(ISERROR(SUMPRODUCT(SEARCH(MID(metadata!B660,ROW(INDIRECT("1:"&amp;LEN(metadata!B660))), 1),"0123456789abcdefghijklmnopqrstuvwxyzABCDEFGHIJKLMNOPQRSTUVWXYZ.")))))</f>
        <v>0</v>
      </c>
      <c r="V660">
        <f>AND(IF(metadata!C660="",FALSE,TRUE),exact(metadata!C660,"UBERON:genitourinary"))</f>
        <v>0</v>
      </c>
      <c r="W660">
        <f>AND(IF(metadata!D660="",FALSE,TRUE),exact(metadata!D660,"UBERON:urine"))</f>
        <v>0</v>
      </c>
      <c r="X660">
        <f>AND(IF(metadata!E660="",FALSE,TRUE),exact(metadata!E660,"UBERON:kidney"))</f>
        <v>0</v>
      </c>
      <c r="Y660">
        <f>AND(IF(metadata!F660="",FALSE,TRUE),exact(metadata!F660,"animal corpus"))</f>
        <v>0</v>
      </c>
      <c r="Z660">
        <f>AND(IF(metadata!G660="",FALSE,TRUE),exact(metadata!G660,"urine"))</f>
        <v>0</v>
      </c>
      <c r="AA660">
        <f>AND(IF(metadata!H660="",FALSE,TRUE),exact(metadata!H660,"urine"))</f>
        <v>0</v>
      </c>
      <c r="AB660">
        <f>AND(IF(metadata!I660="",FALSE,TRUE),exact(metadata!I660,"urine metagenome"))</f>
        <v>0</v>
      </c>
      <c r="AC660">
        <f>AND(IF(metadata!J660="",FALSE,TRUE),exact(metadata!J660,"1346744"))</f>
        <v>0</v>
      </c>
    </row>
    <row r="661" spans="1:29">
      <c r="A661" s="4">
        <f>IF(B661=" "," ",HYPERLINK(CONCATENATE("#metadata!",ADDRESS(INDEX($P$2:$P$1001,MATCH(ROWS($N$2:N661),$N$2:$N$1001,0),0),1)),INDEX($S$2:$S$1001,MATCH(ROWS($N$2:N661),$N$2:$N$1001,0),0)))</f>
        <v>0</v>
      </c>
      <c r="B661" s="3">
        <f>IF(OR(INDEX($O$2:$O$1001,MATCH(ROWS($N$2:N661),$N$2:$N$1001,0),1)&gt;=100000,INDEX($U$1005:$AC$1005,1,MATCH(COLUMNS($U$1006:U1006),$U$1006:$AC$1006,0))&gt;=100000), " ",IF(INDEX($U$2:$AC$1001,MATCH(ROWS($N$2:N661),$N$2:$N$1001,0),MATCH(COLUMNS($U$1006:U1006),$U$1006:$AC$1006,0)), HYPERLINK("#",""), HYPERLINK(CONCATENATE("#metadata!", ADDRESS(INDEX($P$2:$P$1001,MATCH(ROWS($N$2:N661),$N$2:$N$1001,0),0), INDEX($U$1004:$AC$1004,1,MATCH(COLUMNS($U$1006:U1006),$U$1006:$AC$1006,0)))),"Fix")))</f>
        <v>0</v>
      </c>
      <c r="C661" s="3">
        <f>IF(OR(INDEX($O$2:$O$1001,MATCH(ROWS($N$2:N661),$N$2:$N$1001,0),1)&gt;=100000,INDEX($U$1005:$AC$1005,1,MATCH(COLUMNS($U$1006:V1006),$U$1006:$AC$1006,0))&gt;=100000), " ",IF(INDEX($U$2:$AC$1001,MATCH(ROWS($N$2:N661),$N$2:$N$1001,0),MATCH(COLUMNS($U$1006:V1006),$U$1006:$AC$1006,0)), HYPERLINK("#",""), HYPERLINK(CONCATENATE("#metadata!", ADDRESS(INDEX($P$2:$P$1001,MATCH(ROWS($N$2:N661),$N$2:$N$1001,0),0), INDEX($U$1004:$AC$1004,1,MATCH(COLUMNS($U$1006:V1006),$U$1006:$AC$1006,0)))),"Fix")))</f>
        <v>0</v>
      </c>
      <c r="D661" s="3">
        <f>IF(OR(INDEX($O$2:$O$1001,MATCH(ROWS($N$2:N661),$N$2:$N$1001,0),1)&gt;=100000,INDEX($U$1005:$AC$1005,1,MATCH(COLUMNS($U$1006:W1006),$U$1006:$AC$1006,0))&gt;=100000), " ",IF(INDEX($U$2:$AC$1001,MATCH(ROWS($N$2:N661),$N$2:$N$1001,0),MATCH(COLUMNS($U$1006:W1006),$U$1006:$AC$1006,0)), HYPERLINK("#",""), HYPERLINK(CONCATENATE("#metadata!", ADDRESS(INDEX($P$2:$P$1001,MATCH(ROWS($N$2:N661),$N$2:$N$1001,0),0), INDEX($U$1004:$AC$1004,1,MATCH(COLUMNS($U$1006:W1006),$U$1006:$AC$1006,0)))),"Fix")))</f>
        <v>0</v>
      </c>
      <c r="E661" s="3">
        <f>IF(OR(INDEX($O$2:$O$1001,MATCH(ROWS($N$2:N661),$N$2:$N$1001,0),1)&gt;=100000,INDEX($U$1005:$AC$1005,1,MATCH(COLUMNS($U$1006:X1006),$U$1006:$AC$1006,0))&gt;=100000), " ",IF(INDEX($U$2:$AC$1001,MATCH(ROWS($N$2:N661),$N$2:$N$1001,0),MATCH(COLUMNS($U$1006:X1006),$U$1006:$AC$1006,0)), HYPERLINK("#",""), HYPERLINK(CONCATENATE("#metadata!", ADDRESS(INDEX($P$2:$P$1001,MATCH(ROWS($N$2:N661),$N$2:$N$1001,0),0), INDEX($U$1004:$AC$1004,1,MATCH(COLUMNS($U$1006:X1006),$U$1006:$AC$1006,0)))),"Fix")))</f>
        <v>0</v>
      </c>
      <c r="F661" s="3">
        <f>IF(OR(INDEX($O$2:$O$1001,MATCH(ROWS($N$2:N661),$N$2:$N$1001,0),1)&gt;=100000,INDEX($U$1005:$AC$1005,1,MATCH(COLUMNS($U$1006:Y1006),$U$1006:$AC$1006,0))&gt;=100000), " ",IF(INDEX($U$2:$AC$1001,MATCH(ROWS($N$2:N661),$N$2:$N$1001,0),MATCH(COLUMNS($U$1006:Y1006),$U$1006:$AC$1006,0)), HYPERLINK("#",""), HYPERLINK(CONCATENATE("#metadata!", ADDRESS(INDEX($P$2:$P$1001,MATCH(ROWS($N$2:N661),$N$2:$N$1001,0),0), INDEX($U$1004:$AC$1004,1,MATCH(COLUMNS($U$1006:Y1006),$U$1006:$AC$1006,0)))),"Fix")))</f>
        <v>0</v>
      </c>
      <c r="G661" s="3">
        <f>IF(OR(INDEX($O$2:$O$1001,MATCH(ROWS($N$2:N661),$N$2:$N$1001,0),1)&gt;=100000,INDEX($U$1005:$AC$1005,1,MATCH(COLUMNS($U$1006:Z1006),$U$1006:$AC$1006,0))&gt;=100000), " ",IF(INDEX($U$2:$AC$1001,MATCH(ROWS($N$2:N661),$N$2:$N$1001,0),MATCH(COLUMNS($U$1006:Z1006),$U$1006:$AC$1006,0)), HYPERLINK("#",""), HYPERLINK(CONCATENATE("#metadata!", ADDRESS(INDEX($P$2:$P$1001,MATCH(ROWS($N$2:N661),$N$2:$N$1001,0),0), INDEX($U$1004:$AC$1004,1,MATCH(COLUMNS($U$1006:Z1006),$U$1006:$AC$1006,0)))),"Fix")))</f>
        <v>0</v>
      </c>
      <c r="H661" s="3">
        <f>IF(OR(INDEX($O$2:$O$1001,MATCH(ROWS($N$2:N661),$N$2:$N$1001,0),1)&gt;=100000,INDEX($U$1005:$AC$1005,1,MATCH(COLUMNS($U$1006:AA1006),$U$1006:$AC$1006,0))&gt;=100000), " ",IF(INDEX($U$2:$AC$1001,MATCH(ROWS($N$2:N661),$N$2:$N$1001,0),MATCH(COLUMNS($U$1006:AA1006),$U$1006:$AC$1006,0)), HYPERLINK("#",""), HYPERLINK(CONCATENATE("#metadata!", ADDRESS(INDEX($P$2:$P$1001,MATCH(ROWS($N$2:N661),$N$2:$N$1001,0),0), INDEX($U$1004:$AC$1004,1,MATCH(COLUMNS($U$1006:AA1006),$U$1006:$AC$1006,0)))),"Fix")))</f>
        <v>0</v>
      </c>
      <c r="I661" s="3">
        <f>IF(OR(INDEX($O$2:$O$1001,MATCH(ROWS($N$2:N661),$N$2:$N$1001,0),1)&gt;=100000,INDEX($U$1005:$AC$1005,1,MATCH(COLUMNS($U$1006:AB1006),$U$1006:$AC$1006,0))&gt;=100000), " ",IF(INDEX($U$2:$AC$1001,MATCH(ROWS($N$2:N661),$N$2:$N$1001,0),MATCH(COLUMNS($U$1006:AB1006),$U$1006:$AC$1006,0)), HYPERLINK("#",""), HYPERLINK(CONCATENATE("#metadata!", ADDRESS(INDEX($P$2:$P$1001,MATCH(ROWS($N$2:N661),$N$2:$N$1001,0),0), INDEX($U$1004:$AC$1004,1,MATCH(COLUMNS($U$1006:AB1006),$U$1006:$AC$1006,0)))),"Fix")))</f>
        <v>0</v>
      </c>
      <c r="J661" s="3">
        <f>IF(OR(INDEX($O$2:$O$1001,MATCH(ROWS($N$2:N661),$N$2:$N$1001,0),1)&gt;=100000,INDEX($U$1005:$AC$1005,1,MATCH(COLUMNS($U$1006:AC1006),$U$1006:$AC$1006,0))&gt;=100000), " ",IF(INDEX($U$2:$AC$1001,MATCH(ROWS($N$2:N661),$N$2:$N$1001,0),MATCH(COLUMNS($U$1006:AC1006),$U$1006:$AC$1006,0)), HYPERLINK("#",""), HYPERLINK(CONCATENATE("#metadata!", ADDRESS(INDEX($P$2:$P$1001,MATCH(ROWS($N$2:N661),$N$2:$N$1001,0),0), INDEX($U$1004:$AC$1004,1,MATCH(COLUMNS($U$1006:AC1006),$U$1006:$AC$1006,0)))),"Fix")))</f>
        <v>0</v>
      </c>
      <c r="N661">
        <v>0</v>
      </c>
      <c r="O661">
        <v>0</v>
      </c>
      <c r="P661">
        <v>0</v>
      </c>
      <c r="Q661">
        <f>IF(R661,TRUE,AND(U661:AC661))</f>
        <v>0</v>
      </c>
      <c r="R661">
        <f>COUNTBLANK(metadata!B661:J661)=COLUMNS(metadata!B661:J661)</f>
        <v>0</v>
      </c>
      <c r="S661">
        <v>0</v>
      </c>
      <c r="U661">
        <f>AND(IF(metadata!B661="",FALSE,TRUE),COUNTIF(metadata!B:B, metadata!B661) = 1,NOT(ISERROR(SUMPRODUCT(SEARCH(MID(metadata!B661,ROW(INDIRECT("1:"&amp;LEN(metadata!B661))), 1),"0123456789abcdefghijklmnopqrstuvwxyzABCDEFGHIJKLMNOPQRSTUVWXYZ.")))))</f>
        <v>0</v>
      </c>
      <c r="V661">
        <f>AND(IF(metadata!C661="",FALSE,TRUE),exact(metadata!C661,"UBERON:genitourinary"))</f>
        <v>0</v>
      </c>
      <c r="W661">
        <f>AND(IF(metadata!D661="",FALSE,TRUE),exact(metadata!D661,"UBERON:urine"))</f>
        <v>0</v>
      </c>
      <c r="X661">
        <f>AND(IF(metadata!E661="",FALSE,TRUE),exact(metadata!E661,"UBERON:kidney"))</f>
        <v>0</v>
      </c>
      <c r="Y661">
        <f>AND(IF(metadata!F661="",FALSE,TRUE),exact(metadata!F661,"animal corpus"))</f>
        <v>0</v>
      </c>
      <c r="Z661">
        <f>AND(IF(metadata!G661="",FALSE,TRUE),exact(metadata!G661,"urine"))</f>
        <v>0</v>
      </c>
      <c r="AA661">
        <f>AND(IF(metadata!H661="",FALSE,TRUE),exact(metadata!H661,"urine"))</f>
        <v>0</v>
      </c>
      <c r="AB661">
        <f>AND(IF(metadata!I661="",FALSE,TRUE),exact(metadata!I661,"urine metagenome"))</f>
        <v>0</v>
      </c>
      <c r="AC661">
        <f>AND(IF(metadata!J661="",FALSE,TRUE),exact(metadata!J661,"1346744"))</f>
        <v>0</v>
      </c>
    </row>
    <row r="662" spans="1:29">
      <c r="A662" s="4">
        <f>IF(B662=" "," ",HYPERLINK(CONCATENATE("#metadata!",ADDRESS(INDEX($P$2:$P$1001,MATCH(ROWS($N$2:N662),$N$2:$N$1001,0),0),1)),INDEX($S$2:$S$1001,MATCH(ROWS($N$2:N662),$N$2:$N$1001,0),0)))</f>
        <v>0</v>
      </c>
      <c r="B662" s="3">
        <f>IF(OR(INDEX($O$2:$O$1001,MATCH(ROWS($N$2:N662),$N$2:$N$1001,0),1)&gt;=100000,INDEX($U$1005:$AC$1005,1,MATCH(COLUMNS($U$1006:U1006),$U$1006:$AC$1006,0))&gt;=100000), " ",IF(INDEX($U$2:$AC$1001,MATCH(ROWS($N$2:N662),$N$2:$N$1001,0),MATCH(COLUMNS($U$1006:U1006),$U$1006:$AC$1006,0)), HYPERLINK("#",""), HYPERLINK(CONCATENATE("#metadata!", ADDRESS(INDEX($P$2:$P$1001,MATCH(ROWS($N$2:N662),$N$2:$N$1001,0),0), INDEX($U$1004:$AC$1004,1,MATCH(COLUMNS($U$1006:U1006),$U$1006:$AC$1006,0)))),"Fix")))</f>
        <v>0</v>
      </c>
      <c r="C662" s="3">
        <f>IF(OR(INDEX($O$2:$O$1001,MATCH(ROWS($N$2:N662),$N$2:$N$1001,0),1)&gt;=100000,INDEX($U$1005:$AC$1005,1,MATCH(COLUMNS($U$1006:V1006),$U$1006:$AC$1006,0))&gt;=100000), " ",IF(INDEX($U$2:$AC$1001,MATCH(ROWS($N$2:N662),$N$2:$N$1001,0),MATCH(COLUMNS($U$1006:V1006),$U$1006:$AC$1006,0)), HYPERLINK("#",""), HYPERLINK(CONCATENATE("#metadata!", ADDRESS(INDEX($P$2:$P$1001,MATCH(ROWS($N$2:N662),$N$2:$N$1001,0),0), INDEX($U$1004:$AC$1004,1,MATCH(COLUMNS($U$1006:V1006),$U$1006:$AC$1006,0)))),"Fix")))</f>
        <v>0</v>
      </c>
      <c r="D662" s="3">
        <f>IF(OR(INDEX($O$2:$O$1001,MATCH(ROWS($N$2:N662),$N$2:$N$1001,0),1)&gt;=100000,INDEX($U$1005:$AC$1005,1,MATCH(COLUMNS($U$1006:W1006),$U$1006:$AC$1006,0))&gt;=100000), " ",IF(INDEX($U$2:$AC$1001,MATCH(ROWS($N$2:N662),$N$2:$N$1001,0),MATCH(COLUMNS($U$1006:W1006),$U$1006:$AC$1006,0)), HYPERLINK("#",""), HYPERLINK(CONCATENATE("#metadata!", ADDRESS(INDEX($P$2:$P$1001,MATCH(ROWS($N$2:N662),$N$2:$N$1001,0),0), INDEX($U$1004:$AC$1004,1,MATCH(COLUMNS($U$1006:W1006),$U$1006:$AC$1006,0)))),"Fix")))</f>
        <v>0</v>
      </c>
      <c r="E662" s="3">
        <f>IF(OR(INDEX($O$2:$O$1001,MATCH(ROWS($N$2:N662),$N$2:$N$1001,0),1)&gt;=100000,INDEX($U$1005:$AC$1005,1,MATCH(COLUMNS($U$1006:X1006),$U$1006:$AC$1006,0))&gt;=100000), " ",IF(INDEX($U$2:$AC$1001,MATCH(ROWS($N$2:N662),$N$2:$N$1001,0),MATCH(COLUMNS($U$1006:X1006),$U$1006:$AC$1006,0)), HYPERLINK("#",""), HYPERLINK(CONCATENATE("#metadata!", ADDRESS(INDEX($P$2:$P$1001,MATCH(ROWS($N$2:N662),$N$2:$N$1001,0),0), INDEX($U$1004:$AC$1004,1,MATCH(COLUMNS($U$1006:X1006),$U$1006:$AC$1006,0)))),"Fix")))</f>
        <v>0</v>
      </c>
      <c r="F662" s="3">
        <f>IF(OR(INDEX($O$2:$O$1001,MATCH(ROWS($N$2:N662),$N$2:$N$1001,0),1)&gt;=100000,INDEX($U$1005:$AC$1005,1,MATCH(COLUMNS($U$1006:Y1006),$U$1006:$AC$1006,0))&gt;=100000), " ",IF(INDEX($U$2:$AC$1001,MATCH(ROWS($N$2:N662),$N$2:$N$1001,0),MATCH(COLUMNS($U$1006:Y1006),$U$1006:$AC$1006,0)), HYPERLINK("#",""), HYPERLINK(CONCATENATE("#metadata!", ADDRESS(INDEX($P$2:$P$1001,MATCH(ROWS($N$2:N662),$N$2:$N$1001,0),0), INDEX($U$1004:$AC$1004,1,MATCH(COLUMNS($U$1006:Y1006),$U$1006:$AC$1006,0)))),"Fix")))</f>
        <v>0</v>
      </c>
      <c r="G662" s="3">
        <f>IF(OR(INDEX($O$2:$O$1001,MATCH(ROWS($N$2:N662),$N$2:$N$1001,0),1)&gt;=100000,INDEX($U$1005:$AC$1005,1,MATCH(COLUMNS($U$1006:Z1006),$U$1006:$AC$1006,0))&gt;=100000), " ",IF(INDEX($U$2:$AC$1001,MATCH(ROWS($N$2:N662),$N$2:$N$1001,0),MATCH(COLUMNS($U$1006:Z1006),$U$1006:$AC$1006,0)), HYPERLINK("#",""), HYPERLINK(CONCATENATE("#metadata!", ADDRESS(INDEX($P$2:$P$1001,MATCH(ROWS($N$2:N662),$N$2:$N$1001,0),0), INDEX($U$1004:$AC$1004,1,MATCH(COLUMNS($U$1006:Z1006),$U$1006:$AC$1006,0)))),"Fix")))</f>
        <v>0</v>
      </c>
      <c r="H662" s="3">
        <f>IF(OR(INDEX($O$2:$O$1001,MATCH(ROWS($N$2:N662),$N$2:$N$1001,0),1)&gt;=100000,INDEX($U$1005:$AC$1005,1,MATCH(COLUMNS($U$1006:AA1006),$U$1006:$AC$1006,0))&gt;=100000), " ",IF(INDEX($U$2:$AC$1001,MATCH(ROWS($N$2:N662),$N$2:$N$1001,0),MATCH(COLUMNS($U$1006:AA1006),$U$1006:$AC$1006,0)), HYPERLINK("#",""), HYPERLINK(CONCATENATE("#metadata!", ADDRESS(INDEX($P$2:$P$1001,MATCH(ROWS($N$2:N662),$N$2:$N$1001,0),0), INDEX($U$1004:$AC$1004,1,MATCH(COLUMNS($U$1006:AA1006),$U$1006:$AC$1006,0)))),"Fix")))</f>
        <v>0</v>
      </c>
      <c r="I662" s="3">
        <f>IF(OR(INDEX($O$2:$O$1001,MATCH(ROWS($N$2:N662),$N$2:$N$1001,0),1)&gt;=100000,INDEX($U$1005:$AC$1005,1,MATCH(COLUMNS($U$1006:AB1006),$U$1006:$AC$1006,0))&gt;=100000), " ",IF(INDEX($U$2:$AC$1001,MATCH(ROWS($N$2:N662),$N$2:$N$1001,0),MATCH(COLUMNS($U$1006:AB1006),$U$1006:$AC$1006,0)), HYPERLINK("#",""), HYPERLINK(CONCATENATE("#metadata!", ADDRESS(INDEX($P$2:$P$1001,MATCH(ROWS($N$2:N662),$N$2:$N$1001,0),0), INDEX($U$1004:$AC$1004,1,MATCH(COLUMNS($U$1006:AB1006),$U$1006:$AC$1006,0)))),"Fix")))</f>
        <v>0</v>
      </c>
      <c r="J662" s="3">
        <f>IF(OR(INDEX($O$2:$O$1001,MATCH(ROWS($N$2:N662),$N$2:$N$1001,0),1)&gt;=100000,INDEX($U$1005:$AC$1005,1,MATCH(COLUMNS($U$1006:AC1006),$U$1006:$AC$1006,0))&gt;=100000), " ",IF(INDEX($U$2:$AC$1001,MATCH(ROWS($N$2:N662),$N$2:$N$1001,0),MATCH(COLUMNS($U$1006:AC1006),$U$1006:$AC$1006,0)), HYPERLINK("#",""), HYPERLINK(CONCATENATE("#metadata!", ADDRESS(INDEX($P$2:$P$1001,MATCH(ROWS($N$2:N662),$N$2:$N$1001,0),0), INDEX($U$1004:$AC$1004,1,MATCH(COLUMNS($U$1006:AC1006),$U$1006:$AC$1006,0)))),"Fix")))</f>
        <v>0</v>
      </c>
      <c r="N662">
        <v>0</v>
      </c>
      <c r="O662">
        <v>0</v>
      </c>
      <c r="P662">
        <v>0</v>
      </c>
      <c r="Q662">
        <f>IF(R662,TRUE,AND(U662:AC662))</f>
        <v>0</v>
      </c>
      <c r="R662">
        <f>COUNTBLANK(metadata!B662:J662)=COLUMNS(metadata!B662:J662)</f>
        <v>0</v>
      </c>
      <c r="S662">
        <v>0</v>
      </c>
      <c r="U662">
        <f>AND(IF(metadata!B662="",FALSE,TRUE),COUNTIF(metadata!B:B, metadata!B662) = 1,NOT(ISERROR(SUMPRODUCT(SEARCH(MID(metadata!B662,ROW(INDIRECT("1:"&amp;LEN(metadata!B662))), 1),"0123456789abcdefghijklmnopqrstuvwxyzABCDEFGHIJKLMNOPQRSTUVWXYZ.")))))</f>
        <v>0</v>
      </c>
      <c r="V662">
        <f>AND(IF(metadata!C662="",FALSE,TRUE),exact(metadata!C662,"UBERON:genitourinary"))</f>
        <v>0</v>
      </c>
      <c r="W662">
        <f>AND(IF(metadata!D662="",FALSE,TRUE),exact(metadata!D662,"UBERON:urine"))</f>
        <v>0</v>
      </c>
      <c r="X662">
        <f>AND(IF(metadata!E662="",FALSE,TRUE),exact(metadata!E662,"UBERON:kidney"))</f>
        <v>0</v>
      </c>
      <c r="Y662">
        <f>AND(IF(metadata!F662="",FALSE,TRUE),exact(metadata!F662,"animal corpus"))</f>
        <v>0</v>
      </c>
      <c r="Z662">
        <f>AND(IF(metadata!G662="",FALSE,TRUE),exact(metadata!G662,"urine"))</f>
        <v>0</v>
      </c>
      <c r="AA662">
        <f>AND(IF(metadata!H662="",FALSE,TRUE),exact(metadata!H662,"urine"))</f>
        <v>0</v>
      </c>
      <c r="AB662">
        <f>AND(IF(metadata!I662="",FALSE,TRUE),exact(metadata!I662,"urine metagenome"))</f>
        <v>0</v>
      </c>
      <c r="AC662">
        <f>AND(IF(metadata!J662="",FALSE,TRUE),exact(metadata!J662,"1346744"))</f>
        <v>0</v>
      </c>
    </row>
    <row r="663" spans="1:29">
      <c r="A663" s="4">
        <f>IF(B663=" "," ",HYPERLINK(CONCATENATE("#metadata!",ADDRESS(INDEX($P$2:$P$1001,MATCH(ROWS($N$2:N663),$N$2:$N$1001,0),0),1)),INDEX($S$2:$S$1001,MATCH(ROWS($N$2:N663),$N$2:$N$1001,0),0)))</f>
        <v>0</v>
      </c>
      <c r="B663" s="3">
        <f>IF(OR(INDEX($O$2:$O$1001,MATCH(ROWS($N$2:N663),$N$2:$N$1001,0),1)&gt;=100000,INDEX($U$1005:$AC$1005,1,MATCH(COLUMNS($U$1006:U1006),$U$1006:$AC$1006,0))&gt;=100000), " ",IF(INDEX($U$2:$AC$1001,MATCH(ROWS($N$2:N663),$N$2:$N$1001,0),MATCH(COLUMNS($U$1006:U1006),$U$1006:$AC$1006,0)), HYPERLINK("#",""), HYPERLINK(CONCATENATE("#metadata!", ADDRESS(INDEX($P$2:$P$1001,MATCH(ROWS($N$2:N663),$N$2:$N$1001,0),0), INDEX($U$1004:$AC$1004,1,MATCH(COLUMNS($U$1006:U1006),$U$1006:$AC$1006,0)))),"Fix")))</f>
        <v>0</v>
      </c>
      <c r="C663" s="3">
        <f>IF(OR(INDEX($O$2:$O$1001,MATCH(ROWS($N$2:N663),$N$2:$N$1001,0),1)&gt;=100000,INDEX($U$1005:$AC$1005,1,MATCH(COLUMNS($U$1006:V1006),$U$1006:$AC$1006,0))&gt;=100000), " ",IF(INDEX($U$2:$AC$1001,MATCH(ROWS($N$2:N663),$N$2:$N$1001,0),MATCH(COLUMNS($U$1006:V1006),$U$1006:$AC$1006,0)), HYPERLINK("#",""), HYPERLINK(CONCATENATE("#metadata!", ADDRESS(INDEX($P$2:$P$1001,MATCH(ROWS($N$2:N663),$N$2:$N$1001,0),0), INDEX($U$1004:$AC$1004,1,MATCH(COLUMNS($U$1006:V1006),$U$1006:$AC$1006,0)))),"Fix")))</f>
        <v>0</v>
      </c>
      <c r="D663" s="3">
        <f>IF(OR(INDEX($O$2:$O$1001,MATCH(ROWS($N$2:N663),$N$2:$N$1001,0),1)&gt;=100000,INDEX($U$1005:$AC$1005,1,MATCH(COLUMNS($U$1006:W1006),$U$1006:$AC$1006,0))&gt;=100000), " ",IF(INDEX($U$2:$AC$1001,MATCH(ROWS($N$2:N663),$N$2:$N$1001,0),MATCH(COLUMNS($U$1006:W1006),$U$1006:$AC$1006,0)), HYPERLINK("#",""), HYPERLINK(CONCATENATE("#metadata!", ADDRESS(INDEX($P$2:$P$1001,MATCH(ROWS($N$2:N663),$N$2:$N$1001,0),0), INDEX($U$1004:$AC$1004,1,MATCH(COLUMNS($U$1006:W1006),$U$1006:$AC$1006,0)))),"Fix")))</f>
        <v>0</v>
      </c>
      <c r="E663" s="3">
        <f>IF(OR(INDEX($O$2:$O$1001,MATCH(ROWS($N$2:N663),$N$2:$N$1001,0),1)&gt;=100000,INDEX($U$1005:$AC$1005,1,MATCH(COLUMNS($U$1006:X1006),$U$1006:$AC$1006,0))&gt;=100000), " ",IF(INDEX($U$2:$AC$1001,MATCH(ROWS($N$2:N663),$N$2:$N$1001,0),MATCH(COLUMNS($U$1006:X1006),$U$1006:$AC$1006,0)), HYPERLINK("#",""), HYPERLINK(CONCATENATE("#metadata!", ADDRESS(INDEX($P$2:$P$1001,MATCH(ROWS($N$2:N663),$N$2:$N$1001,0),0), INDEX($U$1004:$AC$1004,1,MATCH(COLUMNS($U$1006:X1006),$U$1006:$AC$1006,0)))),"Fix")))</f>
        <v>0</v>
      </c>
      <c r="F663" s="3">
        <f>IF(OR(INDEX($O$2:$O$1001,MATCH(ROWS($N$2:N663),$N$2:$N$1001,0),1)&gt;=100000,INDEX($U$1005:$AC$1005,1,MATCH(COLUMNS($U$1006:Y1006),$U$1006:$AC$1006,0))&gt;=100000), " ",IF(INDEX($U$2:$AC$1001,MATCH(ROWS($N$2:N663),$N$2:$N$1001,0),MATCH(COLUMNS($U$1006:Y1006),$U$1006:$AC$1006,0)), HYPERLINK("#",""), HYPERLINK(CONCATENATE("#metadata!", ADDRESS(INDEX($P$2:$P$1001,MATCH(ROWS($N$2:N663),$N$2:$N$1001,0),0), INDEX($U$1004:$AC$1004,1,MATCH(COLUMNS($U$1006:Y1006),$U$1006:$AC$1006,0)))),"Fix")))</f>
        <v>0</v>
      </c>
      <c r="G663" s="3">
        <f>IF(OR(INDEX($O$2:$O$1001,MATCH(ROWS($N$2:N663),$N$2:$N$1001,0),1)&gt;=100000,INDEX($U$1005:$AC$1005,1,MATCH(COLUMNS($U$1006:Z1006),$U$1006:$AC$1006,0))&gt;=100000), " ",IF(INDEX($U$2:$AC$1001,MATCH(ROWS($N$2:N663),$N$2:$N$1001,0),MATCH(COLUMNS($U$1006:Z1006),$U$1006:$AC$1006,0)), HYPERLINK("#",""), HYPERLINK(CONCATENATE("#metadata!", ADDRESS(INDEX($P$2:$P$1001,MATCH(ROWS($N$2:N663),$N$2:$N$1001,0),0), INDEX($U$1004:$AC$1004,1,MATCH(COLUMNS($U$1006:Z1006),$U$1006:$AC$1006,0)))),"Fix")))</f>
        <v>0</v>
      </c>
      <c r="H663" s="3">
        <f>IF(OR(INDEX($O$2:$O$1001,MATCH(ROWS($N$2:N663),$N$2:$N$1001,0),1)&gt;=100000,INDEX($U$1005:$AC$1005,1,MATCH(COLUMNS($U$1006:AA1006),$U$1006:$AC$1006,0))&gt;=100000), " ",IF(INDEX($U$2:$AC$1001,MATCH(ROWS($N$2:N663),$N$2:$N$1001,0),MATCH(COLUMNS($U$1006:AA1006),$U$1006:$AC$1006,0)), HYPERLINK("#",""), HYPERLINK(CONCATENATE("#metadata!", ADDRESS(INDEX($P$2:$P$1001,MATCH(ROWS($N$2:N663),$N$2:$N$1001,0),0), INDEX($U$1004:$AC$1004,1,MATCH(COLUMNS($U$1006:AA1006),$U$1006:$AC$1006,0)))),"Fix")))</f>
        <v>0</v>
      </c>
      <c r="I663" s="3">
        <f>IF(OR(INDEX($O$2:$O$1001,MATCH(ROWS($N$2:N663),$N$2:$N$1001,0),1)&gt;=100000,INDEX($U$1005:$AC$1005,1,MATCH(COLUMNS($U$1006:AB1006),$U$1006:$AC$1006,0))&gt;=100000), " ",IF(INDEX($U$2:$AC$1001,MATCH(ROWS($N$2:N663),$N$2:$N$1001,0),MATCH(COLUMNS($U$1006:AB1006),$U$1006:$AC$1006,0)), HYPERLINK("#",""), HYPERLINK(CONCATENATE("#metadata!", ADDRESS(INDEX($P$2:$P$1001,MATCH(ROWS($N$2:N663),$N$2:$N$1001,0),0), INDEX($U$1004:$AC$1004,1,MATCH(COLUMNS($U$1006:AB1006),$U$1006:$AC$1006,0)))),"Fix")))</f>
        <v>0</v>
      </c>
      <c r="J663" s="3">
        <f>IF(OR(INDEX($O$2:$O$1001,MATCH(ROWS($N$2:N663),$N$2:$N$1001,0),1)&gt;=100000,INDEX($U$1005:$AC$1005,1,MATCH(COLUMNS($U$1006:AC1006),$U$1006:$AC$1006,0))&gt;=100000), " ",IF(INDEX($U$2:$AC$1001,MATCH(ROWS($N$2:N663),$N$2:$N$1001,0),MATCH(COLUMNS($U$1006:AC1006),$U$1006:$AC$1006,0)), HYPERLINK("#",""), HYPERLINK(CONCATENATE("#metadata!", ADDRESS(INDEX($P$2:$P$1001,MATCH(ROWS($N$2:N663),$N$2:$N$1001,0),0), INDEX($U$1004:$AC$1004,1,MATCH(COLUMNS($U$1006:AC1006),$U$1006:$AC$1006,0)))),"Fix")))</f>
        <v>0</v>
      </c>
      <c r="N663">
        <v>0</v>
      </c>
      <c r="O663">
        <v>0</v>
      </c>
      <c r="P663">
        <v>0</v>
      </c>
      <c r="Q663">
        <f>IF(R663,TRUE,AND(U663:AC663))</f>
        <v>0</v>
      </c>
      <c r="R663">
        <f>COUNTBLANK(metadata!B663:J663)=COLUMNS(metadata!B663:J663)</f>
        <v>0</v>
      </c>
      <c r="S663">
        <v>0</v>
      </c>
      <c r="U663">
        <f>AND(IF(metadata!B663="",FALSE,TRUE),COUNTIF(metadata!B:B, metadata!B663) = 1,NOT(ISERROR(SUMPRODUCT(SEARCH(MID(metadata!B663,ROW(INDIRECT("1:"&amp;LEN(metadata!B663))), 1),"0123456789abcdefghijklmnopqrstuvwxyzABCDEFGHIJKLMNOPQRSTUVWXYZ.")))))</f>
        <v>0</v>
      </c>
      <c r="V663">
        <f>AND(IF(metadata!C663="",FALSE,TRUE),exact(metadata!C663,"UBERON:genitourinary"))</f>
        <v>0</v>
      </c>
      <c r="W663">
        <f>AND(IF(metadata!D663="",FALSE,TRUE),exact(metadata!D663,"UBERON:urine"))</f>
        <v>0</v>
      </c>
      <c r="X663">
        <f>AND(IF(metadata!E663="",FALSE,TRUE),exact(metadata!E663,"UBERON:kidney"))</f>
        <v>0</v>
      </c>
      <c r="Y663">
        <f>AND(IF(metadata!F663="",FALSE,TRUE),exact(metadata!F663,"animal corpus"))</f>
        <v>0</v>
      </c>
      <c r="Z663">
        <f>AND(IF(metadata!G663="",FALSE,TRUE),exact(metadata!G663,"urine"))</f>
        <v>0</v>
      </c>
      <c r="AA663">
        <f>AND(IF(metadata!H663="",FALSE,TRUE),exact(metadata!H663,"urine"))</f>
        <v>0</v>
      </c>
      <c r="AB663">
        <f>AND(IF(metadata!I663="",FALSE,TRUE),exact(metadata!I663,"urine metagenome"))</f>
        <v>0</v>
      </c>
      <c r="AC663">
        <f>AND(IF(metadata!J663="",FALSE,TRUE),exact(metadata!J663,"1346744"))</f>
        <v>0</v>
      </c>
    </row>
    <row r="664" spans="1:29">
      <c r="A664" s="4">
        <f>IF(B664=" "," ",HYPERLINK(CONCATENATE("#metadata!",ADDRESS(INDEX($P$2:$P$1001,MATCH(ROWS($N$2:N664),$N$2:$N$1001,0),0),1)),INDEX($S$2:$S$1001,MATCH(ROWS($N$2:N664),$N$2:$N$1001,0),0)))</f>
        <v>0</v>
      </c>
      <c r="B664" s="3">
        <f>IF(OR(INDEX($O$2:$O$1001,MATCH(ROWS($N$2:N664),$N$2:$N$1001,0),1)&gt;=100000,INDEX($U$1005:$AC$1005,1,MATCH(COLUMNS($U$1006:U1006),$U$1006:$AC$1006,0))&gt;=100000), " ",IF(INDEX($U$2:$AC$1001,MATCH(ROWS($N$2:N664),$N$2:$N$1001,0),MATCH(COLUMNS($U$1006:U1006),$U$1006:$AC$1006,0)), HYPERLINK("#",""), HYPERLINK(CONCATENATE("#metadata!", ADDRESS(INDEX($P$2:$P$1001,MATCH(ROWS($N$2:N664),$N$2:$N$1001,0),0), INDEX($U$1004:$AC$1004,1,MATCH(COLUMNS($U$1006:U1006),$U$1006:$AC$1006,0)))),"Fix")))</f>
        <v>0</v>
      </c>
      <c r="C664" s="3">
        <f>IF(OR(INDEX($O$2:$O$1001,MATCH(ROWS($N$2:N664),$N$2:$N$1001,0),1)&gt;=100000,INDEX($U$1005:$AC$1005,1,MATCH(COLUMNS($U$1006:V1006),$U$1006:$AC$1006,0))&gt;=100000), " ",IF(INDEX($U$2:$AC$1001,MATCH(ROWS($N$2:N664),$N$2:$N$1001,0),MATCH(COLUMNS($U$1006:V1006),$U$1006:$AC$1006,0)), HYPERLINK("#",""), HYPERLINK(CONCATENATE("#metadata!", ADDRESS(INDEX($P$2:$P$1001,MATCH(ROWS($N$2:N664),$N$2:$N$1001,0),0), INDEX($U$1004:$AC$1004,1,MATCH(COLUMNS($U$1006:V1006),$U$1006:$AC$1006,0)))),"Fix")))</f>
        <v>0</v>
      </c>
      <c r="D664" s="3">
        <f>IF(OR(INDEX($O$2:$O$1001,MATCH(ROWS($N$2:N664),$N$2:$N$1001,0),1)&gt;=100000,INDEX($U$1005:$AC$1005,1,MATCH(COLUMNS($U$1006:W1006),$U$1006:$AC$1006,0))&gt;=100000), " ",IF(INDEX($U$2:$AC$1001,MATCH(ROWS($N$2:N664),$N$2:$N$1001,0),MATCH(COLUMNS($U$1006:W1006),$U$1006:$AC$1006,0)), HYPERLINK("#",""), HYPERLINK(CONCATENATE("#metadata!", ADDRESS(INDEX($P$2:$P$1001,MATCH(ROWS($N$2:N664),$N$2:$N$1001,0),0), INDEX($U$1004:$AC$1004,1,MATCH(COLUMNS($U$1006:W1006),$U$1006:$AC$1006,0)))),"Fix")))</f>
        <v>0</v>
      </c>
      <c r="E664" s="3">
        <f>IF(OR(INDEX($O$2:$O$1001,MATCH(ROWS($N$2:N664),$N$2:$N$1001,0),1)&gt;=100000,INDEX($U$1005:$AC$1005,1,MATCH(COLUMNS($U$1006:X1006),$U$1006:$AC$1006,0))&gt;=100000), " ",IF(INDEX($U$2:$AC$1001,MATCH(ROWS($N$2:N664),$N$2:$N$1001,0),MATCH(COLUMNS($U$1006:X1006),$U$1006:$AC$1006,0)), HYPERLINK("#",""), HYPERLINK(CONCATENATE("#metadata!", ADDRESS(INDEX($P$2:$P$1001,MATCH(ROWS($N$2:N664),$N$2:$N$1001,0),0), INDEX($U$1004:$AC$1004,1,MATCH(COLUMNS($U$1006:X1006),$U$1006:$AC$1006,0)))),"Fix")))</f>
        <v>0</v>
      </c>
      <c r="F664" s="3">
        <f>IF(OR(INDEX($O$2:$O$1001,MATCH(ROWS($N$2:N664),$N$2:$N$1001,0),1)&gt;=100000,INDEX($U$1005:$AC$1005,1,MATCH(COLUMNS($U$1006:Y1006),$U$1006:$AC$1006,0))&gt;=100000), " ",IF(INDEX($U$2:$AC$1001,MATCH(ROWS($N$2:N664),$N$2:$N$1001,0),MATCH(COLUMNS($U$1006:Y1006),$U$1006:$AC$1006,0)), HYPERLINK("#",""), HYPERLINK(CONCATENATE("#metadata!", ADDRESS(INDEX($P$2:$P$1001,MATCH(ROWS($N$2:N664),$N$2:$N$1001,0),0), INDEX($U$1004:$AC$1004,1,MATCH(COLUMNS($U$1006:Y1006),$U$1006:$AC$1006,0)))),"Fix")))</f>
        <v>0</v>
      </c>
      <c r="G664" s="3">
        <f>IF(OR(INDEX($O$2:$O$1001,MATCH(ROWS($N$2:N664),$N$2:$N$1001,0),1)&gt;=100000,INDEX($U$1005:$AC$1005,1,MATCH(COLUMNS($U$1006:Z1006),$U$1006:$AC$1006,0))&gt;=100000), " ",IF(INDEX($U$2:$AC$1001,MATCH(ROWS($N$2:N664),$N$2:$N$1001,0),MATCH(COLUMNS($U$1006:Z1006),$U$1006:$AC$1006,0)), HYPERLINK("#",""), HYPERLINK(CONCATENATE("#metadata!", ADDRESS(INDEX($P$2:$P$1001,MATCH(ROWS($N$2:N664),$N$2:$N$1001,0),0), INDEX($U$1004:$AC$1004,1,MATCH(COLUMNS($U$1006:Z1006),$U$1006:$AC$1006,0)))),"Fix")))</f>
        <v>0</v>
      </c>
      <c r="H664" s="3">
        <f>IF(OR(INDEX($O$2:$O$1001,MATCH(ROWS($N$2:N664),$N$2:$N$1001,0),1)&gt;=100000,INDEX($U$1005:$AC$1005,1,MATCH(COLUMNS($U$1006:AA1006),$U$1006:$AC$1006,0))&gt;=100000), " ",IF(INDEX($U$2:$AC$1001,MATCH(ROWS($N$2:N664),$N$2:$N$1001,0),MATCH(COLUMNS($U$1006:AA1006),$U$1006:$AC$1006,0)), HYPERLINK("#",""), HYPERLINK(CONCATENATE("#metadata!", ADDRESS(INDEX($P$2:$P$1001,MATCH(ROWS($N$2:N664),$N$2:$N$1001,0),0), INDEX($U$1004:$AC$1004,1,MATCH(COLUMNS($U$1006:AA1006),$U$1006:$AC$1006,0)))),"Fix")))</f>
        <v>0</v>
      </c>
      <c r="I664" s="3">
        <f>IF(OR(INDEX($O$2:$O$1001,MATCH(ROWS($N$2:N664),$N$2:$N$1001,0),1)&gt;=100000,INDEX($U$1005:$AC$1005,1,MATCH(COLUMNS($U$1006:AB1006),$U$1006:$AC$1006,0))&gt;=100000), " ",IF(INDEX($U$2:$AC$1001,MATCH(ROWS($N$2:N664),$N$2:$N$1001,0),MATCH(COLUMNS($U$1006:AB1006),$U$1006:$AC$1006,0)), HYPERLINK("#",""), HYPERLINK(CONCATENATE("#metadata!", ADDRESS(INDEX($P$2:$P$1001,MATCH(ROWS($N$2:N664),$N$2:$N$1001,0),0), INDEX($U$1004:$AC$1004,1,MATCH(COLUMNS($U$1006:AB1006),$U$1006:$AC$1006,0)))),"Fix")))</f>
        <v>0</v>
      </c>
      <c r="J664" s="3">
        <f>IF(OR(INDEX($O$2:$O$1001,MATCH(ROWS($N$2:N664),$N$2:$N$1001,0),1)&gt;=100000,INDEX($U$1005:$AC$1005,1,MATCH(COLUMNS($U$1006:AC1006),$U$1006:$AC$1006,0))&gt;=100000), " ",IF(INDEX($U$2:$AC$1001,MATCH(ROWS($N$2:N664),$N$2:$N$1001,0),MATCH(COLUMNS($U$1006:AC1006),$U$1006:$AC$1006,0)), HYPERLINK("#",""), HYPERLINK(CONCATENATE("#metadata!", ADDRESS(INDEX($P$2:$P$1001,MATCH(ROWS($N$2:N664),$N$2:$N$1001,0),0), INDEX($U$1004:$AC$1004,1,MATCH(COLUMNS($U$1006:AC1006),$U$1006:$AC$1006,0)))),"Fix")))</f>
        <v>0</v>
      </c>
      <c r="N664">
        <v>0</v>
      </c>
      <c r="O664">
        <v>0</v>
      </c>
      <c r="P664">
        <v>0</v>
      </c>
      <c r="Q664">
        <f>IF(R664,TRUE,AND(U664:AC664))</f>
        <v>0</v>
      </c>
      <c r="R664">
        <f>COUNTBLANK(metadata!B664:J664)=COLUMNS(metadata!B664:J664)</f>
        <v>0</v>
      </c>
      <c r="S664">
        <v>0</v>
      </c>
      <c r="U664">
        <f>AND(IF(metadata!B664="",FALSE,TRUE),COUNTIF(metadata!B:B, metadata!B664) = 1,NOT(ISERROR(SUMPRODUCT(SEARCH(MID(metadata!B664,ROW(INDIRECT("1:"&amp;LEN(metadata!B664))), 1),"0123456789abcdefghijklmnopqrstuvwxyzABCDEFGHIJKLMNOPQRSTUVWXYZ.")))))</f>
        <v>0</v>
      </c>
      <c r="V664">
        <f>AND(IF(metadata!C664="",FALSE,TRUE),exact(metadata!C664,"UBERON:genitourinary"))</f>
        <v>0</v>
      </c>
      <c r="W664">
        <f>AND(IF(metadata!D664="",FALSE,TRUE),exact(metadata!D664,"UBERON:urine"))</f>
        <v>0</v>
      </c>
      <c r="X664">
        <f>AND(IF(metadata!E664="",FALSE,TRUE),exact(metadata!E664,"UBERON:kidney"))</f>
        <v>0</v>
      </c>
      <c r="Y664">
        <f>AND(IF(metadata!F664="",FALSE,TRUE),exact(metadata!F664,"animal corpus"))</f>
        <v>0</v>
      </c>
      <c r="Z664">
        <f>AND(IF(metadata!G664="",FALSE,TRUE),exact(metadata!G664,"urine"))</f>
        <v>0</v>
      </c>
      <c r="AA664">
        <f>AND(IF(metadata!H664="",FALSE,TRUE),exact(metadata!H664,"urine"))</f>
        <v>0</v>
      </c>
      <c r="AB664">
        <f>AND(IF(metadata!I664="",FALSE,TRUE),exact(metadata!I664,"urine metagenome"))</f>
        <v>0</v>
      </c>
      <c r="AC664">
        <f>AND(IF(metadata!J664="",FALSE,TRUE),exact(metadata!J664,"1346744"))</f>
        <v>0</v>
      </c>
    </row>
    <row r="665" spans="1:29">
      <c r="A665" s="4">
        <f>IF(B665=" "," ",HYPERLINK(CONCATENATE("#metadata!",ADDRESS(INDEX($P$2:$P$1001,MATCH(ROWS($N$2:N665),$N$2:$N$1001,0),0),1)),INDEX($S$2:$S$1001,MATCH(ROWS($N$2:N665),$N$2:$N$1001,0),0)))</f>
        <v>0</v>
      </c>
      <c r="B665" s="3">
        <f>IF(OR(INDEX($O$2:$O$1001,MATCH(ROWS($N$2:N665),$N$2:$N$1001,0),1)&gt;=100000,INDEX($U$1005:$AC$1005,1,MATCH(COLUMNS($U$1006:U1006),$U$1006:$AC$1006,0))&gt;=100000), " ",IF(INDEX($U$2:$AC$1001,MATCH(ROWS($N$2:N665),$N$2:$N$1001,0),MATCH(COLUMNS($U$1006:U1006),$U$1006:$AC$1006,0)), HYPERLINK("#",""), HYPERLINK(CONCATENATE("#metadata!", ADDRESS(INDEX($P$2:$P$1001,MATCH(ROWS($N$2:N665),$N$2:$N$1001,0),0), INDEX($U$1004:$AC$1004,1,MATCH(COLUMNS($U$1006:U1006),$U$1006:$AC$1006,0)))),"Fix")))</f>
        <v>0</v>
      </c>
      <c r="C665" s="3">
        <f>IF(OR(INDEX($O$2:$O$1001,MATCH(ROWS($N$2:N665),$N$2:$N$1001,0),1)&gt;=100000,INDEX($U$1005:$AC$1005,1,MATCH(COLUMNS($U$1006:V1006),$U$1006:$AC$1006,0))&gt;=100000), " ",IF(INDEX($U$2:$AC$1001,MATCH(ROWS($N$2:N665),$N$2:$N$1001,0),MATCH(COLUMNS($U$1006:V1006),$U$1006:$AC$1006,0)), HYPERLINK("#",""), HYPERLINK(CONCATENATE("#metadata!", ADDRESS(INDEX($P$2:$P$1001,MATCH(ROWS($N$2:N665),$N$2:$N$1001,0),0), INDEX($U$1004:$AC$1004,1,MATCH(COLUMNS($U$1006:V1006),$U$1006:$AC$1006,0)))),"Fix")))</f>
        <v>0</v>
      </c>
      <c r="D665" s="3">
        <f>IF(OR(INDEX($O$2:$O$1001,MATCH(ROWS($N$2:N665),$N$2:$N$1001,0),1)&gt;=100000,INDEX($U$1005:$AC$1005,1,MATCH(COLUMNS($U$1006:W1006),$U$1006:$AC$1006,0))&gt;=100000), " ",IF(INDEX($U$2:$AC$1001,MATCH(ROWS($N$2:N665),$N$2:$N$1001,0),MATCH(COLUMNS($U$1006:W1006),$U$1006:$AC$1006,0)), HYPERLINK("#",""), HYPERLINK(CONCATENATE("#metadata!", ADDRESS(INDEX($P$2:$P$1001,MATCH(ROWS($N$2:N665),$N$2:$N$1001,0),0), INDEX($U$1004:$AC$1004,1,MATCH(COLUMNS($U$1006:W1006),$U$1006:$AC$1006,0)))),"Fix")))</f>
        <v>0</v>
      </c>
      <c r="E665" s="3">
        <f>IF(OR(INDEX($O$2:$O$1001,MATCH(ROWS($N$2:N665),$N$2:$N$1001,0),1)&gt;=100000,INDEX($U$1005:$AC$1005,1,MATCH(COLUMNS($U$1006:X1006),$U$1006:$AC$1006,0))&gt;=100000), " ",IF(INDEX($U$2:$AC$1001,MATCH(ROWS($N$2:N665),$N$2:$N$1001,0),MATCH(COLUMNS($U$1006:X1006),$U$1006:$AC$1006,0)), HYPERLINK("#",""), HYPERLINK(CONCATENATE("#metadata!", ADDRESS(INDEX($P$2:$P$1001,MATCH(ROWS($N$2:N665),$N$2:$N$1001,0),0), INDEX($U$1004:$AC$1004,1,MATCH(COLUMNS($U$1006:X1006),$U$1006:$AC$1006,0)))),"Fix")))</f>
        <v>0</v>
      </c>
      <c r="F665" s="3">
        <f>IF(OR(INDEX($O$2:$O$1001,MATCH(ROWS($N$2:N665),$N$2:$N$1001,0),1)&gt;=100000,INDEX($U$1005:$AC$1005,1,MATCH(COLUMNS($U$1006:Y1006),$U$1006:$AC$1006,0))&gt;=100000), " ",IF(INDEX($U$2:$AC$1001,MATCH(ROWS($N$2:N665),$N$2:$N$1001,0),MATCH(COLUMNS($U$1006:Y1006),$U$1006:$AC$1006,0)), HYPERLINK("#",""), HYPERLINK(CONCATENATE("#metadata!", ADDRESS(INDEX($P$2:$P$1001,MATCH(ROWS($N$2:N665),$N$2:$N$1001,0),0), INDEX($U$1004:$AC$1004,1,MATCH(COLUMNS($U$1006:Y1006),$U$1006:$AC$1006,0)))),"Fix")))</f>
        <v>0</v>
      </c>
      <c r="G665" s="3">
        <f>IF(OR(INDEX($O$2:$O$1001,MATCH(ROWS($N$2:N665),$N$2:$N$1001,0),1)&gt;=100000,INDEX($U$1005:$AC$1005,1,MATCH(COLUMNS($U$1006:Z1006),$U$1006:$AC$1006,0))&gt;=100000), " ",IF(INDEX($U$2:$AC$1001,MATCH(ROWS($N$2:N665),$N$2:$N$1001,0),MATCH(COLUMNS($U$1006:Z1006),$U$1006:$AC$1006,0)), HYPERLINK("#",""), HYPERLINK(CONCATENATE("#metadata!", ADDRESS(INDEX($P$2:$P$1001,MATCH(ROWS($N$2:N665),$N$2:$N$1001,0),0), INDEX($U$1004:$AC$1004,1,MATCH(COLUMNS($U$1006:Z1006),$U$1006:$AC$1006,0)))),"Fix")))</f>
        <v>0</v>
      </c>
      <c r="H665" s="3">
        <f>IF(OR(INDEX($O$2:$O$1001,MATCH(ROWS($N$2:N665),$N$2:$N$1001,0),1)&gt;=100000,INDEX($U$1005:$AC$1005,1,MATCH(COLUMNS($U$1006:AA1006),$U$1006:$AC$1006,0))&gt;=100000), " ",IF(INDEX($U$2:$AC$1001,MATCH(ROWS($N$2:N665),$N$2:$N$1001,0),MATCH(COLUMNS($U$1006:AA1006),$U$1006:$AC$1006,0)), HYPERLINK("#",""), HYPERLINK(CONCATENATE("#metadata!", ADDRESS(INDEX($P$2:$P$1001,MATCH(ROWS($N$2:N665),$N$2:$N$1001,0),0), INDEX($U$1004:$AC$1004,1,MATCH(COLUMNS($U$1006:AA1006),$U$1006:$AC$1006,0)))),"Fix")))</f>
        <v>0</v>
      </c>
      <c r="I665" s="3">
        <f>IF(OR(INDEX($O$2:$O$1001,MATCH(ROWS($N$2:N665),$N$2:$N$1001,0),1)&gt;=100000,INDEX($U$1005:$AC$1005,1,MATCH(COLUMNS($U$1006:AB1006),$U$1006:$AC$1006,0))&gt;=100000), " ",IF(INDEX($U$2:$AC$1001,MATCH(ROWS($N$2:N665),$N$2:$N$1001,0),MATCH(COLUMNS($U$1006:AB1006),$U$1006:$AC$1006,0)), HYPERLINK("#",""), HYPERLINK(CONCATENATE("#metadata!", ADDRESS(INDEX($P$2:$P$1001,MATCH(ROWS($N$2:N665),$N$2:$N$1001,0),0), INDEX($U$1004:$AC$1004,1,MATCH(COLUMNS($U$1006:AB1006),$U$1006:$AC$1006,0)))),"Fix")))</f>
        <v>0</v>
      </c>
      <c r="J665" s="3">
        <f>IF(OR(INDEX($O$2:$O$1001,MATCH(ROWS($N$2:N665),$N$2:$N$1001,0),1)&gt;=100000,INDEX($U$1005:$AC$1005,1,MATCH(COLUMNS($U$1006:AC1006),$U$1006:$AC$1006,0))&gt;=100000), " ",IF(INDEX($U$2:$AC$1001,MATCH(ROWS($N$2:N665),$N$2:$N$1001,0),MATCH(COLUMNS($U$1006:AC1006),$U$1006:$AC$1006,0)), HYPERLINK("#",""), HYPERLINK(CONCATENATE("#metadata!", ADDRESS(INDEX($P$2:$P$1001,MATCH(ROWS($N$2:N665),$N$2:$N$1001,0),0), INDEX($U$1004:$AC$1004,1,MATCH(COLUMNS($U$1006:AC1006),$U$1006:$AC$1006,0)))),"Fix")))</f>
        <v>0</v>
      </c>
      <c r="N665">
        <v>0</v>
      </c>
      <c r="O665">
        <v>0</v>
      </c>
      <c r="P665">
        <v>0</v>
      </c>
      <c r="Q665">
        <f>IF(R665,TRUE,AND(U665:AC665))</f>
        <v>0</v>
      </c>
      <c r="R665">
        <f>COUNTBLANK(metadata!B665:J665)=COLUMNS(metadata!B665:J665)</f>
        <v>0</v>
      </c>
      <c r="S665">
        <v>0</v>
      </c>
      <c r="U665">
        <f>AND(IF(metadata!B665="",FALSE,TRUE),COUNTIF(metadata!B:B, metadata!B665) = 1,NOT(ISERROR(SUMPRODUCT(SEARCH(MID(metadata!B665,ROW(INDIRECT("1:"&amp;LEN(metadata!B665))), 1),"0123456789abcdefghijklmnopqrstuvwxyzABCDEFGHIJKLMNOPQRSTUVWXYZ.")))))</f>
        <v>0</v>
      </c>
      <c r="V665">
        <f>AND(IF(metadata!C665="",FALSE,TRUE),exact(metadata!C665,"UBERON:genitourinary"))</f>
        <v>0</v>
      </c>
      <c r="W665">
        <f>AND(IF(metadata!D665="",FALSE,TRUE),exact(metadata!D665,"UBERON:urine"))</f>
        <v>0</v>
      </c>
      <c r="X665">
        <f>AND(IF(metadata!E665="",FALSE,TRUE),exact(metadata!E665,"UBERON:kidney"))</f>
        <v>0</v>
      </c>
      <c r="Y665">
        <f>AND(IF(metadata!F665="",FALSE,TRUE),exact(metadata!F665,"animal corpus"))</f>
        <v>0</v>
      </c>
      <c r="Z665">
        <f>AND(IF(metadata!G665="",FALSE,TRUE),exact(metadata!G665,"urine"))</f>
        <v>0</v>
      </c>
      <c r="AA665">
        <f>AND(IF(metadata!H665="",FALSE,TRUE),exact(metadata!H665,"urine"))</f>
        <v>0</v>
      </c>
      <c r="AB665">
        <f>AND(IF(metadata!I665="",FALSE,TRUE),exact(metadata!I665,"urine metagenome"))</f>
        <v>0</v>
      </c>
      <c r="AC665">
        <f>AND(IF(metadata!J665="",FALSE,TRUE),exact(metadata!J665,"1346744"))</f>
        <v>0</v>
      </c>
    </row>
    <row r="666" spans="1:29">
      <c r="A666" s="4">
        <f>IF(B666=" "," ",HYPERLINK(CONCATENATE("#metadata!",ADDRESS(INDEX($P$2:$P$1001,MATCH(ROWS($N$2:N666),$N$2:$N$1001,0),0),1)),INDEX($S$2:$S$1001,MATCH(ROWS($N$2:N666),$N$2:$N$1001,0),0)))</f>
        <v>0</v>
      </c>
      <c r="B666" s="3">
        <f>IF(OR(INDEX($O$2:$O$1001,MATCH(ROWS($N$2:N666),$N$2:$N$1001,0),1)&gt;=100000,INDEX($U$1005:$AC$1005,1,MATCH(COLUMNS($U$1006:U1006),$U$1006:$AC$1006,0))&gt;=100000), " ",IF(INDEX($U$2:$AC$1001,MATCH(ROWS($N$2:N666),$N$2:$N$1001,0),MATCH(COLUMNS($U$1006:U1006),$U$1006:$AC$1006,0)), HYPERLINK("#",""), HYPERLINK(CONCATENATE("#metadata!", ADDRESS(INDEX($P$2:$P$1001,MATCH(ROWS($N$2:N666),$N$2:$N$1001,0),0), INDEX($U$1004:$AC$1004,1,MATCH(COLUMNS($U$1006:U1006),$U$1006:$AC$1006,0)))),"Fix")))</f>
        <v>0</v>
      </c>
      <c r="C666" s="3">
        <f>IF(OR(INDEX($O$2:$O$1001,MATCH(ROWS($N$2:N666),$N$2:$N$1001,0),1)&gt;=100000,INDEX($U$1005:$AC$1005,1,MATCH(COLUMNS($U$1006:V1006),$U$1006:$AC$1006,0))&gt;=100000), " ",IF(INDEX($U$2:$AC$1001,MATCH(ROWS($N$2:N666),$N$2:$N$1001,0),MATCH(COLUMNS($U$1006:V1006),$U$1006:$AC$1006,0)), HYPERLINK("#",""), HYPERLINK(CONCATENATE("#metadata!", ADDRESS(INDEX($P$2:$P$1001,MATCH(ROWS($N$2:N666),$N$2:$N$1001,0),0), INDEX($U$1004:$AC$1004,1,MATCH(COLUMNS($U$1006:V1006),$U$1006:$AC$1006,0)))),"Fix")))</f>
        <v>0</v>
      </c>
      <c r="D666" s="3">
        <f>IF(OR(INDEX($O$2:$O$1001,MATCH(ROWS($N$2:N666),$N$2:$N$1001,0),1)&gt;=100000,INDEX($U$1005:$AC$1005,1,MATCH(COLUMNS($U$1006:W1006),$U$1006:$AC$1006,0))&gt;=100000), " ",IF(INDEX($U$2:$AC$1001,MATCH(ROWS($N$2:N666),$N$2:$N$1001,0),MATCH(COLUMNS($U$1006:W1006),$U$1006:$AC$1006,0)), HYPERLINK("#",""), HYPERLINK(CONCATENATE("#metadata!", ADDRESS(INDEX($P$2:$P$1001,MATCH(ROWS($N$2:N666),$N$2:$N$1001,0),0), INDEX($U$1004:$AC$1004,1,MATCH(COLUMNS($U$1006:W1006),$U$1006:$AC$1006,0)))),"Fix")))</f>
        <v>0</v>
      </c>
      <c r="E666" s="3">
        <f>IF(OR(INDEX($O$2:$O$1001,MATCH(ROWS($N$2:N666),$N$2:$N$1001,0),1)&gt;=100000,INDEX($U$1005:$AC$1005,1,MATCH(COLUMNS($U$1006:X1006),$U$1006:$AC$1006,0))&gt;=100000), " ",IF(INDEX($U$2:$AC$1001,MATCH(ROWS($N$2:N666),$N$2:$N$1001,0),MATCH(COLUMNS($U$1006:X1006),$U$1006:$AC$1006,0)), HYPERLINK("#",""), HYPERLINK(CONCATENATE("#metadata!", ADDRESS(INDEX($P$2:$P$1001,MATCH(ROWS($N$2:N666),$N$2:$N$1001,0),0), INDEX($U$1004:$AC$1004,1,MATCH(COLUMNS($U$1006:X1006),$U$1006:$AC$1006,0)))),"Fix")))</f>
        <v>0</v>
      </c>
      <c r="F666" s="3">
        <f>IF(OR(INDEX($O$2:$O$1001,MATCH(ROWS($N$2:N666),$N$2:$N$1001,0),1)&gt;=100000,INDEX($U$1005:$AC$1005,1,MATCH(COLUMNS($U$1006:Y1006),$U$1006:$AC$1006,0))&gt;=100000), " ",IF(INDEX($U$2:$AC$1001,MATCH(ROWS($N$2:N666),$N$2:$N$1001,0),MATCH(COLUMNS($U$1006:Y1006),$U$1006:$AC$1006,0)), HYPERLINK("#",""), HYPERLINK(CONCATENATE("#metadata!", ADDRESS(INDEX($P$2:$P$1001,MATCH(ROWS($N$2:N666),$N$2:$N$1001,0),0), INDEX($U$1004:$AC$1004,1,MATCH(COLUMNS($U$1006:Y1006),$U$1006:$AC$1006,0)))),"Fix")))</f>
        <v>0</v>
      </c>
      <c r="G666" s="3">
        <f>IF(OR(INDEX($O$2:$O$1001,MATCH(ROWS($N$2:N666),$N$2:$N$1001,0),1)&gt;=100000,INDEX($U$1005:$AC$1005,1,MATCH(COLUMNS($U$1006:Z1006),$U$1006:$AC$1006,0))&gt;=100000), " ",IF(INDEX($U$2:$AC$1001,MATCH(ROWS($N$2:N666),$N$2:$N$1001,0),MATCH(COLUMNS($U$1006:Z1006),$U$1006:$AC$1006,0)), HYPERLINK("#",""), HYPERLINK(CONCATENATE("#metadata!", ADDRESS(INDEX($P$2:$P$1001,MATCH(ROWS($N$2:N666),$N$2:$N$1001,0),0), INDEX($U$1004:$AC$1004,1,MATCH(COLUMNS($U$1006:Z1006),$U$1006:$AC$1006,0)))),"Fix")))</f>
        <v>0</v>
      </c>
      <c r="H666" s="3">
        <f>IF(OR(INDEX($O$2:$O$1001,MATCH(ROWS($N$2:N666),$N$2:$N$1001,0),1)&gt;=100000,INDEX($U$1005:$AC$1005,1,MATCH(COLUMNS($U$1006:AA1006),$U$1006:$AC$1006,0))&gt;=100000), " ",IF(INDEX($U$2:$AC$1001,MATCH(ROWS($N$2:N666),$N$2:$N$1001,0),MATCH(COLUMNS($U$1006:AA1006),$U$1006:$AC$1006,0)), HYPERLINK("#",""), HYPERLINK(CONCATENATE("#metadata!", ADDRESS(INDEX($P$2:$P$1001,MATCH(ROWS($N$2:N666),$N$2:$N$1001,0),0), INDEX($U$1004:$AC$1004,1,MATCH(COLUMNS($U$1006:AA1006),$U$1006:$AC$1006,0)))),"Fix")))</f>
        <v>0</v>
      </c>
      <c r="I666" s="3">
        <f>IF(OR(INDEX($O$2:$O$1001,MATCH(ROWS($N$2:N666),$N$2:$N$1001,0),1)&gt;=100000,INDEX($U$1005:$AC$1005,1,MATCH(COLUMNS($U$1006:AB1006),$U$1006:$AC$1006,0))&gt;=100000), " ",IF(INDEX($U$2:$AC$1001,MATCH(ROWS($N$2:N666),$N$2:$N$1001,0),MATCH(COLUMNS($U$1006:AB1006),$U$1006:$AC$1006,0)), HYPERLINK("#",""), HYPERLINK(CONCATENATE("#metadata!", ADDRESS(INDEX($P$2:$P$1001,MATCH(ROWS($N$2:N666),$N$2:$N$1001,0),0), INDEX($U$1004:$AC$1004,1,MATCH(COLUMNS($U$1006:AB1006),$U$1006:$AC$1006,0)))),"Fix")))</f>
        <v>0</v>
      </c>
      <c r="J666" s="3">
        <f>IF(OR(INDEX($O$2:$O$1001,MATCH(ROWS($N$2:N666),$N$2:$N$1001,0),1)&gt;=100000,INDEX($U$1005:$AC$1005,1,MATCH(COLUMNS($U$1006:AC1006),$U$1006:$AC$1006,0))&gt;=100000), " ",IF(INDEX($U$2:$AC$1001,MATCH(ROWS($N$2:N666),$N$2:$N$1001,0),MATCH(COLUMNS($U$1006:AC1006),$U$1006:$AC$1006,0)), HYPERLINK("#",""), HYPERLINK(CONCATENATE("#metadata!", ADDRESS(INDEX($P$2:$P$1001,MATCH(ROWS($N$2:N666),$N$2:$N$1001,0),0), INDEX($U$1004:$AC$1004,1,MATCH(COLUMNS($U$1006:AC1006),$U$1006:$AC$1006,0)))),"Fix")))</f>
        <v>0</v>
      </c>
      <c r="N666">
        <v>0</v>
      </c>
      <c r="O666">
        <v>0</v>
      </c>
      <c r="P666">
        <v>0</v>
      </c>
      <c r="Q666">
        <f>IF(R666,TRUE,AND(U666:AC666))</f>
        <v>0</v>
      </c>
      <c r="R666">
        <f>COUNTBLANK(metadata!B666:J666)=COLUMNS(metadata!B666:J666)</f>
        <v>0</v>
      </c>
      <c r="S666">
        <v>0</v>
      </c>
      <c r="U666">
        <f>AND(IF(metadata!B666="",FALSE,TRUE),COUNTIF(metadata!B:B, metadata!B666) = 1,NOT(ISERROR(SUMPRODUCT(SEARCH(MID(metadata!B666,ROW(INDIRECT("1:"&amp;LEN(metadata!B666))), 1),"0123456789abcdefghijklmnopqrstuvwxyzABCDEFGHIJKLMNOPQRSTUVWXYZ.")))))</f>
        <v>0</v>
      </c>
      <c r="V666">
        <f>AND(IF(metadata!C666="",FALSE,TRUE),exact(metadata!C666,"UBERON:genitourinary"))</f>
        <v>0</v>
      </c>
      <c r="W666">
        <f>AND(IF(metadata!D666="",FALSE,TRUE),exact(metadata!D666,"UBERON:urine"))</f>
        <v>0</v>
      </c>
      <c r="X666">
        <f>AND(IF(metadata!E666="",FALSE,TRUE),exact(metadata!E666,"UBERON:kidney"))</f>
        <v>0</v>
      </c>
      <c r="Y666">
        <f>AND(IF(metadata!F666="",FALSE,TRUE),exact(metadata!F666,"animal corpus"))</f>
        <v>0</v>
      </c>
      <c r="Z666">
        <f>AND(IF(metadata!G666="",FALSE,TRUE),exact(metadata!G666,"urine"))</f>
        <v>0</v>
      </c>
      <c r="AA666">
        <f>AND(IF(metadata!H666="",FALSE,TRUE),exact(metadata!H666,"urine"))</f>
        <v>0</v>
      </c>
      <c r="AB666">
        <f>AND(IF(metadata!I666="",FALSE,TRUE),exact(metadata!I666,"urine metagenome"))</f>
        <v>0</v>
      </c>
      <c r="AC666">
        <f>AND(IF(metadata!J666="",FALSE,TRUE),exact(metadata!J666,"1346744"))</f>
        <v>0</v>
      </c>
    </row>
    <row r="667" spans="1:29">
      <c r="A667" s="4">
        <f>IF(B667=" "," ",HYPERLINK(CONCATENATE("#metadata!",ADDRESS(INDEX($P$2:$P$1001,MATCH(ROWS($N$2:N667),$N$2:$N$1001,0),0),1)),INDEX($S$2:$S$1001,MATCH(ROWS($N$2:N667),$N$2:$N$1001,0),0)))</f>
        <v>0</v>
      </c>
      <c r="B667" s="3">
        <f>IF(OR(INDEX($O$2:$O$1001,MATCH(ROWS($N$2:N667),$N$2:$N$1001,0),1)&gt;=100000,INDEX($U$1005:$AC$1005,1,MATCH(COLUMNS($U$1006:U1006),$U$1006:$AC$1006,0))&gt;=100000), " ",IF(INDEX($U$2:$AC$1001,MATCH(ROWS($N$2:N667),$N$2:$N$1001,0),MATCH(COLUMNS($U$1006:U1006),$U$1006:$AC$1006,0)), HYPERLINK("#",""), HYPERLINK(CONCATENATE("#metadata!", ADDRESS(INDEX($P$2:$P$1001,MATCH(ROWS($N$2:N667),$N$2:$N$1001,0),0), INDEX($U$1004:$AC$1004,1,MATCH(COLUMNS($U$1006:U1006),$U$1006:$AC$1006,0)))),"Fix")))</f>
        <v>0</v>
      </c>
      <c r="C667" s="3">
        <f>IF(OR(INDEX($O$2:$O$1001,MATCH(ROWS($N$2:N667),$N$2:$N$1001,0),1)&gt;=100000,INDEX($U$1005:$AC$1005,1,MATCH(COLUMNS($U$1006:V1006),$U$1006:$AC$1006,0))&gt;=100000), " ",IF(INDEX($U$2:$AC$1001,MATCH(ROWS($N$2:N667),$N$2:$N$1001,0),MATCH(COLUMNS($U$1006:V1006),$U$1006:$AC$1006,0)), HYPERLINK("#",""), HYPERLINK(CONCATENATE("#metadata!", ADDRESS(INDEX($P$2:$P$1001,MATCH(ROWS($N$2:N667),$N$2:$N$1001,0),0), INDEX($U$1004:$AC$1004,1,MATCH(COLUMNS($U$1006:V1006),$U$1006:$AC$1006,0)))),"Fix")))</f>
        <v>0</v>
      </c>
      <c r="D667" s="3">
        <f>IF(OR(INDEX($O$2:$O$1001,MATCH(ROWS($N$2:N667),$N$2:$N$1001,0),1)&gt;=100000,INDEX($U$1005:$AC$1005,1,MATCH(COLUMNS($U$1006:W1006),$U$1006:$AC$1006,0))&gt;=100000), " ",IF(INDEX($U$2:$AC$1001,MATCH(ROWS($N$2:N667),$N$2:$N$1001,0),MATCH(COLUMNS($U$1006:W1006),$U$1006:$AC$1006,0)), HYPERLINK("#",""), HYPERLINK(CONCATENATE("#metadata!", ADDRESS(INDEX($P$2:$P$1001,MATCH(ROWS($N$2:N667),$N$2:$N$1001,0),0), INDEX($U$1004:$AC$1004,1,MATCH(COLUMNS($U$1006:W1006),$U$1006:$AC$1006,0)))),"Fix")))</f>
        <v>0</v>
      </c>
      <c r="E667" s="3">
        <f>IF(OR(INDEX($O$2:$O$1001,MATCH(ROWS($N$2:N667),$N$2:$N$1001,0),1)&gt;=100000,INDEX($U$1005:$AC$1005,1,MATCH(COLUMNS($U$1006:X1006),$U$1006:$AC$1006,0))&gt;=100000), " ",IF(INDEX($U$2:$AC$1001,MATCH(ROWS($N$2:N667),$N$2:$N$1001,0),MATCH(COLUMNS($U$1006:X1006),$U$1006:$AC$1006,0)), HYPERLINK("#",""), HYPERLINK(CONCATENATE("#metadata!", ADDRESS(INDEX($P$2:$P$1001,MATCH(ROWS($N$2:N667),$N$2:$N$1001,0),0), INDEX($U$1004:$AC$1004,1,MATCH(COLUMNS($U$1006:X1006),$U$1006:$AC$1006,0)))),"Fix")))</f>
        <v>0</v>
      </c>
      <c r="F667" s="3">
        <f>IF(OR(INDEX($O$2:$O$1001,MATCH(ROWS($N$2:N667),$N$2:$N$1001,0),1)&gt;=100000,INDEX($U$1005:$AC$1005,1,MATCH(COLUMNS($U$1006:Y1006),$U$1006:$AC$1006,0))&gt;=100000), " ",IF(INDEX($U$2:$AC$1001,MATCH(ROWS($N$2:N667),$N$2:$N$1001,0),MATCH(COLUMNS($U$1006:Y1006),$U$1006:$AC$1006,0)), HYPERLINK("#",""), HYPERLINK(CONCATENATE("#metadata!", ADDRESS(INDEX($P$2:$P$1001,MATCH(ROWS($N$2:N667),$N$2:$N$1001,0),0), INDEX($U$1004:$AC$1004,1,MATCH(COLUMNS($U$1006:Y1006),$U$1006:$AC$1006,0)))),"Fix")))</f>
        <v>0</v>
      </c>
      <c r="G667" s="3">
        <f>IF(OR(INDEX($O$2:$O$1001,MATCH(ROWS($N$2:N667),$N$2:$N$1001,0),1)&gt;=100000,INDEX($U$1005:$AC$1005,1,MATCH(COLUMNS($U$1006:Z1006),$U$1006:$AC$1006,0))&gt;=100000), " ",IF(INDEX($U$2:$AC$1001,MATCH(ROWS($N$2:N667),$N$2:$N$1001,0),MATCH(COLUMNS($U$1006:Z1006),$U$1006:$AC$1006,0)), HYPERLINK("#",""), HYPERLINK(CONCATENATE("#metadata!", ADDRESS(INDEX($P$2:$P$1001,MATCH(ROWS($N$2:N667),$N$2:$N$1001,0),0), INDEX($U$1004:$AC$1004,1,MATCH(COLUMNS($U$1006:Z1006),$U$1006:$AC$1006,0)))),"Fix")))</f>
        <v>0</v>
      </c>
      <c r="H667" s="3">
        <f>IF(OR(INDEX($O$2:$O$1001,MATCH(ROWS($N$2:N667),$N$2:$N$1001,0),1)&gt;=100000,INDEX($U$1005:$AC$1005,1,MATCH(COLUMNS($U$1006:AA1006),$U$1006:$AC$1006,0))&gt;=100000), " ",IF(INDEX($U$2:$AC$1001,MATCH(ROWS($N$2:N667),$N$2:$N$1001,0),MATCH(COLUMNS($U$1006:AA1006),$U$1006:$AC$1006,0)), HYPERLINK("#",""), HYPERLINK(CONCATENATE("#metadata!", ADDRESS(INDEX($P$2:$P$1001,MATCH(ROWS($N$2:N667),$N$2:$N$1001,0),0), INDEX($U$1004:$AC$1004,1,MATCH(COLUMNS($U$1006:AA1006),$U$1006:$AC$1006,0)))),"Fix")))</f>
        <v>0</v>
      </c>
      <c r="I667" s="3">
        <f>IF(OR(INDEX($O$2:$O$1001,MATCH(ROWS($N$2:N667),$N$2:$N$1001,0),1)&gt;=100000,INDEX($U$1005:$AC$1005,1,MATCH(COLUMNS($U$1006:AB1006),$U$1006:$AC$1006,0))&gt;=100000), " ",IF(INDEX($U$2:$AC$1001,MATCH(ROWS($N$2:N667),$N$2:$N$1001,0),MATCH(COLUMNS($U$1006:AB1006),$U$1006:$AC$1006,0)), HYPERLINK("#",""), HYPERLINK(CONCATENATE("#metadata!", ADDRESS(INDEX($P$2:$P$1001,MATCH(ROWS($N$2:N667),$N$2:$N$1001,0),0), INDEX($U$1004:$AC$1004,1,MATCH(COLUMNS($U$1006:AB1006),$U$1006:$AC$1006,0)))),"Fix")))</f>
        <v>0</v>
      </c>
      <c r="J667" s="3">
        <f>IF(OR(INDEX($O$2:$O$1001,MATCH(ROWS($N$2:N667),$N$2:$N$1001,0),1)&gt;=100000,INDEX($U$1005:$AC$1005,1,MATCH(COLUMNS($U$1006:AC1006),$U$1006:$AC$1006,0))&gt;=100000), " ",IF(INDEX($U$2:$AC$1001,MATCH(ROWS($N$2:N667),$N$2:$N$1001,0),MATCH(COLUMNS($U$1006:AC1006),$U$1006:$AC$1006,0)), HYPERLINK("#",""), HYPERLINK(CONCATENATE("#metadata!", ADDRESS(INDEX($P$2:$P$1001,MATCH(ROWS($N$2:N667),$N$2:$N$1001,0),0), INDEX($U$1004:$AC$1004,1,MATCH(COLUMNS($U$1006:AC1006),$U$1006:$AC$1006,0)))),"Fix")))</f>
        <v>0</v>
      </c>
      <c r="N667">
        <v>0</v>
      </c>
      <c r="O667">
        <v>0</v>
      </c>
      <c r="P667">
        <v>0</v>
      </c>
      <c r="Q667">
        <f>IF(R667,TRUE,AND(U667:AC667))</f>
        <v>0</v>
      </c>
      <c r="R667">
        <f>COUNTBLANK(metadata!B667:J667)=COLUMNS(metadata!B667:J667)</f>
        <v>0</v>
      </c>
      <c r="S667">
        <v>0</v>
      </c>
      <c r="U667">
        <f>AND(IF(metadata!B667="",FALSE,TRUE),COUNTIF(metadata!B:B, metadata!B667) = 1,NOT(ISERROR(SUMPRODUCT(SEARCH(MID(metadata!B667,ROW(INDIRECT("1:"&amp;LEN(metadata!B667))), 1),"0123456789abcdefghijklmnopqrstuvwxyzABCDEFGHIJKLMNOPQRSTUVWXYZ.")))))</f>
        <v>0</v>
      </c>
      <c r="V667">
        <f>AND(IF(metadata!C667="",FALSE,TRUE),exact(metadata!C667,"UBERON:genitourinary"))</f>
        <v>0</v>
      </c>
      <c r="W667">
        <f>AND(IF(metadata!D667="",FALSE,TRUE),exact(metadata!D667,"UBERON:urine"))</f>
        <v>0</v>
      </c>
      <c r="X667">
        <f>AND(IF(metadata!E667="",FALSE,TRUE),exact(metadata!E667,"UBERON:kidney"))</f>
        <v>0</v>
      </c>
      <c r="Y667">
        <f>AND(IF(metadata!F667="",FALSE,TRUE),exact(metadata!F667,"animal corpus"))</f>
        <v>0</v>
      </c>
      <c r="Z667">
        <f>AND(IF(metadata!G667="",FALSE,TRUE),exact(metadata!G667,"urine"))</f>
        <v>0</v>
      </c>
      <c r="AA667">
        <f>AND(IF(metadata!H667="",FALSE,TRUE),exact(metadata!H667,"urine"))</f>
        <v>0</v>
      </c>
      <c r="AB667">
        <f>AND(IF(metadata!I667="",FALSE,TRUE),exact(metadata!I667,"urine metagenome"))</f>
        <v>0</v>
      </c>
      <c r="AC667">
        <f>AND(IF(metadata!J667="",FALSE,TRUE),exact(metadata!J667,"1346744"))</f>
        <v>0</v>
      </c>
    </row>
    <row r="668" spans="1:29">
      <c r="A668" s="4">
        <f>IF(B668=" "," ",HYPERLINK(CONCATENATE("#metadata!",ADDRESS(INDEX($P$2:$P$1001,MATCH(ROWS($N$2:N668),$N$2:$N$1001,0),0),1)),INDEX($S$2:$S$1001,MATCH(ROWS($N$2:N668),$N$2:$N$1001,0),0)))</f>
        <v>0</v>
      </c>
      <c r="B668" s="3">
        <f>IF(OR(INDEX($O$2:$O$1001,MATCH(ROWS($N$2:N668),$N$2:$N$1001,0),1)&gt;=100000,INDEX($U$1005:$AC$1005,1,MATCH(COLUMNS($U$1006:U1006),$U$1006:$AC$1006,0))&gt;=100000), " ",IF(INDEX($U$2:$AC$1001,MATCH(ROWS($N$2:N668),$N$2:$N$1001,0),MATCH(COLUMNS($U$1006:U1006),$U$1006:$AC$1006,0)), HYPERLINK("#",""), HYPERLINK(CONCATENATE("#metadata!", ADDRESS(INDEX($P$2:$P$1001,MATCH(ROWS($N$2:N668),$N$2:$N$1001,0),0), INDEX($U$1004:$AC$1004,1,MATCH(COLUMNS($U$1006:U1006),$U$1006:$AC$1006,0)))),"Fix")))</f>
        <v>0</v>
      </c>
      <c r="C668" s="3">
        <f>IF(OR(INDEX($O$2:$O$1001,MATCH(ROWS($N$2:N668),$N$2:$N$1001,0),1)&gt;=100000,INDEX($U$1005:$AC$1005,1,MATCH(COLUMNS($U$1006:V1006),$U$1006:$AC$1006,0))&gt;=100000), " ",IF(INDEX($U$2:$AC$1001,MATCH(ROWS($N$2:N668),$N$2:$N$1001,0),MATCH(COLUMNS($U$1006:V1006),$U$1006:$AC$1006,0)), HYPERLINK("#",""), HYPERLINK(CONCATENATE("#metadata!", ADDRESS(INDEX($P$2:$P$1001,MATCH(ROWS($N$2:N668),$N$2:$N$1001,0),0), INDEX($U$1004:$AC$1004,1,MATCH(COLUMNS($U$1006:V1006),$U$1006:$AC$1006,0)))),"Fix")))</f>
        <v>0</v>
      </c>
      <c r="D668" s="3">
        <f>IF(OR(INDEX($O$2:$O$1001,MATCH(ROWS($N$2:N668),$N$2:$N$1001,0),1)&gt;=100000,INDEX($U$1005:$AC$1005,1,MATCH(COLUMNS($U$1006:W1006),$U$1006:$AC$1006,0))&gt;=100000), " ",IF(INDEX($U$2:$AC$1001,MATCH(ROWS($N$2:N668),$N$2:$N$1001,0),MATCH(COLUMNS($U$1006:W1006),$U$1006:$AC$1006,0)), HYPERLINK("#",""), HYPERLINK(CONCATENATE("#metadata!", ADDRESS(INDEX($P$2:$P$1001,MATCH(ROWS($N$2:N668),$N$2:$N$1001,0),0), INDEX($U$1004:$AC$1004,1,MATCH(COLUMNS($U$1006:W1006),$U$1006:$AC$1006,0)))),"Fix")))</f>
        <v>0</v>
      </c>
      <c r="E668" s="3">
        <f>IF(OR(INDEX($O$2:$O$1001,MATCH(ROWS($N$2:N668),$N$2:$N$1001,0),1)&gt;=100000,INDEX($U$1005:$AC$1005,1,MATCH(COLUMNS($U$1006:X1006),$U$1006:$AC$1006,0))&gt;=100000), " ",IF(INDEX($U$2:$AC$1001,MATCH(ROWS($N$2:N668),$N$2:$N$1001,0),MATCH(COLUMNS($U$1006:X1006),$U$1006:$AC$1006,0)), HYPERLINK("#",""), HYPERLINK(CONCATENATE("#metadata!", ADDRESS(INDEX($P$2:$P$1001,MATCH(ROWS($N$2:N668),$N$2:$N$1001,0),0), INDEX($U$1004:$AC$1004,1,MATCH(COLUMNS($U$1006:X1006),$U$1006:$AC$1006,0)))),"Fix")))</f>
        <v>0</v>
      </c>
      <c r="F668" s="3">
        <f>IF(OR(INDEX($O$2:$O$1001,MATCH(ROWS($N$2:N668),$N$2:$N$1001,0),1)&gt;=100000,INDEX($U$1005:$AC$1005,1,MATCH(COLUMNS($U$1006:Y1006),$U$1006:$AC$1006,0))&gt;=100000), " ",IF(INDEX($U$2:$AC$1001,MATCH(ROWS($N$2:N668),$N$2:$N$1001,0),MATCH(COLUMNS($U$1006:Y1006),$U$1006:$AC$1006,0)), HYPERLINK("#",""), HYPERLINK(CONCATENATE("#metadata!", ADDRESS(INDEX($P$2:$P$1001,MATCH(ROWS($N$2:N668),$N$2:$N$1001,0),0), INDEX($U$1004:$AC$1004,1,MATCH(COLUMNS($U$1006:Y1006),$U$1006:$AC$1006,0)))),"Fix")))</f>
        <v>0</v>
      </c>
      <c r="G668" s="3">
        <f>IF(OR(INDEX($O$2:$O$1001,MATCH(ROWS($N$2:N668),$N$2:$N$1001,0),1)&gt;=100000,INDEX($U$1005:$AC$1005,1,MATCH(COLUMNS($U$1006:Z1006),$U$1006:$AC$1006,0))&gt;=100000), " ",IF(INDEX($U$2:$AC$1001,MATCH(ROWS($N$2:N668),$N$2:$N$1001,0),MATCH(COLUMNS($U$1006:Z1006),$U$1006:$AC$1006,0)), HYPERLINK("#",""), HYPERLINK(CONCATENATE("#metadata!", ADDRESS(INDEX($P$2:$P$1001,MATCH(ROWS($N$2:N668),$N$2:$N$1001,0),0), INDEX($U$1004:$AC$1004,1,MATCH(COLUMNS($U$1006:Z1006),$U$1006:$AC$1006,0)))),"Fix")))</f>
        <v>0</v>
      </c>
      <c r="H668" s="3">
        <f>IF(OR(INDEX($O$2:$O$1001,MATCH(ROWS($N$2:N668),$N$2:$N$1001,0),1)&gt;=100000,INDEX($U$1005:$AC$1005,1,MATCH(COLUMNS($U$1006:AA1006),$U$1006:$AC$1006,0))&gt;=100000), " ",IF(INDEX($U$2:$AC$1001,MATCH(ROWS($N$2:N668),$N$2:$N$1001,0),MATCH(COLUMNS($U$1006:AA1006),$U$1006:$AC$1006,0)), HYPERLINK("#",""), HYPERLINK(CONCATENATE("#metadata!", ADDRESS(INDEX($P$2:$P$1001,MATCH(ROWS($N$2:N668),$N$2:$N$1001,0),0), INDEX($U$1004:$AC$1004,1,MATCH(COLUMNS($U$1006:AA1006),$U$1006:$AC$1006,0)))),"Fix")))</f>
        <v>0</v>
      </c>
      <c r="I668" s="3">
        <f>IF(OR(INDEX($O$2:$O$1001,MATCH(ROWS($N$2:N668),$N$2:$N$1001,0),1)&gt;=100000,INDEX($U$1005:$AC$1005,1,MATCH(COLUMNS($U$1006:AB1006),$U$1006:$AC$1006,0))&gt;=100000), " ",IF(INDEX($U$2:$AC$1001,MATCH(ROWS($N$2:N668),$N$2:$N$1001,0),MATCH(COLUMNS($U$1006:AB1006),$U$1006:$AC$1006,0)), HYPERLINK("#",""), HYPERLINK(CONCATENATE("#metadata!", ADDRESS(INDEX($P$2:$P$1001,MATCH(ROWS($N$2:N668),$N$2:$N$1001,0),0), INDEX($U$1004:$AC$1004,1,MATCH(COLUMNS($U$1006:AB1006),$U$1006:$AC$1006,0)))),"Fix")))</f>
        <v>0</v>
      </c>
      <c r="J668" s="3">
        <f>IF(OR(INDEX($O$2:$O$1001,MATCH(ROWS($N$2:N668),$N$2:$N$1001,0),1)&gt;=100000,INDEX($U$1005:$AC$1005,1,MATCH(COLUMNS($U$1006:AC1006),$U$1006:$AC$1006,0))&gt;=100000), " ",IF(INDEX($U$2:$AC$1001,MATCH(ROWS($N$2:N668),$N$2:$N$1001,0),MATCH(COLUMNS($U$1006:AC1006),$U$1006:$AC$1006,0)), HYPERLINK("#",""), HYPERLINK(CONCATENATE("#metadata!", ADDRESS(INDEX($P$2:$P$1001,MATCH(ROWS($N$2:N668),$N$2:$N$1001,0),0), INDEX($U$1004:$AC$1004,1,MATCH(COLUMNS($U$1006:AC1006),$U$1006:$AC$1006,0)))),"Fix")))</f>
        <v>0</v>
      </c>
      <c r="N668">
        <v>0</v>
      </c>
      <c r="O668">
        <v>0</v>
      </c>
      <c r="P668">
        <v>0</v>
      </c>
      <c r="Q668">
        <f>IF(R668,TRUE,AND(U668:AC668))</f>
        <v>0</v>
      </c>
      <c r="R668">
        <f>COUNTBLANK(metadata!B668:J668)=COLUMNS(metadata!B668:J668)</f>
        <v>0</v>
      </c>
      <c r="S668">
        <v>0</v>
      </c>
      <c r="U668">
        <f>AND(IF(metadata!B668="",FALSE,TRUE),COUNTIF(metadata!B:B, metadata!B668) = 1,NOT(ISERROR(SUMPRODUCT(SEARCH(MID(metadata!B668,ROW(INDIRECT("1:"&amp;LEN(metadata!B668))), 1),"0123456789abcdefghijklmnopqrstuvwxyzABCDEFGHIJKLMNOPQRSTUVWXYZ.")))))</f>
        <v>0</v>
      </c>
      <c r="V668">
        <f>AND(IF(metadata!C668="",FALSE,TRUE),exact(metadata!C668,"UBERON:genitourinary"))</f>
        <v>0</v>
      </c>
      <c r="W668">
        <f>AND(IF(metadata!D668="",FALSE,TRUE),exact(metadata!D668,"UBERON:urine"))</f>
        <v>0</v>
      </c>
      <c r="X668">
        <f>AND(IF(metadata!E668="",FALSE,TRUE),exact(metadata!E668,"UBERON:kidney"))</f>
        <v>0</v>
      </c>
      <c r="Y668">
        <f>AND(IF(metadata!F668="",FALSE,TRUE),exact(metadata!F668,"animal corpus"))</f>
        <v>0</v>
      </c>
      <c r="Z668">
        <f>AND(IF(metadata!G668="",FALSE,TRUE),exact(metadata!G668,"urine"))</f>
        <v>0</v>
      </c>
      <c r="AA668">
        <f>AND(IF(metadata!H668="",FALSE,TRUE),exact(metadata!H668,"urine"))</f>
        <v>0</v>
      </c>
      <c r="AB668">
        <f>AND(IF(metadata!I668="",FALSE,TRUE),exact(metadata!I668,"urine metagenome"))</f>
        <v>0</v>
      </c>
      <c r="AC668">
        <f>AND(IF(metadata!J668="",FALSE,TRUE),exact(metadata!J668,"1346744"))</f>
        <v>0</v>
      </c>
    </row>
    <row r="669" spans="1:29">
      <c r="A669" s="4">
        <f>IF(B669=" "," ",HYPERLINK(CONCATENATE("#metadata!",ADDRESS(INDEX($P$2:$P$1001,MATCH(ROWS($N$2:N669),$N$2:$N$1001,0),0),1)),INDEX($S$2:$S$1001,MATCH(ROWS($N$2:N669),$N$2:$N$1001,0),0)))</f>
        <v>0</v>
      </c>
      <c r="B669" s="3">
        <f>IF(OR(INDEX($O$2:$O$1001,MATCH(ROWS($N$2:N669),$N$2:$N$1001,0),1)&gt;=100000,INDEX($U$1005:$AC$1005,1,MATCH(COLUMNS($U$1006:U1006),$U$1006:$AC$1006,0))&gt;=100000), " ",IF(INDEX($U$2:$AC$1001,MATCH(ROWS($N$2:N669),$N$2:$N$1001,0),MATCH(COLUMNS($U$1006:U1006),$U$1006:$AC$1006,0)), HYPERLINK("#",""), HYPERLINK(CONCATENATE("#metadata!", ADDRESS(INDEX($P$2:$P$1001,MATCH(ROWS($N$2:N669),$N$2:$N$1001,0),0), INDEX($U$1004:$AC$1004,1,MATCH(COLUMNS($U$1006:U1006),$U$1006:$AC$1006,0)))),"Fix")))</f>
        <v>0</v>
      </c>
      <c r="C669" s="3">
        <f>IF(OR(INDEX($O$2:$O$1001,MATCH(ROWS($N$2:N669),$N$2:$N$1001,0),1)&gt;=100000,INDEX($U$1005:$AC$1005,1,MATCH(COLUMNS($U$1006:V1006),$U$1006:$AC$1006,0))&gt;=100000), " ",IF(INDEX($U$2:$AC$1001,MATCH(ROWS($N$2:N669),$N$2:$N$1001,0),MATCH(COLUMNS($U$1006:V1006),$U$1006:$AC$1006,0)), HYPERLINK("#",""), HYPERLINK(CONCATENATE("#metadata!", ADDRESS(INDEX($P$2:$P$1001,MATCH(ROWS($N$2:N669),$N$2:$N$1001,0),0), INDEX($U$1004:$AC$1004,1,MATCH(COLUMNS($U$1006:V1006),$U$1006:$AC$1006,0)))),"Fix")))</f>
        <v>0</v>
      </c>
      <c r="D669" s="3">
        <f>IF(OR(INDEX($O$2:$O$1001,MATCH(ROWS($N$2:N669),$N$2:$N$1001,0),1)&gt;=100000,INDEX($U$1005:$AC$1005,1,MATCH(COLUMNS($U$1006:W1006),$U$1006:$AC$1006,0))&gt;=100000), " ",IF(INDEX($U$2:$AC$1001,MATCH(ROWS($N$2:N669),$N$2:$N$1001,0),MATCH(COLUMNS($U$1006:W1006),$U$1006:$AC$1006,0)), HYPERLINK("#",""), HYPERLINK(CONCATENATE("#metadata!", ADDRESS(INDEX($P$2:$P$1001,MATCH(ROWS($N$2:N669),$N$2:$N$1001,0),0), INDEX($U$1004:$AC$1004,1,MATCH(COLUMNS($U$1006:W1006),$U$1006:$AC$1006,0)))),"Fix")))</f>
        <v>0</v>
      </c>
      <c r="E669" s="3">
        <f>IF(OR(INDEX($O$2:$O$1001,MATCH(ROWS($N$2:N669),$N$2:$N$1001,0),1)&gt;=100000,INDEX($U$1005:$AC$1005,1,MATCH(COLUMNS($U$1006:X1006),$U$1006:$AC$1006,0))&gt;=100000), " ",IF(INDEX($U$2:$AC$1001,MATCH(ROWS($N$2:N669),$N$2:$N$1001,0),MATCH(COLUMNS($U$1006:X1006),$U$1006:$AC$1006,0)), HYPERLINK("#",""), HYPERLINK(CONCATENATE("#metadata!", ADDRESS(INDEX($P$2:$P$1001,MATCH(ROWS($N$2:N669),$N$2:$N$1001,0),0), INDEX($U$1004:$AC$1004,1,MATCH(COLUMNS($U$1006:X1006),$U$1006:$AC$1006,0)))),"Fix")))</f>
        <v>0</v>
      </c>
      <c r="F669" s="3">
        <f>IF(OR(INDEX($O$2:$O$1001,MATCH(ROWS($N$2:N669),$N$2:$N$1001,0),1)&gt;=100000,INDEX($U$1005:$AC$1005,1,MATCH(COLUMNS($U$1006:Y1006),$U$1006:$AC$1006,0))&gt;=100000), " ",IF(INDEX($U$2:$AC$1001,MATCH(ROWS($N$2:N669),$N$2:$N$1001,0),MATCH(COLUMNS($U$1006:Y1006),$U$1006:$AC$1006,0)), HYPERLINK("#",""), HYPERLINK(CONCATENATE("#metadata!", ADDRESS(INDEX($P$2:$P$1001,MATCH(ROWS($N$2:N669),$N$2:$N$1001,0),0), INDEX($U$1004:$AC$1004,1,MATCH(COLUMNS($U$1006:Y1006),$U$1006:$AC$1006,0)))),"Fix")))</f>
        <v>0</v>
      </c>
      <c r="G669" s="3">
        <f>IF(OR(INDEX($O$2:$O$1001,MATCH(ROWS($N$2:N669),$N$2:$N$1001,0),1)&gt;=100000,INDEX($U$1005:$AC$1005,1,MATCH(COLUMNS($U$1006:Z1006),$U$1006:$AC$1006,0))&gt;=100000), " ",IF(INDEX($U$2:$AC$1001,MATCH(ROWS($N$2:N669),$N$2:$N$1001,0),MATCH(COLUMNS($U$1006:Z1006),$U$1006:$AC$1006,0)), HYPERLINK("#",""), HYPERLINK(CONCATENATE("#metadata!", ADDRESS(INDEX($P$2:$P$1001,MATCH(ROWS($N$2:N669),$N$2:$N$1001,0),0), INDEX($U$1004:$AC$1004,1,MATCH(COLUMNS($U$1006:Z1006),$U$1006:$AC$1006,0)))),"Fix")))</f>
        <v>0</v>
      </c>
      <c r="H669" s="3">
        <f>IF(OR(INDEX($O$2:$O$1001,MATCH(ROWS($N$2:N669),$N$2:$N$1001,0),1)&gt;=100000,INDEX($U$1005:$AC$1005,1,MATCH(COLUMNS($U$1006:AA1006),$U$1006:$AC$1006,0))&gt;=100000), " ",IF(INDEX($U$2:$AC$1001,MATCH(ROWS($N$2:N669),$N$2:$N$1001,0),MATCH(COLUMNS($U$1006:AA1006),$U$1006:$AC$1006,0)), HYPERLINK("#",""), HYPERLINK(CONCATENATE("#metadata!", ADDRESS(INDEX($P$2:$P$1001,MATCH(ROWS($N$2:N669),$N$2:$N$1001,0),0), INDEX($U$1004:$AC$1004,1,MATCH(COLUMNS($U$1006:AA1006),$U$1006:$AC$1006,0)))),"Fix")))</f>
        <v>0</v>
      </c>
      <c r="I669" s="3">
        <f>IF(OR(INDEX($O$2:$O$1001,MATCH(ROWS($N$2:N669),$N$2:$N$1001,0),1)&gt;=100000,INDEX($U$1005:$AC$1005,1,MATCH(COLUMNS($U$1006:AB1006),$U$1006:$AC$1006,0))&gt;=100000), " ",IF(INDEX($U$2:$AC$1001,MATCH(ROWS($N$2:N669),$N$2:$N$1001,0),MATCH(COLUMNS($U$1006:AB1006),$U$1006:$AC$1006,0)), HYPERLINK("#",""), HYPERLINK(CONCATENATE("#metadata!", ADDRESS(INDEX($P$2:$P$1001,MATCH(ROWS($N$2:N669),$N$2:$N$1001,0),0), INDEX($U$1004:$AC$1004,1,MATCH(COLUMNS($U$1006:AB1006),$U$1006:$AC$1006,0)))),"Fix")))</f>
        <v>0</v>
      </c>
      <c r="J669" s="3">
        <f>IF(OR(INDEX($O$2:$O$1001,MATCH(ROWS($N$2:N669),$N$2:$N$1001,0),1)&gt;=100000,INDEX($U$1005:$AC$1005,1,MATCH(COLUMNS($U$1006:AC1006),$U$1006:$AC$1006,0))&gt;=100000), " ",IF(INDEX($U$2:$AC$1001,MATCH(ROWS($N$2:N669),$N$2:$N$1001,0),MATCH(COLUMNS($U$1006:AC1006),$U$1006:$AC$1006,0)), HYPERLINK("#",""), HYPERLINK(CONCATENATE("#metadata!", ADDRESS(INDEX($P$2:$P$1001,MATCH(ROWS($N$2:N669),$N$2:$N$1001,0),0), INDEX($U$1004:$AC$1004,1,MATCH(COLUMNS($U$1006:AC1006),$U$1006:$AC$1006,0)))),"Fix")))</f>
        <v>0</v>
      </c>
      <c r="N669">
        <v>0</v>
      </c>
      <c r="O669">
        <v>0</v>
      </c>
      <c r="P669">
        <v>0</v>
      </c>
      <c r="Q669">
        <f>IF(R669,TRUE,AND(U669:AC669))</f>
        <v>0</v>
      </c>
      <c r="R669">
        <f>COUNTBLANK(metadata!B669:J669)=COLUMNS(metadata!B669:J669)</f>
        <v>0</v>
      </c>
      <c r="S669">
        <v>0</v>
      </c>
      <c r="U669">
        <f>AND(IF(metadata!B669="",FALSE,TRUE),COUNTIF(metadata!B:B, metadata!B669) = 1,NOT(ISERROR(SUMPRODUCT(SEARCH(MID(metadata!B669,ROW(INDIRECT("1:"&amp;LEN(metadata!B669))), 1),"0123456789abcdefghijklmnopqrstuvwxyzABCDEFGHIJKLMNOPQRSTUVWXYZ.")))))</f>
        <v>0</v>
      </c>
      <c r="V669">
        <f>AND(IF(metadata!C669="",FALSE,TRUE),exact(metadata!C669,"UBERON:genitourinary"))</f>
        <v>0</v>
      </c>
      <c r="W669">
        <f>AND(IF(metadata!D669="",FALSE,TRUE),exact(metadata!D669,"UBERON:urine"))</f>
        <v>0</v>
      </c>
      <c r="X669">
        <f>AND(IF(metadata!E669="",FALSE,TRUE),exact(metadata!E669,"UBERON:kidney"))</f>
        <v>0</v>
      </c>
      <c r="Y669">
        <f>AND(IF(metadata!F669="",FALSE,TRUE),exact(metadata!F669,"animal corpus"))</f>
        <v>0</v>
      </c>
      <c r="Z669">
        <f>AND(IF(metadata!G669="",FALSE,TRUE),exact(metadata!G669,"urine"))</f>
        <v>0</v>
      </c>
      <c r="AA669">
        <f>AND(IF(metadata!H669="",FALSE,TRUE),exact(metadata!H669,"urine"))</f>
        <v>0</v>
      </c>
      <c r="AB669">
        <f>AND(IF(metadata!I669="",FALSE,TRUE),exact(metadata!I669,"urine metagenome"))</f>
        <v>0</v>
      </c>
      <c r="AC669">
        <f>AND(IF(metadata!J669="",FALSE,TRUE),exact(metadata!J669,"1346744"))</f>
        <v>0</v>
      </c>
    </row>
    <row r="670" spans="1:29">
      <c r="A670" s="4">
        <f>IF(B670=" "," ",HYPERLINK(CONCATENATE("#metadata!",ADDRESS(INDEX($P$2:$P$1001,MATCH(ROWS($N$2:N670),$N$2:$N$1001,0),0),1)),INDEX($S$2:$S$1001,MATCH(ROWS($N$2:N670),$N$2:$N$1001,0),0)))</f>
        <v>0</v>
      </c>
      <c r="B670" s="3">
        <f>IF(OR(INDEX($O$2:$O$1001,MATCH(ROWS($N$2:N670),$N$2:$N$1001,0),1)&gt;=100000,INDEX($U$1005:$AC$1005,1,MATCH(COLUMNS($U$1006:U1006),$U$1006:$AC$1006,0))&gt;=100000), " ",IF(INDEX($U$2:$AC$1001,MATCH(ROWS($N$2:N670),$N$2:$N$1001,0),MATCH(COLUMNS($U$1006:U1006),$U$1006:$AC$1006,0)), HYPERLINK("#",""), HYPERLINK(CONCATENATE("#metadata!", ADDRESS(INDEX($P$2:$P$1001,MATCH(ROWS($N$2:N670),$N$2:$N$1001,0),0), INDEX($U$1004:$AC$1004,1,MATCH(COLUMNS($U$1006:U1006),$U$1006:$AC$1006,0)))),"Fix")))</f>
        <v>0</v>
      </c>
      <c r="C670" s="3">
        <f>IF(OR(INDEX($O$2:$O$1001,MATCH(ROWS($N$2:N670),$N$2:$N$1001,0),1)&gt;=100000,INDEX($U$1005:$AC$1005,1,MATCH(COLUMNS($U$1006:V1006),$U$1006:$AC$1006,0))&gt;=100000), " ",IF(INDEX($U$2:$AC$1001,MATCH(ROWS($N$2:N670),$N$2:$N$1001,0),MATCH(COLUMNS($U$1006:V1006),$U$1006:$AC$1006,0)), HYPERLINK("#",""), HYPERLINK(CONCATENATE("#metadata!", ADDRESS(INDEX($P$2:$P$1001,MATCH(ROWS($N$2:N670),$N$2:$N$1001,0),0), INDEX($U$1004:$AC$1004,1,MATCH(COLUMNS($U$1006:V1006),$U$1006:$AC$1006,0)))),"Fix")))</f>
        <v>0</v>
      </c>
      <c r="D670" s="3">
        <f>IF(OR(INDEX($O$2:$O$1001,MATCH(ROWS($N$2:N670),$N$2:$N$1001,0),1)&gt;=100000,INDEX($U$1005:$AC$1005,1,MATCH(COLUMNS($U$1006:W1006),$U$1006:$AC$1006,0))&gt;=100000), " ",IF(INDEX($U$2:$AC$1001,MATCH(ROWS($N$2:N670),$N$2:$N$1001,0),MATCH(COLUMNS($U$1006:W1006),$U$1006:$AC$1006,0)), HYPERLINK("#",""), HYPERLINK(CONCATENATE("#metadata!", ADDRESS(INDEX($P$2:$P$1001,MATCH(ROWS($N$2:N670),$N$2:$N$1001,0),0), INDEX($U$1004:$AC$1004,1,MATCH(COLUMNS($U$1006:W1006),$U$1006:$AC$1006,0)))),"Fix")))</f>
        <v>0</v>
      </c>
      <c r="E670" s="3">
        <f>IF(OR(INDEX($O$2:$O$1001,MATCH(ROWS($N$2:N670),$N$2:$N$1001,0),1)&gt;=100000,INDEX($U$1005:$AC$1005,1,MATCH(COLUMNS($U$1006:X1006),$U$1006:$AC$1006,0))&gt;=100000), " ",IF(INDEX($U$2:$AC$1001,MATCH(ROWS($N$2:N670),$N$2:$N$1001,0),MATCH(COLUMNS($U$1006:X1006),$U$1006:$AC$1006,0)), HYPERLINK("#",""), HYPERLINK(CONCATENATE("#metadata!", ADDRESS(INDEX($P$2:$P$1001,MATCH(ROWS($N$2:N670),$N$2:$N$1001,0),0), INDEX($U$1004:$AC$1004,1,MATCH(COLUMNS($U$1006:X1006),$U$1006:$AC$1006,0)))),"Fix")))</f>
        <v>0</v>
      </c>
      <c r="F670" s="3">
        <f>IF(OR(INDEX($O$2:$O$1001,MATCH(ROWS($N$2:N670),$N$2:$N$1001,0),1)&gt;=100000,INDEX($U$1005:$AC$1005,1,MATCH(COLUMNS($U$1006:Y1006),$U$1006:$AC$1006,0))&gt;=100000), " ",IF(INDEX($U$2:$AC$1001,MATCH(ROWS($N$2:N670),$N$2:$N$1001,0),MATCH(COLUMNS($U$1006:Y1006),$U$1006:$AC$1006,0)), HYPERLINK("#",""), HYPERLINK(CONCATENATE("#metadata!", ADDRESS(INDEX($P$2:$P$1001,MATCH(ROWS($N$2:N670),$N$2:$N$1001,0),0), INDEX($U$1004:$AC$1004,1,MATCH(COLUMNS($U$1006:Y1006),$U$1006:$AC$1006,0)))),"Fix")))</f>
        <v>0</v>
      </c>
      <c r="G670" s="3">
        <f>IF(OR(INDEX($O$2:$O$1001,MATCH(ROWS($N$2:N670),$N$2:$N$1001,0),1)&gt;=100000,INDEX($U$1005:$AC$1005,1,MATCH(COLUMNS($U$1006:Z1006),$U$1006:$AC$1006,0))&gt;=100000), " ",IF(INDEX($U$2:$AC$1001,MATCH(ROWS($N$2:N670),$N$2:$N$1001,0),MATCH(COLUMNS($U$1006:Z1006),$U$1006:$AC$1006,0)), HYPERLINK("#",""), HYPERLINK(CONCATENATE("#metadata!", ADDRESS(INDEX($P$2:$P$1001,MATCH(ROWS($N$2:N670),$N$2:$N$1001,0),0), INDEX($U$1004:$AC$1004,1,MATCH(COLUMNS($U$1006:Z1006),$U$1006:$AC$1006,0)))),"Fix")))</f>
        <v>0</v>
      </c>
      <c r="H670" s="3">
        <f>IF(OR(INDEX($O$2:$O$1001,MATCH(ROWS($N$2:N670),$N$2:$N$1001,0),1)&gt;=100000,INDEX($U$1005:$AC$1005,1,MATCH(COLUMNS($U$1006:AA1006),$U$1006:$AC$1006,0))&gt;=100000), " ",IF(INDEX($U$2:$AC$1001,MATCH(ROWS($N$2:N670),$N$2:$N$1001,0),MATCH(COLUMNS($U$1006:AA1006),$U$1006:$AC$1006,0)), HYPERLINK("#",""), HYPERLINK(CONCATENATE("#metadata!", ADDRESS(INDEX($P$2:$P$1001,MATCH(ROWS($N$2:N670),$N$2:$N$1001,0),0), INDEX($U$1004:$AC$1004,1,MATCH(COLUMNS($U$1006:AA1006),$U$1006:$AC$1006,0)))),"Fix")))</f>
        <v>0</v>
      </c>
      <c r="I670" s="3">
        <f>IF(OR(INDEX($O$2:$O$1001,MATCH(ROWS($N$2:N670),$N$2:$N$1001,0),1)&gt;=100000,INDEX($U$1005:$AC$1005,1,MATCH(COLUMNS($U$1006:AB1006),$U$1006:$AC$1006,0))&gt;=100000), " ",IF(INDEX($U$2:$AC$1001,MATCH(ROWS($N$2:N670),$N$2:$N$1001,0),MATCH(COLUMNS($U$1006:AB1006),$U$1006:$AC$1006,0)), HYPERLINK("#",""), HYPERLINK(CONCATENATE("#metadata!", ADDRESS(INDEX($P$2:$P$1001,MATCH(ROWS($N$2:N670),$N$2:$N$1001,0),0), INDEX($U$1004:$AC$1004,1,MATCH(COLUMNS($U$1006:AB1006),$U$1006:$AC$1006,0)))),"Fix")))</f>
        <v>0</v>
      </c>
      <c r="J670" s="3">
        <f>IF(OR(INDEX($O$2:$O$1001,MATCH(ROWS($N$2:N670),$N$2:$N$1001,0),1)&gt;=100000,INDEX($U$1005:$AC$1005,1,MATCH(COLUMNS($U$1006:AC1006),$U$1006:$AC$1006,0))&gt;=100000), " ",IF(INDEX($U$2:$AC$1001,MATCH(ROWS($N$2:N670),$N$2:$N$1001,0),MATCH(COLUMNS($U$1006:AC1006),$U$1006:$AC$1006,0)), HYPERLINK("#",""), HYPERLINK(CONCATENATE("#metadata!", ADDRESS(INDEX($P$2:$P$1001,MATCH(ROWS($N$2:N670),$N$2:$N$1001,0),0), INDEX($U$1004:$AC$1004,1,MATCH(COLUMNS($U$1006:AC1006),$U$1006:$AC$1006,0)))),"Fix")))</f>
        <v>0</v>
      </c>
      <c r="N670">
        <v>0</v>
      </c>
      <c r="O670">
        <v>0</v>
      </c>
      <c r="P670">
        <v>0</v>
      </c>
      <c r="Q670">
        <f>IF(R670,TRUE,AND(U670:AC670))</f>
        <v>0</v>
      </c>
      <c r="R670">
        <f>COUNTBLANK(metadata!B670:J670)=COLUMNS(metadata!B670:J670)</f>
        <v>0</v>
      </c>
      <c r="S670">
        <v>0</v>
      </c>
      <c r="U670">
        <f>AND(IF(metadata!B670="",FALSE,TRUE),COUNTIF(metadata!B:B, metadata!B670) = 1,NOT(ISERROR(SUMPRODUCT(SEARCH(MID(metadata!B670,ROW(INDIRECT("1:"&amp;LEN(metadata!B670))), 1),"0123456789abcdefghijklmnopqrstuvwxyzABCDEFGHIJKLMNOPQRSTUVWXYZ.")))))</f>
        <v>0</v>
      </c>
      <c r="V670">
        <f>AND(IF(metadata!C670="",FALSE,TRUE),exact(metadata!C670,"UBERON:genitourinary"))</f>
        <v>0</v>
      </c>
      <c r="W670">
        <f>AND(IF(metadata!D670="",FALSE,TRUE),exact(metadata!D670,"UBERON:urine"))</f>
        <v>0</v>
      </c>
      <c r="X670">
        <f>AND(IF(metadata!E670="",FALSE,TRUE),exact(metadata!E670,"UBERON:kidney"))</f>
        <v>0</v>
      </c>
      <c r="Y670">
        <f>AND(IF(metadata!F670="",FALSE,TRUE),exact(metadata!F670,"animal corpus"))</f>
        <v>0</v>
      </c>
      <c r="Z670">
        <f>AND(IF(metadata!G670="",FALSE,TRUE),exact(metadata!G670,"urine"))</f>
        <v>0</v>
      </c>
      <c r="AA670">
        <f>AND(IF(metadata!H670="",FALSE,TRUE),exact(metadata!H670,"urine"))</f>
        <v>0</v>
      </c>
      <c r="AB670">
        <f>AND(IF(metadata!I670="",FALSE,TRUE),exact(metadata!I670,"urine metagenome"))</f>
        <v>0</v>
      </c>
      <c r="AC670">
        <f>AND(IF(metadata!J670="",FALSE,TRUE),exact(metadata!J670,"1346744"))</f>
        <v>0</v>
      </c>
    </row>
    <row r="671" spans="1:29">
      <c r="A671" s="4">
        <f>IF(B671=" "," ",HYPERLINK(CONCATENATE("#metadata!",ADDRESS(INDEX($P$2:$P$1001,MATCH(ROWS($N$2:N671),$N$2:$N$1001,0),0),1)),INDEX($S$2:$S$1001,MATCH(ROWS($N$2:N671),$N$2:$N$1001,0),0)))</f>
        <v>0</v>
      </c>
      <c r="B671" s="3">
        <f>IF(OR(INDEX($O$2:$O$1001,MATCH(ROWS($N$2:N671),$N$2:$N$1001,0),1)&gt;=100000,INDEX($U$1005:$AC$1005,1,MATCH(COLUMNS($U$1006:U1006),$U$1006:$AC$1006,0))&gt;=100000), " ",IF(INDEX($U$2:$AC$1001,MATCH(ROWS($N$2:N671),$N$2:$N$1001,0),MATCH(COLUMNS($U$1006:U1006),$U$1006:$AC$1006,0)), HYPERLINK("#",""), HYPERLINK(CONCATENATE("#metadata!", ADDRESS(INDEX($P$2:$P$1001,MATCH(ROWS($N$2:N671),$N$2:$N$1001,0),0), INDEX($U$1004:$AC$1004,1,MATCH(COLUMNS($U$1006:U1006),$U$1006:$AC$1006,0)))),"Fix")))</f>
        <v>0</v>
      </c>
      <c r="C671" s="3">
        <f>IF(OR(INDEX($O$2:$O$1001,MATCH(ROWS($N$2:N671),$N$2:$N$1001,0),1)&gt;=100000,INDEX($U$1005:$AC$1005,1,MATCH(COLUMNS($U$1006:V1006),$U$1006:$AC$1006,0))&gt;=100000), " ",IF(INDEX($U$2:$AC$1001,MATCH(ROWS($N$2:N671),$N$2:$N$1001,0),MATCH(COLUMNS($U$1006:V1006),$U$1006:$AC$1006,0)), HYPERLINK("#",""), HYPERLINK(CONCATENATE("#metadata!", ADDRESS(INDEX($P$2:$P$1001,MATCH(ROWS($N$2:N671),$N$2:$N$1001,0),0), INDEX($U$1004:$AC$1004,1,MATCH(COLUMNS($U$1006:V1006),$U$1006:$AC$1006,0)))),"Fix")))</f>
        <v>0</v>
      </c>
      <c r="D671" s="3">
        <f>IF(OR(INDEX($O$2:$O$1001,MATCH(ROWS($N$2:N671),$N$2:$N$1001,0),1)&gt;=100000,INDEX($U$1005:$AC$1005,1,MATCH(COLUMNS($U$1006:W1006),$U$1006:$AC$1006,0))&gt;=100000), " ",IF(INDEX($U$2:$AC$1001,MATCH(ROWS($N$2:N671),$N$2:$N$1001,0),MATCH(COLUMNS($U$1006:W1006),$U$1006:$AC$1006,0)), HYPERLINK("#",""), HYPERLINK(CONCATENATE("#metadata!", ADDRESS(INDEX($P$2:$P$1001,MATCH(ROWS($N$2:N671),$N$2:$N$1001,0),0), INDEX($U$1004:$AC$1004,1,MATCH(COLUMNS($U$1006:W1006),$U$1006:$AC$1006,0)))),"Fix")))</f>
        <v>0</v>
      </c>
      <c r="E671" s="3">
        <f>IF(OR(INDEX($O$2:$O$1001,MATCH(ROWS($N$2:N671),$N$2:$N$1001,0),1)&gt;=100000,INDEX($U$1005:$AC$1005,1,MATCH(COLUMNS($U$1006:X1006),$U$1006:$AC$1006,0))&gt;=100000), " ",IF(INDEX($U$2:$AC$1001,MATCH(ROWS($N$2:N671),$N$2:$N$1001,0),MATCH(COLUMNS($U$1006:X1006),$U$1006:$AC$1006,0)), HYPERLINK("#",""), HYPERLINK(CONCATENATE("#metadata!", ADDRESS(INDEX($P$2:$P$1001,MATCH(ROWS($N$2:N671),$N$2:$N$1001,0),0), INDEX($U$1004:$AC$1004,1,MATCH(COLUMNS($U$1006:X1006),$U$1006:$AC$1006,0)))),"Fix")))</f>
        <v>0</v>
      </c>
      <c r="F671" s="3">
        <f>IF(OR(INDEX($O$2:$O$1001,MATCH(ROWS($N$2:N671),$N$2:$N$1001,0),1)&gt;=100000,INDEX($U$1005:$AC$1005,1,MATCH(COLUMNS($U$1006:Y1006),$U$1006:$AC$1006,0))&gt;=100000), " ",IF(INDEX($U$2:$AC$1001,MATCH(ROWS($N$2:N671),$N$2:$N$1001,0),MATCH(COLUMNS($U$1006:Y1006),$U$1006:$AC$1006,0)), HYPERLINK("#",""), HYPERLINK(CONCATENATE("#metadata!", ADDRESS(INDEX($P$2:$P$1001,MATCH(ROWS($N$2:N671),$N$2:$N$1001,0),0), INDEX($U$1004:$AC$1004,1,MATCH(COLUMNS($U$1006:Y1006),$U$1006:$AC$1006,0)))),"Fix")))</f>
        <v>0</v>
      </c>
      <c r="G671" s="3">
        <f>IF(OR(INDEX($O$2:$O$1001,MATCH(ROWS($N$2:N671),$N$2:$N$1001,0),1)&gt;=100000,INDEX($U$1005:$AC$1005,1,MATCH(COLUMNS($U$1006:Z1006),$U$1006:$AC$1006,0))&gt;=100000), " ",IF(INDEX($U$2:$AC$1001,MATCH(ROWS($N$2:N671),$N$2:$N$1001,0),MATCH(COLUMNS($U$1006:Z1006),$U$1006:$AC$1006,0)), HYPERLINK("#",""), HYPERLINK(CONCATENATE("#metadata!", ADDRESS(INDEX($P$2:$P$1001,MATCH(ROWS($N$2:N671),$N$2:$N$1001,0),0), INDEX($U$1004:$AC$1004,1,MATCH(COLUMNS($U$1006:Z1006),$U$1006:$AC$1006,0)))),"Fix")))</f>
        <v>0</v>
      </c>
      <c r="H671" s="3">
        <f>IF(OR(INDEX($O$2:$O$1001,MATCH(ROWS($N$2:N671),$N$2:$N$1001,0),1)&gt;=100000,INDEX($U$1005:$AC$1005,1,MATCH(COLUMNS($U$1006:AA1006),$U$1006:$AC$1006,0))&gt;=100000), " ",IF(INDEX($U$2:$AC$1001,MATCH(ROWS($N$2:N671),$N$2:$N$1001,0),MATCH(COLUMNS($U$1006:AA1006),$U$1006:$AC$1006,0)), HYPERLINK("#",""), HYPERLINK(CONCATENATE("#metadata!", ADDRESS(INDEX($P$2:$P$1001,MATCH(ROWS($N$2:N671),$N$2:$N$1001,0),0), INDEX($U$1004:$AC$1004,1,MATCH(COLUMNS($U$1006:AA1006),$U$1006:$AC$1006,0)))),"Fix")))</f>
        <v>0</v>
      </c>
      <c r="I671" s="3">
        <f>IF(OR(INDEX($O$2:$O$1001,MATCH(ROWS($N$2:N671),$N$2:$N$1001,0),1)&gt;=100000,INDEX($U$1005:$AC$1005,1,MATCH(COLUMNS($U$1006:AB1006),$U$1006:$AC$1006,0))&gt;=100000), " ",IF(INDEX($U$2:$AC$1001,MATCH(ROWS($N$2:N671),$N$2:$N$1001,0),MATCH(COLUMNS($U$1006:AB1006),$U$1006:$AC$1006,0)), HYPERLINK("#",""), HYPERLINK(CONCATENATE("#metadata!", ADDRESS(INDEX($P$2:$P$1001,MATCH(ROWS($N$2:N671),$N$2:$N$1001,0),0), INDEX($U$1004:$AC$1004,1,MATCH(COLUMNS($U$1006:AB1006),$U$1006:$AC$1006,0)))),"Fix")))</f>
        <v>0</v>
      </c>
      <c r="J671" s="3">
        <f>IF(OR(INDEX($O$2:$O$1001,MATCH(ROWS($N$2:N671),$N$2:$N$1001,0),1)&gt;=100000,INDEX($U$1005:$AC$1005,1,MATCH(COLUMNS($U$1006:AC1006),$U$1006:$AC$1006,0))&gt;=100000), " ",IF(INDEX($U$2:$AC$1001,MATCH(ROWS($N$2:N671),$N$2:$N$1001,0),MATCH(COLUMNS($U$1006:AC1006),$U$1006:$AC$1006,0)), HYPERLINK("#",""), HYPERLINK(CONCATENATE("#metadata!", ADDRESS(INDEX($P$2:$P$1001,MATCH(ROWS($N$2:N671),$N$2:$N$1001,0),0), INDEX($U$1004:$AC$1004,1,MATCH(COLUMNS($U$1006:AC1006),$U$1006:$AC$1006,0)))),"Fix")))</f>
        <v>0</v>
      </c>
      <c r="N671">
        <v>0</v>
      </c>
      <c r="O671">
        <v>0</v>
      </c>
      <c r="P671">
        <v>0</v>
      </c>
      <c r="Q671">
        <f>IF(R671,TRUE,AND(U671:AC671))</f>
        <v>0</v>
      </c>
      <c r="R671">
        <f>COUNTBLANK(metadata!B671:J671)=COLUMNS(metadata!B671:J671)</f>
        <v>0</v>
      </c>
      <c r="S671">
        <v>0</v>
      </c>
      <c r="U671">
        <f>AND(IF(metadata!B671="",FALSE,TRUE),COUNTIF(metadata!B:B, metadata!B671) = 1,NOT(ISERROR(SUMPRODUCT(SEARCH(MID(metadata!B671,ROW(INDIRECT("1:"&amp;LEN(metadata!B671))), 1),"0123456789abcdefghijklmnopqrstuvwxyzABCDEFGHIJKLMNOPQRSTUVWXYZ.")))))</f>
        <v>0</v>
      </c>
      <c r="V671">
        <f>AND(IF(metadata!C671="",FALSE,TRUE),exact(metadata!C671,"UBERON:genitourinary"))</f>
        <v>0</v>
      </c>
      <c r="W671">
        <f>AND(IF(metadata!D671="",FALSE,TRUE),exact(metadata!D671,"UBERON:urine"))</f>
        <v>0</v>
      </c>
      <c r="X671">
        <f>AND(IF(metadata!E671="",FALSE,TRUE),exact(metadata!E671,"UBERON:kidney"))</f>
        <v>0</v>
      </c>
      <c r="Y671">
        <f>AND(IF(metadata!F671="",FALSE,TRUE),exact(metadata!F671,"animal corpus"))</f>
        <v>0</v>
      </c>
      <c r="Z671">
        <f>AND(IF(metadata!G671="",FALSE,TRUE),exact(metadata!G671,"urine"))</f>
        <v>0</v>
      </c>
      <c r="AA671">
        <f>AND(IF(metadata!H671="",FALSE,TRUE),exact(metadata!H671,"urine"))</f>
        <v>0</v>
      </c>
      <c r="AB671">
        <f>AND(IF(metadata!I671="",FALSE,TRUE),exact(metadata!I671,"urine metagenome"))</f>
        <v>0</v>
      </c>
      <c r="AC671">
        <f>AND(IF(metadata!J671="",FALSE,TRUE),exact(metadata!J671,"1346744"))</f>
        <v>0</v>
      </c>
    </row>
    <row r="672" spans="1:29">
      <c r="A672" s="4">
        <f>IF(B672=" "," ",HYPERLINK(CONCATENATE("#metadata!",ADDRESS(INDEX($P$2:$P$1001,MATCH(ROWS($N$2:N672),$N$2:$N$1001,0),0),1)),INDEX($S$2:$S$1001,MATCH(ROWS($N$2:N672),$N$2:$N$1001,0),0)))</f>
        <v>0</v>
      </c>
      <c r="B672" s="3">
        <f>IF(OR(INDEX($O$2:$O$1001,MATCH(ROWS($N$2:N672),$N$2:$N$1001,0),1)&gt;=100000,INDEX($U$1005:$AC$1005,1,MATCH(COLUMNS($U$1006:U1006),$U$1006:$AC$1006,0))&gt;=100000), " ",IF(INDEX($U$2:$AC$1001,MATCH(ROWS($N$2:N672),$N$2:$N$1001,0),MATCH(COLUMNS($U$1006:U1006),$U$1006:$AC$1006,0)), HYPERLINK("#",""), HYPERLINK(CONCATENATE("#metadata!", ADDRESS(INDEX($P$2:$P$1001,MATCH(ROWS($N$2:N672),$N$2:$N$1001,0),0), INDEX($U$1004:$AC$1004,1,MATCH(COLUMNS($U$1006:U1006),$U$1006:$AC$1006,0)))),"Fix")))</f>
        <v>0</v>
      </c>
      <c r="C672" s="3">
        <f>IF(OR(INDEX($O$2:$O$1001,MATCH(ROWS($N$2:N672),$N$2:$N$1001,0),1)&gt;=100000,INDEX($U$1005:$AC$1005,1,MATCH(COLUMNS($U$1006:V1006),$U$1006:$AC$1006,0))&gt;=100000), " ",IF(INDEX($U$2:$AC$1001,MATCH(ROWS($N$2:N672),$N$2:$N$1001,0),MATCH(COLUMNS($U$1006:V1006),$U$1006:$AC$1006,0)), HYPERLINK("#",""), HYPERLINK(CONCATENATE("#metadata!", ADDRESS(INDEX($P$2:$P$1001,MATCH(ROWS($N$2:N672),$N$2:$N$1001,0),0), INDEX($U$1004:$AC$1004,1,MATCH(COLUMNS($U$1006:V1006),$U$1006:$AC$1006,0)))),"Fix")))</f>
        <v>0</v>
      </c>
      <c r="D672" s="3">
        <f>IF(OR(INDEX($O$2:$O$1001,MATCH(ROWS($N$2:N672),$N$2:$N$1001,0),1)&gt;=100000,INDEX($U$1005:$AC$1005,1,MATCH(COLUMNS($U$1006:W1006),$U$1006:$AC$1006,0))&gt;=100000), " ",IF(INDEX($U$2:$AC$1001,MATCH(ROWS($N$2:N672),$N$2:$N$1001,0),MATCH(COLUMNS($U$1006:W1006),$U$1006:$AC$1006,0)), HYPERLINK("#",""), HYPERLINK(CONCATENATE("#metadata!", ADDRESS(INDEX($P$2:$P$1001,MATCH(ROWS($N$2:N672),$N$2:$N$1001,0),0), INDEX($U$1004:$AC$1004,1,MATCH(COLUMNS($U$1006:W1006),$U$1006:$AC$1006,0)))),"Fix")))</f>
        <v>0</v>
      </c>
      <c r="E672" s="3">
        <f>IF(OR(INDEX($O$2:$O$1001,MATCH(ROWS($N$2:N672),$N$2:$N$1001,0),1)&gt;=100000,INDEX($U$1005:$AC$1005,1,MATCH(COLUMNS($U$1006:X1006),$U$1006:$AC$1006,0))&gt;=100000), " ",IF(INDEX($U$2:$AC$1001,MATCH(ROWS($N$2:N672),$N$2:$N$1001,0),MATCH(COLUMNS($U$1006:X1006),$U$1006:$AC$1006,0)), HYPERLINK("#",""), HYPERLINK(CONCATENATE("#metadata!", ADDRESS(INDEX($P$2:$P$1001,MATCH(ROWS($N$2:N672),$N$2:$N$1001,0),0), INDEX($U$1004:$AC$1004,1,MATCH(COLUMNS($U$1006:X1006),$U$1006:$AC$1006,0)))),"Fix")))</f>
        <v>0</v>
      </c>
      <c r="F672" s="3">
        <f>IF(OR(INDEX($O$2:$O$1001,MATCH(ROWS($N$2:N672),$N$2:$N$1001,0),1)&gt;=100000,INDEX($U$1005:$AC$1005,1,MATCH(COLUMNS($U$1006:Y1006),$U$1006:$AC$1006,0))&gt;=100000), " ",IF(INDEX($U$2:$AC$1001,MATCH(ROWS($N$2:N672),$N$2:$N$1001,0),MATCH(COLUMNS($U$1006:Y1006),$U$1006:$AC$1006,0)), HYPERLINK("#",""), HYPERLINK(CONCATENATE("#metadata!", ADDRESS(INDEX($P$2:$P$1001,MATCH(ROWS($N$2:N672),$N$2:$N$1001,0),0), INDEX($U$1004:$AC$1004,1,MATCH(COLUMNS($U$1006:Y1006),$U$1006:$AC$1006,0)))),"Fix")))</f>
        <v>0</v>
      </c>
      <c r="G672" s="3">
        <f>IF(OR(INDEX($O$2:$O$1001,MATCH(ROWS($N$2:N672),$N$2:$N$1001,0),1)&gt;=100000,INDEX($U$1005:$AC$1005,1,MATCH(COLUMNS($U$1006:Z1006),$U$1006:$AC$1006,0))&gt;=100000), " ",IF(INDEX($U$2:$AC$1001,MATCH(ROWS($N$2:N672),$N$2:$N$1001,0),MATCH(COLUMNS($U$1006:Z1006),$U$1006:$AC$1006,0)), HYPERLINK("#",""), HYPERLINK(CONCATENATE("#metadata!", ADDRESS(INDEX($P$2:$P$1001,MATCH(ROWS($N$2:N672),$N$2:$N$1001,0),0), INDEX($U$1004:$AC$1004,1,MATCH(COLUMNS($U$1006:Z1006),$U$1006:$AC$1006,0)))),"Fix")))</f>
        <v>0</v>
      </c>
      <c r="H672" s="3">
        <f>IF(OR(INDEX($O$2:$O$1001,MATCH(ROWS($N$2:N672),$N$2:$N$1001,0),1)&gt;=100000,INDEX($U$1005:$AC$1005,1,MATCH(COLUMNS($U$1006:AA1006),$U$1006:$AC$1006,0))&gt;=100000), " ",IF(INDEX($U$2:$AC$1001,MATCH(ROWS($N$2:N672),$N$2:$N$1001,0),MATCH(COLUMNS($U$1006:AA1006),$U$1006:$AC$1006,0)), HYPERLINK("#",""), HYPERLINK(CONCATENATE("#metadata!", ADDRESS(INDEX($P$2:$P$1001,MATCH(ROWS($N$2:N672),$N$2:$N$1001,0),0), INDEX($U$1004:$AC$1004,1,MATCH(COLUMNS($U$1006:AA1006),$U$1006:$AC$1006,0)))),"Fix")))</f>
        <v>0</v>
      </c>
      <c r="I672" s="3">
        <f>IF(OR(INDEX($O$2:$O$1001,MATCH(ROWS($N$2:N672),$N$2:$N$1001,0),1)&gt;=100000,INDEX($U$1005:$AC$1005,1,MATCH(COLUMNS($U$1006:AB1006),$U$1006:$AC$1006,0))&gt;=100000), " ",IF(INDEX($U$2:$AC$1001,MATCH(ROWS($N$2:N672),$N$2:$N$1001,0),MATCH(COLUMNS($U$1006:AB1006),$U$1006:$AC$1006,0)), HYPERLINK("#",""), HYPERLINK(CONCATENATE("#metadata!", ADDRESS(INDEX($P$2:$P$1001,MATCH(ROWS($N$2:N672),$N$2:$N$1001,0),0), INDEX($U$1004:$AC$1004,1,MATCH(COLUMNS($U$1006:AB1006),$U$1006:$AC$1006,0)))),"Fix")))</f>
        <v>0</v>
      </c>
      <c r="J672" s="3">
        <f>IF(OR(INDEX($O$2:$O$1001,MATCH(ROWS($N$2:N672),$N$2:$N$1001,0),1)&gt;=100000,INDEX($U$1005:$AC$1005,1,MATCH(COLUMNS($U$1006:AC1006),$U$1006:$AC$1006,0))&gt;=100000), " ",IF(INDEX($U$2:$AC$1001,MATCH(ROWS($N$2:N672),$N$2:$N$1001,0),MATCH(COLUMNS($U$1006:AC1006),$U$1006:$AC$1006,0)), HYPERLINK("#",""), HYPERLINK(CONCATENATE("#metadata!", ADDRESS(INDEX($P$2:$P$1001,MATCH(ROWS($N$2:N672),$N$2:$N$1001,0),0), INDEX($U$1004:$AC$1004,1,MATCH(COLUMNS($U$1006:AC1006),$U$1006:$AC$1006,0)))),"Fix")))</f>
        <v>0</v>
      </c>
      <c r="N672">
        <v>0</v>
      </c>
      <c r="O672">
        <v>0</v>
      </c>
      <c r="P672">
        <v>0</v>
      </c>
      <c r="Q672">
        <f>IF(R672,TRUE,AND(U672:AC672))</f>
        <v>0</v>
      </c>
      <c r="R672">
        <f>COUNTBLANK(metadata!B672:J672)=COLUMNS(metadata!B672:J672)</f>
        <v>0</v>
      </c>
      <c r="S672">
        <v>0</v>
      </c>
      <c r="U672">
        <f>AND(IF(metadata!B672="",FALSE,TRUE),COUNTIF(metadata!B:B, metadata!B672) = 1,NOT(ISERROR(SUMPRODUCT(SEARCH(MID(metadata!B672,ROW(INDIRECT("1:"&amp;LEN(metadata!B672))), 1),"0123456789abcdefghijklmnopqrstuvwxyzABCDEFGHIJKLMNOPQRSTUVWXYZ.")))))</f>
        <v>0</v>
      </c>
      <c r="V672">
        <f>AND(IF(metadata!C672="",FALSE,TRUE),exact(metadata!C672,"UBERON:genitourinary"))</f>
        <v>0</v>
      </c>
      <c r="W672">
        <f>AND(IF(metadata!D672="",FALSE,TRUE),exact(metadata!D672,"UBERON:urine"))</f>
        <v>0</v>
      </c>
      <c r="X672">
        <f>AND(IF(metadata!E672="",FALSE,TRUE),exact(metadata!E672,"UBERON:kidney"))</f>
        <v>0</v>
      </c>
      <c r="Y672">
        <f>AND(IF(metadata!F672="",FALSE,TRUE),exact(metadata!F672,"animal corpus"))</f>
        <v>0</v>
      </c>
      <c r="Z672">
        <f>AND(IF(metadata!G672="",FALSE,TRUE),exact(metadata!G672,"urine"))</f>
        <v>0</v>
      </c>
      <c r="AA672">
        <f>AND(IF(metadata!H672="",FALSE,TRUE),exact(metadata!H672,"urine"))</f>
        <v>0</v>
      </c>
      <c r="AB672">
        <f>AND(IF(metadata!I672="",FALSE,TRUE),exact(metadata!I672,"urine metagenome"))</f>
        <v>0</v>
      </c>
      <c r="AC672">
        <f>AND(IF(metadata!J672="",FALSE,TRUE),exact(metadata!J672,"1346744"))</f>
        <v>0</v>
      </c>
    </row>
    <row r="673" spans="1:29">
      <c r="A673" s="4">
        <f>IF(B673=" "," ",HYPERLINK(CONCATENATE("#metadata!",ADDRESS(INDEX($P$2:$P$1001,MATCH(ROWS($N$2:N673),$N$2:$N$1001,0),0),1)),INDEX($S$2:$S$1001,MATCH(ROWS($N$2:N673),$N$2:$N$1001,0),0)))</f>
        <v>0</v>
      </c>
      <c r="B673" s="3">
        <f>IF(OR(INDEX($O$2:$O$1001,MATCH(ROWS($N$2:N673),$N$2:$N$1001,0),1)&gt;=100000,INDEX($U$1005:$AC$1005,1,MATCH(COLUMNS($U$1006:U1006),$U$1006:$AC$1006,0))&gt;=100000), " ",IF(INDEX($U$2:$AC$1001,MATCH(ROWS($N$2:N673),$N$2:$N$1001,0),MATCH(COLUMNS($U$1006:U1006),$U$1006:$AC$1006,0)), HYPERLINK("#",""), HYPERLINK(CONCATENATE("#metadata!", ADDRESS(INDEX($P$2:$P$1001,MATCH(ROWS($N$2:N673),$N$2:$N$1001,0),0), INDEX($U$1004:$AC$1004,1,MATCH(COLUMNS($U$1006:U1006),$U$1006:$AC$1006,0)))),"Fix")))</f>
        <v>0</v>
      </c>
      <c r="C673" s="3">
        <f>IF(OR(INDEX($O$2:$O$1001,MATCH(ROWS($N$2:N673),$N$2:$N$1001,0),1)&gt;=100000,INDEX($U$1005:$AC$1005,1,MATCH(COLUMNS($U$1006:V1006),$U$1006:$AC$1006,0))&gt;=100000), " ",IF(INDEX($U$2:$AC$1001,MATCH(ROWS($N$2:N673),$N$2:$N$1001,0),MATCH(COLUMNS($U$1006:V1006),$U$1006:$AC$1006,0)), HYPERLINK("#",""), HYPERLINK(CONCATENATE("#metadata!", ADDRESS(INDEX($P$2:$P$1001,MATCH(ROWS($N$2:N673),$N$2:$N$1001,0),0), INDEX($U$1004:$AC$1004,1,MATCH(COLUMNS($U$1006:V1006),$U$1006:$AC$1006,0)))),"Fix")))</f>
        <v>0</v>
      </c>
      <c r="D673" s="3">
        <f>IF(OR(INDEX($O$2:$O$1001,MATCH(ROWS($N$2:N673),$N$2:$N$1001,0),1)&gt;=100000,INDEX($U$1005:$AC$1005,1,MATCH(COLUMNS($U$1006:W1006),$U$1006:$AC$1006,0))&gt;=100000), " ",IF(INDEX($U$2:$AC$1001,MATCH(ROWS($N$2:N673),$N$2:$N$1001,0),MATCH(COLUMNS($U$1006:W1006),$U$1006:$AC$1006,0)), HYPERLINK("#",""), HYPERLINK(CONCATENATE("#metadata!", ADDRESS(INDEX($P$2:$P$1001,MATCH(ROWS($N$2:N673),$N$2:$N$1001,0),0), INDEX($U$1004:$AC$1004,1,MATCH(COLUMNS($U$1006:W1006),$U$1006:$AC$1006,0)))),"Fix")))</f>
        <v>0</v>
      </c>
      <c r="E673" s="3">
        <f>IF(OR(INDEX($O$2:$O$1001,MATCH(ROWS($N$2:N673),$N$2:$N$1001,0),1)&gt;=100000,INDEX($U$1005:$AC$1005,1,MATCH(COLUMNS($U$1006:X1006),$U$1006:$AC$1006,0))&gt;=100000), " ",IF(INDEX($U$2:$AC$1001,MATCH(ROWS($N$2:N673),$N$2:$N$1001,0),MATCH(COLUMNS($U$1006:X1006),$U$1006:$AC$1006,0)), HYPERLINK("#",""), HYPERLINK(CONCATENATE("#metadata!", ADDRESS(INDEX($P$2:$P$1001,MATCH(ROWS($N$2:N673),$N$2:$N$1001,0),0), INDEX($U$1004:$AC$1004,1,MATCH(COLUMNS($U$1006:X1006),$U$1006:$AC$1006,0)))),"Fix")))</f>
        <v>0</v>
      </c>
      <c r="F673" s="3">
        <f>IF(OR(INDEX($O$2:$O$1001,MATCH(ROWS($N$2:N673),$N$2:$N$1001,0),1)&gt;=100000,INDEX($U$1005:$AC$1005,1,MATCH(COLUMNS($U$1006:Y1006),$U$1006:$AC$1006,0))&gt;=100000), " ",IF(INDEX($U$2:$AC$1001,MATCH(ROWS($N$2:N673),$N$2:$N$1001,0),MATCH(COLUMNS($U$1006:Y1006),$U$1006:$AC$1006,0)), HYPERLINK("#",""), HYPERLINK(CONCATENATE("#metadata!", ADDRESS(INDEX($P$2:$P$1001,MATCH(ROWS($N$2:N673),$N$2:$N$1001,0),0), INDEX($U$1004:$AC$1004,1,MATCH(COLUMNS($U$1006:Y1006),$U$1006:$AC$1006,0)))),"Fix")))</f>
        <v>0</v>
      </c>
      <c r="G673" s="3">
        <f>IF(OR(INDEX($O$2:$O$1001,MATCH(ROWS($N$2:N673),$N$2:$N$1001,0),1)&gt;=100000,INDEX($U$1005:$AC$1005,1,MATCH(COLUMNS($U$1006:Z1006),$U$1006:$AC$1006,0))&gt;=100000), " ",IF(INDEX($U$2:$AC$1001,MATCH(ROWS($N$2:N673),$N$2:$N$1001,0),MATCH(COLUMNS($U$1006:Z1006),$U$1006:$AC$1006,0)), HYPERLINK("#",""), HYPERLINK(CONCATENATE("#metadata!", ADDRESS(INDEX($P$2:$P$1001,MATCH(ROWS($N$2:N673),$N$2:$N$1001,0),0), INDEX($U$1004:$AC$1004,1,MATCH(COLUMNS($U$1006:Z1006),$U$1006:$AC$1006,0)))),"Fix")))</f>
        <v>0</v>
      </c>
      <c r="H673" s="3">
        <f>IF(OR(INDEX($O$2:$O$1001,MATCH(ROWS($N$2:N673),$N$2:$N$1001,0),1)&gt;=100000,INDEX($U$1005:$AC$1005,1,MATCH(COLUMNS($U$1006:AA1006),$U$1006:$AC$1006,0))&gt;=100000), " ",IF(INDEX($U$2:$AC$1001,MATCH(ROWS($N$2:N673),$N$2:$N$1001,0),MATCH(COLUMNS($U$1006:AA1006),$U$1006:$AC$1006,0)), HYPERLINK("#",""), HYPERLINK(CONCATENATE("#metadata!", ADDRESS(INDEX($P$2:$P$1001,MATCH(ROWS($N$2:N673),$N$2:$N$1001,0),0), INDEX($U$1004:$AC$1004,1,MATCH(COLUMNS($U$1006:AA1006),$U$1006:$AC$1006,0)))),"Fix")))</f>
        <v>0</v>
      </c>
      <c r="I673" s="3">
        <f>IF(OR(INDEX($O$2:$O$1001,MATCH(ROWS($N$2:N673),$N$2:$N$1001,0),1)&gt;=100000,INDEX($U$1005:$AC$1005,1,MATCH(COLUMNS($U$1006:AB1006),$U$1006:$AC$1006,0))&gt;=100000), " ",IF(INDEX($U$2:$AC$1001,MATCH(ROWS($N$2:N673),$N$2:$N$1001,0),MATCH(COLUMNS($U$1006:AB1006),$U$1006:$AC$1006,0)), HYPERLINK("#",""), HYPERLINK(CONCATENATE("#metadata!", ADDRESS(INDEX($P$2:$P$1001,MATCH(ROWS($N$2:N673),$N$2:$N$1001,0),0), INDEX($U$1004:$AC$1004,1,MATCH(COLUMNS($U$1006:AB1006),$U$1006:$AC$1006,0)))),"Fix")))</f>
        <v>0</v>
      </c>
      <c r="J673" s="3">
        <f>IF(OR(INDEX($O$2:$O$1001,MATCH(ROWS($N$2:N673),$N$2:$N$1001,0),1)&gt;=100000,INDEX($U$1005:$AC$1005,1,MATCH(COLUMNS($U$1006:AC1006),$U$1006:$AC$1006,0))&gt;=100000), " ",IF(INDEX($U$2:$AC$1001,MATCH(ROWS($N$2:N673),$N$2:$N$1001,0),MATCH(COLUMNS($U$1006:AC1006),$U$1006:$AC$1006,0)), HYPERLINK("#",""), HYPERLINK(CONCATENATE("#metadata!", ADDRESS(INDEX($P$2:$P$1001,MATCH(ROWS($N$2:N673),$N$2:$N$1001,0),0), INDEX($U$1004:$AC$1004,1,MATCH(COLUMNS($U$1006:AC1006),$U$1006:$AC$1006,0)))),"Fix")))</f>
        <v>0</v>
      </c>
      <c r="N673">
        <v>0</v>
      </c>
      <c r="O673">
        <v>0</v>
      </c>
      <c r="P673">
        <v>0</v>
      </c>
      <c r="Q673">
        <f>IF(R673,TRUE,AND(U673:AC673))</f>
        <v>0</v>
      </c>
      <c r="R673">
        <f>COUNTBLANK(metadata!B673:J673)=COLUMNS(metadata!B673:J673)</f>
        <v>0</v>
      </c>
      <c r="S673">
        <v>0</v>
      </c>
      <c r="U673">
        <f>AND(IF(metadata!B673="",FALSE,TRUE),COUNTIF(metadata!B:B, metadata!B673) = 1,NOT(ISERROR(SUMPRODUCT(SEARCH(MID(metadata!B673,ROW(INDIRECT("1:"&amp;LEN(metadata!B673))), 1),"0123456789abcdefghijklmnopqrstuvwxyzABCDEFGHIJKLMNOPQRSTUVWXYZ.")))))</f>
        <v>0</v>
      </c>
      <c r="V673">
        <f>AND(IF(metadata!C673="",FALSE,TRUE),exact(metadata!C673,"UBERON:genitourinary"))</f>
        <v>0</v>
      </c>
      <c r="W673">
        <f>AND(IF(metadata!D673="",FALSE,TRUE),exact(metadata!D673,"UBERON:urine"))</f>
        <v>0</v>
      </c>
      <c r="X673">
        <f>AND(IF(metadata!E673="",FALSE,TRUE),exact(metadata!E673,"UBERON:kidney"))</f>
        <v>0</v>
      </c>
      <c r="Y673">
        <f>AND(IF(metadata!F673="",FALSE,TRUE),exact(metadata!F673,"animal corpus"))</f>
        <v>0</v>
      </c>
      <c r="Z673">
        <f>AND(IF(metadata!G673="",FALSE,TRUE),exact(metadata!G673,"urine"))</f>
        <v>0</v>
      </c>
      <c r="AA673">
        <f>AND(IF(metadata!H673="",FALSE,TRUE),exact(metadata!H673,"urine"))</f>
        <v>0</v>
      </c>
      <c r="AB673">
        <f>AND(IF(metadata!I673="",FALSE,TRUE),exact(metadata!I673,"urine metagenome"))</f>
        <v>0</v>
      </c>
      <c r="AC673">
        <f>AND(IF(metadata!J673="",FALSE,TRUE),exact(metadata!J673,"1346744"))</f>
        <v>0</v>
      </c>
    </row>
    <row r="674" spans="1:29">
      <c r="A674" s="4">
        <f>IF(B674=" "," ",HYPERLINK(CONCATENATE("#metadata!",ADDRESS(INDEX($P$2:$P$1001,MATCH(ROWS($N$2:N674),$N$2:$N$1001,0),0),1)),INDEX($S$2:$S$1001,MATCH(ROWS($N$2:N674),$N$2:$N$1001,0),0)))</f>
        <v>0</v>
      </c>
      <c r="B674" s="3">
        <f>IF(OR(INDEX($O$2:$O$1001,MATCH(ROWS($N$2:N674),$N$2:$N$1001,0),1)&gt;=100000,INDEX($U$1005:$AC$1005,1,MATCH(COLUMNS($U$1006:U1006),$U$1006:$AC$1006,0))&gt;=100000), " ",IF(INDEX($U$2:$AC$1001,MATCH(ROWS($N$2:N674),$N$2:$N$1001,0),MATCH(COLUMNS($U$1006:U1006),$U$1006:$AC$1006,0)), HYPERLINK("#",""), HYPERLINK(CONCATENATE("#metadata!", ADDRESS(INDEX($P$2:$P$1001,MATCH(ROWS($N$2:N674),$N$2:$N$1001,0),0), INDEX($U$1004:$AC$1004,1,MATCH(COLUMNS($U$1006:U1006),$U$1006:$AC$1006,0)))),"Fix")))</f>
        <v>0</v>
      </c>
      <c r="C674" s="3">
        <f>IF(OR(INDEX($O$2:$O$1001,MATCH(ROWS($N$2:N674),$N$2:$N$1001,0),1)&gt;=100000,INDEX($U$1005:$AC$1005,1,MATCH(COLUMNS($U$1006:V1006),$U$1006:$AC$1006,0))&gt;=100000), " ",IF(INDEX($U$2:$AC$1001,MATCH(ROWS($N$2:N674),$N$2:$N$1001,0),MATCH(COLUMNS($U$1006:V1006),$U$1006:$AC$1006,0)), HYPERLINK("#",""), HYPERLINK(CONCATENATE("#metadata!", ADDRESS(INDEX($P$2:$P$1001,MATCH(ROWS($N$2:N674),$N$2:$N$1001,0),0), INDEX($U$1004:$AC$1004,1,MATCH(COLUMNS($U$1006:V1006),$U$1006:$AC$1006,0)))),"Fix")))</f>
        <v>0</v>
      </c>
      <c r="D674" s="3">
        <f>IF(OR(INDEX($O$2:$O$1001,MATCH(ROWS($N$2:N674),$N$2:$N$1001,0),1)&gt;=100000,INDEX($U$1005:$AC$1005,1,MATCH(COLUMNS($U$1006:W1006),$U$1006:$AC$1006,0))&gt;=100000), " ",IF(INDEX($U$2:$AC$1001,MATCH(ROWS($N$2:N674),$N$2:$N$1001,0),MATCH(COLUMNS($U$1006:W1006),$U$1006:$AC$1006,0)), HYPERLINK("#",""), HYPERLINK(CONCATENATE("#metadata!", ADDRESS(INDEX($P$2:$P$1001,MATCH(ROWS($N$2:N674),$N$2:$N$1001,0),0), INDEX($U$1004:$AC$1004,1,MATCH(COLUMNS($U$1006:W1006),$U$1006:$AC$1006,0)))),"Fix")))</f>
        <v>0</v>
      </c>
      <c r="E674" s="3">
        <f>IF(OR(INDEX($O$2:$O$1001,MATCH(ROWS($N$2:N674),$N$2:$N$1001,0),1)&gt;=100000,INDEX($U$1005:$AC$1005,1,MATCH(COLUMNS($U$1006:X1006),$U$1006:$AC$1006,0))&gt;=100000), " ",IF(INDEX($U$2:$AC$1001,MATCH(ROWS($N$2:N674),$N$2:$N$1001,0),MATCH(COLUMNS($U$1006:X1006),$U$1006:$AC$1006,0)), HYPERLINK("#",""), HYPERLINK(CONCATENATE("#metadata!", ADDRESS(INDEX($P$2:$P$1001,MATCH(ROWS($N$2:N674),$N$2:$N$1001,0),0), INDEX($U$1004:$AC$1004,1,MATCH(COLUMNS($U$1006:X1006),$U$1006:$AC$1006,0)))),"Fix")))</f>
        <v>0</v>
      </c>
      <c r="F674" s="3">
        <f>IF(OR(INDEX($O$2:$O$1001,MATCH(ROWS($N$2:N674),$N$2:$N$1001,0),1)&gt;=100000,INDEX($U$1005:$AC$1005,1,MATCH(COLUMNS($U$1006:Y1006),$U$1006:$AC$1006,0))&gt;=100000), " ",IF(INDEX($U$2:$AC$1001,MATCH(ROWS($N$2:N674),$N$2:$N$1001,0),MATCH(COLUMNS($U$1006:Y1006),$U$1006:$AC$1006,0)), HYPERLINK("#",""), HYPERLINK(CONCATENATE("#metadata!", ADDRESS(INDEX($P$2:$P$1001,MATCH(ROWS($N$2:N674),$N$2:$N$1001,0),0), INDEX($U$1004:$AC$1004,1,MATCH(COLUMNS($U$1006:Y1006),$U$1006:$AC$1006,0)))),"Fix")))</f>
        <v>0</v>
      </c>
      <c r="G674" s="3">
        <f>IF(OR(INDEX($O$2:$O$1001,MATCH(ROWS($N$2:N674),$N$2:$N$1001,0),1)&gt;=100000,INDEX($U$1005:$AC$1005,1,MATCH(COLUMNS($U$1006:Z1006),$U$1006:$AC$1006,0))&gt;=100000), " ",IF(INDEX($U$2:$AC$1001,MATCH(ROWS($N$2:N674),$N$2:$N$1001,0),MATCH(COLUMNS($U$1006:Z1006),$U$1006:$AC$1006,0)), HYPERLINK("#",""), HYPERLINK(CONCATENATE("#metadata!", ADDRESS(INDEX($P$2:$P$1001,MATCH(ROWS($N$2:N674),$N$2:$N$1001,0),0), INDEX($U$1004:$AC$1004,1,MATCH(COLUMNS($U$1006:Z1006),$U$1006:$AC$1006,0)))),"Fix")))</f>
        <v>0</v>
      </c>
      <c r="H674" s="3">
        <f>IF(OR(INDEX($O$2:$O$1001,MATCH(ROWS($N$2:N674),$N$2:$N$1001,0),1)&gt;=100000,INDEX($U$1005:$AC$1005,1,MATCH(COLUMNS($U$1006:AA1006),$U$1006:$AC$1006,0))&gt;=100000), " ",IF(INDEX($U$2:$AC$1001,MATCH(ROWS($N$2:N674),$N$2:$N$1001,0),MATCH(COLUMNS($U$1006:AA1006),$U$1006:$AC$1006,0)), HYPERLINK("#",""), HYPERLINK(CONCATENATE("#metadata!", ADDRESS(INDEX($P$2:$P$1001,MATCH(ROWS($N$2:N674),$N$2:$N$1001,0),0), INDEX($U$1004:$AC$1004,1,MATCH(COLUMNS($U$1006:AA1006),$U$1006:$AC$1006,0)))),"Fix")))</f>
        <v>0</v>
      </c>
      <c r="I674" s="3">
        <f>IF(OR(INDEX($O$2:$O$1001,MATCH(ROWS($N$2:N674),$N$2:$N$1001,0),1)&gt;=100000,INDEX($U$1005:$AC$1005,1,MATCH(COLUMNS($U$1006:AB1006),$U$1006:$AC$1006,0))&gt;=100000), " ",IF(INDEX($U$2:$AC$1001,MATCH(ROWS($N$2:N674),$N$2:$N$1001,0),MATCH(COLUMNS($U$1006:AB1006),$U$1006:$AC$1006,0)), HYPERLINK("#",""), HYPERLINK(CONCATENATE("#metadata!", ADDRESS(INDEX($P$2:$P$1001,MATCH(ROWS($N$2:N674),$N$2:$N$1001,0),0), INDEX($U$1004:$AC$1004,1,MATCH(COLUMNS($U$1006:AB1006),$U$1006:$AC$1006,0)))),"Fix")))</f>
        <v>0</v>
      </c>
      <c r="J674" s="3">
        <f>IF(OR(INDEX($O$2:$O$1001,MATCH(ROWS($N$2:N674),$N$2:$N$1001,0),1)&gt;=100000,INDEX($U$1005:$AC$1005,1,MATCH(COLUMNS($U$1006:AC1006),$U$1006:$AC$1006,0))&gt;=100000), " ",IF(INDEX($U$2:$AC$1001,MATCH(ROWS($N$2:N674),$N$2:$N$1001,0),MATCH(COLUMNS($U$1006:AC1006),$U$1006:$AC$1006,0)), HYPERLINK("#",""), HYPERLINK(CONCATENATE("#metadata!", ADDRESS(INDEX($P$2:$P$1001,MATCH(ROWS($N$2:N674),$N$2:$N$1001,0),0), INDEX($U$1004:$AC$1004,1,MATCH(COLUMNS($U$1006:AC1006),$U$1006:$AC$1006,0)))),"Fix")))</f>
        <v>0</v>
      </c>
      <c r="N674">
        <v>0</v>
      </c>
      <c r="O674">
        <v>0</v>
      </c>
      <c r="P674">
        <v>0</v>
      </c>
      <c r="Q674">
        <f>IF(R674,TRUE,AND(U674:AC674))</f>
        <v>0</v>
      </c>
      <c r="R674">
        <f>COUNTBLANK(metadata!B674:J674)=COLUMNS(metadata!B674:J674)</f>
        <v>0</v>
      </c>
      <c r="S674">
        <v>0</v>
      </c>
      <c r="U674">
        <f>AND(IF(metadata!B674="",FALSE,TRUE),COUNTIF(metadata!B:B, metadata!B674) = 1,NOT(ISERROR(SUMPRODUCT(SEARCH(MID(metadata!B674,ROW(INDIRECT("1:"&amp;LEN(metadata!B674))), 1),"0123456789abcdefghijklmnopqrstuvwxyzABCDEFGHIJKLMNOPQRSTUVWXYZ.")))))</f>
        <v>0</v>
      </c>
      <c r="V674">
        <f>AND(IF(metadata!C674="",FALSE,TRUE),exact(metadata!C674,"UBERON:genitourinary"))</f>
        <v>0</v>
      </c>
      <c r="W674">
        <f>AND(IF(metadata!D674="",FALSE,TRUE),exact(metadata!D674,"UBERON:urine"))</f>
        <v>0</v>
      </c>
      <c r="X674">
        <f>AND(IF(metadata!E674="",FALSE,TRUE),exact(metadata!E674,"UBERON:kidney"))</f>
        <v>0</v>
      </c>
      <c r="Y674">
        <f>AND(IF(metadata!F674="",FALSE,TRUE),exact(metadata!F674,"animal corpus"))</f>
        <v>0</v>
      </c>
      <c r="Z674">
        <f>AND(IF(metadata!G674="",FALSE,TRUE),exact(metadata!G674,"urine"))</f>
        <v>0</v>
      </c>
      <c r="AA674">
        <f>AND(IF(metadata!H674="",FALSE,TRUE),exact(metadata!H674,"urine"))</f>
        <v>0</v>
      </c>
      <c r="AB674">
        <f>AND(IF(metadata!I674="",FALSE,TRUE),exact(metadata!I674,"urine metagenome"))</f>
        <v>0</v>
      </c>
      <c r="AC674">
        <f>AND(IF(metadata!J674="",FALSE,TRUE),exact(metadata!J674,"1346744"))</f>
        <v>0</v>
      </c>
    </row>
    <row r="675" spans="1:29">
      <c r="A675" s="4">
        <f>IF(B675=" "," ",HYPERLINK(CONCATENATE("#metadata!",ADDRESS(INDEX($P$2:$P$1001,MATCH(ROWS($N$2:N675),$N$2:$N$1001,0),0),1)),INDEX($S$2:$S$1001,MATCH(ROWS($N$2:N675),$N$2:$N$1001,0),0)))</f>
        <v>0</v>
      </c>
      <c r="B675" s="3">
        <f>IF(OR(INDEX($O$2:$O$1001,MATCH(ROWS($N$2:N675),$N$2:$N$1001,0),1)&gt;=100000,INDEX($U$1005:$AC$1005,1,MATCH(COLUMNS($U$1006:U1006),$U$1006:$AC$1006,0))&gt;=100000), " ",IF(INDEX($U$2:$AC$1001,MATCH(ROWS($N$2:N675),$N$2:$N$1001,0),MATCH(COLUMNS($U$1006:U1006),$U$1006:$AC$1006,0)), HYPERLINK("#",""), HYPERLINK(CONCATENATE("#metadata!", ADDRESS(INDEX($P$2:$P$1001,MATCH(ROWS($N$2:N675),$N$2:$N$1001,0),0), INDEX($U$1004:$AC$1004,1,MATCH(COLUMNS($U$1006:U1006),$U$1006:$AC$1006,0)))),"Fix")))</f>
        <v>0</v>
      </c>
      <c r="C675" s="3">
        <f>IF(OR(INDEX($O$2:$O$1001,MATCH(ROWS($N$2:N675),$N$2:$N$1001,0),1)&gt;=100000,INDEX($U$1005:$AC$1005,1,MATCH(COLUMNS($U$1006:V1006),$U$1006:$AC$1006,0))&gt;=100000), " ",IF(INDEX($U$2:$AC$1001,MATCH(ROWS($N$2:N675),$N$2:$N$1001,0),MATCH(COLUMNS($U$1006:V1006),$U$1006:$AC$1006,0)), HYPERLINK("#",""), HYPERLINK(CONCATENATE("#metadata!", ADDRESS(INDEX($P$2:$P$1001,MATCH(ROWS($N$2:N675),$N$2:$N$1001,0),0), INDEX($U$1004:$AC$1004,1,MATCH(COLUMNS($U$1006:V1006),$U$1006:$AC$1006,0)))),"Fix")))</f>
        <v>0</v>
      </c>
      <c r="D675" s="3">
        <f>IF(OR(INDEX($O$2:$O$1001,MATCH(ROWS($N$2:N675),$N$2:$N$1001,0),1)&gt;=100000,INDEX($U$1005:$AC$1005,1,MATCH(COLUMNS($U$1006:W1006),$U$1006:$AC$1006,0))&gt;=100000), " ",IF(INDEX($U$2:$AC$1001,MATCH(ROWS($N$2:N675),$N$2:$N$1001,0),MATCH(COLUMNS($U$1006:W1006),$U$1006:$AC$1006,0)), HYPERLINK("#",""), HYPERLINK(CONCATENATE("#metadata!", ADDRESS(INDEX($P$2:$P$1001,MATCH(ROWS($N$2:N675),$N$2:$N$1001,0),0), INDEX($U$1004:$AC$1004,1,MATCH(COLUMNS($U$1006:W1006),$U$1006:$AC$1006,0)))),"Fix")))</f>
        <v>0</v>
      </c>
      <c r="E675" s="3">
        <f>IF(OR(INDEX($O$2:$O$1001,MATCH(ROWS($N$2:N675),$N$2:$N$1001,0),1)&gt;=100000,INDEX($U$1005:$AC$1005,1,MATCH(COLUMNS($U$1006:X1006),$U$1006:$AC$1006,0))&gt;=100000), " ",IF(INDEX($U$2:$AC$1001,MATCH(ROWS($N$2:N675),$N$2:$N$1001,0),MATCH(COLUMNS($U$1006:X1006),$U$1006:$AC$1006,0)), HYPERLINK("#",""), HYPERLINK(CONCATENATE("#metadata!", ADDRESS(INDEX($P$2:$P$1001,MATCH(ROWS($N$2:N675),$N$2:$N$1001,0),0), INDEX($U$1004:$AC$1004,1,MATCH(COLUMNS($U$1006:X1006),$U$1006:$AC$1006,0)))),"Fix")))</f>
        <v>0</v>
      </c>
      <c r="F675" s="3">
        <f>IF(OR(INDEX($O$2:$O$1001,MATCH(ROWS($N$2:N675),$N$2:$N$1001,0),1)&gt;=100000,INDEX($U$1005:$AC$1005,1,MATCH(COLUMNS($U$1006:Y1006),$U$1006:$AC$1006,0))&gt;=100000), " ",IF(INDEX($U$2:$AC$1001,MATCH(ROWS($N$2:N675),$N$2:$N$1001,0),MATCH(COLUMNS($U$1006:Y1006),$U$1006:$AC$1006,0)), HYPERLINK("#",""), HYPERLINK(CONCATENATE("#metadata!", ADDRESS(INDEX($P$2:$P$1001,MATCH(ROWS($N$2:N675),$N$2:$N$1001,0),0), INDEX($U$1004:$AC$1004,1,MATCH(COLUMNS($U$1006:Y1006),$U$1006:$AC$1006,0)))),"Fix")))</f>
        <v>0</v>
      </c>
      <c r="G675" s="3">
        <f>IF(OR(INDEX($O$2:$O$1001,MATCH(ROWS($N$2:N675),$N$2:$N$1001,0),1)&gt;=100000,INDEX($U$1005:$AC$1005,1,MATCH(COLUMNS($U$1006:Z1006),$U$1006:$AC$1006,0))&gt;=100000), " ",IF(INDEX($U$2:$AC$1001,MATCH(ROWS($N$2:N675),$N$2:$N$1001,0),MATCH(COLUMNS($U$1006:Z1006),$U$1006:$AC$1006,0)), HYPERLINK("#",""), HYPERLINK(CONCATENATE("#metadata!", ADDRESS(INDEX($P$2:$P$1001,MATCH(ROWS($N$2:N675),$N$2:$N$1001,0),0), INDEX($U$1004:$AC$1004,1,MATCH(COLUMNS($U$1006:Z1006),$U$1006:$AC$1006,0)))),"Fix")))</f>
        <v>0</v>
      </c>
      <c r="H675" s="3">
        <f>IF(OR(INDEX($O$2:$O$1001,MATCH(ROWS($N$2:N675),$N$2:$N$1001,0),1)&gt;=100000,INDEX($U$1005:$AC$1005,1,MATCH(COLUMNS($U$1006:AA1006),$U$1006:$AC$1006,0))&gt;=100000), " ",IF(INDEX($U$2:$AC$1001,MATCH(ROWS($N$2:N675),$N$2:$N$1001,0),MATCH(COLUMNS($U$1006:AA1006),$U$1006:$AC$1006,0)), HYPERLINK("#",""), HYPERLINK(CONCATENATE("#metadata!", ADDRESS(INDEX($P$2:$P$1001,MATCH(ROWS($N$2:N675),$N$2:$N$1001,0),0), INDEX($U$1004:$AC$1004,1,MATCH(COLUMNS($U$1006:AA1006),$U$1006:$AC$1006,0)))),"Fix")))</f>
        <v>0</v>
      </c>
      <c r="I675" s="3">
        <f>IF(OR(INDEX($O$2:$O$1001,MATCH(ROWS($N$2:N675),$N$2:$N$1001,0),1)&gt;=100000,INDEX($U$1005:$AC$1005,1,MATCH(COLUMNS($U$1006:AB1006),$U$1006:$AC$1006,0))&gt;=100000), " ",IF(INDEX($U$2:$AC$1001,MATCH(ROWS($N$2:N675),$N$2:$N$1001,0),MATCH(COLUMNS($U$1006:AB1006),$U$1006:$AC$1006,0)), HYPERLINK("#",""), HYPERLINK(CONCATENATE("#metadata!", ADDRESS(INDEX($P$2:$P$1001,MATCH(ROWS($N$2:N675),$N$2:$N$1001,0),0), INDEX($U$1004:$AC$1004,1,MATCH(COLUMNS($U$1006:AB1006),$U$1006:$AC$1006,0)))),"Fix")))</f>
        <v>0</v>
      </c>
      <c r="J675" s="3">
        <f>IF(OR(INDEX($O$2:$O$1001,MATCH(ROWS($N$2:N675),$N$2:$N$1001,0),1)&gt;=100000,INDEX($U$1005:$AC$1005,1,MATCH(COLUMNS($U$1006:AC1006),$U$1006:$AC$1006,0))&gt;=100000), " ",IF(INDEX($U$2:$AC$1001,MATCH(ROWS($N$2:N675),$N$2:$N$1001,0),MATCH(COLUMNS($U$1006:AC1006),$U$1006:$AC$1006,0)), HYPERLINK("#",""), HYPERLINK(CONCATENATE("#metadata!", ADDRESS(INDEX($P$2:$P$1001,MATCH(ROWS($N$2:N675),$N$2:$N$1001,0),0), INDEX($U$1004:$AC$1004,1,MATCH(COLUMNS($U$1006:AC1006),$U$1006:$AC$1006,0)))),"Fix")))</f>
        <v>0</v>
      </c>
      <c r="N675">
        <v>0</v>
      </c>
      <c r="O675">
        <v>0</v>
      </c>
      <c r="P675">
        <v>0</v>
      </c>
      <c r="Q675">
        <f>IF(R675,TRUE,AND(U675:AC675))</f>
        <v>0</v>
      </c>
      <c r="R675">
        <f>COUNTBLANK(metadata!B675:J675)=COLUMNS(metadata!B675:J675)</f>
        <v>0</v>
      </c>
      <c r="S675">
        <v>0</v>
      </c>
      <c r="U675">
        <f>AND(IF(metadata!B675="",FALSE,TRUE),COUNTIF(metadata!B:B, metadata!B675) = 1,NOT(ISERROR(SUMPRODUCT(SEARCH(MID(metadata!B675,ROW(INDIRECT("1:"&amp;LEN(metadata!B675))), 1),"0123456789abcdefghijklmnopqrstuvwxyzABCDEFGHIJKLMNOPQRSTUVWXYZ.")))))</f>
        <v>0</v>
      </c>
      <c r="V675">
        <f>AND(IF(metadata!C675="",FALSE,TRUE),exact(metadata!C675,"UBERON:genitourinary"))</f>
        <v>0</v>
      </c>
      <c r="W675">
        <f>AND(IF(metadata!D675="",FALSE,TRUE),exact(metadata!D675,"UBERON:urine"))</f>
        <v>0</v>
      </c>
      <c r="X675">
        <f>AND(IF(metadata!E675="",FALSE,TRUE),exact(metadata!E675,"UBERON:kidney"))</f>
        <v>0</v>
      </c>
      <c r="Y675">
        <f>AND(IF(metadata!F675="",FALSE,TRUE),exact(metadata!F675,"animal corpus"))</f>
        <v>0</v>
      </c>
      <c r="Z675">
        <f>AND(IF(metadata!G675="",FALSE,TRUE),exact(metadata!G675,"urine"))</f>
        <v>0</v>
      </c>
      <c r="AA675">
        <f>AND(IF(metadata!H675="",FALSE,TRUE),exact(metadata!H675,"urine"))</f>
        <v>0</v>
      </c>
      <c r="AB675">
        <f>AND(IF(metadata!I675="",FALSE,TRUE),exact(metadata!I675,"urine metagenome"))</f>
        <v>0</v>
      </c>
      <c r="AC675">
        <f>AND(IF(metadata!J675="",FALSE,TRUE),exact(metadata!J675,"1346744"))</f>
        <v>0</v>
      </c>
    </row>
    <row r="676" spans="1:29">
      <c r="A676" s="4">
        <f>IF(B676=" "," ",HYPERLINK(CONCATENATE("#metadata!",ADDRESS(INDEX($P$2:$P$1001,MATCH(ROWS($N$2:N676),$N$2:$N$1001,0),0),1)),INDEX($S$2:$S$1001,MATCH(ROWS($N$2:N676),$N$2:$N$1001,0),0)))</f>
        <v>0</v>
      </c>
      <c r="B676" s="3">
        <f>IF(OR(INDEX($O$2:$O$1001,MATCH(ROWS($N$2:N676),$N$2:$N$1001,0),1)&gt;=100000,INDEX($U$1005:$AC$1005,1,MATCH(COLUMNS($U$1006:U1006),$U$1006:$AC$1006,0))&gt;=100000), " ",IF(INDEX($U$2:$AC$1001,MATCH(ROWS($N$2:N676),$N$2:$N$1001,0),MATCH(COLUMNS($U$1006:U1006),$U$1006:$AC$1006,0)), HYPERLINK("#",""), HYPERLINK(CONCATENATE("#metadata!", ADDRESS(INDEX($P$2:$P$1001,MATCH(ROWS($N$2:N676),$N$2:$N$1001,0),0), INDEX($U$1004:$AC$1004,1,MATCH(COLUMNS($U$1006:U1006),$U$1006:$AC$1006,0)))),"Fix")))</f>
        <v>0</v>
      </c>
      <c r="C676" s="3">
        <f>IF(OR(INDEX($O$2:$O$1001,MATCH(ROWS($N$2:N676),$N$2:$N$1001,0),1)&gt;=100000,INDEX($U$1005:$AC$1005,1,MATCH(COLUMNS($U$1006:V1006),$U$1006:$AC$1006,0))&gt;=100000), " ",IF(INDEX($U$2:$AC$1001,MATCH(ROWS($N$2:N676),$N$2:$N$1001,0),MATCH(COLUMNS($U$1006:V1006),$U$1006:$AC$1006,0)), HYPERLINK("#",""), HYPERLINK(CONCATENATE("#metadata!", ADDRESS(INDEX($P$2:$P$1001,MATCH(ROWS($N$2:N676),$N$2:$N$1001,0),0), INDEX($U$1004:$AC$1004,1,MATCH(COLUMNS($U$1006:V1006),$U$1006:$AC$1006,0)))),"Fix")))</f>
        <v>0</v>
      </c>
      <c r="D676" s="3">
        <f>IF(OR(INDEX($O$2:$O$1001,MATCH(ROWS($N$2:N676),$N$2:$N$1001,0),1)&gt;=100000,INDEX($U$1005:$AC$1005,1,MATCH(COLUMNS($U$1006:W1006),$U$1006:$AC$1006,0))&gt;=100000), " ",IF(INDEX($U$2:$AC$1001,MATCH(ROWS($N$2:N676),$N$2:$N$1001,0),MATCH(COLUMNS($U$1006:W1006),$U$1006:$AC$1006,0)), HYPERLINK("#",""), HYPERLINK(CONCATENATE("#metadata!", ADDRESS(INDEX($P$2:$P$1001,MATCH(ROWS($N$2:N676),$N$2:$N$1001,0),0), INDEX($U$1004:$AC$1004,1,MATCH(COLUMNS($U$1006:W1006),$U$1006:$AC$1006,0)))),"Fix")))</f>
        <v>0</v>
      </c>
      <c r="E676" s="3">
        <f>IF(OR(INDEX($O$2:$O$1001,MATCH(ROWS($N$2:N676),$N$2:$N$1001,0),1)&gt;=100000,INDEX($U$1005:$AC$1005,1,MATCH(COLUMNS($U$1006:X1006),$U$1006:$AC$1006,0))&gt;=100000), " ",IF(INDEX($U$2:$AC$1001,MATCH(ROWS($N$2:N676),$N$2:$N$1001,0),MATCH(COLUMNS($U$1006:X1006),$U$1006:$AC$1006,0)), HYPERLINK("#",""), HYPERLINK(CONCATENATE("#metadata!", ADDRESS(INDEX($P$2:$P$1001,MATCH(ROWS($N$2:N676),$N$2:$N$1001,0),0), INDEX($U$1004:$AC$1004,1,MATCH(COLUMNS($U$1006:X1006),$U$1006:$AC$1006,0)))),"Fix")))</f>
        <v>0</v>
      </c>
      <c r="F676" s="3">
        <f>IF(OR(INDEX($O$2:$O$1001,MATCH(ROWS($N$2:N676),$N$2:$N$1001,0),1)&gt;=100000,INDEX($U$1005:$AC$1005,1,MATCH(COLUMNS($U$1006:Y1006),$U$1006:$AC$1006,0))&gt;=100000), " ",IF(INDEX($U$2:$AC$1001,MATCH(ROWS($N$2:N676),$N$2:$N$1001,0),MATCH(COLUMNS($U$1006:Y1006),$U$1006:$AC$1006,0)), HYPERLINK("#",""), HYPERLINK(CONCATENATE("#metadata!", ADDRESS(INDEX($P$2:$P$1001,MATCH(ROWS($N$2:N676),$N$2:$N$1001,0),0), INDEX($U$1004:$AC$1004,1,MATCH(COLUMNS($U$1006:Y1006),$U$1006:$AC$1006,0)))),"Fix")))</f>
        <v>0</v>
      </c>
      <c r="G676" s="3">
        <f>IF(OR(INDEX($O$2:$O$1001,MATCH(ROWS($N$2:N676),$N$2:$N$1001,0),1)&gt;=100000,INDEX($U$1005:$AC$1005,1,MATCH(COLUMNS($U$1006:Z1006),$U$1006:$AC$1006,0))&gt;=100000), " ",IF(INDEX($U$2:$AC$1001,MATCH(ROWS($N$2:N676),$N$2:$N$1001,0),MATCH(COLUMNS($U$1006:Z1006),$U$1006:$AC$1006,0)), HYPERLINK("#",""), HYPERLINK(CONCATENATE("#metadata!", ADDRESS(INDEX($P$2:$P$1001,MATCH(ROWS($N$2:N676),$N$2:$N$1001,0),0), INDEX($U$1004:$AC$1004,1,MATCH(COLUMNS($U$1006:Z1006),$U$1006:$AC$1006,0)))),"Fix")))</f>
        <v>0</v>
      </c>
      <c r="H676" s="3">
        <f>IF(OR(INDEX($O$2:$O$1001,MATCH(ROWS($N$2:N676),$N$2:$N$1001,0),1)&gt;=100000,INDEX($U$1005:$AC$1005,1,MATCH(COLUMNS($U$1006:AA1006),$U$1006:$AC$1006,0))&gt;=100000), " ",IF(INDEX($U$2:$AC$1001,MATCH(ROWS($N$2:N676),$N$2:$N$1001,0),MATCH(COLUMNS($U$1006:AA1006),$U$1006:$AC$1006,0)), HYPERLINK("#",""), HYPERLINK(CONCATENATE("#metadata!", ADDRESS(INDEX($P$2:$P$1001,MATCH(ROWS($N$2:N676),$N$2:$N$1001,0),0), INDEX($U$1004:$AC$1004,1,MATCH(COLUMNS($U$1006:AA1006),$U$1006:$AC$1006,0)))),"Fix")))</f>
        <v>0</v>
      </c>
      <c r="I676" s="3">
        <f>IF(OR(INDEX($O$2:$O$1001,MATCH(ROWS($N$2:N676),$N$2:$N$1001,0),1)&gt;=100000,INDEX($U$1005:$AC$1005,1,MATCH(COLUMNS($U$1006:AB1006),$U$1006:$AC$1006,0))&gt;=100000), " ",IF(INDEX($U$2:$AC$1001,MATCH(ROWS($N$2:N676),$N$2:$N$1001,0),MATCH(COLUMNS($U$1006:AB1006),$U$1006:$AC$1006,0)), HYPERLINK("#",""), HYPERLINK(CONCATENATE("#metadata!", ADDRESS(INDEX($P$2:$P$1001,MATCH(ROWS($N$2:N676),$N$2:$N$1001,0),0), INDEX($U$1004:$AC$1004,1,MATCH(COLUMNS($U$1006:AB1006),$U$1006:$AC$1006,0)))),"Fix")))</f>
        <v>0</v>
      </c>
      <c r="J676" s="3">
        <f>IF(OR(INDEX($O$2:$O$1001,MATCH(ROWS($N$2:N676),$N$2:$N$1001,0),1)&gt;=100000,INDEX($U$1005:$AC$1005,1,MATCH(COLUMNS($U$1006:AC1006),$U$1006:$AC$1006,0))&gt;=100000), " ",IF(INDEX($U$2:$AC$1001,MATCH(ROWS($N$2:N676),$N$2:$N$1001,0),MATCH(COLUMNS($U$1006:AC1006),$U$1006:$AC$1006,0)), HYPERLINK("#",""), HYPERLINK(CONCATENATE("#metadata!", ADDRESS(INDEX($P$2:$P$1001,MATCH(ROWS($N$2:N676),$N$2:$N$1001,0),0), INDEX($U$1004:$AC$1004,1,MATCH(COLUMNS($U$1006:AC1006),$U$1006:$AC$1006,0)))),"Fix")))</f>
        <v>0</v>
      </c>
      <c r="N676">
        <v>0</v>
      </c>
      <c r="O676">
        <v>0</v>
      </c>
      <c r="P676">
        <v>0</v>
      </c>
      <c r="Q676">
        <f>IF(R676,TRUE,AND(U676:AC676))</f>
        <v>0</v>
      </c>
      <c r="R676">
        <f>COUNTBLANK(metadata!B676:J676)=COLUMNS(metadata!B676:J676)</f>
        <v>0</v>
      </c>
      <c r="S676">
        <v>0</v>
      </c>
      <c r="U676">
        <f>AND(IF(metadata!B676="",FALSE,TRUE),COUNTIF(metadata!B:B, metadata!B676) = 1,NOT(ISERROR(SUMPRODUCT(SEARCH(MID(metadata!B676,ROW(INDIRECT("1:"&amp;LEN(metadata!B676))), 1),"0123456789abcdefghijklmnopqrstuvwxyzABCDEFGHIJKLMNOPQRSTUVWXYZ.")))))</f>
        <v>0</v>
      </c>
      <c r="V676">
        <f>AND(IF(metadata!C676="",FALSE,TRUE),exact(metadata!C676,"UBERON:genitourinary"))</f>
        <v>0</v>
      </c>
      <c r="W676">
        <f>AND(IF(metadata!D676="",FALSE,TRUE),exact(metadata!D676,"UBERON:urine"))</f>
        <v>0</v>
      </c>
      <c r="X676">
        <f>AND(IF(metadata!E676="",FALSE,TRUE),exact(metadata!E676,"UBERON:kidney"))</f>
        <v>0</v>
      </c>
      <c r="Y676">
        <f>AND(IF(metadata!F676="",FALSE,TRUE),exact(metadata!F676,"animal corpus"))</f>
        <v>0</v>
      </c>
      <c r="Z676">
        <f>AND(IF(metadata!G676="",FALSE,TRUE),exact(metadata!G676,"urine"))</f>
        <v>0</v>
      </c>
      <c r="AA676">
        <f>AND(IF(metadata!H676="",FALSE,TRUE),exact(metadata!H676,"urine"))</f>
        <v>0</v>
      </c>
      <c r="AB676">
        <f>AND(IF(metadata!I676="",FALSE,TRUE),exact(metadata!I676,"urine metagenome"))</f>
        <v>0</v>
      </c>
      <c r="AC676">
        <f>AND(IF(metadata!J676="",FALSE,TRUE),exact(metadata!J676,"1346744"))</f>
        <v>0</v>
      </c>
    </row>
    <row r="677" spans="1:29">
      <c r="A677" s="4">
        <f>IF(B677=" "," ",HYPERLINK(CONCATENATE("#metadata!",ADDRESS(INDEX($P$2:$P$1001,MATCH(ROWS($N$2:N677),$N$2:$N$1001,0),0),1)),INDEX($S$2:$S$1001,MATCH(ROWS($N$2:N677),$N$2:$N$1001,0),0)))</f>
        <v>0</v>
      </c>
      <c r="B677" s="3">
        <f>IF(OR(INDEX($O$2:$O$1001,MATCH(ROWS($N$2:N677),$N$2:$N$1001,0),1)&gt;=100000,INDEX($U$1005:$AC$1005,1,MATCH(COLUMNS($U$1006:U1006),$U$1006:$AC$1006,0))&gt;=100000), " ",IF(INDEX($U$2:$AC$1001,MATCH(ROWS($N$2:N677),$N$2:$N$1001,0),MATCH(COLUMNS($U$1006:U1006),$U$1006:$AC$1006,0)), HYPERLINK("#",""), HYPERLINK(CONCATENATE("#metadata!", ADDRESS(INDEX($P$2:$P$1001,MATCH(ROWS($N$2:N677),$N$2:$N$1001,0),0), INDEX($U$1004:$AC$1004,1,MATCH(COLUMNS($U$1006:U1006),$U$1006:$AC$1006,0)))),"Fix")))</f>
        <v>0</v>
      </c>
      <c r="C677" s="3">
        <f>IF(OR(INDEX($O$2:$O$1001,MATCH(ROWS($N$2:N677),$N$2:$N$1001,0),1)&gt;=100000,INDEX($U$1005:$AC$1005,1,MATCH(COLUMNS($U$1006:V1006),$U$1006:$AC$1006,0))&gt;=100000), " ",IF(INDEX($U$2:$AC$1001,MATCH(ROWS($N$2:N677),$N$2:$N$1001,0),MATCH(COLUMNS($U$1006:V1006),$U$1006:$AC$1006,0)), HYPERLINK("#",""), HYPERLINK(CONCATENATE("#metadata!", ADDRESS(INDEX($P$2:$P$1001,MATCH(ROWS($N$2:N677),$N$2:$N$1001,0),0), INDEX($U$1004:$AC$1004,1,MATCH(COLUMNS($U$1006:V1006),$U$1006:$AC$1006,0)))),"Fix")))</f>
        <v>0</v>
      </c>
      <c r="D677" s="3">
        <f>IF(OR(INDEX($O$2:$O$1001,MATCH(ROWS($N$2:N677),$N$2:$N$1001,0),1)&gt;=100000,INDEX($U$1005:$AC$1005,1,MATCH(COLUMNS($U$1006:W1006),$U$1006:$AC$1006,0))&gt;=100000), " ",IF(INDEX($U$2:$AC$1001,MATCH(ROWS($N$2:N677),$N$2:$N$1001,0),MATCH(COLUMNS($U$1006:W1006),$U$1006:$AC$1006,0)), HYPERLINK("#",""), HYPERLINK(CONCATENATE("#metadata!", ADDRESS(INDEX($P$2:$P$1001,MATCH(ROWS($N$2:N677),$N$2:$N$1001,0),0), INDEX($U$1004:$AC$1004,1,MATCH(COLUMNS($U$1006:W1006),$U$1006:$AC$1006,0)))),"Fix")))</f>
        <v>0</v>
      </c>
      <c r="E677" s="3">
        <f>IF(OR(INDEX($O$2:$O$1001,MATCH(ROWS($N$2:N677),$N$2:$N$1001,0),1)&gt;=100000,INDEX($U$1005:$AC$1005,1,MATCH(COLUMNS($U$1006:X1006),$U$1006:$AC$1006,0))&gt;=100000), " ",IF(INDEX($U$2:$AC$1001,MATCH(ROWS($N$2:N677),$N$2:$N$1001,0),MATCH(COLUMNS($U$1006:X1006),$U$1006:$AC$1006,0)), HYPERLINK("#",""), HYPERLINK(CONCATENATE("#metadata!", ADDRESS(INDEX($P$2:$P$1001,MATCH(ROWS($N$2:N677),$N$2:$N$1001,0),0), INDEX($U$1004:$AC$1004,1,MATCH(COLUMNS($U$1006:X1006),$U$1006:$AC$1006,0)))),"Fix")))</f>
        <v>0</v>
      </c>
      <c r="F677" s="3">
        <f>IF(OR(INDEX($O$2:$O$1001,MATCH(ROWS($N$2:N677),$N$2:$N$1001,0),1)&gt;=100000,INDEX($U$1005:$AC$1005,1,MATCH(COLUMNS($U$1006:Y1006),$U$1006:$AC$1006,0))&gt;=100000), " ",IF(INDEX($U$2:$AC$1001,MATCH(ROWS($N$2:N677),$N$2:$N$1001,0),MATCH(COLUMNS($U$1006:Y1006),$U$1006:$AC$1006,0)), HYPERLINK("#",""), HYPERLINK(CONCATENATE("#metadata!", ADDRESS(INDEX($P$2:$P$1001,MATCH(ROWS($N$2:N677),$N$2:$N$1001,0),0), INDEX($U$1004:$AC$1004,1,MATCH(COLUMNS($U$1006:Y1006),$U$1006:$AC$1006,0)))),"Fix")))</f>
        <v>0</v>
      </c>
      <c r="G677" s="3">
        <f>IF(OR(INDEX($O$2:$O$1001,MATCH(ROWS($N$2:N677),$N$2:$N$1001,0),1)&gt;=100000,INDEX($U$1005:$AC$1005,1,MATCH(COLUMNS($U$1006:Z1006),$U$1006:$AC$1006,0))&gt;=100000), " ",IF(INDEX($U$2:$AC$1001,MATCH(ROWS($N$2:N677),$N$2:$N$1001,0),MATCH(COLUMNS($U$1006:Z1006),$U$1006:$AC$1006,0)), HYPERLINK("#",""), HYPERLINK(CONCATENATE("#metadata!", ADDRESS(INDEX($P$2:$P$1001,MATCH(ROWS($N$2:N677),$N$2:$N$1001,0),0), INDEX($U$1004:$AC$1004,1,MATCH(COLUMNS($U$1006:Z1006),$U$1006:$AC$1006,0)))),"Fix")))</f>
        <v>0</v>
      </c>
      <c r="H677" s="3">
        <f>IF(OR(INDEX($O$2:$O$1001,MATCH(ROWS($N$2:N677),$N$2:$N$1001,0),1)&gt;=100000,INDEX($U$1005:$AC$1005,1,MATCH(COLUMNS($U$1006:AA1006),$U$1006:$AC$1006,0))&gt;=100000), " ",IF(INDEX($U$2:$AC$1001,MATCH(ROWS($N$2:N677),$N$2:$N$1001,0),MATCH(COLUMNS($U$1006:AA1006),$U$1006:$AC$1006,0)), HYPERLINK("#",""), HYPERLINK(CONCATENATE("#metadata!", ADDRESS(INDEX($P$2:$P$1001,MATCH(ROWS($N$2:N677),$N$2:$N$1001,0),0), INDEX($U$1004:$AC$1004,1,MATCH(COLUMNS($U$1006:AA1006),$U$1006:$AC$1006,0)))),"Fix")))</f>
        <v>0</v>
      </c>
      <c r="I677" s="3">
        <f>IF(OR(INDEX($O$2:$O$1001,MATCH(ROWS($N$2:N677),$N$2:$N$1001,0),1)&gt;=100000,INDEX($U$1005:$AC$1005,1,MATCH(COLUMNS($U$1006:AB1006),$U$1006:$AC$1006,0))&gt;=100000), " ",IF(INDEX($U$2:$AC$1001,MATCH(ROWS($N$2:N677),$N$2:$N$1001,0),MATCH(COLUMNS($U$1006:AB1006),$U$1006:$AC$1006,0)), HYPERLINK("#",""), HYPERLINK(CONCATENATE("#metadata!", ADDRESS(INDEX($P$2:$P$1001,MATCH(ROWS($N$2:N677),$N$2:$N$1001,0),0), INDEX($U$1004:$AC$1004,1,MATCH(COLUMNS($U$1006:AB1006),$U$1006:$AC$1006,0)))),"Fix")))</f>
        <v>0</v>
      </c>
      <c r="J677" s="3">
        <f>IF(OR(INDEX($O$2:$O$1001,MATCH(ROWS($N$2:N677),$N$2:$N$1001,0),1)&gt;=100000,INDEX($U$1005:$AC$1005,1,MATCH(COLUMNS($U$1006:AC1006),$U$1006:$AC$1006,0))&gt;=100000), " ",IF(INDEX($U$2:$AC$1001,MATCH(ROWS($N$2:N677),$N$2:$N$1001,0),MATCH(COLUMNS($U$1006:AC1006),$U$1006:$AC$1006,0)), HYPERLINK("#",""), HYPERLINK(CONCATENATE("#metadata!", ADDRESS(INDEX($P$2:$P$1001,MATCH(ROWS($N$2:N677),$N$2:$N$1001,0),0), INDEX($U$1004:$AC$1004,1,MATCH(COLUMNS($U$1006:AC1006),$U$1006:$AC$1006,0)))),"Fix")))</f>
        <v>0</v>
      </c>
      <c r="N677">
        <v>0</v>
      </c>
      <c r="O677">
        <v>0</v>
      </c>
      <c r="P677">
        <v>0</v>
      </c>
      <c r="Q677">
        <f>IF(R677,TRUE,AND(U677:AC677))</f>
        <v>0</v>
      </c>
      <c r="R677">
        <f>COUNTBLANK(metadata!B677:J677)=COLUMNS(metadata!B677:J677)</f>
        <v>0</v>
      </c>
      <c r="S677">
        <v>0</v>
      </c>
      <c r="U677">
        <f>AND(IF(metadata!B677="",FALSE,TRUE),COUNTIF(metadata!B:B, metadata!B677) = 1,NOT(ISERROR(SUMPRODUCT(SEARCH(MID(metadata!B677,ROW(INDIRECT("1:"&amp;LEN(metadata!B677))), 1),"0123456789abcdefghijklmnopqrstuvwxyzABCDEFGHIJKLMNOPQRSTUVWXYZ.")))))</f>
        <v>0</v>
      </c>
      <c r="V677">
        <f>AND(IF(metadata!C677="",FALSE,TRUE),exact(metadata!C677,"UBERON:genitourinary"))</f>
        <v>0</v>
      </c>
      <c r="W677">
        <f>AND(IF(metadata!D677="",FALSE,TRUE),exact(metadata!D677,"UBERON:urine"))</f>
        <v>0</v>
      </c>
      <c r="X677">
        <f>AND(IF(metadata!E677="",FALSE,TRUE),exact(metadata!E677,"UBERON:kidney"))</f>
        <v>0</v>
      </c>
      <c r="Y677">
        <f>AND(IF(metadata!F677="",FALSE,TRUE),exact(metadata!F677,"animal corpus"))</f>
        <v>0</v>
      </c>
      <c r="Z677">
        <f>AND(IF(metadata!G677="",FALSE,TRUE),exact(metadata!G677,"urine"))</f>
        <v>0</v>
      </c>
      <c r="AA677">
        <f>AND(IF(metadata!H677="",FALSE,TRUE),exact(metadata!H677,"urine"))</f>
        <v>0</v>
      </c>
      <c r="AB677">
        <f>AND(IF(metadata!I677="",FALSE,TRUE),exact(metadata!I677,"urine metagenome"))</f>
        <v>0</v>
      </c>
      <c r="AC677">
        <f>AND(IF(metadata!J677="",FALSE,TRUE),exact(metadata!J677,"1346744"))</f>
        <v>0</v>
      </c>
    </row>
    <row r="678" spans="1:29">
      <c r="A678" s="4">
        <f>IF(B678=" "," ",HYPERLINK(CONCATENATE("#metadata!",ADDRESS(INDEX($P$2:$P$1001,MATCH(ROWS($N$2:N678),$N$2:$N$1001,0),0),1)),INDEX($S$2:$S$1001,MATCH(ROWS($N$2:N678),$N$2:$N$1001,0),0)))</f>
        <v>0</v>
      </c>
      <c r="B678" s="3">
        <f>IF(OR(INDEX($O$2:$O$1001,MATCH(ROWS($N$2:N678),$N$2:$N$1001,0),1)&gt;=100000,INDEX($U$1005:$AC$1005,1,MATCH(COLUMNS($U$1006:U1006),$U$1006:$AC$1006,0))&gt;=100000), " ",IF(INDEX($U$2:$AC$1001,MATCH(ROWS($N$2:N678),$N$2:$N$1001,0),MATCH(COLUMNS($U$1006:U1006),$U$1006:$AC$1006,0)), HYPERLINK("#",""), HYPERLINK(CONCATENATE("#metadata!", ADDRESS(INDEX($P$2:$P$1001,MATCH(ROWS($N$2:N678),$N$2:$N$1001,0),0), INDEX($U$1004:$AC$1004,1,MATCH(COLUMNS($U$1006:U1006),$U$1006:$AC$1006,0)))),"Fix")))</f>
        <v>0</v>
      </c>
      <c r="C678" s="3">
        <f>IF(OR(INDEX($O$2:$O$1001,MATCH(ROWS($N$2:N678),$N$2:$N$1001,0),1)&gt;=100000,INDEX($U$1005:$AC$1005,1,MATCH(COLUMNS($U$1006:V1006),$U$1006:$AC$1006,0))&gt;=100000), " ",IF(INDEX($U$2:$AC$1001,MATCH(ROWS($N$2:N678),$N$2:$N$1001,0),MATCH(COLUMNS($U$1006:V1006),$U$1006:$AC$1006,0)), HYPERLINK("#",""), HYPERLINK(CONCATENATE("#metadata!", ADDRESS(INDEX($P$2:$P$1001,MATCH(ROWS($N$2:N678),$N$2:$N$1001,0),0), INDEX($U$1004:$AC$1004,1,MATCH(COLUMNS($U$1006:V1006),$U$1006:$AC$1006,0)))),"Fix")))</f>
        <v>0</v>
      </c>
      <c r="D678" s="3">
        <f>IF(OR(INDEX($O$2:$O$1001,MATCH(ROWS($N$2:N678),$N$2:$N$1001,0),1)&gt;=100000,INDEX($U$1005:$AC$1005,1,MATCH(COLUMNS($U$1006:W1006),$U$1006:$AC$1006,0))&gt;=100000), " ",IF(INDEX($U$2:$AC$1001,MATCH(ROWS($N$2:N678),$N$2:$N$1001,0),MATCH(COLUMNS($U$1006:W1006),$U$1006:$AC$1006,0)), HYPERLINK("#",""), HYPERLINK(CONCATENATE("#metadata!", ADDRESS(INDEX($P$2:$P$1001,MATCH(ROWS($N$2:N678),$N$2:$N$1001,0),0), INDEX($U$1004:$AC$1004,1,MATCH(COLUMNS($U$1006:W1006),$U$1006:$AC$1006,0)))),"Fix")))</f>
        <v>0</v>
      </c>
      <c r="E678" s="3">
        <f>IF(OR(INDEX($O$2:$O$1001,MATCH(ROWS($N$2:N678),$N$2:$N$1001,0),1)&gt;=100000,INDEX($U$1005:$AC$1005,1,MATCH(COLUMNS($U$1006:X1006),$U$1006:$AC$1006,0))&gt;=100000), " ",IF(INDEX($U$2:$AC$1001,MATCH(ROWS($N$2:N678),$N$2:$N$1001,0),MATCH(COLUMNS($U$1006:X1006),$U$1006:$AC$1006,0)), HYPERLINK("#",""), HYPERLINK(CONCATENATE("#metadata!", ADDRESS(INDEX($P$2:$P$1001,MATCH(ROWS($N$2:N678),$N$2:$N$1001,0),0), INDEX($U$1004:$AC$1004,1,MATCH(COLUMNS($U$1006:X1006),$U$1006:$AC$1006,0)))),"Fix")))</f>
        <v>0</v>
      </c>
      <c r="F678" s="3">
        <f>IF(OR(INDEX($O$2:$O$1001,MATCH(ROWS($N$2:N678),$N$2:$N$1001,0),1)&gt;=100000,INDEX($U$1005:$AC$1005,1,MATCH(COLUMNS($U$1006:Y1006),$U$1006:$AC$1006,0))&gt;=100000), " ",IF(INDEX($U$2:$AC$1001,MATCH(ROWS($N$2:N678),$N$2:$N$1001,0),MATCH(COLUMNS($U$1006:Y1006),$U$1006:$AC$1006,0)), HYPERLINK("#",""), HYPERLINK(CONCATENATE("#metadata!", ADDRESS(INDEX($P$2:$P$1001,MATCH(ROWS($N$2:N678),$N$2:$N$1001,0),0), INDEX($U$1004:$AC$1004,1,MATCH(COLUMNS($U$1006:Y1006),$U$1006:$AC$1006,0)))),"Fix")))</f>
        <v>0</v>
      </c>
      <c r="G678" s="3">
        <f>IF(OR(INDEX($O$2:$O$1001,MATCH(ROWS($N$2:N678),$N$2:$N$1001,0),1)&gt;=100000,INDEX($U$1005:$AC$1005,1,MATCH(COLUMNS($U$1006:Z1006),$U$1006:$AC$1006,0))&gt;=100000), " ",IF(INDEX($U$2:$AC$1001,MATCH(ROWS($N$2:N678),$N$2:$N$1001,0),MATCH(COLUMNS($U$1006:Z1006),$U$1006:$AC$1006,0)), HYPERLINK("#",""), HYPERLINK(CONCATENATE("#metadata!", ADDRESS(INDEX($P$2:$P$1001,MATCH(ROWS($N$2:N678),$N$2:$N$1001,0),0), INDEX($U$1004:$AC$1004,1,MATCH(COLUMNS($U$1006:Z1006),$U$1006:$AC$1006,0)))),"Fix")))</f>
        <v>0</v>
      </c>
      <c r="H678" s="3">
        <f>IF(OR(INDEX($O$2:$O$1001,MATCH(ROWS($N$2:N678),$N$2:$N$1001,0),1)&gt;=100000,INDEX($U$1005:$AC$1005,1,MATCH(COLUMNS($U$1006:AA1006),$U$1006:$AC$1006,0))&gt;=100000), " ",IF(INDEX($U$2:$AC$1001,MATCH(ROWS($N$2:N678),$N$2:$N$1001,0),MATCH(COLUMNS($U$1006:AA1006),$U$1006:$AC$1006,0)), HYPERLINK("#",""), HYPERLINK(CONCATENATE("#metadata!", ADDRESS(INDEX($P$2:$P$1001,MATCH(ROWS($N$2:N678),$N$2:$N$1001,0),0), INDEX($U$1004:$AC$1004,1,MATCH(COLUMNS($U$1006:AA1006),$U$1006:$AC$1006,0)))),"Fix")))</f>
        <v>0</v>
      </c>
      <c r="I678" s="3">
        <f>IF(OR(INDEX($O$2:$O$1001,MATCH(ROWS($N$2:N678),$N$2:$N$1001,0),1)&gt;=100000,INDEX($U$1005:$AC$1005,1,MATCH(COLUMNS($U$1006:AB1006),$U$1006:$AC$1006,0))&gt;=100000), " ",IF(INDEX($U$2:$AC$1001,MATCH(ROWS($N$2:N678),$N$2:$N$1001,0),MATCH(COLUMNS($U$1006:AB1006),$U$1006:$AC$1006,0)), HYPERLINK("#",""), HYPERLINK(CONCATENATE("#metadata!", ADDRESS(INDEX($P$2:$P$1001,MATCH(ROWS($N$2:N678),$N$2:$N$1001,0),0), INDEX($U$1004:$AC$1004,1,MATCH(COLUMNS($U$1006:AB1006),$U$1006:$AC$1006,0)))),"Fix")))</f>
        <v>0</v>
      </c>
      <c r="J678" s="3">
        <f>IF(OR(INDEX($O$2:$O$1001,MATCH(ROWS($N$2:N678),$N$2:$N$1001,0),1)&gt;=100000,INDEX($U$1005:$AC$1005,1,MATCH(COLUMNS($U$1006:AC1006),$U$1006:$AC$1006,0))&gt;=100000), " ",IF(INDEX($U$2:$AC$1001,MATCH(ROWS($N$2:N678),$N$2:$N$1001,0),MATCH(COLUMNS($U$1006:AC1006),$U$1006:$AC$1006,0)), HYPERLINK("#",""), HYPERLINK(CONCATENATE("#metadata!", ADDRESS(INDEX($P$2:$P$1001,MATCH(ROWS($N$2:N678),$N$2:$N$1001,0),0), INDEX($U$1004:$AC$1004,1,MATCH(COLUMNS($U$1006:AC1006),$U$1006:$AC$1006,0)))),"Fix")))</f>
        <v>0</v>
      </c>
      <c r="N678">
        <v>0</v>
      </c>
      <c r="O678">
        <v>0</v>
      </c>
      <c r="P678">
        <v>0</v>
      </c>
      <c r="Q678">
        <f>IF(R678,TRUE,AND(U678:AC678))</f>
        <v>0</v>
      </c>
      <c r="R678">
        <f>COUNTBLANK(metadata!B678:J678)=COLUMNS(metadata!B678:J678)</f>
        <v>0</v>
      </c>
      <c r="S678">
        <v>0</v>
      </c>
      <c r="U678">
        <f>AND(IF(metadata!B678="",FALSE,TRUE),COUNTIF(metadata!B:B, metadata!B678) = 1,NOT(ISERROR(SUMPRODUCT(SEARCH(MID(metadata!B678,ROW(INDIRECT("1:"&amp;LEN(metadata!B678))), 1),"0123456789abcdefghijklmnopqrstuvwxyzABCDEFGHIJKLMNOPQRSTUVWXYZ.")))))</f>
        <v>0</v>
      </c>
      <c r="V678">
        <f>AND(IF(metadata!C678="",FALSE,TRUE),exact(metadata!C678,"UBERON:genitourinary"))</f>
        <v>0</v>
      </c>
      <c r="W678">
        <f>AND(IF(metadata!D678="",FALSE,TRUE),exact(metadata!D678,"UBERON:urine"))</f>
        <v>0</v>
      </c>
      <c r="X678">
        <f>AND(IF(metadata!E678="",FALSE,TRUE),exact(metadata!E678,"UBERON:kidney"))</f>
        <v>0</v>
      </c>
      <c r="Y678">
        <f>AND(IF(metadata!F678="",FALSE,TRUE),exact(metadata!F678,"animal corpus"))</f>
        <v>0</v>
      </c>
      <c r="Z678">
        <f>AND(IF(metadata!G678="",FALSE,TRUE),exact(metadata!G678,"urine"))</f>
        <v>0</v>
      </c>
      <c r="AA678">
        <f>AND(IF(metadata!H678="",FALSE,TRUE),exact(metadata!H678,"urine"))</f>
        <v>0</v>
      </c>
      <c r="AB678">
        <f>AND(IF(metadata!I678="",FALSE,TRUE),exact(metadata!I678,"urine metagenome"))</f>
        <v>0</v>
      </c>
      <c r="AC678">
        <f>AND(IF(metadata!J678="",FALSE,TRUE),exact(metadata!J678,"1346744"))</f>
        <v>0</v>
      </c>
    </row>
    <row r="679" spans="1:29">
      <c r="A679" s="4">
        <f>IF(B679=" "," ",HYPERLINK(CONCATENATE("#metadata!",ADDRESS(INDEX($P$2:$P$1001,MATCH(ROWS($N$2:N679),$N$2:$N$1001,0),0),1)),INDEX($S$2:$S$1001,MATCH(ROWS($N$2:N679),$N$2:$N$1001,0),0)))</f>
        <v>0</v>
      </c>
      <c r="B679" s="3">
        <f>IF(OR(INDEX($O$2:$O$1001,MATCH(ROWS($N$2:N679),$N$2:$N$1001,0),1)&gt;=100000,INDEX($U$1005:$AC$1005,1,MATCH(COLUMNS($U$1006:U1006),$U$1006:$AC$1006,0))&gt;=100000), " ",IF(INDEX($U$2:$AC$1001,MATCH(ROWS($N$2:N679),$N$2:$N$1001,0),MATCH(COLUMNS($U$1006:U1006),$U$1006:$AC$1006,0)), HYPERLINK("#",""), HYPERLINK(CONCATENATE("#metadata!", ADDRESS(INDEX($P$2:$P$1001,MATCH(ROWS($N$2:N679),$N$2:$N$1001,0),0), INDEX($U$1004:$AC$1004,1,MATCH(COLUMNS($U$1006:U1006),$U$1006:$AC$1006,0)))),"Fix")))</f>
        <v>0</v>
      </c>
      <c r="C679" s="3">
        <f>IF(OR(INDEX($O$2:$O$1001,MATCH(ROWS($N$2:N679),$N$2:$N$1001,0),1)&gt;=100000,INDEX($U$1005:$AC$1005,1,MATCH(COLUMNS($U$1006:V1006),$U$1006:$AC$1006,0))&gt;=100000), " ",IF(INDEX($U$2:$AC$1001,MATCH(ROWS($N$2:N679),$N$2:$N$1001,0),MATCH(COLUMNS($U$1006:V1006),$U$1006:$AC$1006,0)), HYPERLINK("#",""), HYPERLINK(CONCATENATE("#metadata!", ADDRESS(INDEX($P$2:$P$1001,MATCH(ROWS($N$2:N679),$N$2:$N$1001,0),0), INDEX($U$1004:$AC$1004,1,MATCH(COLUMNS($U$1006:V1006),$U$1006:$AC$1006,0)))),"Fix")))</f>
        <v>0</v>
      </c>
      <c r="D679" s="3">
        <f>IF(OR(INDEX($O$2:$O$1001,MATCH(ROWS($N$2:N679),$N$2:$N$1001,0),1)&gt;=100000,INDEX($U$1005:$AC$1005,1,MATCH(COLUMNS($U$1006:W1006),$U$1006:$AC$1006,0))&gt;=100000), " ",IF(INDEX($U$2:$AC$1001,MATCH(ROWS($N$2:N679),$N$2:$N$1001,0),MATCH(COLUMNS($U$1006:W1006),$U$1006:$AC$1006,0)), HYPERLINK("#",""), HYPERLINK(CONCATENATE("#metadata!", ADDRESS(INDEX($P$2:$P$1001,MATCH(ROWS($N$2:N679),$N$2:$N$1001,0),0), INDEX($U$1004:$AC$1004,1,MATCH(COLUMNS($U$1006:W1006),$U$1006:$AC$1006,0)))),"Fix")))</f>
        <v>0</v>
      </c>
      <c r="E679" s="3">
        <f>IF(OR(INDEX($O$2:$O$1001,MATCH(ROWS($N$2:N679),$N$2:$N$1001,0),1)&gt;=100000,INDEX($U$1005:$AC$1005,1,MATCH(COLUMNS($U$1006:X1006),$U$1006:$AC$1006,0))&gt;=100000), " ",IF(INDEX($U$2:$AC$1001,MATCH(ROWS($N$2:N679),$N$2:$N$1001,0),MATCH(COLUMNS($U$1006:X1006),$U$1006:$AC$1006,0)), HYPERLINK("#",""), HYPERLINK(CONCATENATE("#metadata!", ADDRESS(INDEX($P$2:$P$1001,MATCH(ROWS($N$2:N679),$N$2:$N$1001,0),0), INDEX($U$1004:$AC$1004,1,MATCH(COLUMNS($U$1006:X1006),$U$1006:$AC$1006,0)))),"Fix")))</f>
        <v>0</v>
      </c>
      <c r="F679" s="3">
        <f>IF(OR(INDEX($O$2:$O$1001,MATCH(ROWS($N$2:N679),$N$2:$N$1001,0),1)&gt;=100000,INDEX($U$1005:$AC$1005,1,MATCH(COLUMNS($U$1006:Y1006),$U$1006:$AC$1006,0))&gt;=100000), " ",IF(INDEX($U$2:$AC$1001,MATCH(ROWS($N$2:N679),$N$2:$N$1001,0),MATCH(COLUMNS($U$1006:Y1006),$U$1006:$AC$1006,0)), HYPERLINK("#",""), HYPERLINK(CONCATENATE("#metadata!", ADDRESS(INDEX($P$2:$P$1001,MATCH(ROWS($N$2:N679),$N$2:$N$1001,0),0), INDEX($U$1004:$AC$1004,1,MATCH(COLUMNS($U$1006:Y1006),$U$1006:$AC$1006,0)))),"Fix")))</f>
        <v>0</v>
      </c>
      <c r="G679" s="3">
        <f>IF(OR(INDEX($O$2:$O$1001,MATCH(ROWS($N$2:N679),$N$2:$N$1001,0),1)&gt;=100000,INDEX($U$1005:$AC$1005,1,MATCH(COLUMNS($U$1006:Z1006),$U$1006:$AC$1006,0))&gt;=100000), " ",IF(INDEX($U$2:$AC$1001,MATCH(ROWS($N$2:N679),$N$2:$N$1001,0),MATCH(COLUMNS($U$1006:Z1006),$U$1006:$AC$1006,0)), HYPERLINK("#",""), HYPERLINK(CONCATENATE("#metadata!", ADDRESS(INDEX($P$2:$P$1001,MATCH(ROWS($N$2:N679),$N$2:$N$1001,0),0), INDEX($U$1004:$AC$1004,1,MATCH(COLUMNS($U$1006:Z1006),$U$1006:$AC$1006,0)))),"Fix")))</f>
        <v>0</v>
      </c>
      <c r="H679" s="3">
        <f>IF(OR(INDEX($O$2:$O$1001,MATCH(ROWS($N$2:N679),$N$2:$N$1001,0),1)&gt;=100000,INDEX($U$1005:$AC$1005,1,MATCH(COLUMNS($U$1006:AA1006),$U$1006:$AC$1006,0))&gt;=100000), " ",IF(INDEX($U$2:$AC$1001,MATCH(ROWS($N$2:N679),$N$2:$N$1001,0),MATCH(COLUMNS($U$1006:AA1006),$U$1006:$AC$1006,0)), HYPERLINK("#",""), HYPERLINK(CONCATENATE("#metadata!", ADDRESS(INDEX($P$2:$P$1001,MATCH(ROWS($N$2:N679),$N$2:$N$1001,0),0), INDEX($U$1004:$AC$1004,1,MATCH(COLUMNS($U$1006:AA1006),$U$1006:$AC$1006,0)))),"Fix")))</f>
        <v>0</v>
      </c>
      <c r="I679" s="3">
        <f>IF(OR(INDEX($O$2:$O$1001,MATCH(ROWS($N$2:N679),$N$2:$N$1001,0),1)&gt;=100000,INDEX($U$1005:$AC$1005,1,MATCH(COLUMNS($U$1006:AB1006),$U$1006:$AC$1006,0))&gt;=100000), " ",IF(INDEX($U$2:$AC$1001,MATCH(ROWS($N$2:N679),$N$2:$N$1001,0),MATCH(COLUMNS($U$1006:AB1006),$U$1006:$AC$1006,0)), HYPERLINK("#",""), HYPERLINK(CONCATENATE("#metadata!", ADDRESS(INDEX($P$2:$P$1001,MATCH(ROWS($N$2:N679),$N$2:$N$1001,0),0), INDEX($U$1004:$AC$1004,1,MATCH(COLUMNS($U$1006:AB1006),$U$1006:$AC$1006,0)))),"Fix")))</f>
        <v>0</v>
      </c>
      <c r="J679" s="3">
        <f>IF(OR(INDEX($O$2:$O$1001,MATCH(ROWS($N$2:N679),$N$2:$N$1001,0),1)&gt;=100000,INDEX($U$1005:$AC$1005,1,MATCH(COLUMNS($U$1006:AC1006),$U$1006:$AC$1006,0))&gt;=100000), " ",IF(INDEX($U$2:$AC$1001,MATCH(ROWS($N$2:N679),$N$2:$N$1001,0),MATCH(COLUMNS($U$1006:AC1006),$U$1006:$AC$1006,0)), HYPERLINK("#",""), HYPERLINK(CONCATENATE("#metadata!", ADDRESS(INDEX($P$2:$P$1001,MATCH(ROWS($N$2:N679),$N$2:$N$1001,0),0), INDEX($U$1004:$AC$1004,1,MATCH(COLUMNS($U$1006:AC1006),$U$1006:$AC$1006,0)))),"Fix")))</f>
        <v>0</v>
      </c>
      <c r="N679">
        <v>0</v>
      </c>
      <c r="O679">
        <v>0</v>
      </c>
      <c r="P679">
        <v>0</v>
      </c>
      <c r="Q679">
        <f>IF(R679,TRUE,AND(U679:AC679))</f>
        <v>0</v>
      </c>
      <c r="R679">
        <f>COUNTBLANK(metadata!B679:J679)=COLUMNS(metadata!B679:J679)</f>
        <v>0</v>
      </c>
      <c r="S679">
        <v>0</v>
      </c>
      <c r="U679">
        <f>AND(IF(metadata!B679="",FALSE,TRUE),COUNTIF(metadata!B:B, metadata!B679) = 1,NOT(ISERROR(SUMPRODUCT(SEARCH(MID(metadata!B679,ROW(INDIRECT("1:"&amp;LEN(metadata!B679))), 1),"0123456789abcdefghijklmnopqrstuvwxyzABCDEFGHIJKLMNOPQRSTUVWXYZ.")))))</f>
        <v>0</v>
      </c>
      <c r="V679">
        <f>AND(IF(metadata!C679="",FALSE,TRUE),exact(metadata!C679,"UBERON:genitourinary"))</f>
        <v>0</v>
      </c>
      <c r="W679">
        <f>AND(IF(metadata!D679="",FALSE,TRUE),exact(metadata!D679,"UBERON:urine"))</f>
        <v>0</v>
      </c>
      <c r="X679">
        <f>AND(IF(metadata!E679="",FALSE,TRUE),exact(metadata!E679,"UBERON:kidney"))</f>
        <v>0</v>
      </c>
      <c r="Y679">
        <f>AND(IF(metadata!F679="",FALSE,TRUE),exact(metadata!F679,"animal corpus"))</f>
        <v>0</v>
      </c>
      <c r="Z679">
        <f>AND(IF(metadata!G679="",FALSE,TRUE),exact(metadata!G679,"urine"))</f>
        <v>0</v>
      </c>
      <c r="AA679">
        <f>AND(IF(metadata!H679="",FALSE,TRUE),exact(metadata!H679,"urine"))</f>
        <v>0</v>
      </c>
      <c r="AB679">
        <f>AND(IF(metadata!I679="",FALSE,TRUE),exact(metadata!I679,"urine metagenome"))</f>
        <v>0</v>
      </c>
      <c r="AC679">
        <f>AND(IF(metadata!J679="",FALSE,TRUE),exact(metadata!J679,"1346744"))</f>
        <v>0</v>
      </c>
    </row>
    <row r="680" spans="1:29">
      <c r="A680" s="4">
        <f>IF(B680=" "," ",HYPERLINK(CONCATENATE("#metadata!",ADDRESS(INDEX($P$2:$P$1001,MATCH(ROWS($N$2:N680),$N$2:$N$1001,0),0),1)),INDEX($S$2:$S$1001,MATCH(ROWS($N$2:N680),$N$2:$N$1001,0),0)))</f>
        <v>0</v>
      </c>
      <c r="B680" s="3">
        <f>IF(OR(INDEX($O$2:$O$1001,MATCH(ROWS($N$2:N680),$N$2:$N$1001,0),1)&gt;=100000,INDEX($U$1005:$AC$1005,1,MATCH(COLUMNS($U$1006:U1006),$U$1006:$AC$1006,0))&gt;=100000), " ",IF(INDEX($U$2:$AC$1001,MATCH(ROWS($N$2:N680),$N$2:$N$1001,0),MATCH(COLUMNS($U$1006:U1006),$U$1006:$AC$1006,0)), HYPERLINK("#",""), HYPERLINK(CONCATENATE("#metadata!", ADDRESS(INDEX($P$2:$P$1001,MATCH(ROWS($N$2:N680),$N$2:$N$1001,0),0), INDEX($U$1004:$AC$1004,1,MATCH(COLUMNS($U$1006:U1006),$U$1006:$AC$1006,0)))),"Fix")))</f>
        <v>0</v>
      </c>
      <c r="C680" s="3">
        <f>IF(OR(INDEX($O$2:$O$1001,MATCH(ROWS($N$2:N680),$N$2:$N$1001,0),1)&gt;=100000,INDEX($U$1005:$AC$1005,1,MATCH(COLUMNS($U$1006:V1006),$U$1006:$AC$1006,0))&gt;=100000), " ",IF(INDEX($U$2:$AC$1001,MATCH(ROWS($N$2:N680),$N$2:$N$1001,0),MATCH(COLUMNS($U$1006:V1006),$U$1006:$AC$1006,0)), HYPERLINK("#",""), HYPERLINK(CONCATENATE("#metadata!", ADDRESS(INDEX($P$2:$P$1001,MATCH(ROWS($N$2:N680),$N$2:$N$1001,0),0), INDEX($U$1004:$AC$1004,1,MATCH(COLUMNS($U$1006:V1006),$U$1006:$AC$1006,0)))),"Fix")))</f>
        <v>0</v>
      </c>
      <c r="D680" s="3">
        <f>IF(OR(INDEX($O$2:$O$1001,MATCH(ROWS($N$2:N680),$N$2:$N$1001,0),1)&gt;=100000,INDEX($U$1005:$AC$1005,1,MATCH(COLUMNS($U$1006:W1006),$U$1006:$AC$1006,0))&gt;=100000), " ",IF(INDEX($U$2:$AC$1001,MATCH(ROWS($N$2:N680),$N$2:$N$1001,0),MATCH(COLUMNS($U$1006:W1006),$U$1006:$AC$1006,0)), HYPERLINK("#",""), HYPERLINK(CONCATENATE("#metadata!", ADDRESS(INDEX($P$2:$P$1001,MATCH(ROWS($N$2:N680),$N$2:$N$1001,0),0), INDEX($U$1004:$AC$1004,1,MATCH(COLUMNS($U$1006:W1006),$U$1006:$AC$1006,0)))),"Fix")))</f>
        <v>0</v>
      </c>
      <c r="E680" s="3">
        <f>IF(OR(INDEX($O$2:$O$1001,MATCH(ROWS($N$2:N680),$N$2:$N$1001,0),1)&gt;=100000,INDEX($U$1005:$AC$1005,1,MATCH(COLUMNS($U$1006:X1006),$U$1006:$AC$1006,0))&gt;=100000), " ",IF(INDEX($U$2:$AC$1001,MATCH(ROWS($N$2:N680),$N$2:$N$1001,0),MATCH(COLUMNS($U$1006:X1006),$U$1006:$AC$1006,0)), HYPERLINK("#",""), HYPERLINK(CONCATENATE("#metadata!", ADDRESS(INDEX($P$2:$P$1001,MATCH(ROWS($N$2:N680),$N$2:$N$1001,0),0), INDEX($U$1004:$AC$1004,1,MATCH(COLUMNS($U$1006:X1006),$U$1006:$AC$1006,0)))),"Fix")))</f>
        <v>0</v>
      </c>
      <c r="F680" s="3">
        <f>IF(OR(INDEX($O$2:$O$1001,MATCH(ROWS($N$2:N680),$N$2:$N$1001,0),1)&gt;=100000,INDEX($U$1005:$AC$1005,1,MATCH(COLUMNS($U$1006:Y1006),$U$1006:$AC$1006,0))&gt;=100000), " ",IF(INDEX($U$2:$AC$1001,MATCH(ROWS($N$2:N680),$N$2:$N$1001,0),MATCH(COLUMNS($U$1006:Y1006),$U$1006:$AC$1006,0)), HYPERLINK("#",""), HYPERLINK(CONCATENATE("#metadata!", ADDRESS(INDEX($P$2:$P$1001,MATCH(ROWS($N$2:N680),$N$2:$N$1001,0),0), INDEX($U$1004:$AC$1004,1,MATCH(COLUMNS($U$1006:Y1006),$U$1006:$AC$1006,0)))),"Fix")))</f>
        <v>0</v>
      </c>
      <c r="G680" s="3">
        <f>IF(OR(INDEX($O$2:$O$1001,MATCH(ROWS($N$2:N680),$N$2:$N$1001,0),1)&gt;=100000,INDEX($U$1005:$AC$1005,1,MATCH(COLUMNS($U$1006:Z1006),$U$1006:$AC$1006,0))&gt;=100000), " ",IF(INDEX($U$2:$AC$1001,MATCH(ROWS($N$2:N680),$N$2:$N$1001,0),MATCH(COLUMNS($U$1006:Z1006),$U$1006:$AC$1006,0)), HYPERLINK("#",""), HYPERLINK(CONCATENATE("#metadata!", ADDRESS(INDEX($P$2:$P$1001,MATCH(ROWS($N$2:N680),$N$2:$N$1001,0),0), INDEX($U$1004:$AC$1004,1,MATCH(COLUMNS($U$1006:Z1006),$U$1006:$AC$1006,0)))),"Fix")))</f>
        <v>0</v>
      </c>
      <c r="H680" s="3">
        <f>IF(OR(INDEX($O$2:$O$1001,MATCH(ROWS($N$2:N680),$N$2:$N$1001,0),1)&gt;=100000,INDEX($U$1005:$AC$1005,1,MATCH(COLUMNS($U$1006:AA1006),$U$1006:$AC$1006,0))&gt;=100000), " ",IF(INDEX($U$2:$AC$1001,MATCH(ROWS($N$2:N680),$N$2:$N$1001,0),MATCH(COLUMNS($U$1006:AA1006),$U$1006:$AC$1006,0)), HYPERLINK("#",""), HYPERLINK(CONCATENATE("#metadata!", ADDRESS(INDEX($P$2:$P$1001,MATCH(ROWS($N$2:N680),$N$2:$N$1001,0),0), INDEX($U$1004:$AC$1004,1,MATCH(COLUMNS($U$1006:AA1006),$U$1006:$AC$1006,0)))),"Fix")))</f>
        <v>0</v>
      </c>
      <c r="I680" s="3">
        <f>IF(OR(INDEX($O$2:$O$1001,MATCH(ROWS($N$2:N680),$N$2:$N$1001,0),1)&gt;=100000,INDEX($U$1005:$AC$1005,1,MATCH(COLUMNS($U$1006:AB1006),$U$1006:$AC$1006,0))&gt;=100000), " ",IF(INDEX($U$2:$AC$1001,MATCH(ROWS($N$2:N680),$N$2:$N$1001,0),MATCH(COLUMNS($U$1006:AB1006),$U$1006:$AC$1006,0)), HYPERLINK("#",""), HYPERLINK(CONCATENATE("#metadata!", ADDRESS(INDEX($P$2:$P$1001,MATCH(ROWS($N$2:N680),$N$2:$N$1001,0),0), INDEX($U$1004:$AC$1004,1,MATCH(COLUMNS($U$1006:AB1006),$U$1006:$AC$1006,0)))),"Fix")))</f>
        <v>0</v>
      </c>
      <c r="J680" s="3">
        <f>IF(OR(INDEX($O$2:$O$1001,MATCH(ROWS($N$2:N680),$N$2:$N$1001,0),1)&gt;=100000,INDEX($U$1005:$AC$1005,1,MATCH(COLUMNS($U$1006:AC1006),$U$1006:$AC$1006,0))&gt;=100000), " ",IF(INDEX($U$2:$AC$1001,MATCH(ROWS($N$2:N680),$N$2:$N$1001,0),MATCH(COLUMNS($U$1006:AC1006),$U$1006:$AC$1006,0)), HYPERLINK("#",""), HYPERLINK(CONCATENATE("#metadata!", ADDRESS(INDEX($P$2:$P$1001,MATCH(ROWS($N$2:N680),$N$2:$N$1001,0),0), INDEX($U$1004:$AC$1004,1,MATCH(COLUMNS($U$1006:AC1006),$U$1006:$AC$1006,0)))),"Fix")))</f>
        <v>0</v>
      </c>
      <c r="N680">
        <v>0</v>
      </c>
      <c r="O680">
        <v>0</v>
      </c>
      <c r="P680">
        <v>0</v>
      </c>
      <c r="Q680">
        <f>IF(R680,TRUE,AND(U680:AC680))</f>
        <v>0</v>
      </c>
      <c r="R680">
        <f>COUNTBLANK(metadata!B680:J680)=COLUMNS(metadata!B680:J680)</f>
        <v>0</v>
      </c>
      <c r="S680">
        <v>0</v>
      </c>
      <c r="U680">
        <f>AND(IF(metadata!B680="",FALSE,TRUE),COUNTIF(metadata!B:B, metadata!B680) = 1,NOT(ISERROR(SUMPRODUCT(SEARCH(MID(metadata!B680,ROW(INDIRECT("1:"&amp;LEN(metadata!B680))), 1),"0123456789abcdefghijklmnopqrstuvwxyzABCDEFGHIJKLMNOPQRSTUVWXYZ.")))))</f>
        <v>0</v>
      </c>
      <c r="V680">
        <f>AND(IF(metadata!C680="",FALSE,TRUE),exact(metadata!C680,"UBERON:genitourinary"))</f>
        <v>0</v>
      </c>
      <c r="W680">
        <f>AND(IF(metadata!D680="",FALSE,TRUE),exact(metadata!D680,"UBERON:urine"))</f>
        <v>0</v>
      </c>
      <c r="X680">
        <f>AND(IF(metadata!E680="",FALSE,TRUE),exact(metadata!E680,"UBERON:kidney"))</f>
        <v>0</v>
      </c>
      <c r="Y680">
        <f>AND(IF(metadata!F680="",FALSE,TRUE),exact(metadata!F680,"animal corpus"))</f>
        <v>0</v>
      </c>
      <c r="Z680">
        <f>AND(IF(metadata!G680="",FALSE,TRUE),exact(metadata!G680,"urine"))</f>
        <v>0</v>
      </c>
      <c r="AA680">
        <f>AND(IF(metadata!H680="",FALSE,TRUE),exact(metadata!H680,"urine"))</f>
        <v>0</v>
      </c>
      <c r="AB680">
        <f>AND(IF(metadata!I680="",FALSE,TRUE),exact(metadata!I680,"urine metagenome"))</f>
        <v>0</v>
      </c>
      <c r="AC680">
        <f>AND(IF(metadata!J680="",FALSE,TRUE),exact(metadata!J680,"1346744"))</f>
        <v>0</v>
      </c>
    </row>
    <row r="681" spans="1:29">
      <c r="A681" s="4">
        <f>IF(B681=" "," ",HYPERLINK(CONCATENATE("#metadata!",ADDRESS(INDEX($P$2:$P$1001,MATCH(ROWS($N$2:N681),$N$2:$N$1001,0),0),1)),INDEX($S$2:$S$1001,MATCH(ROWS($N$2:N681),$N$2:$N$1001,0),0)))</f>
        <v>0</v>
      </c>
      <c r="B681" s="3">
        <f>IF(OR(INDEX($O$2:$O$1001,MATCH(ROWS($N$2:N681),$N$2:$N$1001,0),1)&gt;=100000,INDEX($U$1005:$AC$1005,1,MATCH(COLUMNS($U$1006:U1006),$U$1006:$AC$1006,0))&gt;=100000), " ",IF(INDEX($U$2:$AC$1001,MATCH(ROWS($N$2:N681),$N$2:$N$1001,0),MATCH(COLUMNS($U$1006:U1006),$U$1006:$AC$1006,0)), HYPERLINK("#",""), HYPERLINK(CONCATENATE("#metadata!", ADDRESS(INDEX($P$2:$P$1001,MATCH(ROWS($N$2:N681),$N$2:$N$1001,0),0), INDEX($U$1004:$AC$1004,1,MATCH(COLUMNS($U$1006:U1006),$U$1006:$AC$1006,0)))),"Fix")))</f>
        <v>0</v>
      </c>
      <c r="C681" s="3">
        <f>IF(OR(INDEX($O$2:$O$1001,MATCH(ROWS($N$2:N681),$N$2:$N$1001,0),1)&gt;=100000,INDEX($U$1005:$AC$1005,1,MATCH(COLUMNS($U$1006:V1006),$U$1006:$AC$1006,0))&gt;=100000), " ",IF(INDEX($U$2:$AC$1001,MATCH(ROWS($N$2:N681),$N$2:$N$1001,0),MATCH(COLUMNS($U$1006:V1006),$U$1006:$AC$1006,0)), HYPERLINK("#",""), HYPERLINK(CONCATENATE("#metadata!", ADDRESS(INDEX($P$2:$P$1001,MATCH(ROWS($N$2:N681),$N$2:$N$1001,0),0), INDEX($U$1004:$AC$1004,1,MATCH(COLUMNS($U$1006:V1006),$U$1006:$AC$1006,0)))),"Fix")))</f>
        <v>0</v>
      </c>
      <c r="D681" s="3">
        <f>IF(OR(INDEX($O$2:$O$1001,MATCH(ROWS($N$2:N681),$N$2:$N$1001,0),1)&gt;=100000,INDEX($U$1005:$AC$1005,1,MATCH(COLUMNS($U$1006:W1006),$U$1006:$AC$1006,0))&gt;=100000), " ",IF(INDEX($U$2:$AC$1001,MATCH(ROWS($N$2:N681),$N$2:$N$1001,0),MATCH(COLUMNS($U$1006:W1006),$U$1006:$AC$1006,0)), HYPERLINK("#",""), HYPERLINK(CONCATENATE("#metadata!", ADDRESS(INDEX($P$2:$P$1001,MATCH(ROWS($N$2:N681),$N$2:$N$1001,0),0), INDEX($U$1004:$AC$1004,1,MATCH(COLUMNS($U$1006:W1006),$U$1006:$AC$1006,0)))),"Fix")))</f>
        <v>0</v>
      </c>
      <c r="E681" s="3">
        <f>IF(OR(INDEX($O$2:$O$1001,MATCH(ROWS($N$2:N681),$N$2:$N$1001,0),1)&gt;=100000,INDEX($U$1005:$AC$1005,1,MATCH(COLUMNS($U$1006:X1006),$U$1006:$AC$1006,0))&gt;=100000), " ",IF(INDEX($U$2:$AC$1001,MATCH(ROWS($N$2:N681),$N$2:$N$1001,0),MATCH(COLUMNS($U$1006:X1006),$U$1006:$AC$1006,0)), HYPERLINK("#",""), HYPERLINK(CONCATENATE("#metadata!", ADDRESS(INDEX($P$2:$P$1001,MATCH(ROWS($N$2:N681),$N$2:$N$1001,0),0), INDEX($U$1004:$AC$1004,1,MATCH(COLUMNS($U$1006:X1006),$U$1006:$AC$1006,0)))),"Fix")))</f>
        <v>0</v>
      </c>
      <c r="F681" s="3">
        <f>IF(OR(INDEX($O$2:$O$1001,MATCH(ROWS($N$2:N681),$N$2:$N$1001,0),1)&gt;=100000,INDEX($U$1005:$AC$1005,1,MATCH(COLUMNS($U$1006:Y1006),$U$1006:$AC$1006,0))&gt;=100000), " ",IF(INDEX($U$2:$AC$1001,MATCH(ROWS($N$2:N681),$N$2:$N$1001,0),MATCH(COLUMNS($U$1006:Y1006),$U$1006:$AC$1006,0)), HYPERLINK("#",""), HYPERLINK(CONCATENATE("#metadata!", ADDRESS(INDEX($P$2:$P$1001,MATCH(ROWS($N$2:N681),$N$2:$N$1001,0),0), INDEX($U$1004:$AC$1004,1,MATCH(COLUMNS($U$1006:Y1006),$U$1006:$AC$1006,0)))),"Fix")))</f>
        <v>0</v>
      </c>
      <c r="G681" s="3">
        <f>IF(OR(INDEX($O$2:$O$1001,MATCH(ROWS($N$2:N681),$N$2:$N$1001,0),1)&gt;=100000,INDEX($U$1005:$AC$1005,1,MATCH(COLUMNS($U$1006:Z1006),$U$1006:$AC$1006,0))&gt;=100000), " ",IF(INDEX($U$2:$AC$1001,MATCH(ROWS($N$2:N681),$N$2:$N$1001,0),MATCH(COLUMNS($U$1006:Z1006),$U$1006:$AC$1006,0)), HYPERLINK("#",""), HYPERLINK(CONCATENATE("#metadata!", ADDRESS(INDEX($P$2:$P$1001,MATCH(ROWS($N$2:N681),$N$2:$N$1001,0),0), INDEX($U$1004:$AC$1004,1,MATCH(COLUMNS($U$1006:Z1006),$U$1006:$AC$1006,0)))),"Fix")))</f>
        <v>0</v>
      </c>
      <c r="H681" s="3">
        <f>IF(OR(INDEX($O$2:$O$1001,MATCH(ROWS($N$2:N681),$N$2:$N$1001,0),1)&gt;=100000,INDEX($U$1005:$AC$1005,1,MATCH(COLUMNS($U$1006:AA1006),$U$1006:$AC$1006,0))&gt;=100000), " ",IF(INDEX($U$2:$AC$1001,MATCH(ROWS($N$2:N681),$N$2:$N$1001,0),MATCH(COLUMNS($U$1006:AA1006),$U$1006:$AC$1006,0)), HYPERLINK("#",""), HYPERLINK(CONCATENATE("#metadata!", ADDRESS(INDEX($P$2:$P$1001,MATCH(ROWS($N$2:N681),$N$2:$N$1001,0),0), INDEX($U$1004:$AC$1004,1,MATCH(COLUMNS($U$1006:AA1006),$U$1006:$AC$1006,0)))),"Fix")))</f>
        <v>0</v>
      </c>
      <c r="I681" s="3">
        <f>IF(OR(INDEX($O$2:$O$1001,MATCH(ROWS($N$2:N681),$N$2:$N$1001,0),1)&gt;=100000,INDEX($U$1005:$AC$1005,1,MATCH(COLUMNS($U$1006:AB1006),$U$1006:$AC$1006,0))&gt;=100000), " ",IF(INDEX($U$2:$AC$1001,MATCH(ROWS($N$2:N681),$N$2:$N$1001,0),MATCH(COLUMNS($U$1006:AB1006),$U$1006:$AC$1006,0)), HYPERLINK("#",""), HYPERLINK(CONCATENATE("#metadata!", ADDRESS(INDEX($P$2:$P$1001,MATCH(ROWS($N$2:N681),$N$2:$N$1001,0),0), INDEX($U$1004:$AC$1004,1,MATCH(COLUMNS($U$1006:AB1006),$U$1006:$AC$1006,0)))),"Fix")))</f>
        <v>0</v>
      </c>
      <c r="J681" s="3">
        <f>IF(OR(INDEX($O$2:$O$1001,MATCH(ROWS($N$2:N681),$N$2:$N$1001,0),1)&gt;=100000,INDEX($U$1005:$AC$1005,1,MATCH(COLUMNS($U$1006:AC1006),$U$1006:$AC$1006,0))&gt;=100000), " ",IF(INDEX($U$2:$AC$1001,MATCH(ROWS($N$2:N681),$N$2:$N$1001,0),MATCH(COLUMNS($U$1006:AC1006),$U$1006:$AC$1006,0)), HYPERLINK("#",""), HYPERLINK(CONCATENATE("#metadata!", ADDRESS(INDEX($P$2:$P$1001,MATCH(ROWS($N$2:N681),$N$2:$N$1001,0),0), INDEX($U$1004:$AC$1004,1,MATCH(COLUMNS($U$1006:AC1006),$U$1006:$AC$1006,0)))),"Fix")))</f>
        <v>0</v>
      </c>
      <c r="N681">
        <v>0</v>
      </c>
      <c r="O681">
        <v>0</v>
      </c>
      <c r="P681">
        <v>0</v>
      </c>
      <c r="Q681">
        <f>IF(R681,TRUE,AND(U681:AC681))</f>
        <v>0</v>
      </c>
      <c r="R681">
        <f>COUNTBLANK(metadata!B681:J681)=COLUMNS(metadata!B681:J681)</f>
        <v>0</v>
      </c>
      <c r="S681">
        <v>0</v>
      </c>
      <c r="U681">
        <f>AND(IF(metadata!B681="",FALSE,TRUE),COUNTIF(metadata!B:B, metadata!B681) = 1,NOT(ISERROR(SUMPRODUCT(SEARCH(MID(metadata!B681,ROW(INDIRECT("1:"&amp;LEN(metadata!B681))), 1),"0123456789abcdefghijklmnopqrstuvwxyzABCDEFGHIJKLMNOPQRSTUVWXYZ.")))))</f>
        <v>0</v>
      </c>
      <c r="V681">
        <f>AND(IF(metadata!C681="",FALSE,TRUE),exact(metadata!C681,"UBERON:genitourinary"))</f>
        <v>0</v>
      </c>
      <c r="W681">
        <f>AND(IF(metadata!D681="",FALSE,TRUE),exact(metadata!D681,"UBERON:urine"))</f>
        <v>0</v>
      </c>
      <c r="X681">
        <f>AND(IF(metadata!E681="",FALSE,TRUE),exact(metadata!E681,"UBERON:kidney"))</f>
        <v>0</v>
      </c>
      <c r="Y681">
        <f>AND(IF(metadata!F681="",FALSE,TRUE),exact(metadata!F681,"animal corpus"))</f>
        <v>0</v>
      </c>
      <c r="Z681">
        <f>AND(IF(metadata!G681="",FALSE,TRUE),exact(metadata!G681,"urine"))</f>
        <v>0</v>
      </c>
      <c r="AA681">
        <f>AND(IF(metadata!H681="",FALSE,TRUE),exact(metadata!H681,"urine"))</f>
        <v>0</v>
      </c>
      <c r="AB681">
        <f>AND(IF(metadata!I681="",FALSE,TRUE),exact(metadata!I681,"urine metagenome"))</f>
        <v>0</v>
      </c>
      <c r="AC681">
        <f>AND(IF(metadata!J681="",FALSE,TRUE),exact(metadata!J681,"1346744"))</f>
        <v>0</v>
      </c>
    </row>
    <row r="682" spans="1:29">
      <c r="A682" s="4">
        <f>IF(B682=" "," ",HYPERLINK(CONCATENATE("#metadata!",ADDRESS(INDEX($P$2:$P$1001,MATCH(ROWS($N$2:N682),$N$2:$N$1001,0),0),1)),INDEX($S$2:$S$1001,MATCH(ROWS($N$2:N682),$N$2:$N$1001,0),0)))</f>
        <v>0</v>
      </c>
      <c r="B682" s="3">
        <f>IF(OR(INDEX($O$2:$O$1001,MATCH(ROWS($N$2:N682),$N$2:$N$1001,0),1)&gt;=100000,INDEX($U$1005:$AC$1005,1,MATCH(COLUMNS($U$1006:U1006),$U$1006:$AC$1006,0))&gt;=100000), " ",IF(INDEX($U$2:$AC$1001,MATCH(ROWS($N$2:N682),$N$2:$N$1001,0),MATCH(COLUMNS($U$1006:U1006),$U$1006:$AC$1006,0)), HYPERLINK("#",""), HYPERLINK(CONCATENATE("#metadata!", ADDRESS(INDEX($P$2:$P$1001,MATCH(ROWS($N$2:N682),$N$2:$N$1001,0),0), INDEX($U$1004:$AC$1004,1,MATCH(COLUMNS($U$1006:U1006),$U$1006:$AC$1006,0)))),"Fix")))</f>
        <v>0</v>
      </c>
      <c r="C682" s="3">
        <f>IF(OR(INDEX($O$2:$O$1001,MATCH(ROWS($N$2:N682),$N$2:$N$1001,0),1)&gt;=100000,INDEX($U$1005:$AC$1005,1,MATCH(COLUMNS($U$1006:V1006),$U$1006:$AC$1006,0))&gt;=100000), " ",IF(INDEX($U$2:$AC$1001,MATCH(ROWS($N$2:N682),$N$2:$N$1001,0),MATCH(COLUMNS($U$1006:V1006),$U$1006:$AC$1006,0)), HYPERLINK("#",""), HYPERLINK(CONCATENATE("#metadata!", ADDRESS(INDEX($P$2:$P$1001,MATCH(ROWS($N$2:N682),$N$2:$N$1001,0),0), INDEX($U$1004:$AC$1004,1,MATCH(COLUMNS($U$1006:V1006),$U$1006:$AC$1006,0)))),"Fix")))</f>
        <v>0</v>
      </c>
      <c r="D682" s="3">
        <f>IF(OR(INDEX($O$2:$O$1001,MATCH(ROWS($N$2:N682),$N$2:$N$1001,0),1)&gt;=100000,INDEX($U$1005:$AC$1005,1,MATCH(COLUMNS($U$1006:W1006),$U$1006:$AC$1006,0))&gt;=100000), " ",IF(INDEX($U$2:$AC$1001,MATCH(ROWS($N$2:N682),$N$2:$N$1001,0),MATCH(COLUMNS($U$1006:W1006),$U$1006:$AC$1006,0)), HYPERLINK("#",""), HYPERLINK(CONCATENATE("#metadata!", ADDRESS(INDEX($P$2:$P$1001,MATCH(ROWS($N$2:N682),$N$2:$N$1001,0),0), INDEX($U$1004:$AC$1004,1,MATCH(COLUMNS($U$1006:W1006),$U$1006:$AC$1006,0)))),"Fix")))</f>
        <v>0</v>
      </c>
      <c r="E682" s="3">
        <f>IF(OR(INDEX($O$2:$O$1001,MATCH(ROWS($N$2:N682),$N$2:$N$1001,0),1)&gt;=100000,INDEX($U$1005:$AC$1005,1,MATCH(COLUMNS($U$1006:X1006),$U$1006:$AC$1006,0))&gt;=100000), " ",IF(INDEX($U$2:$AC$1001,MATCH(ROWS($N$2:N682),$N$2:$N$1001,0),MATCH(COLUMNS($U$1006:X1006),$U$1006:$AC$1006,0)), HYPERLINK("#",""), HYPERLINK(CONCATENATE("#metadata!", ADDRESS(INDEX($P$2:$P$1001,MATCH(ROWS($N$2:N682),$N$2:$N$1001,0),0), INDEX($U$1004:$AC$1004,1,MATCH(COLUMNS($U$1006:X1006),$U$1006:$AC$1006,0)))),"Fix")))</f>
        <v>0</v>
      </c>
      <c r="F682" s="3">
        <f>IF(OR(INDEX($O$2:$O$1001,MATCH(ROWS($N$2:N682),$N$2:$N$1001,0),1)&gt;=100000,INDEX($U$1005:$AC$1005,1,MATCH(COLUMNS($U$1006:Y1006),$U$1006:$AC$1006,0))&gt;=100000), " ",IF(INDEX($U$2:$AC$1001,MATCH(ROWS($N$2:N682),$N$2:$N$1001,0),MATCH(COLUMNS($U$1006:Y1006),$U$1006:$AC$1006,0)), HYPERLINK("#",""), HYPERLINK(CONCATENATE("#metadata!", ADDRESS(INDEX($P$2:$P$1001,MATCH(ROWS($N$2:N682),$N$2:$N$1001,0),0), INDEX($U$1004:$AC$1004,1,MATCH(COLUMNS($U$1006:Y1006),$U$1006:$AC$1006,0)))),"Fix")))</f>
        <v>0</v>
      </c>
      <c r="G682" s="3">
        <f>IF(OR(INDEX($O$2:$O$1001,MATCH(ROWS($N$2:N682),$N$2:$N$1001,0),1)&gt;=100000,INDEX($U$1005:$AC$1005,1,MATCH(COLUMNS($U$1006:Z1006),$U$1006:$AC$1006,0))&gt;=100000), " ",IF(INDEX($U$2:$AC$1001,MATCH(ROWS($N$2:N682),$N$2:$N$1001,0),MATCH(COLUMNS($U$1006:Z1006),$U$1006:$AC$1006,0)), HYPERLINK("#",""), HYPERLINK(CONCATENATE("#metadata!", ADDRESS(INDEX($P$2:$P$1001,MATCH(ROWS($N$2:N682),$N$2:$N$1001,0),0), INDEX($U$1004:$AC$1004,1,MATCH(COLUMNS($U$1006:Z1006),$U$1006:$AC$1006,0)))),"Fix")))</f>
        <v>0</v>
      </c>
      <c r="H682" s="3">
        <f>IF(OR(INDEX($O$2:$O$1001,MATCH(ROWS($N$2:N682),$N$2:$N$1001,0),1)&gt;=100000,INDEX($U$1005:$AC$1005,1,MATCH(COLUMNS($U$1006:AA1006),$U$1006:$AC$1006,0))&gt;=100000), " ",IF(INDEX($U$2:$AC$1001,MATCH(ROWS($N$2:N682),$N$2:$N$1001,0),MATCH(COLUMNS($U$1006:AA1006),$U$1006:$AC$1006,0)), HYPERLINK("#",""), HYPERLINK(CONCATENATE("#metadata!", ADDRESS(INDEX($P$2:$P$1001,MATCH(ROWS($N$2:N682),$N$2:$N$1001,0),0), INDEX($U$1004:$AC$1004,1,MATCH(COLUMNS($U$1006:AA1006),$U$1006:$AC$1006,0)))),"Fix")))</f>
        <v>0</v>
      </c>
      <c r="I682" s="3">
        <f>IF(OR(INDEX($O$2:$O$1001,MATCH(ROWS($N$2:N682),$N$2:$N$1001,0),1)&gt;=100000,INDEX($U$1005:$AC$1005,1,MATCH(COLUMNS($U$1006:AB1006),$U$1006:$AC$1006,0))&gt;=100000), " ",IF(INDEX($U$2:$AC$1001,MATCH(ROWS($N$2:N682),$N$2:$N$1001,0),MATCH(COLUMNS($U$1006:AB1006),$U$1006:$AC$1006,0)), HYPERLINK("#",""), HYPERLINK(CONCATENATE("#metadata!", ADDRESS(INDEX($P$2:$P$1001,MATCH(ROWS($N$2:N682),$N$2:$N$1001,0),0), INDEX($U$1004:$AC$1004,1,MATCH(COLUMNS($U$1006:AB1006),$U$1006:$AC$1006,0)))),"Fix")))</f>
        <v>0</v>
      </c>
      <c r="J682" s="3">
        <f>IF(OR(INDEX($O$2:$O$1001,MATCH(ROWS($N$2:N682),$N$2:$N$1001,0),1)&gt;=100000,INDEX($U$1005:$AC$1005,1,MATCH(COLUMNS($U$1006:AC1006),$U$1006:$AC$1006,0))&gt;=100000), " ",IF(INDEX($U$2:$AC$1001,MATCH(ROWS($N$2:N682),$N$2:$N$1001,0),MATCH(COLUMNS($U$1006:AC1006),$U$1006:$AC$1006,0)), HYPERLINK("#",""), HYPERLINK(CONCATENATE("#metadata!", ADDRESS(INDEX($P$2:$P$1001,MATCH(ROWS($N$2:N682),$N$2:$N$1001,0),0), INDEX($U$1004:$AC$1004,1,MATCH(COLUMNS($U$1006:AC1006),$U$1006:$AC$1006,0)))),"Fix")))</f>
        <v>0</v>
      </c>
      <c r="N682">
        <v>0</v>
      </c>
      <c r="O682">
        <v>0</v>
      </c>
      <c r="P682">
        <v>0</v>
      </c>
      <c r="Q682">
        <f>IF(R682,TRUE,AND(U682:AC682))</f>
        <v>0</v>
      </c>
      <c r="R682">
        <f>COUNTBLANK(metadata!B682:J682)=COLUMNS(metadata!B682:J682)</f>
        <v>0</v>
      </c>
      <c r="S682">
        <v>0</v>
      </c>
      <c r="U682">
        <f>AND(IF(metadata!B682="",FALSE,TRUE),COUNTIF(metadata!B:B, metadata!B682) = 1,NOT(ISERROR(SUMPRODUCT(SEARCH(MID(metadata!B682,ROW(INDIRECT("1:"&amp;LEN(metadata!B682))), 1),"0123456789abcdefghijklmnopqrstuvwxyzABCDEFGHIJKLMNOPQRSTUVWXYZ.")))))</f>
        <v>0</v>
      </c>
      <c r="V682">
        <f>AND(IF(metadata!C682="",FALSE,TRUE),exact(metadata!C682,"UBERON:genitourinary"))</f>
        <v>0</v>
      </c>
      <c r="W682">
        <f>AND(IF(metadata!D682="",FALSE,TRUE),exact(metadata!D682,"UBERON:urine"))</f>
        <v>0</v>
      </c>
      <c r="X682">
        <f>AND(IF(metadata!E682="",FALSE,TRUE),exact(metadata!E682,"UBERON:kidney"))</f>
        <v>0</v>
      </c>
      <c r="Y682">
        <f>AND(IF(metadata!F682="",FALSE,TRUE),exact(metadata!F682,"animal corpus"))</f>
        <v>0</v>
      </c>
      <c r="Z682">
        <f>AND(IF(metadata!G682="",FALSE,TRUE),exact(metadata!G682,"urine"))</f>
        <v>0</v>
      </c>
      <c r="AA682">
        <f>AND(IF(metadata!H682="",FALSE,TRUE),exact(metadata!H682,"urine"))</f>
        <v>0</v>
      </c>
      <c r="AB682">
        <f>AND(IF(metadata!I682="",FALSE,TRUE),exact(metadata!I682,"urine metagenome"))</f>
        <v>0</v>
      </c>
      <c r="AC682">
        <f>AND(IF(metadata!J682="",FALSE,TRUE),exact(metadata!J682,"1346744"))</f>
        <v>0</v>
      </c>
    </row>
    <row r="683" spans="1:29">
      <c r="A683" s="4">
        <f>IF(B683=" "," ",HYPERLINK(CONCATENATE("#metadata!",ADDRESS(INDEX($P$2:$P$1001,MATCH(ROWS($N$2:N683),$N$2:$N$1001,0),0),1)),INDEX($S$2:$S$1001,MATCH(ROWS($N$2:N683),$N$2:$N$1001,0),0)))</f>
        <v>0</v>
      </c>
      <c r="B683" s="3">
        <f>IF(OR(INDEX($O$2:$O$1001,MATCH(ROWS($N$2:N683),$N$2:$N$1001,0),1)&gt;=100000,INDEX($U$1005:$AC$1005,1,MATCH(COLUMNS($U$1006:U1006),$U$1006:$AC$1006,0))&gt;=100000), " ",IF(INDEX($U$2:$AC$1001,MATCH(ROWS($N$2:N683),$N$2:$N$1001,0),MATCH(COLUMNS($U$1006:U1006),$U$1006:$AC$1006,0)), HYPERLINK("#",""), HYPERLINK(CONCATENATE("#metadata!", ADDRESS(INDEX($P$2:$P$1001,MATCH(ROWS($N$2:N683),$N$2:$N$1001,0),0), INDEX($U$1004:$AC$1004,1,MATCH(COLUMNS($U$1006:U1006),$U$1006:$AC$1006,0)))),"Fix")))</f>
        <v>0</v>
      </c>
      <c r="C683" s="3">
        <f>IF(OR(INDEX($O$2:$O$1001,MATCH(ROWS($N$2:N683),$N$2:$N$1001,0),1)&gt;=100000,INDEX($U$1005:$AC$1005,1,MATCH(COLUMNS($U$1006:V1006),$U$1006:$AC$1006,0))&gt;=100000), " ",IF(INDEX($U$2:$AC$1001,MATCH(ROWS($N$2:N683),$N$2:$N$1001,0),MATCH(COLUMNS($U$1006:V1006),$U$1006:$AC$1006,0)), HYPERLINK("#",""), HYPERLINK(CONCATENATE("#metadata!", ADDRESS(INDEX($P$2:$P$1001,MATCH(ROWS($N$2:N683),$N$2:$N$1001,0),0), INDEX($U$1004:$AC$1004,1,MATCH(COLUMNS($U$1006:V1006),$U$1006:$AC$1006,0)))),"Fix")))</f>
        <v>0</v>
      </c>
      <c r="D683" s="3">
        <f>IF(OR(INDEX($O$2:$O$1001,MATCH(ROWS($N$2:N683),$N$2:$N$1001,0),1)&gt;=100000,INDEX($U$1005:$AC$1005,1,MATCH(COLUMNS($U$1006:W1006),$U$1006:$AC$1006,0))&gt;=100000), " ",IF(INDEX($U$2:$AC$1001,MATCH(ROWS($N$2:N683),$N$2:$N$1001,0),MATCH(COLUMNS($U$1006:W1006),$U$1006:$AC$1006,0)), HYPERLINK("#",""), HYPERLINK(CONCATENATE("#metadata!", ADDRESS(INDEX($P$2:$P$1001,MATCH(ROWS($N$2:N683),$N$2:$N$1001,0),0), INDEX($U$1004:$AC$1004,1,MATCH(COLUMNS($U$1006:W1006),$U$1006:$AC$1006,0)))),"Fix")))</f>
        <v>0</v>
      </c>
      <c r="E683" s="3">
        <f>IF(OR(INDEX($O$2:$O$1001,MATCH(ROWS($N$2:N683),$N$2:$N$1001,0),1)&gt;=100000,INDEX($U$1005:$AC$1005,1,MATCH(COLUMNS($U$1006:X1006),$U$1006:$AC$1006,0))&gt;=100000), " ",IF(INDEX($U$2:$AC$1001,MATCH(ROWS($N$2:N683),$N$2:$N$1001,0),MATCH(COLUMNS($U$1006:X1006),$U$1006:$AC$1006,0)), HYPERLINK("#",""), HYPERLINK(CONCATENATE("#metadata!", ADDRESS(INDEX($P$2:$P$1001,MATCH(ROWS($N$2:N683),$N$2:$N$1001,0),0), INDEX($U$1004:$AC$1004,1,MATCH(COLUMNS($U$1006:X1006),$U$1006:$AC$1006,0)))),"Fix")))</f>
        <v>0</v>
      </c>
      <c r="F683" s="3">
        <f>IF(OR(INDEX($O$2:$O$1001,MATCH(ROWS($N$2:N683),$N$2:$N$1001,0),1)&gt;=100000,INDEX($U$1005:$AC$1005,1,MATCH(COLUMNS($U$1006:Y1006),$U$1006:$AC$1006,0))&gt;=100000), " ",IF(INDEX($U$2:$AC$1001,MATCH(ROWS($N$2:N683),$N$2:$N$1001,0),MATCH(COLUMNS($U$1006:Y1006),$U$1006:$AC$1006,0)), HYPERLINK("#",""), HYPERLINK(CONCATENATE("#metadata!", ADDRESS(INDEX($P$2:$P$1001,MATCH(ROWS($N$2:N683),$N$2:$N$1001,0),0), INDEX($U$1004:$AC$1004,1,MATCH(COLUMNS($U$1006:Y1006),$U$1006:$AC$1006,0)))),"Fix")))</f>
        <v>0</v>
      </c>
      <c r="G683" s="3">
        <f>IF(OR(INDEX($O$2:$O$1001,MATCH(ROWS($N$2:N683),$N$2:$N$1001,0),1)&gt;=100000,INDEX($U$1005:$AC$1005,1,MATCH(COLUMNS($U$1006:Z1006),$U$1006:$AC$1006,0))&gt;=100000), " ",IF(INDEX($U$2:$AC$1001,MATCH(ROWS($N$2:N683),$N$2:$N$1001,0),MATCH(COLUMNS($U$1006:Z1006),$U$1006:$AC$1006,0)), HYPERLINK("#",""), HYPERLINK(CONCATENATE("#metadata!", ADDRESS(INDEX($P$2:$P$1001,MATCH(ROWS($N$2:N683),$N$2:$N$1001,0),0), INDEX($U$1004:$AC$1004,1,MATCH(COLUMNS($U$1006:Z1006),$U$1006:$AC$1006,0)))),"Fix")))</f>
        <v>0</v>
      </c>
      <c r="H683" s="3">
        <f>IF(OR(INDEX($O$2:$O$1001,MATCH(ROWS($N$2:N683),$N$2:$N$1001,0),1)&gt;=100000,INDEX($U$1005:$AC$1005,1,MATCH(COLUMNS($U$1006:AA1006),$U$1006:$AC$1006,0))&gt;=100000), " ",IF(INDEX($U$2:$AC$1001,MATCH(ROWS($N$2:N683),$N$2:$N$1001,0),MATCH(COLUMNS($U$1006:AA1006),$U$1006:$AC$1006,0)), HYPERLINK("#",""), HYPERLINK(CONCATENATE("#metadata!", ADDRESS(INDEX($P$2:$P$1001,MATCH(ROWS($N$2:N683),$N$2:$N$1001,0),0), INDEX($U$1004:$AC$1004,1,MATCH(COLUMNS($U$1006:AA1006),$U$1006:$AC$1006,0)))),"Fix")))</f>
        <v>0</v>
      </c>
      <c r="I683" s="3">
        <f>IF(OR(INDEX($O$2:$O$1001,MATCH(ROWS($N$2:N683),$N$2:$N$1001,0),1)&gt;=100000,INDEX($U$1005:$AC$1005,1,MATCH(COLUMNS($U$1006:AB1006),$U$1006:$AC$1006,0))&gt;=100000), " ",IF(INDEX($U$2:$AC$1001,MATCH(ROWS($N$2:N683),$N$2:$N$1001,0),MATCH(COLUMNS($U$1006:AB1006),$U$1006:$AC$1006,0)), HYPERLINK("#",""), HYPERLINK(CONCATENATE("#metadata!", ADDRESS(INDEX($P$2:$P$1001,MATCH(ROWS($N$2:N683),$N$2:$N$1001,0),0), INDEX($U$1004:$AC$1004,1,MATCH(COLUMNS($U$1006:AB1006),$U$1006:$AC$1006,0)))),"Fix")))</f>
        <v>0</v>
      </c>
      <c r="J683" s="3">
        <f>IF(OR(INDEX($O$2:$O$1001,MATCH(ROWS($N$2:N683),$N$2:$N$1001,0),1)&gt;=100000,INDEX($U$1005:$AC$1005,1,MATCH(COLUMNS($U$1006:AC1006),$U$1006:$AC$1006,0))&gt;=100000), " ",IF(INDEX($U$2:$AC$1001,MATCH(ROWS($N$2:N683),$N$2:$N$1001,0),MATCH(COLUMNS($U$1006:AC1006),$U$1006:$AC$1006,0)), HYPERLINK("#",""), HYPERLINK(CONCATENATE("#metadata!", ADDRESS(INDEX($P$2:$P$1001,MATCH(ROWS($N$2:N683),$N$2:$N$1001,0),0), INDEX($U$1004:$AC$1004,1,MATCH(COLUMNS($U$1006:AC1006),$U$1006:$AC$1006,0)))),"Fix")))</f>
        <v>0</v>
      </c>
      <c r="N683">
        <v>0</v>
      </c>
      <c r="O683">
        <v>0</v>
      </c>
      <c r="P683">
        <v>0</v>
      </c>
      <c r="Q683">
        <f>IF(R683,TRUE,AND(U683:AC683))</f>
        <v>0</v>
      </c>
      <c r="R683">
        <f>COUNTBLANK(metadata!B683:J683)=COLUMNS(metadata!B683:J683)</f>
        <v>0</v>
      </c>
      <c r="S683">
        <v>0</v>
      </c>
      <c r="U683">
        <f>AND(IF(metadata!B683="",FALSE,TRUE),COUNTIF(metadata!B:B, metadata!B683) = 1,NOT(ISERROR(SUMPRODUCT(SEARCH(MID(metadata!B683,ROW(INDIRECT("1:"&amp;LEN(metadata!B683))), 1),"0123456789abcdefghijklmnopqrstuvwxyzABCDEFGHIJKLMNOPQRSTUVWXYZ.")))))</f>
        <v>0</v>
      </c>
      <c r="V683">
        <f>AND(IF(metadata!C683="",FALSE,TRUE),exact(metadata!C683,"UBERON:genitourinary"))</f>
        <v>0</v>
      </c>
      <c r="W683">
        <f>AND(IF(metadata!D683="",FALSE,TRUE),exact(metadata!D683,"UBERON:urine"))</f>
        <v>0</v>
      </c>
      <c r="X683">
        <f>AND(IF(metadata!E683="",FALSE,TRUE),exact(metadata!E683,"UBERON:kidney"))</f>
        <v>0</v>
      </c>
      <c r="Y683">
        <f>AND(IF(metadata!F683="",FALSE,TRUE),exact(metadata!F683,"animal corpus"))</f>
        <v>0</v>
      </c>
      <c r="Z683">
        <f>AND(IF(metadata!G683="",FALSE,TRUE),exact(metadata!G683,"urine"))</f>
        <v>0</v>
      </c>
      <c r="AA683">
        <f>AND(IF(metadata!H683="",FALSE,TRUE),exact(metadata!H683,"urine"))</f>
        <v>0</v>
      </c>
      <c r="AB683">
        <f>AND(IF(metadata!I683="",FALSE,TRUE),exact(metadata!I683,"urine metagenome"))</f>
        <v>0</v>
      </c>
      <c r="AC683">
        <f>AND(IF(metadata!J683="",FALSE,TRUE),exact(metadata!J683,"1346744"))</f>
        <v>0</v>
      </c>
    </row>
    <row r="684" spans="1:29">
      <c r="A684" s="4">
        <f>IF(B684=" "," ",HYPERLINK(CONCATENATE("#metadata!",ADDRESS(INDEX($P$2:$P$1001,MATCH(ROWS($N$2:N684),$N$2:$N$1001,0),0),1)),INDEX($S$2:$S$1001,MATCH(ROWS($N$2:N684),$N$2:$N$1001,0),0)))</f>
        <v>0</v>
      </c>
      <c r="B684" s="3">
        <f>IF(OR(INDEX($O$2:$O$1001,MATCH(ROWS($N$2:N684),$N$2:$N$1001,0),1)&gt;=100000,INDEX($U$1005:$AC$1005,1,MATCH(COLUMNS($U$1006:U1006),$U$1006:$AC$1006,0))&gt;=100000), " ",IF(INDEX($U$2:$AC$1001,MATCH(ROWS($N$2:N684),$N$2:$N$1001,0),MATCH(COLUMNS($U$1006:U1006),$U$1006:$AC$1006,0)), HYPERLINK("#",""), HYPERLINK(CONCATENATE("#metadata!", ADDRESS(INDEX($P$2:$P$1001,MATCH(ROWS($N$2:N684),$N$2:$N$1001,0),0), INDEX($U$1004:$AC$1004,1,MATCH(COLUMNS($U$1006:U1006),$U$1006:$AC$1006,0)))),"Fix")))</f>
        <v>0</v>
      </c>
      <c r="C684" s="3">
        <f>IF(OR(INDEX($O$2:$O$1001,MATCH(ROWS($N$2:N684),$N$2:$N$1001,0),1)&gt;=100000,INDEX($U$1005:$AC$1005,1,MATCH(COLUMNS($U$1006:V1006),$U$1006:$AC$1006,0))&gt;=100000), " ",IF(INDEX($U$2:$AC$1001,MATCH(ROWS($N$2:N684),$N$2:$N$1001,0),MATCH(COLUMNS($U$1006:V1006),$U$1006:$AC$1006,0)), HYPERLINK("#",""), HYPERLINK(CONCATENATE("#metadata!", ADDRESS(INDEX($P$2:$P$1001,MATCH(ROWS($N$2:N684),$N$2:$N$1001,0),0), INDEX($U$1004:$AC$1004,1,MATCH(COLUMNS($U$1006:V1006),$U$1006:$AC$1006,0)))),"Fix")))</f>
        <v>0</v>
      </c>
      <c r="D684" s="3">
        <f>IF(OR(INDEX($O$2:$O$1001,MATCH(ROWS($N$2:N684),$N$2:$N$1001,0),1)&gt;=100000,INDEX($U$1005:$AC$1005,1,MATCH(COLUMNS($U$1006:W1006),$U$1006:$AC$1006,0))&gt;=100000), " ",IF(INDEX($U$2:$AC$1001,MATCH(ROWS($N$2:N684),$N$2:$N$1001,0),MATCH(COLUMNS($U$1006:W1006),$U$1006:$AC$1006,0)), HYPERLINK("#",""), HYPERLINK(CONCATENATE("#metadata!", ADDRESS(INDEX($P$2:$P$1001,MATCH(ROWS($N$2:N684),$N$2:$N$1001,0),0), INDEX($U$1004:$AC$1004,1,MATCH(COLUMNS($U$1006:W1006),$U$1006:$AC$1006,0)))),"Fix")))</f>
        <v>0</v>
      </c>
      <c r="E684" s="3">
        <f>IF(OR(INDEX($O$2:$O$1001,MATCH(ROWS($N$2:N684),$N$2:$N$1001,0),1)&gt;=100000,INDEX($U$1005:$AC$1005,1,MATCH(COLUMNS($U$1006:X1006),$U$1006:$AC$1006,0))&gt;=100000), " ",IF(INDEX($U$2:$AC$1001,MATCH(ROWS($N$2:N684),$N$2:$N$1001,0),MATCH(COLUMNS($U$1006:X1006),$U$1006:$AC$1006,0)), HYPERLINK("#",""), HYPERLINK(CONCATENATE("#metadata!", ADDRESS(INDEX($P$2:$P$1001,MATCH(ROWS($N$2:N684),$N$2:$N$1001,0),0), INDEX($U$1004:$AC$1004,1,MATCH(COLUMNS($U$1006:X1006),$U$1006:$AC$1006,0)))),"Fix")))</f>
        <v>0</v>
      </c>
      <c r="F684" s="3">
        <f>IF(OR(INDEX($O$2:$O$1001,MATCH(ROWS($N$2:N684),$N$2:$N$1001,0),1)&gt;=100000,INDEX($U$1005:$AC$1005,1,MATCH(COLUMNS($U$1006:Y1006),$U$1006:$AC$1006,0))&gt;=100000), " ",IF(INDEX($U$2:$AC$1001,MATCH(ROWS($N$2:N684),$N$2:$N$1001,0),MATCH(COLUMNS($U$1006:Y1006),$U$1006:$AC$1006,0)), HYPERLINK("#",""), HYPERLINK(CONCATENATE("#metadata!", ADDRESS(INDEX($P$2:$P$1001,MATCH(ROWS($N$2:N684),$N$2:$N$1001,0),0), INDEX($U$1004:$AC$1004,1,MATCH(COLUMNS($U$1006:Y1006),$U$1006:$AC$1006,0)))),"Fix")))</f>
        <v>0</v>
      </c>
      <c r="G684" s="3">
        <f>IF(OR(INDEX($O$2:$O$1001,MATCH(ROWS($N$2:N684),$N$2:$N$1001,0),1)&gt;=100000,INDEX($U$1005:$AC$1005,1,MATCH(COLUMNS($U$1006:Z1006),$U$1006:$AC$1006,0))&gt;=100000), " ",IF(INDEX($U$2:$AC$1001,MATCH(ROWS($N$2:N684),$N$2:$N$1001,0),MATCH(COLUMNS($U$1006:Z1006),$U$1006:$AC$1006,0)), HYPERLINK("#",""), HYPERLINK(CONCATENATE("#metadata!", ADDRESS(INDEX($P$2:$P$1001,MATCH(ROWS($N$2:N684),$N$2:$N$1001,0),0), INDEX($U$1004:$AC$1004,1,MATCH(COLUMNS($U$1006:Z1006),$U$1006:$AC$1006,0)))),"Fix")))</f>
        <v>0</v>
      </c>
      <c r="H684" s="3">
        <f>IF(OR(INDEX($O$2:$O$1001,MATCH(ROWS($N$2:N684),$N$2:$N$1001,0),1)&gt;=100000,INDEX($U$1005:$AC$1005,1,MATCH(COLUMNS($U$1006:AA1006),$U$1006:$AC$1006,0))&gt;=100000), " ",IF(INDEX($U$2:$AC$1001,MATCH(ROWS($N$2:N684),$N$2:$N$1001,0),MATCH(COLUMNS($U$1006:AA1006),$U$1006:$AC$1006,0)), HYPERLINK("#",""), HYPERLINK(CONCATENATE("#metadata!", ADDRESS(INDEX($P$2:$P$1001,MATCH(ROWS($N$2:N684),$N$2:$N$1001,0),0), INDEX($U$1004:$AC$1004,1,MATCH(COLUMNS($U$1006:AA1006),$U$1006:$AC$1006,0)))),"Fix")))</f>
        <v>0</v>
      </c>
      <c r="I684" s="3">
        <f>IF(OR(INDEX($O$2:$O$1001,MATCH(ROWS($N$2:N684),$N$2:$N$1001,0),1)&gt;=100000,INDEX($U$1005:$AC$1005,1,MATCH(COLUMNS($U$1006:AB1006),$U$1006:$AC$1006,0))&gt;=100000), " ",IF(INDEX($U$2:$AC$1001,MATCH(ROWS($N$2:N684),$N$2:$N$1001,0),MATCH(COLUMNS($U$1006:AB1006),$U$1006:$AC$1006,0)), HYPERLINK("#",""), HYPERLINK(CONCATENATE("#metadata!", ADDRESS(INDEX($P$2:$P$1001,MATCH(ROWS($N$2:N684),$N$2:$N$1001,0),0), INDEX($U$1004:$AC$1004,1,MATCH(COLUMNS($U$1006:AB1006),$U$1006:$AC$1006,0)))),"Fix")))</f>
        <v>0</v>
      </c>
      <c r="J684" s="3">
        <f>IF(OR(INDEX($O$2:$O$1001,MATCH(ROWS($N$2:N684),$N$2:$N$1001,0),1)&gt;=100000,INDEX($U$1005:$AC$1005,1,MATCH(COLUMNS($U$1006:AC1006),$U$1006:$AC$1006,0))&gt;=100000), " ",IF(INDEX($U$2:$AC$1001,MATCH(ROWS($N$2:N684),$N$2:$N$1001,0),MATCH(COLUMNS($U$1006:AC1006),$U$1006:$AC$1006,0)), HYPERLINK("#",""), HYPERLINK(CONCATENATE("#metadata!", ADDRESS(INDEX($P$2:$P$1001,MATCH(ROWS($N$2:N684),$N$2:$N$1001,0),0), INDEX($U$1004:$AC$1004,1,MATCH(COLUMNS($U$1006:AC1006),$U$1006:$AC$1006,0)))),"Fix")))</f>
        <v>0</v>
      </c>
      <c r="N684">
        <v>0</v>
      </c>
      <c r="O684">
        <v>0</v>
      </c>
      <c r="P684">
        <v>0</v>
      </c>
      <c r="Q684">
        <f>IF(R684,TRUE,AND(U684:AC684))</f>
        <v>0</v>
      </c>
      <c r="R684">
        <f>COUNTBLANK(metadata!B684:J684)=COLUMNS(metadata!B684:J684)</f>
        <v>0</v>
      </c>
      <c r="S684">
        <v>0</v>
      </c>
      <c r="U684">
        <f>AND(IF(metadata!B684="",FALSE,TRUE),COUNTIF(metadata!B:B, metadata!B684) = 1,NOT(ISERROR(SUMPRODUCT(SEARCH(MID(metadata!B684,ROW(INDIRECT("1:"&amp;LEN(metadata!B684))), 1),"0123456789abcdefghijklmnopqrstuvwxyzABCDEFGHIJKLMNOPQRSTUVWXYZ.")))))</f>
        <v>0</v>
      </c>
      <c r="V684">
        <f>AND(IF(metadata!C684="",FALSE,TRUE),exact(metadata!C684,"UBERON:genitourinary"))</f>
        <v>0</v>
      </c>
      <c r="W684">
        <f>AND(IF(metadata!D684="",FALSE,TRUE),exact(metadata!D684,"UBERON:urine"))</f>
        <v>0</v>
      </c>
      <c r="X684">
        <f>AND(IF(metadata!E684="",FALSE,TRUE),exact(metadata!E684,"UBERON:kidney"))</f>
        <v>0</v>
      </c>
      <c r="Y684">
        <f>AND(IF(metadata!F684="",FALSE,TRUE),exact(metadata!F684,"animal corpus"))</f>
        <v>0</v>
      </c>
      <c r="Z684">
        <f>AND(IF(metadata!G684="",FALSE,TRUE),exact(metadata!G684,"urine"))</f>
        <v>0</v>
      </c>
      <c r="AA684">
        <f>AND(IF(metadata!H684="",FALSE,TRUE),exact(metadata!H684,"urine"))</f>
        <v>0</v>
      </c>
      <c r="AB684">
        <f>AND(IF(metadata!I684="",FALSE,TRUE),exact(metadata!I684,"urine metagenome"))</f>
        <v>0</v>
      </c>
      <c r="AC684">
        <f>AND(IF(metadata!J684="",FALSE,TRUE),exact(metadata!J684,"1346744"))</f>
        <v>0</v>
      </c>
    </row>
    <row r="685" spans="1:29">
      <c r="A685" s="4">
        <f>IF(B685=" "," ",HYPERLINK(CONCATENATE("#metadata!",ADDRESS(INDEX($P$2:$P$1001,MATCH(ROWS($N$2:N685),$N$2:$N$1001,0),0),1)),INDEX($S$2:$S$1001,MATCH(ROWS($N$2:N685),$N$2:$N$1001,0),0)))</f>
        <v>0</v>
      </c>
      <c r="B685" s="3">
        <f>IF(OR(INDEX($O$2:$O$1001,MATCH(ROWS($N$2:N685),$N$2:$N$1001,0),1)&gt;=100000,INDEX($U$1005:$AC$1005,1,MATCH(COLUMNS($U$1006:U1006),$U$1006:$AC$1006,0))&gt;=100000), " ",IF(INDEX($U$2:$AC$1001,MATCH(ROWS($N$2:N685),$N$2:$N$1001,0),MATCH(COLUMNS($U$1006:U1006),$U$1006:$AC$1006,0)), HYPERLINK("#",""), HYPERLINK(CONCATENATE("#metadata!", ADDRESS(INDEX($P$2:$P$1001,MATCH(ROWS($N$2:N685),$N$2:$N$1001,0),0), INDEX($U$1004:$AC$1004,1,MATCH(COLUMNS($U$1006:U1006),$U$1006:$AC$1006,0)))),"Fix")))</f>
        <v>0</v>
      </c>
      <c r="C685" s="3">
        <f>IF(OR(INDEX($O$2:$O$1001,MATCH(ROWS($N$2:N685),$N$2:$N$1001,0),1)&gt;=100000,INDEX($U$1005:$AC$1005,1,MATCH(COLUMNS($U$1006:V1006),$U$1006:$AC$1006,0))&gt;=100000), " ",IF(INDEX($U$2:$AC$1001,MATCH(ROWS($N$2:N685),$N$2:$N$1001,0),MATCH(COLUMNS($U$1006:V1006),$U$1006:$AC$1006,0)), HYPERLINK("#",""), HYPERLINK(CONCATENATE("#metadata!", ADDRESS(INDEX($P$2:$P$1001,MATCH(ROWS($N$2:N685),$N$2:$N$1001,0),0), INDEX($U$1004:$AC$1004,1,MATCH(COLUMNS($U$1006:V1006),$U$1006:$AC$1006,0)))),"Fix")))</f>
        <v>0</v>
      </c>
      <c r="D685" s="3">
        <f>IF(OR(INDEX($O$2:$O$1001,MATCH(ROWS($N$2:N685),$N$2:$N$1001,0),1)&gt;=100000,INDEX($U$1005:$AC$1005,1,MATCH(COLUMNS($U$1006:W1006),$U$1006:$AC$1006,0))&gt;=100000), " ",IF(INDEX($U$2:$AC$1001,MATCH(ROWS($N$2:N685),$N$2:$N$1001,0),MATCH(COLUMNS($U$1006:W1006),$U$1006:$AC$1006,0)), HYPERLINK("#",""), HYPERLINK(CONCATENATE("#metadata!", ADDRESS(INDEX($P$2:$P$1001,MATCH(ROWS($N$2:N685),$N$2:$N$1001,0),0), INDEX($U$1004:$AC$1004,1,MATCH(COLUMNS($U$1006:W1006),$U$1006:$AC$1006,0)))),"Fix")))</f>
        <v>0</v>
      </c>
      <c r="E685" s="3">
        <f>IF(OR(INDEX($O$2:$O$1001,MATCH(ROWS($N$2:N685),$N$2:$N$1001,0),1)&gt;=100000,INDEX($U$1005:$AC$1005,1,MATCH(COLUMNS($U$1006:X1006),$U$1006:$AC$1006,0))&gt;=100000), " ",IF(INDEX($U$2:$AC$1001,MATCH(ROWS($N$2:N685),$N$2:$N$1001,0),MATCH(COLUMNS($U$1006:X1006),$U$1006:$AC$1006,0)), HYPERLINK("#",""), HYPERLINK(CONCATENATE("#metadata!", ADDRESS(INDEX($P$2:$P$1001,MATCH(ROWS($N$2:N685),$N$2:$N$1001,0),0), INDEX($U$1004:$AC$1004,1,MATCH(COLUMNS($U$1006:X1006),$U$1006:$AC$1006,0)))),"Fix")))</f>
        <v>0</v>
      </c>
      <c r="F685" s="3">
        <f>IF(OR(INDEX($O$2:$O$1001,MATCH(ROWS($N$2:N685),$N$2:$N$1001,0),1)&gt;=100000,INDEX($U$1005:$AC$1005,1,MATCH(COLUMNS($U$1006:Y1006),$U$1006:$AC$1006,0))&gt;=100000), " ",IF(INDEX($U$2:$AC$1001,MATCH(ROWS($N$2:N685),$N$2:$N$1001,0),MATCH(COLUMNS($U$1006:Y1006),$U$1006:$AC$1006,0)), HYPERLINK("#",""), HYPERLINK(CONCATENATE("#metadata!", ADDRESS(INDEX($P$2:$P$1001,MATCH(ROWS($N$2:N685),$N$2:$N$1001,0),0), INDEX($U$1004:$AC$1004,1,MATCH(COLUMNS($U$1006:Y1006),$U$1006:$AC$1006,0)))),"Fix")))</f>
        <v>0</v>
      </c>
      <c r="G685" s="3">
        <f>IF(OR(INDEX($O$2:$O$1001,MATCH(ROWS($N$2:N685),$N$2:$N$1001,0),1)&gt;=100000,INDEX($U$1005:$AC$1005,1,MATCH(COLUMNS($U$1006:Z1006),$U$1006:$AC$1006,0))&gt;=100000), " ",IF(INDEX($U$2:$AC$1001,MATCH(ROWS($N$2:N685),$N$2:$N$1001,0),MATCH(COLUMNS($U$1006:Z1006),$U$1006:$AC$1006,0)), HYPERLINK("#",""), HYPERLINK(CONCATENATE("#metadata!", ADDRESS(INDEX($P$2:$P$1001,MATCH(ROWS($N$2:N685),$N$2:$N$1001,0),0), INDEX($U$1004:$AC$1004,1,MATCH(COLUMNS($U$1006:Z1006),$U$1006:$AC$1006,0)))),"Fix")))</f>
        <v>0</v>
      </c>
      <c r="H685" s="3">
        <f>IF(OR(INDEX($O$2:$O$1001,MATCH(ROWS($N$2:N685),$N$2:$N$1001,0),1)&gt;=100000,INDEX($U$1005:$AC$1005,1,MATCH(COLUMNS($U$1006:AA1006),$U$1006:$AC$1006,0))&gt;=100000), " ",IF(INDEX($U$2:$AC$1001,MATCH(ROWS($N$2:N685),$N$2:$N$1001,0),MATCH(COLUMNS($U$1006:AA1006),$U$1006:$AC$1006,0)), HYPERLINK("#",""), HYPERLINK(CONCATENATE("#metadata!", ADDRESS(INDEX($P$2:$P$1001,MATCH(ROWS($N$2:N685),$N$2:$N$1001,0),0), INDEX($U$1004:$AC$1004,1,MATCH(COLUMNS($U$1006:AA1006),$U$1006:$AC$1006,0)))),"Fix")))</f>
        <v>0</v>
      </c>
      <c r="I685" s="3">
        <f>IF(OR(INDEX($O$2:$O$1001,MATCH(ROWS($N$2:N685),$N$2:$N$1001,0),1)&gt;=100000,INDEX($U$1005:$AC$1005,1,MATCH(COLUMNS($U$1006:AB1006),$U$1006:$AC$1006,0))&gt;=100000), " ",IF(INDEX($U$2:$AC$1001,MATCH(ROWS($N$2:N685),$N$2:$N$1001,0),MATCH(COLUMNS($U$1006:AB1006),$U$1006:$AC$1006,0)), HYPERLINK("#",""), HYPERLINK(CONCATENATE("#metadata!", ADDRESS(INDEX($P$2:$P$1001,MATCH(ROWS($N$2:N685),$N$2:$N$1001,0),0), INDEX($U$1004:$AC$1004,1,MATCH(COLUMNS($U$1006:AB1006),$U$1006:$AC$1006,0)))),"Fix")))</f>
        <v>0</v>
      </c>
      <c r="J685" s="3">
        <f>IF(OR(INDEX($O$2:$O$1001,MATCH(ROWS($N$2:N685),$N$2:$N$1001,0),1)&gt;=100000,INDEX($U$1005:$AC$1005,1,MATCH(COLUMNS($U$1006:AC1006),$U$1006:$AC$1006,0))&gt;=100000), " ",IF(INDEX($U$2:$AC$1001,MATCH(ROWS($N$2:N685),$N$2:$N$1001,0),MATCH(COLUMNS($U$1006:AC1006),$U$1006:$AC$1006,0)), HYPERLINK("#",""), HYPERLINK(CONCATENATE("#metadata!", ADDRESS(INDEX($P$2:$P$1001,MATCH(ROWS($N$2:N685),$N$2:$N$1001,0),0), INDEX($U$1004:$AC$1004,1,MATCH(COLUMNS($U$1006:AC1006),$U$1006:$AC$1006,0)))),"Fix")))</f>
        <v>0</v>
      </c>
      <c r="N685">
        <v>0</v>
      </c>
      <c r="O685">
        <v>0</v>
      </c>
      <c r="P685">
        <v>0</v>
      </c>
      <c r="Q685">
        <f>IF(R685,TRUE,AND(U685:AC685))</f>
        <v>0</v>
      </c>
      <c r="R685">
        <f>COUNTBLANK(metadata!B685:J685)=COLUMNS(metadata!B685:J685)</f>
        <v>0</v>
      </c>
      <c r="S685">
        <v>0</v>
      </c>
      <c r="U685">
        <f>AND(IF(metadata!B685="",FALSE,TRUE),COUNTIF(metadata!B:B, metadata!B685) = 1,NOT(ISERROR(SUMPRODUCT(SEARCH(MID(metadata!B685,ROW(INDIRECT("1:"&amp;LEN(metadata!B685))), 1),"0123456789abcdefghijklmnopqrstuvwxyzABCDEFGHIJKLMNOPQRSTUVWXYZ.")))))</f>
        <v>0</v>
      </c>
      <c r="V685">
        <f>AND(IF(metadata!C685="",FALSE,TRUE),exact(metadata!C685,"UBERON:genitourinary"))</f>
        <v>0</v>
      </c>
      <c r="W685">
        <f>AND(IF(metadata!D685="",FALSE,TRUE),exact(metadata!D685,"UBERON:urine"))</f>
        <v>0</v>
      </c>
      <c r="X685">
        <f>AND(IF(metadata!E685="",FALSE,TRUE),exact(metadata!E685,"UBERON:kidney"))</f>
        <v>0</v>
      </c>
      <c r="Y685">
        <f>AND(IF(metadata!F685="",FALSE,TRUE),exact(metadata!F685,"animal corpus"))</f>
        <v>0</v>
      </c>
      <c r="Z685">
        <f>AND(IF(metadata!G685="",FALSE,TRUE),exact(metadata!G685,"urine"))</f>
        <v>0</v>
      </c>
      <c r="AA685">
        <f>AND(IF(metadata!H685="",FALSE,TRUE),exact(metadata!H685,"urine"))</f>
        <v>0</v>
      </c>
      <c r="AB685">
        <f>AND(IF(metadata!I685="",FALSE,TRUE),exact(metadata!I685,"urine metagenome"))</f>
        <v>0</v>
      </c>
      <c r="AC685">
        <f>AND(IF(metadata!J685="",FALSE,TRUE),exact(metadata!J685,"1346744"))</f>
        <v>0</v>
      </c>
    </row>
    <row r="686" spans="1:29">
      <c r="A686" s="4">
        <f>IF(B686=" "," ",HYPERLINK(CONCATENATE("#metadata!",ADDRESS(INDEX($P$2:$P$1001,MATCH(ROWS($N$2:N686),$N$2:$N$1001,0),0),1)),INDEX($S$2:$S$1001,MATCH(ROWS($N$2:N686),$N$2:$N$1001,0),0)))</f>
        <v>0</v>
      </c>
      <c r="B686" s="3">
        <f>IF(OR(INDEX($O$2:$O$1001,MATCH(ROWS($N$2:N686),$N$2:$N$1001,0),1)&gt;=100000,INDEX($U$1005:$AC$1005,1,MATCH(COLUMNS($U$1006:U1006),$U$1006:$AC$1006,0))&gt;=100000), " ",IF(INDEX($U$2:$AC$1001,MATCH(ROWS($N$2:N686),$N$2:$N$1001,0),MATCH(COLUMNS($U$1006:U1006),$U$1006:$AC$1006,0)), HYPERLINK("#",""), HYPERLINK(CONCATENATE("#metadata!", ADDRESS(INDEX($P$2:$P$1001,MATCH(ROWS($N$2:N686),$N$2:$N$1001,0),0), INDEX($U$1004:$AC$1004,1,MATCH(COLUMNS($U$1006:U1006),$U$1006:$AC$1006,0)))),"Fix")))</f>
        <v>0</v>
      </c>
      <c r="C686" s="3">
        <f>IF(OR(INDEX($O$2:$O$1001,MATCH(ROWS($N$2:N686),$N$2:$N$1001,0),1)&gt;=100000,INDEX($U$1005:$AC$1005,1,MATCH(COLUMNS($U$1006:V1006),$U$1006:$AC$1006,0))&gt;=100000), " ",IF(INDEX($U$2:$AC$1001,MATCH(ROWS($N$2:N686),$N$2:$N$1001,0),MATCH(COLUMNS($U$1006:V1006),$U$1006:$AC$1006,0)), HYPERLINK("#",""), HYPERLINK(CONCATENATE("#metadata!", ADDRESS(INDEX($P$2:$P$1001,MATCH(ROWS($N$2:N686),$N$2:$N$1001,0),0), INDEX($U$1004:$AC$1004,1,MATCH(COLUMNS($U$1006:V1006),$U$1006:$AC$1006,0)))),"Fix")))</f>
        <v>0</v>
      </c>
      <c r="D686" s="3">
        <f>IF(OR(INDEX($O$2:$O$1001,MATCH(ROWS($N$2:N686),$N$2:$N$1001,0),1)&gt;=100000,INDEX($U$1005:$AC$1005,1,MATCH(COLUMNS($U$1006:W1006),$U$1006:$AC$1006,0))&gt;=100000), " ",IF(INDEX($U$2:$AC$1001,MATCH(ROWS($N$2:N686),$N$2:$N$1001,0),MATCH(COLUMNS($U$1006:W1006),$U$1006:$AC$1006,0)), HYPERLINK("#",""), HYPERLINK(CONCATENATE("#metadata!", ADDRESS(INDEX($P$2:$P$1001,MATCH(ROWS($N$2:N686),$N$2:$N$1001,0),0), INDEX($U$1004:$AC$1004,1,MATCH(COLUMNS($U$1006:W1006),$U$1006:$AC$1006,0)))),"Fix")))</f>
        <v>0</v>
      </c>
      <c r="E686" s="3">
        <f>IF(OR(INDEX($O$2:$O$1001,MATCH(ROWS($N$2:N686),$N$2:$N$1001,0),1)&gt;=100000,INDEX($U$1005:$AC$1005,1,MATCH(COLUMNS($U$1006:X1006),$U$1006:$AC$1006,0))&gt;=100000), " ",IF(INDEX($U$2:$AC$1001,MATCH(ROWS($N$2:N686),$N$2:$N$1001,0),MATCH(COLUMNS($U$1006:X1006),$U$1006:$AC$1006,0)), HYPERLINK("#",""), HYPERLINK(CONCATENATE("#metadata!", ADDRESS(INDEX($P$2:$P$1001,MATCH(ROWS($N$2:N686),$N$2:$N$1001,0),0), INDEX($U$1004:$AC$1004,1,MATCH(COLUMNS($U$1006:X1006),$U$1006:$AC$1006,0)))),"Fix")))</f>
        <v>0</v>
      </c>
      <c r="F686" s="3">
        <f>IF(OR(INDEX($O$2:$O$1001,MATCH(ROWS($N$2:N686),$N$2:$N$1001,0),1)&gt;=100000,INDEX($U$1005:$AC$1005,1,MATCH(COLUMNS($U$1006:Y1006),$U$1006:$AC$1006,0))&gt;=100000), " ",IF(INDEX($U$2:$AC$1001,MATCH(ROWS($N$2:N686),$N$2:$N$1001,0),MATCH(COLUMNS($U$1006:Y1006),$U$1006:$AC$1006,0)), HYPERLINK("#",""), HYPERLINK(CONCATENATE("#metadata!", ADDRESS(INDEX($P$2:$P$1001,MATCH(ROWS($N$2:N686),$N$2:$N$1001,0),0), INDEX($U$1004:$AC$1004,1,MATCH(COLUMNS($U$1006:Y1006),$U$1006:$AC$1006,0)))),"Fix")))</f>
        <v>0</v>
      </c>
      <c r="G686" s="3">
        <f>IF(OR(INDEX($O$2:$O$1001,MATCH(ROWS($N$2:N686),$N$2:$N$1001,0),1)&gt;=100000,INDEX($U$1005:$AC$1005,1,MATCH(COLUMNS($U$1006:Z1006),$U$1006:$AC$1006,0))&gt;=100000), " ",IF(INDEX($U$2:$AC$1001,MATCH(ROWS($N$2:N686),$N$2:$N$1001,0),MATCH(COLUMNS($U$1006:Z1006),$U$1006:$AC$1006,0)), HYPERLINK("#",""), HYPERLINK(CONCATENATE("#metadata!", ADDRESS(INDEX($P$2:$P$1001,MATCH(ROWS($N$2:N686),$N$2:$N$1001,0),0), INDEX($U$1004:$AC$1004,1,MATCH(COLUMNS($U$1006:Z1006),$U$1006:$AC$1006,0)))),"Fix")))</f>
        <v>0</v>
      </c>
      <c r="H686" s="3">
        <f>IF(OR(INDEX($O$2:$O$1001,MATCH(ROWS($N$2:N686),$N$2:$N$1001,0),1)&gt;=100000,INDEX($U$1005:$AC$1005,1,MATCH(COLUMNS($U$1006:AA1006),$U$1006:$AC$1006,0))&gt;=100000), " ",IF(INDEX($U$2:$AC$1001,MATCH(ROWS($N$2:N686),$N$2:$N$1001,0),MATCH(COLUMNS($U$1006:AA1006),$U$1006:$AC$1006,0)), HYPERLINK("#",""), HYPERLINK(CONCATENATE("#metadata!", ADDRESS(INDEX($P$2:$P$1001,MATCH(ROWS($N$2:N686),$N$2:$N$1001,0),0), INDEX($U$1004:$AC$1004,1,MATCH(COLUMNS($U$1006:AA1006),$U$1006:$AC$1006,0)))),"Fix")))</f>
        <v>0</v>
      </c>
      <c r="I686" s="3">
        <f>IF(OR(INDEX($O$2:$O$1001,MATCH(ROWS($N$2:N686),$N$2:$N$1001,0),1)&gt;=100000,INDEX($U$1005:$AC$1005,1,MATCH(COLUMNS($U$1006:AB1006),$U$1006:$AC$1006,0))&gt;=100000), " ",IF(INDEX($U$2:$AC$1001,MATCH(ROWS($N$2:N686),$N$2:$N$1001,0),MATCH(COLUMNS($U$1006:AB1006),$U$1006:$AC$1006,0)), HYPERLINK("#",""), HYPERLINK(CONCATENATE("#metadata!", ADDRESS(INDEX($P$2:$P$1001,MATCH(ROWS($N$2:N686),$N$2:$N$1001,0),0), INDEX($U$1004:$AC$1004,1,MATCH(COLUMNS($U$1006:AB1006),$U$1006:$AC$1006,0)))),"Fix")))</f>
        <v>0</v>
      </c>
      <c r="J686" s="3">
        <f>IF(OR(INDEX($O$2:$O$1001,MATCH(ROWS($N$2:N686),$N$2:$N$1001,0),1)&gt;=100000,INDEX($U$1005:$AC$1005,1,MATCH(COLUMNS($U$1006:AC1006),$U$1006:$AC$1006,0))&gt;=100000), " ",IF(INDEX($U$2:$AC$1001,MATCH(ROWS($N$2:N686),$N$2:$N$1001,0),MATCH(COLUMNS($U$1006:AC1006),$U$1006:$AC$1006,0)), HYPERLINK("#",""), HYPERLINK(CONCATENATE("#metadata!", ADDRESS(INDEX($P$2:$P$1001,MATCH(ROWS($N$2:N686),$N$2:$N$1001,0),0), INDEX($U$1004:$AC$1004,1,MATCH(COLUMNS($U$1006:AC1006),$U$1006:$AC$1006,0)))),"Fix")))</f>
        <v>0</v>
      </c>
      <c r="N686">
        <v>0</v>
      </c>
      <c r="O686">
        <v>0</v>
      </c>
      <c r="P686">
        <v>0</v>
      </c>
      <c r="Q686">
        <f>IF(R686,TRUE,AND(U686:AC686))</f>
        <v>0</v>
      </c>
      <c r="R686">
        <f>COUNTBLANK(metadata!B686:J686)=COLUMNS(metadata!B686:J686)</f>
        <v>0</v>
      </c>
      <c r="S686">
        <v>0</v>
      </c>
      <c r="U686">
        <f>AND(IF(metadata!B686="",FALSE,TRUE),COUNTIF(metadata!B:B, metadata!B686) = 1,NOT(ISERROR(SUMPRODUCT(SEARCH(MID(metadata!B686,ROW(INDIRECT("1:"&amp;LEN(metadata!B686))), 1),"0123456789abcdefghijklmnopqrstuvwxyzABCDEFGHIJKLMNOPQRSTUVWXYZ.")))))</f>
        <v>0</v>
      </c>
      <c r="V686">
        <f>AND(IF(metadata!C686="",FALSE,TRUE),exact(metadata!C686,"UBERON:genitourinary"))</f>
        <v>0</v>
      </c>
      <c r="W686">
        <f>AND(IF(metadata!D686="",FALSE,TRUE),exact(metadata!D686,"UBERON:urine"))</f>
        <v>0</v>
      </c>
      <c r="X686">
        <f>AND(IF(metadata!E686="",FALSE,TRUE),exact(metadata!E686,"UBERON:kidney"))</f>
        <v>0</v>
      </c>
      <c r="Y686">
        <f>AND(IF(metadata!F686="",FALSE,TRUE),exact(metadata!F686,"animal corpus"))</f>
        <v>0</v>
      </c>
      <c r="Z686">
        <f>AND(IF(metadata!G686="",FALSE,TRUE),exact(metadata!G686,"urine"))</f>
        <v>0</v>
      </c>
      <c r="AA686">
        <f>AND(IF(metadata!H686="",FALSE,TRUE),exact(metadata!H686,"urine"))</f>
        <v>0</v>
      </c>
      <c r="AB686">
        <f>AND(IF(metadata!I686="",FALSE,TRUE),exact(metadata!I686,"urine metagenome"))</f>
        <v>0</v>
      </c>
      <c r="AC686">
        <f>AND(IF(metadata!J686="",FALSE,TRUE),exact(metadata!J686,"1346744"))</f>
        <v>0</v>
      </c>
    </row>
    <row r="687" spans="1:29">
      <c r="A687" s="4">
        <f>IF(B687=" "," ",HYPERLINK(CONCATENATE("#metadata!",ADDRESS(INDEX($P$2:$P$1001,MATCH(ROWS($N$2:N687),$N$2:$N$1001,0),0),1)),INDEX($S$2:$S$1001,MATCH(ROWS($N$2:N687),$N$2:$N$1001,0),0)))</f>
        <v>0</v>
      </c>
      <c r="B687" s="3">
        <f>IF(OR(INDEX($O$2:$O$1001,MATCH(ROWS($N$2:N687),$N$2:$N$1001,0),1)&gt;=100000,INDEX($U$1005:$AC$1005,1,MATCH(COLUMNS($U$1006:U1006),$U$1006:$AC$1006,0))&gt;=100000), " ",IF(INDEX($U$2:$AC$1001,MATCH(ROWS($N$2:N687),$N$2:$N$1001,0),MATCH(COLUMNS($U$1006:U1006),$U$1006:$AC$1006,0)), HYPERLINK("#",""), HYPERLINK(CONCATENATE("#metadata!", ADDRESS(INDEX($P$2:$P$1001,MATCH(ROWS($N$2:N687),$N$2:$N$1001,0),0), INDEX($U$1004:$AC$1004,1,MATCH(COLUMNS($U$1006:U1006),$U$1006:$AC$1006,0)))),"Fix")))</f>
        <v>0</v>
      </c>
      <c r="C687" s="3">
        <f>IF(OR(INDEX($O$2:$O$1001,MATCH(ROWS($N$2:N687),$N$2:$N$1001,0),1)&gt;=100000,INDEX($U$1005:$AC$1005,1,MATCH(COLUMNS($U$1006:V1006),$U$1006:$AC$1006,0))&gt;=100000), " ",IF(INDEX($U$2:$AC$1001,MATCH(ROWS($N$2:N687),$N$2:$N$1001,0),MATCH(COLUMNS($U$1006:V1006),$U$1006:$AC$1006,0)), HYPERLINK("#",""), HYPERLINK(CONCATENATE("#metadata!", ADDRESS(INDEX($P$2:$P$1001,MATCH(ROWS($N$2:N687),$N$2:$N$1001,0),0), INDEX($U$1004:$AC$1004,1,MATCH(COLUMNS($U$1006:V1006),$U$1006:$AC$1006,0)))),"Fix")))</f>
        <v>0</v>
      </c>
      <c r="D687" s="3">
        <f>IF(OR(INDEX($O$2:$O$1001,MATCH(ROWS($N$2:N687),$N$2:$N$1001,0),1)&gt;=100000,INDEX($U$1005:$AC$1005,1,MATCH(COLUMNS($U$1006:W1006),$U$1006:$AC$1006,0))&gt;=100000), " ",IF(INDEX($U$2:$AC$1001,MATCH(ROWS($N$2:N687),$N$2:$N$1001,0),MATCH(COLUMNS($U$1006:W1006),$U$1006:$AC$1006,0)), HYPERLINK("#",""), HYPERLINK(CONCATENATE("#metadata!", ADDRESS(INDEX($P$2:$P$1001,MATCH(ROWS($N$2:N687),$N$2:$N$1001,0),0), INDEX($U$1004:$AC$1004,1,MATCH(COLUMNS($U$1006:W1006),$U$1006:$AC$1006,0)))),"Fix")))</f>
        <v>0</v>
      </c>
      <c r="E687" s="3">
        <f>IF(OR(INDEX($O$2:$O$1001,MATCH(ROWS($N$2:N687),$N$2:$N$1001,0),1)&gt;=100000,INDEX($U$1005:$AC$1005,1,MATCH(COLUMNS($U$1006:X1006),$U$1006:$AC$1006,0))&gt;=100000), " ",IF(INDEX($U$2:$AC$1001,MATCH(ROWS($N$2:N687),$N$2:$N$1001,0),MATCH(COLUMNS($U$1006:X1006),$U$1006:$AC$1006,0)), HYPERLINK("#",""), HYPERLINK(CONCATENATE("#metadata!", ADDRESS(INDEX($P$2:$P$1001,MATCH(ROWS($N$2:N687),$N$2:$N$1001,0),0), INDEX($U$1004:$AC$1004,1,MATCH(COLUMNS($U$1006:X1006),$U$1006:$AC$1006,0)))),"Fix")))</f>
        <v>0</v>
      </c>
      <c r="F687" s="3">
        <f>IF(OR(INDEX($O$2:$O$1001,MATCH(ROWS($N$2:N687),$N$2:$N$1001,0),1)&gt;=100000,INDEX($U$1005:$AC$1005,1,MATCH(COLUMNS($U$1006:Y1006),$U$1006:$AC$1006,0))&gt;=100000), " ",IF(INDEX($U$2:$AC$1001,MATCH(ROWS($N$2:N687),$N$2:$N$1001,0),MATCH(COLUMNS($U$1006:Y1006),$U$1006:$AC$1006,0)), HYPERLINK("#",""), HYPERLINK(CONCATENATE("#metadata!", ADDRESS(INDEX($P$2:$P$1001,MATCH(ROWS($N$2:N687),$N$2:$N$1001,0),0), INDEX($U$1004:$AC$1004,1,MATCH(COLUMNS($U$1006:Y1006),$U$1006:$AC$1006,0)))),"Fix")))</f>
        <v>0</v>
      </c>
      <c r="G687" s="3">
        <f>IF(OR(INDEX($O$2:$O$1001,MATCH(ROWS($N$2:N687),$N$2:$N$1001,0),1)&gt;=100000,INDEX($U$1005:$AC$1005,1,MATCH(COLUMNS($U$1006:Z1006),$U$1006:$AC$1006,0))&gt;=100000), " ",IF(INDEX($U$2:$AC$1001,MATCH(ROWS($N$2:N687),$N$2:$N$1001,0),MATCH(COLUMNS($U$1006:Z1006),$U$1006:$AC$1006,0)), HYPERLINK("#",""), HYPERLINK(CONCATENATE("#metadata!", ADDRESS(INDEX($P$2:$P$1001,MATCH(ROWS($N$2:N687),$N$2:$N$1001,0),0), INDEX($U$1004:$AC$1004,1,MATCH(COLUMNS($U$1006:Z1006),$U$1006:$AC$1006,0)))),"Fix")))</f>
        <v>0</v>
      </c>
      <c r="H687" s="3">
        <f>IF(OR(INDEX($O$2:$O$1001,MATCH(ROWS($N$2:N687),$N$2:$N$1001,0),1)&gt;=100000,INDEX($U$1005:$AC$1005,1,MATCH(COLUMNS($U$1006:AA1006),$U$1006:$AC$1006,0))&gt;=100000), " ",IF(INDEX($U$2:$AC$1001,MATCH(ROWS($N$2:N687),$N$2:$N$1001,0),MATCH(COLUMNS($U$1006:AA1006),$U$1006:$AC$1006,0)), HYPERLINK("#",""), HYPERLINK(CONCATENATE("#metadata!", ADDRESS(INDEX($P$2:$P$1001,MATCH(ROWS($N$2:N687),$N$2:$N$1001,0),0), INDEX($U$1004:$AC$1004,1,MATCH(COLUMNS($U$1006:AA1006),$U$1006:$AC$1006,0)))),"Fix")))</f>
        <v>0</v>
      </c>
      <c r="I687" s="3">
        <f>IF(OR(INDEX($O$2:$O$1001,MATCH(ROWS($N$2:N687),$N$2:$N$1001,0),1)&gt;=100000,INDEX($U$1005:$AC$1005,1,MATCH(COLUMNS($U$1006:AB1006),$U$1006:$AC$1006,0))&gt;=100000), " ",IF(INDEX($U$2:$AC$1001,MATCH(ROWS($N$2:N687),$N$2:$N$1001,0),MATCH(COLUMNS($U$1006:AB1006),$U$1006:$AC$1006,0)), HYPERLINK("#",""), HYPERLINK(CONCATENATE("#metadata!", ADDRESS(INDEX($P$2:$P$1001,MATCH(ROWS($N$2:N687),$N$2:$N$1001,0),0), INDEX($U$1004:$AC$1004,1,MATCH(COLUMNS($U$1006:AB1006),$U$1006:$AC$1006,0)))),"Fix")))</f>
        <v>0</v>
      </c>
      <c r="J687" s="3">
        <f>IF(OR(INDEX($O$2:$O$1001,MATCH(ROWS($N$2:N687),$N$2:$N$1001,0),1)&gt;=100000,INDEX($U$1005:$AC$1005,1,MATCH(COLUMNS($U$1006:AC1006),$U$1006:$AC$1006,0))&gt;=100000), " ",IF(INDEX($U$2:$AC$1001,MATCH(ROWS($N$2:N687),$N$2:$N$1001,0),MATCH(COLUMNS($U$1006:AC1006),$U$1006:$AC$1006,0)), HYPERLINK("#",""), HYPERLINK(CONCATENATE("#metadata!", ADDRESS(INDEX($P$2:$P$1001,MATCH(ROWS($N$2:N687),$N$2:$N$1001,0),0), INDEX($U$1004:$AC$1004,1,MATCH(COLUMNS($U$1006:AC1006),$U$1006:$AC$1006,0)))),"Fix")))</f>
        <v>0</v>
      </c>
      <c r="N687">
        <v>0</v>
      </c>
      <c r="O687">
        <v>0</v>
      </c>
      <c r="P687">
        <v>0</v>
      </c>
      <c r="Q687">
        <f>IF(R687,TRUE,AND(U687:AC687))</f>
        <v>0</v>
      </c>
      <c r="R687">
        <f>COUNTBLANK(metadata!B687:J687)=COLUMNS(metadata!B687:J687)</f>
        <v>0</v>
      </c>
      <c r="S687">
        <v>0</v>
      </c>
      <c r="U687">
        <f>AND(IF(metadata!B687="",FALSE,TRUE),COUNTIF(metadata!B:B, metadata!B687) = 1,NOT(ISERROR(SUMPRODUCT(SEARCH(MID(metadata!B687,ROW(INDIRECT("1:"&amp;LEN(metadata!B687))), 1),"0123456789abcdefghijklmnopqrstuvwxyzABCDEFGHIJKLMNOPQRSTUVWXYZ.")))))</f>
        <v>0</v>
      </c>
      <c r="V687">
        <f>AND(IF(metadata!C687="",FALSE,TRUE),exact(metadata!C687,"UBERON:genitourinary"))</f>
        <v>0</v>
      </c>
      <c r="W687">
        <f>AND(IF(metadata!D687="",FALSE,TRUE),exact(metadata!D687,"UBERON:urine"))</f>
        <v>0</v>
      </c>
      <c r="X687">
        <f>AND(IF(metadata!E687="",FALSE,TRUE),exact(metadata!E687,"UBERON:kidney"))</f>
        <v>0</v>
      </c>
      <c r="Y687">
        <f>AND(IF(metadata!F687="",FALSE,TRUE),exact(metadata!F687,"animal corpus"))</f>
        <v>0</v>
      </c>
      <c r="Z687">
        <f>AND(IF(metadata!G687="",FALSE,TRUE),exact(metadata!G687,"urine"))</f>
        <v>0</v>
      </c>
      <c r="AA687">
        <f>AND(IF(metadata!H687="",FALSE,TRUE),exact(metadata!H687,"urine"))</f>
        <v>0</v>
      </c>
      <c r="AB687">
        <f>AND(IF(metadata!I687="",FALSE,TRUE),exact(metadata!I687,"urine metagenome"))</f>
        <v>0</v>
      </c>
      <c r="AC687">
        <f>AND(IF(metadata!J687="",FALSE,TRUE),exact(metadata!J687,"1346744"))</f>
        <v>0</v>
      </c>
    </row>
    <row r="688" spans="1:29">
      <c r="A688" s="4">
        <f>IF(B688=" "," ",HYPERLINK(CONCATENATE("#metadata!",ADDRESS(INDEX($P$2:$P$1001,MATCH(ROWS($N$2:N688),$N$2:$N$1001,0),0),1)),INDEX($S$2:$S$1001,MATCH(ROWS($N$2:N688),$N$2:$N$1001,0),0)))</f>
        <v>0</v>
      </c>
      <c r="B688" s="3">
        <f>IF(OR(INDEX($O$2:$O$1001,MATCH(ROWS($N$2:N688),$N$2:$N$1001,0),1)&gt;=100000,INDEX($U$1005:$AC$1005,1,MATCH(COLUMNS($U$1006:U1006),$U$1006:$AC$1006,0))&gt;=100000), " ",IF(INDEX($U$2:$AC$1001,MATCH(ROWS($N$2:N688),$N$2:$N$1001,0),MATCH(COLUMNS($U$1006:U1006),$U$1006:$AC$1006,0)), HYPERLINK("#",""), HYPERLINK(CONCATENATE("#metadata!", ADDRESS(INDEX($P$2:$P$1001,MATCH(ROWS($N$2:N688),$N$2:$N$1001,0),0), INDEX($U$1004:$AC$1004,1,MATCH(COLUMNS($U$1006:U1006),$U$1006:$AC$1006,0)))),"Fix")))</f>
        <v>0</v>
      </c>
      <c r="C688" s="3">
        <f>IF(OR(INDEX($O$2:$O$1001,MATCH(ROWS($N$2:N688),$N$2:$N$1001,0),1)&gt;=100000,INDEX($U$1005:$AC$1005,1,MATCH(COLUMNS($U$1006:V1006),$U$1006:$AC$1006,0))&gt;=100000), " ",IF(INDEX($U$2:$AC$1001,MATCH(ROWS($N$2:N688),$N$2:$N$1001,0),MATCH(COLUMNS($U$1006:V1006),$U$1006:$AC$1006,0)), HYPERLINK("#",""), HYPERLINK(CONCATENATE("#metadata!", ADDRESS(INDEX($P$2:$P$1001,MATCH(ROWS($N$2:N688),$N$2:$N$1001,0),0), INDEX($U$1004:$AC$1004,1,MATCH(COLUMNS($U$1006:V1006),$U$1006:$AC$1006,0)))),"Fix")))</f>
        <v>0</v>
      </c>
      <c r="D688" s="3">
        <f>IF(OR(INDEX($O$2:$O$1001,MATCH(ROWS($N$2:N688),$N$2:$N$1001,0),1)&gt;=100000,INDEX($U$1005:$AC$1005,1,MATCH(COLUMNS($U$1006:W1006),$U$1006:$AC$1006,0))&gt;=100000), " ",IF(INDEX($U$2:$AC$1001,MATCH(ROWS($N$2:N688),$N$2:$N$1001,0),MATCH(COLUMNS($U$1006:W1006),$U$1006:$AC$1006,0)), HYPERLINK("#",""), HYPERLINK(CONCATENATE("#metadata!", ADDRESS(INDEX($P$2:$P$1001,MATCH(ROWS($N$2:N688),$N$2:$N$1001,0),0), INDEX($U$1004:$AC$1004,1,MATCH(COLUMNS($U$1006:W1006),$U$1006:$AC$1006,0)))),"Fix")))</f>
        <v>0</v>
      </c>
      <c r="E688" s="3">
        <f>IF(OR(INDEX($O$2:$O$1001,MATCH(ROWS($N$2:N688),$N$2:$N$1001,0),1)&gt;=100000,INDEX($U$1005:$AC$1005,1,MATCH(COLUMNS($U$1006:X1006),$U$1006:$AC$1006,0))&gt;=100000), " ",IF(INDEX($U$2:$AC$1001,MATCH(ROWS($N$2:N688),$N$2:$N$1001,0),MATCH(COLUMNS($U$1006:X1006),$U$1006:$AC$1006,0)), HYPERLINK("#",""), HYPERLINK(CONCATENATE("#metadata!", ADDRESS(INDEX($P$2:$P$1001,MATCH(ROWS($N$2:N688),$N$2:$N$1001,0),0), INDEX($U$1004:$AC$1004,1,MATCH(COLUMNS($U$1006:X1006),$U$1006:$AC$1006,0)))),"Fix")))</f>
        <v>0</v>
      </c>
      <c r="F688" s="3">
        <f>IF(OR(INDEX($O$2:$O$1001,MATCH(ROWS($N$2:N688),$N$2:$N$1001,0),1)&gt;=100000,INDEX($U$1005:$AC$1005,1,MATCH(COLUMNS($U$1006:Y1006),$U$1006:$AC$1006,0))&gt;=100000), " ",IF(INDEX($U$2:$AC$1001,MATCH(ROWS($N$2:N688),$N$2:$N$1001,0),MATCH(COLUMNS($U$1006:Y1006),$U$1006:$AC$1006,0)), HYPERLINK("#",""), HYPERLINK(CONCATENATE("#metadata!", ADDRESS(INDEX($P$2:$P$1001,MATCH(ROWS($N$2:N688),$N$2:$N$1001,0),0), INDEX($U$1004:$AC$1004,1,MATCH(COLUMNS($U$1006:Y1006),$U$1006:$AC$1006,0)))),"Fix")))</f>
        <v>0</v>
      </c>
      <c r="G688" s="3">
        <f>IF(OR(INDEX($O$2:$O$1001,MATCH(ROWS($N$2:N688),$N$2:$N$1001,0),1)&gt;=100000,INDEX($U$1005:$AC$1005,1,MATCH(COLUMNS($U$1006:Z1006),$U$1006:$AC$1006,0))&gt;=100000), " ",IF(INDEX($U$2:$AC$1001,MATCH(ROWS($N$2:N688),$N$2:$N$1001,0),MATCH(COLUMNS($U$1006:Z1006),$U$1006:$AC$1006,0)), HYPERLINK("#",""), HYPERLINK(CONCATENATE("#metadata!", ADDRESS(INDEX($P$2:$P$1001,MATCH(ROWS($N$2:N688),$N$2:$N$1001,0),0), INDEX($U$1004:$AC$1004,1,MATCH(COLUMNS($U$1006:Z1006),$U$1006:$AC$1006,0)))),"Fix")))</f>
        <v>0</v>
      </c>
      <c r="H688" s="3">
        <f>IF(OR(INDEX($O$2:$O$1001,MATCH(ROWS($N$2:N688),$N$2:$N$1001,0),1)&gt;=100000,INDEX($U$1005:$AC$1005,1,MATCH(COLUMNS($U$1006:AA1006),$U$1006:$AC$1006,0))&gt;=100000), " ",IF(INDEX($U$2:$AC$1001,MATCH(ROWS($N$2:N688),$N$2:$N$1001,0),MATCH(COLUMNS($U$1006:AA1006),$U$1006:$AC$1006,0)), HYPERLINK("#",""), HYPERLINK(CONCATENATE("#metadata!", ADDRESS(INDEX($P$2:$P$1001,MATCH(ROWS($N$2:N688),$N$2:$N$1001,0),0), INDEX($U$1004:$AC$1004,1,MATCH(COLUMNS($U$1006:AA1006),$U$1006:$AC$1006,0)))),"Fix")))</f>
        <v>0</v>
      </c>
      <c r="I688" s="3">
        <f>IF(OR(INDEX($O$2:$O$1001,MATCH(ROWS($N$2:N688),$N$2:$N$1001,0),1)&gt;=100000,INDEX($U$1005:$AC$1005,1,MATCH(COLUMNS($U$1006:AB1006),$U$1006:$AC$1006,0))&gt;=100000), " ",IF(INDEX($U$2:$AC$1001,MATCH(ROWS($N$2:N688),$N$2:$N$1001,0),MATCH(COLUMNS($U$1006:AB1006),$U$1006:$AC$1006,0)), HYPERLINK("#",""), HYPERLINK(CONCATENATE("#metadata!", ADDRESS(INDEX($P$2:$P$1001,MATCH(ROWS($N$2:N688),$N$2:$N$1001,0),0), INDEX($U$1004:$AC$1004,1,MATCH(COLUMNS($U$1006:AB1006),$U$1006:$AC$1006,0)))),"Fix")))</f>
        <v>0</v>
      </c>
      <c r="J688" s="3">
        <f>IF(OR(INDEX($O$2:$O$1001,MATCH(ROWS($N$2:N688),$N$2:$N$1001,0),1)&gt;=100000,INDEX($U$1005:$AC$1005,1,MATCH(COLUMNS($U$1006:AC1006),$U$1006:$AC$1006,0))&gt;=100000), " ",IF(INDEX($U$2:$AC$1001,MATCH(ROWS($N$2:N688),$N$2:$N$1001,0),MATCH(COLUMNS($U$1006:AC1006),$U$1006:$AC$1006,0)), HYPERLINK("#",""), HYPERLINK(CONCATENATE("#metadata!", ADDRESS(INDEX($P$2:$P$1001,MATCH(ROWS($N$2:N688),$N$2:$N$1001,0),0), INDEX($U$1004:$AC$1004,1,MATCH(COLUMNS($U$1006:AC1006),$U$1006:$AC$1006,0)))),"Fix")))</f>
        <v>0</v>
      </c>
      <c r="N688">
        <v>0</v>
      </c>
      <c r="O688">
        <v>0</v>
      </c>
      <c r="P688">
        <v>0</v>
      </c>
      <c r="Q688">
        <f>IF(R688,TRUE,AND(U688:AC688))</f>
        <v>0</v>
      </c>
      <c r="R688">
        <f>COUNTBLANK(metadata!B688:J688)=COLUMNS(metadata!B688:J688)</f>
        <v>0</v>
      </c>
      <c r="S688">
        <v>0</v>
      </c>
      <c r="U688">
        <f>AND(IF(metadata!B688="",FALSE,TRUE),COUNTIF(metadata!B:B, metadata!B688) = 1,NOT(ISERROR(SUMPRODUCT(SEARCH(MID(metadata!B688,ROW(INDIRECT("1:"&amp;LEN(metadata!B688))), 1),"0123456789abcdefghijklmnopqrstuvwxyzABCDEFGHIJKLMNOPQRSTUVWXYZ.")))))</f>
        <v>0</v>
      </c>
      <c r="V688">
        <f>AND(IF(metadata!C688="",FALSE,TRUE),exact(metadata!C688,"UBERON:genitourinary"))</f>
        <v>0</v>
      </c>
      <c r="W688">
        <f>AND(IF(metadata!D688="",FALSE,TRUE),exact(metadata!D688,"UBERON:urine"))</f>
        <v>0</v>
      </c>
      <c r="X688">
        <f>AND(IF(metadata!E688="",FALSE,TRUE),exact(metadata!E688,"UBERON:kidney"))</f>
        <v>0</v>
      </c>
      <c r="Y688">
        <f>AND(IF(metadata!F688="",FALSE,TRUE),exact(metadata!F688,"animal corpus"))</f>
        <v>0</v>
      </c>
      <c r="Z688">
        <f>AND(IF(metadata!G688="",FALSE,TRUE),exact(metadata!G688,"urine"))</f>
        <v>0</v>
      </c>
      <c r="AA688">
        <f>AND(IF(metadata!H688="",FALSE,TRUE),exact(metadata!H688,"urine"))</f>
        <v>0</v>
      </c>
      <c r="AB688">
        <f>AND(IF(metadata!I688="",FALSE,TRUE),exact(metadata!I688,"urine metagenome"))</f>
        <v>0</v>
      </c>
      <c r="AC688">
        <f>AND(IF(metadata!J688="",FALSE,TRUE),exact(metadata!J688,"1346744"))</f>
        <v>0</v>
      </c>
    </row>
    <row r="689" spans="1:29">
      <c r="A689" s="4">
        <f>IF(B689=" "," ",HYPERLINK(CONCATENATE("#metadata!",ADDRESS(INDEX($P$2:$P$1001,MATCH(ROWS($N$2:N689),$N$2:$N$1001,0),0),1)),INDEX($S$2:$S$1001,MATCH(ROWS($N$2:N689),$N$2:$N$1001,0),0)))</f>
        <v>0</v>
      </c>
      <c r="B689" s="3">
        <f>IF(OR(INDEX($O$2:$O$1001,MATCH(ROWS($N$2:N689),$N$2:$N$1001,0),1)&gt;=100000,INDEX($U$1005:$AC$1005,1,MATCH(COLUMNS($U$1006:U1006),$U$1006:$AC$1006,0))&gt;=100000), " ",IF(INDEX($U$2:$AC$1001,MATCH(ROWS($N$2:N689),$N$2:$N$1001,0),MATCH(COLUMNS($U$1006:U1006),$U$1006:$AC$1006,0)), HYPERLINK("#",""), HYPERLINK(CONCATENATE("#metadata!", ADDRESS(INDEX($P$2:$P$1001,MATCH(ROWS($N$2:N689),$N$2:$N$1001,0),0), INDEX($U$1004:$AC$1004,1,MATCH(COLUMNS($U$1006:U1006),$U$1006:$AC$1006,0)))),"Fix")))</f>
        <v>0</v>
      </c>
      <c r="C689" s="3">
        <f>IF(OR(INDEX($O$2:$O$1001,MATCH(ROWS($N$2:N689),$N$2:$N$1001,0),1)&gt;=100000,INDEX($U$1005:$AC$1005,1,MATCH(COLUMNS($U$1006:V1006),$U$1006:$AC$1006,0))&gt;=100000), " ",IF(INDEX($U$2:$AC$1001,MATCH(ROWS($N$2:N689),$N$2:$N$1001,0),MATCH(COLUMNS($U$1006:V1006),$U$1006:$AC$1006,0)), HYPERLINK("#",""), HYPERLINK(CONCATENATE("#metadata!", ADDRESS(INDEX($P$2:$P$1001,MATCH(ROWS($N$2:N689),$N$2:$N$1001,0),0), INDEX($U$1004:$AC$1004,1,MATCH(COLUMNS($U$1006:V1006),$U$1006:$AC$1006,0)))),"Fix")))</f>
        <v>0</v>
      </c>
      <c r="D689" s="3">
        <f>IF(OR(INDEX($O$2:$O$1001,MATCH(ROWS($N$2:N689),$N$2:$N$1001,0),1)&gt;=100000,INDEX($U$1005:$AC$1005,1,MATCH(COLUMNS($U$1006:W1006),$U$1006:$AC$1006,0))&gt;=100000), " ",IF(INDEX($U$2:$AC$1001,MATCH(ROWS($N$2:N689),$N$2:$N$1001,0),MATCH(COLUMNS($U$1006:W1006),$U$1006:$AC$1006,0)), HYPERLINK("#",""), HYPERLINK(CONCATENATE("#metadata!", ADDRESS(INDEX($P$2:$P$1001,MATCH(ROWS($N$2:N689),$N$2:$N$1001,0),0), INDEX($U$1004:$AC$1004,1,MATCH(COLUMNS($U$1006:W1006),$U$1006:$AC$1006,0)))),"Fix")))</f>
        <v>0</v>
      </c>
      <c r="E689" s="3">
        <f>IF(OR(INDEX($O$2:$O$1001,MATCH(ROWS($N$2:N689),$N$2:$N$1001,0),1)&gt;=100000,INDEX($U$1005:$AC$1005,1,MATCH(COLUMNS($U$1006:X1006),$U$1006:$AC$1006,0))&gt;=100000), " ",IF(INDEX($U$2:$AC$1001,MATCH(ROWS($N$2:N689),$N$2:$N$1001,0),MATCH(COLUMNS($U$1006:X1006),$U$1006:$AC$1006,0)), HYPERLINK("#",""), HYPERLINK(CONCATENATE("#metadata!", ADDRESS(INDEX($P$2:$P$1001,MATCH(ROWS($N$2:N689),$N$2:$N$1001,0),0), INDEX($U$1004:$AC$1004,1,MATCH(COLUMNS($U$1006:X1006),$U$1006:$AC$1006,0)))),"Fix")))</f>
        <v>0</v>
      </c>
      <c r="F689" s="3">
        <f>IF(OR(INDEX($O$2:$O$1001,MATCH(ROWS($N$2:N689),$N$2:$N$1001,0),1)&gt;=100000,INDEX($U$1005:$AC$1005,1,MATCH(COLUMNS($U$1006:Y1006),$U$1006:$AC$1006,0))&gt;=100000), " ",IF(INDEX($U$2:$AC$1001,MATCH(ROWS($N$2:N689),$N$2:$N$1001,0),MATCH(COLUMNS($U$1006:Y1006),$U$1006:$AC$1006,0)), HYPERLINK("#",""), HYPERLINK(CONCATENATE("#metadata!", ADDRESS(INDEX($P$2:$P$1001,MATCH(ROWS($N$2:N689),$N$2:$N$1001,0),0), INDEX($U$1004:$AC$1004,1,MATCH(COLUMNS($U$1006:Y1006),$U$1006:$AC$1006,0)))),"Fix")))</f>
        <v>0</v>
      </c>
      <c r="G689" s="3">
        <f>IF(OR(INDEX($O$2:$O$1001,MATCH(ROWS($N$2:N689),$N$2:$N$1001,0),1)&gt;=100000,INDEX($U$1005:$AC$1005,1,MATCH(COLUMNS($U$1006:Z1006),$U$1006:$AC$1006,0))&gt;=100000), " ",IF(INDEX($U$2:$AC$1001,MATCH(ROWS($N$2:N689),$N$2:$N$1001,0),MATCH(COLUMNS($U$1006:Z1006),$U$1006:$AC$1006,0)), HYPERLINK("#",""), HYPERLINK(CONCATENATE("#metadata!", ADDRESS(INDEX($P$2:$P$1001,MATCH(ROWS($N$2:N689),$N$2:$N$1001,0),0), INDEX($U$1004:$AC$1004,1,MATCH(COLUMNS($U$1006:Z1006),$U$1006:$AC$1006,0)))),"Fix")))</f>
        <v>0</v>
      </c>
      <c r="H689" s="3">
        <f>IF(OR(INDEX($O$2:$O$1001,MATCH(ROWS($N$2:N689),$N$2:$N$1001,0),1)&gt;=100000,INDEX($U$1005:$AC$1005,1,MATCH(COLUMNS($U$1006:AA1006),$U$1006:$AC$1006,0))&gt;=100000), " ",IF(INDEX($U$2:$AC$1001,MATCH(ROWS($N$2:N689),$N$2:$N$1001,0),MATCH(COLUMNS($U$1006:AA1006),$U$1006:$AC$1006,0)), HYPERLINK("#",""), HYPERLINK(CONCATENATE("#metadata!", ADDRESS(INDEX($P$2:$P$1001,MATCH(ROWS($N$2:N689),$N$2:$N$1001,0),0), INDEX($U$1004:$AC$1004,1,MATCH(COLUMNS($U$1006:AA1006),$U$1006:$AC$1006,0)))),"Fix")))</f>
        <v>0</v>
      </c>
      <c r="I689" s="3">
        <f>IF(OR(INDEX($O$2:$O$1001,MATCH(ROWS($N$2:N689),$N$2:$N$1001,0),1)&gt;=100000,INDEX($U$1005:$AC$1005,1,MATCH(COLUMNS($U$1006:AB1006),$U$1006:$AC$1006,0))&gt;=100000), " ",IF(INDEX($U$2:$AC$1001,MATCH(ROWS($N$2:N689),$N$2:$N$1001,0),MATCH(COLUMNS($U$1006:AB1006),$U$1006:$AC$1006,0)), HYPERLINK("#",""), HYPERLINK(CONCATENATE("#metadata!", ADDRESS(INDEX($P$2:$P$1001,MATCH(ROWS($N$2:N689),$N$2:$N$1001,0),0), INDEX($U$1004:$AC$1004,1,MATCH(COLUMNS($U$1006:AB1006),$U$1006:$AC$1006,0)))),"Fix")))</f>
        <v>0</v>
      </c>
      <c r="J689" s="3">
        <f>IF(OR(INDEX($O$2:$O$1001,MATCH(ROWS($N$2:N689),$N$2:$N$1001,0),1)&gt;=100000,INDEX($U$1005:$AC$1005,1,MATCH(COLUMNS($U$1006:AC1006),$U$1006:$AC$1006,0))&gt;=100000), " ",IF(INDEX($U$2:$AC$1001,MATCH(ROWS($N$2:N689),$N$2:$N$1001,0),MATCH(COLUMNS($U$1006:AC1006),$U$1006:$AC$1006,0)), HYPERLINK("#",""), HYPERLINK(CONCATENATE("#metadata!", ADDRESS(INDEX($P$2:$P$1001,MATCH(ROWS($N$2:N689),$N$2:$N$1001,0),0), INDEX($U$1004:$AC$1004,1,MATCH(COLUMNS($U$1006:AC1006),$U$1006:$AC$1006,0)))),"Fix")))</f>
        <v>0</v>
      </c>
      <c r="N689">
        <v>0</v>
      </c>
      <c r="O689">
        <v>0</v>
      </c>
      <c r="P689">
        <v>0</v>
      </c>
      <c r="Q689">
        <f>IF(R689,TRUE,AND(U689:AC689))</f>
        <v>0</v>
      </c>
      <c r="R689">
        <f>COUNTBLANK(metadata!B689:J689)=COLUMNS(metadata!B689:J689)</f>
        <v>0</v>
      </c>
      <c r="S689">
        <v>0</v>
      </c>
      <c r="U689">
        <f>AND(IF(metadata!B689="",FALSE,TRUE),COUNTIF(metadata!B:B, metadata!B689) = 1,NOT(ISERROR(SUMPRODUCT(SEARCH(MID(metadata!B689,ROW(INDIRECT("1:"&amp;LEN(metadata!B689))), 1),"0123456789abcdefghijklmnopqrstuvwxyzABCDEFGHIJKLMNOPQRSTUVWXYZ.")))))</f>
        <v>0</v>
      </c>
      <c r="V689">
        <f>AND(IF(metadata!C689="",FALSE,TRUE),exact(metadata!C689,"UBERON:genitourinary"))</f>
        <v>0</v>
      </c>
      <c r="W689">
        <f>AND(IF(metadata!D689="",FALSE,TRUE),exact(metadata!D689,"UBERON:urine"))</f>
        <v>0</v>
      </c>
      <c r="X689">
        <f>AND(IF(metadata!E689="",FALSE,TRUE),exact(metadata!E689,"UBERON:kidney"))</f>
        <v>0</v>
      </c>
      <c r="Y689">
        <f>AND(IF(metadata!F689="",FALSE,TRUE),exact(metadata!F689,"animal corpus"))</f>
        <v>0</v>
      </c>
      <c r="Z689">
        <f>AND(IF(metadata!G689="",FALSE,TRUE),exact(metadata!G689,"urine"))</f>
        <v>0</v>
      </c>
      <c r="AA689">
        <f>AND(IF(metadata!H689="",FALSE,TRUE),exact(metadata!H689,"urine"))</f>
        <v>0</v>
      </c>
      <c r="AB689">
        <f>AND(IF(metadata!I689="",FALSE,TRUE),exact(metadata!I689,"urine metagenome"))</f>
        <v>0</v>
      </c>
      <c r="AC689">
        <f>AND(IF(metadata!J689="",FALSE,TRUE),exact(metadata!J689,"1346744"))</f>
        <v>0</v>
      </c>
    </row>
    <row r="690" spans="1:29">
      <c r="A690" s="4">
        <f>IF(B690=" "," ",HYPERLINK(CONCATENATE("#metadata!",ADDRESS(INDEX($P$2:$P$1001,MATCH(ROWS($N$2:N690),$N$2:$N$1001,0),0),1)),INDEX($S$2:$S$1001,MATCH(ROWS($N$2:N690),$N$2:$N$1001,0),0)))</f>
        <v>0</v>
      </c>
      <c r="B690" s="3">
        <f>IF(OR(INDEX($O$2:$O$1001,MATCH(ROWS($N$2:N690),$N$2:$N$1001,0),1)&gt;=100000,INDEX($U$1005:$AC$1005,1,MATCH(COLUMNS($U$1006:U1006),$U$1006:$AC$1006,0))&gt;=100000), " ",IF(INDEX($U$2:$AC$1001,MATCH(ROWS($N$2:N690),$N$2:$N$1001,0),MATCH(COLUMNS($U$1006:U1006),$U$1006:$AC$1006,0)), HYPERLINK("#",""), HYPERLINK(CONCATENATE("#metadata!", ADDRESS(INDEX($P$2:$P$1001,MATCH(ROWS($N$2:N690),$N$2:$N$1001,0),0), INDEX($U$1004:$AC$1004,1,MATCH(COLUMNS($U$1006:U1006),$U$1006:$AC$1006,0)))),"Fix")))</f>
        <v>0</v>
      </c>
      <c r="C690" s="3">
        <f>IF(OR(INDEX($O$2:$O$1001,MATCH(ROWS($N$2:N690),$N$2:$N$1001,0),1)&gt;=100000,INDEX($U$1005:$AC$1005,1,MATCH(COLUMNS($U$1006:V1006),$U$1006:$AC$1006,0))&gt;=100000), " ",IF(INDEX($U$2:$AC$1001,MATCH(ROWS($N$2:N690),$N$2:$N$1001,0),MATCH(COLUMNS($U$1006:V1006),$U$1006:$AC$1006,0)), HYPERLINK("#",""), HYPERLINK(CONCATENATE("#metadata!", ADDRESS(INDEX($P$2:$P$1001,MATCH(ROWS($N$2:N690),$N$2:$N$1001,0),0), INDEX($U$1004:$AC$1004,1,MATCH(COLUMNS($U$1006:V1006),$U$1006:$AC$1006,0)))),"Fix")))</f>
        <v>0</v>
      </c>
      <c r="D690" s="3">
        <f>IF(OR(INDEX($O$2:$O$1001,MATCH(ROWS($N$2:N690),$N$2:$N$1001,0),1)&gt;=100000,INDEX($U$1005:$AC$1005,1,MATCH(COLUMNS($U$1006:W1006),$U$1006:$AC$1006,0))&gt;=100000), " ",IF(INDEX($U$2:$AC$1001,MATCH(ROWS($N$2:N690),$N$2:$N$1001,0),MATCH(COLUMNS($U$1006:W1006),$U$1006:$AC$1006,0)), HYPERLINK("#",""), HYPERLINK(CONCATENATE("#metadata!", ADDRESS(INDEX($P$2:$P$1001,MATCH(ROWS($N$2:N690),$N$2:$N$1001,0),0), INDEX($U$1004:$AC$1004,1,MATCH(COLUMNS($U$1006:W1006),$U$1006:$AC$1006,0)))),"Fix")))</f>
        <v>0</v>
      </c>
      <c r="E690" s="3">
        <f>IF(OR(INDEX($O$2:$O$1001,MATCH(ROWS($N$2:N690),$N$2:$N$1001,0),1)&gt;=100000,INDEX($U$1005:$AC$1005,1,MATCH(COLUMNS($U$1006:X1006),$U$1006:$AC$1006,0))&gt;=100000), " ",IF(INDEX($U$2:$AC$1001,MATCH(ROWS($N$2:N690),$N$2:$N$1001,0),MATCH(COLUMNS($U$1006:X1006),$U$1006:$AC$1006,0)), HYPERLINK("#",""), HYPERLINK(CONCATENATE("#metadata!", ADDRESS(INDEX($P$2:$P$1001,MATCH(ROWS($N$2:N690),$N$2:$N$1001,0),0), INDEX($U$1004:$AC$1004,1,MATCH(COLUMNS($U$1006:X1006),$U$1006:$AC$1006,0)))),"Fix")))</f>
        <v>0</v>
      </c>
      <c r="F690" s="3">
        <f>IF(OR(INDEX($O$2:$O$1001,MATCH(ROWS($N$2:N690),$N$2:$N$1001,0),1)&gt;=100000,INDEX($U$1005:$AC$1005,1,MATCH(COLUMNS($U$1006:Y1006),$U$1006:$AC$1006,0))&gt;=100000), " ",IF(INDEX($U$2:$AC$1001,MATCH(ROWS($N$2:N690),$N$2:$N$1001,0),MATCH(COLUMNS($U$1006:Y1006),$U$1006:$AC$1006,0)), HYPERLINK("#",""), HYPERLINK(CONCATENATE("#metadata!", ADDRESS(INDEX($P$2:$P$1001,MATCH(ROWS($N$2:N690),$N$2:$N$1001,0),0), INDEX($U$1004:$AC$1004,1,MATCH(COLUMNS($U$1006:Y1006),$U$1006:$AC$1006,0)))),"Fix")))</f>
        <v>0</v>
      </c>
      <c r="G690" s="3">
        <f>IF(OR(INDEX($O$2:$O$1001,MATCH(ROWS($N$2:N690),$N$2:$N$1001,0),1)&gt;=100000,INDEX($U$1005:$AC$1005,1,MATCH(COLUMNS($U$1006:Z1006),$U$1006:$AC$1006,0))&gt;=100000), " ",IF(INDEX($U$2:$AC$1001,MATCH(ROWS($N$2:N690),$N$2:$N$1001,0),MATCH(COLUMNS($U$1006:Z1006),$U$1006:$AC$1006,0)), HYPERLINK("#",""), HYPERLINK(CONCATENATE("#metadata!", ADDRESS(INDEX($P$2:$P$1001,MATCH(ROWS($N$2:N690),$N$2:$N$1001,0),0), INDEX($U$1004:$AC$1004,1,MATCH(COLUMNS($U$1006:Z1006),$U$1006:$AC$1006,0)))),"Fix")))</f>
        <v>0</v>
      </c>
      <c r="H690" s="3">
        <f>IF(OR(INDEX($O$2:$O$1001,MATCH(ROWS($N$2:N690),$N$2:$N$1001,0),1)&gt;=100000,INDEX($U$1005:$AC$1005,1,MATCH(COLUMNS($U$1006:AA1006),$U$1006:$AC$1006,0))&gt;=100000), " ",IF(INDEX($U$2:$AC$1001,MATCH(ROWS($N$2:N690),$N$2:$N$1001,0),MATCH(COLUMNS($U$1006:AA1006),$U$1006:$AC$1006,0)), HYPERLINK("#",""), HYPERLINK(CONCATENATE("#metadata!", ADDRESS(INDEX($P$2:$P$1001,MATCH(ROWS($N$2:N690),$N$2:$N$1001,0),0), INDEX($U$1004:$AC$1004,1,MATCH(COLUMNS($U$1006:AA1006),$U$1006:$AC$1006,0)))),"Fix")))</f>
        <v>0</v>
      </c>
      <c r="I690" s="3">
        <f>IF(OR(INDEX($O$2:$O$1001,MATCH(ROWS($N$2:N690),$N$2:$N$1001,0),1)&gt;=100000,INDEX($U$1005:$AC$1005,1,MATCH(COLUMNS($U$1006:AB1006),$U$1006:$AC$1006,0))&gt;=100000), " ",IF(INDEX($U$2:$AC$1001,MATCH(ROWS($N$2:N690),$N$2:$N$1001,0),MATCH(COLUMNS($U$1006:AB1006),$U$1006:$AC$1006,0)), HYPERLINK("#",""), HYPERLINK(CONCATENATE("#metadata!", ADDRESS(INDEX($P$2:$P$1001,MATCH(ROWS($N$2:N690),$N$2:$N$1001,0),0), INDEX($U$1004:$AC$1004,1,MATCH(COLUMNS($U$1006:AB1006),$U$1006:$AC$1006,0)))),"Fix")))</f>
        <v>0</v>
      </c>
      <c r="J690" s="3">
        <f>IF(OR(INDEX($O$2:$O$1001,MATCH(ROWS($N$2:N690),$N$2:$N$1001,0),1)&gt;=100000,INDEX($U$1005:$AC$1005,1,MATCH(COLUMNS($U$1006:AC1006),$U$1006:$AC$1006,0))&gt;=100000), " ",IF(INDEX($U$2:$AC$1001,MATCH(ROWS($N$2:N690),$N$2:$N$1001,0),MATCH(COLUMNS($U$1006:AC1006),$U$1006:$AC$1006,0)), HYPERLINK("#",""), HYPERLINK(CONCATENATE("#metadata!", ADDRESS(INDEX($P$2:$P$1001,MATCH(ROWS($N$2:N690),$N$2:$N$1001,0),0), INDEX($U$1004:$AC$1004,1,MATCH(COLUMNS($U$1006:AC1006),$U$1006:$AC$1006,0)))),"Fix")))</f>
        <v>0</v>
      </c>
      <c r="N690">
        <v>0</v>
      </c>
      <c r="O690">
        <v>0</v>
      </c>
      <c r="P690">
        <v>0</v>
      </c>
      <c r="Q690">
        <f>IF(R690,TRUE,AND(U690:AC690))</f>
        <v>0</v>
      </c>
      <c r="R690">
        <f>COUNTBLANK(metadata!B690:J690)=COLUMNS(metadata!B690:J690)</f>
        <v>0</v>
      </c>
      <c r="S690">
        <v>0</v>
      </c>
      <c r="U690">
        <f>AND(IF(metadata!B690="",FALSE,TRUE),COUNTIF(metadata!B:B, metadata!B690) = 1,NOT(ISERROR(SUMPRODUCT(SEARCH(MID(metadata!B690,ROW(INDIRECT("1:"&amp;LEN(metadata!B690))), 1),"0123456789abcdefghijklmnopqrstuvwxyzABCDEFGHIJKLMNOPQRSTUVWXYZ.")))))</f>
        <v>0</v>
      </c>
      <c r="V690">
        <f>AND(IF(metadata!C690="",FALSE,TRUE),exact(metadata!C690,"UBERON:genitourinary"))</f>
        <v>0</v>
      </c>
      <c r="W690">
        <f>AND(IF(metadata!D690="",FALSE,TRUE),exact(metadata!D690,"UBERON:urine"))</f>
        <v>0</v>
      </c>
      <c r="X690">
        <f>AND(IF(metadata!E690="",FALSE,TRUE),exact(metadata!E690,"UBERON:kidney"))</f>
        <v>0</v>
      </c>
      <c r="Y690">
        <f>AND(IF(metadata!F690="",FALSE,TRUE),exact(metadata!F690,"animal corpus"))</f>
        <v>0</v>
      </c>
      <c r="Z690">
        <f>AND(IF(metadata!G690="",FALSE,TRUE),exact(metadata!G690,"urine"))</f>
        <v>0</v>
      </c>
      <c r="AA690">
        <f>AND(IF(metadata!H690="",FALSE,TRUE),exact(metadata!H690,"urine"))</f>
        <v>0</v>
      </c>
      <c r="AB690">
        <f>AND(IF(metadata!I690="",FALSE,TRUE),exact(metadata!I690,"urine metagenome"))</f>
        <v>0</v>
      </c>
      <c r="AC690">
        <f>AND(IF(metadata!J690="",FALSE,TRUE),exact(metadata!J690,"1346744"))</f>
        <v>0</v>
      </c>
    </row>
    <row r="691" spans="1:29">
      <c r="A691" s="4">
        <f>IF(B691=" "," ",HYPERLINK(CONCATENATE("#metadata!",ADDRESS(INDEX($P$2:$P$1001,MATCH(ROWS($N$2:N691),$N$2:$N$1001,0),0),1)),INDEX($S$2:$S$1001,MATCH(ROWS($N$2:N691),$N$2:$N$1001,0),0)))</f>
        <v>0</v>
      </c>
      <c r="B691" s="3">
        <f>IF(OR(INDEX($O$2:$O$1001,MATCH(ROWS($N$2:N691),$N$2:$N$1001,0),1)&gt;=100000,INDEX($U$1005:$AC$1005,1,MATCH(COLUMNS($U$1006:U1006),$U$1006:$AC$1006,0))&gt;=100000), " ",IF(INDEX($U$2:$AC$1001,MATCH(ROWS($N$2:N691),$N$2:$N$1001,0),MATCH(COLUMNS($U$1006:U1006),$U$1006:$AC$1006,0)), HYPERLINK("#",""), HYPERLINK(CONCATENATE("#metadata!", ADDRESS(INDEX($P$2:$P$1001,MATCH(ROWS($N$2:N691),$N$2:$N$1001,0),0), INDEX($U$1004:$AC$1004,1,MATCH(COLUMNS($U$1006:U1006),$U$1006:$AC$1006,0)))),"Fix")))</f>
        <v>0</v>
      </c>
      <c r="C691" s="3">
        <f>IF(OR(INDEX($O$2:$O$1001,MATCH(ROWS($N$2:N691),$N$2:$N$1001,0),1)&gt;=100000,INDEX($U$1005:$AC$1005,1,MATCH(COLUMNS($U$1006:V1006),$U$1006:$AC$1006,0))&gt;=100000), " ",IF(INDEX($U$2:$AC$1001,MATCH(ROWS($N$2:N691),$N$2:$N$1001,0),MATCH(COLUMNS($U$1006:V1006),$U$1006:$AC$1006,0)), HYPERLINK("#",""), HYPERLINK(CONCATENATE("#metadata!", ADDRESS(INDEX($P$2:$P$1001,MATCH(ROWS($N$2:N691),$N$2:$N$1001,0),0), INDEX($U$1004:$AC$1004,1,MATCH(COLUMNS($U$1006:V1006),$U$1006:$AC$1006,0)))),"Fix")))</f>
        <v>0</v>
      </c>
      <c r="D691" s="3">
        <f>IF(OR(INDEX($O$2:$O$1001,MATCH(ROWS($N$2:N691),$N$2:$N$1001,0),1)&gt;=100000,INDEX($U$1005:$AC$1005,1,MATCH(COLUMNS($U$1006:W1006),$U$1006:$AC$1006,0))&gt;=100000), " ",IF(INDEX($U$2:$AC$1001,MATCH(ROWS($N$2:N691),$N$2:$N$1001,0),MATCH(COLUMNS($U$1006:W1006),$U$1006:$AC$1006,0)), HYPERLINK("#",""), HYPERLINK(CONCATENATE("#metadata!", ADDRESS(INDEX($P$2:$P$1001,MATCH(ROWS($N$2:N691),$N$2:$N$1001,0),0), INDEX($U$1004:$AC$1004,1,MATCH(COLUMNS($U$1006:W1006),$U$1006:$AC$1006,0)))),"Fix")))</f>
        <v>0</v>
      </c>
      <c r="E691" s="3">
        <f>IF(OR(INDEX($O$2:$O$1001,MATCH(ROWS($N$2:N691),$N$2:$N$1001,0),1)&gt;=100000,INDEX($U$1005:$AC$1005,1,MATCH(COLUMNS($U$1006:X1006),$U$1006:$AC$1006,0))&gt;=100000), " ",IF(INDEX($U$2:$AC$1001,MATCH(ROWS($N$2:N691),$N$2:$N$1001,0),MATCH(COLUMNS($U$1006:X1006),$U$1006:$AC$1006,0)), HYPERLINK("#",""), HYPERLINK(CONCATENATE("#metadata!", ADDRESS(INDEX($P$2:$P$1001,MATCH(ROWS($N$2:N691),$N$2:$N$1001,0),0), INDEX($U$1004:$AC$1004,1,MATCH(COLUMNS($U$1006:X1006),$U$1006:$AC$1006,0)))),"Fix")))</f>
        <v>0</v>
      </c>
      <c r="F691" s="3">
        <f>IF(OR(INDEX($O$2:$O$1001,MATCH(ROWS($N$2:N691),$N$2:$N$1001,0),1)&gt;=100000,INDEX($U$1005:$AC$1005,1,MATCH(COLUMNS($U$1006:Y1006),$U$1006:$AC$1006,0))&gt;=100000), " ",IF(INDEX($U$2:$AC$1001,MATCH(ROWS($N$2:N691),$N$2:$N$1001,0),MATCH(COLUMNS($U$1006:Y1006),$U$1006:$AC$1006,0)), HYPERLINK("#",""), HYPERLINK(CONCATENATE("#metadata!", ADDRESS(INDEX($P$2:$P$1001,MATCH(ROWS($N$2:N691),$N$2:$N$1001,0),0), INDEX($U$1004:$AC$1004,1,MATCH(COLUMNS($U$1006:Y1006),$U$1006:$AC$1006,0)))),"Fix")))</f>
        <v>0</v>
      </c>
      <c r="G691" s="3">
        <f>IF(OR(INDEX($O$2:$O$1001,MATCH(ROWS($N$2:N691),$N$2:$N$1001,0),1)&gt;=100000,INDEX($U$1005:$AC$1005,1,MATCH(COLUMNS($U$1006:Z1006),$U$1006:$AC$1006,0))&gt;=100000), " ",IF(INDEX($U$2:$AC$1001,MATCH(ROWS($N$2:N691),$N$2:$N$1001,0),MATCH(COLUMNS($U$1006:Z1006),$U$1006:$AC$1006,0)), HYPERLINK("#",""), HYPERLINK(CONCATENATE("#metadata!", ADDRESS(INDEX($P$2:$P$1001,MATCH(ROWS($N$2:N691),$N$2:$N$1001,0),0), INDEX($U$1004:$AC$1004,1,MATCH(COLUMNS($U$1006:Z1006),$U$1006:$AC$1006,0)))),"Fix")))</f>
        <v>0</v>
      </c>
      <c r="H691" s="3">
        <f>IF(OR(INDEX($O$2:$O$1001,MATCH(ROWS($N$2:N691),$N$2:$N$1001,0),1)&gt;=100000,INDEX($U$1005:$AC$1005,1,MATCH(COLUMNS($U$1006:AA1006),$U$1006:$AC$1006,0))&gt;=100000), " ",IF(INDEX($U$2:$AC$1001,MATCH(ROWS($N$2:N691),$N$2:$N$1001,0),MATCH(COLUMNS($U$1006:AA1006),$U$1006:$AC$1006,0)), HYPERLINK("#",""), HYPERLINK(CONCATENATE("#metadata!", ADDRESS(INDEX($P$2:$P$1001,MATCH(ROWS($N$2:N691),$N$2:$N$1001,0),0), INDEX($U$1004:$AC$1004,1,MATCH(COLUMNS($U$1006:AA1006),$U$1006:$AC$1006,0)))),"Fix")))</f>
        <v>0</v>
      </c>
      <c r="I691" s="3">
        <f>IF(OR(INDEX($O$2:$O$1001,MATCH(ROWS($N$2:N691),$N$2:$N$1001,0),1)&gt;=100000,INDEX($U$1005:$AC$1005,1,MATCH(COLUMNS($U$1006:AB1006),$U$1006:$AC$1006,0))&gt;=100000), " ",IF(INDEX($U$2:$AC$1001,MATCH(ROWS($N$2:N691),$N$2:$N$1001,0),MATCH(COLUMNS($U$1006:AB1006),$U$1006:$AC$1006,0)), HYPERLINK("#",""), HYPERLINK(CONCATENATE("#metadata!", ADDRESS(INDEX($P$2:$P$1001,MATCH(ROWS($N$2:N691),$N$2:$N$1001,0),0), INDEX($U$1004:$AC$1004,1,MATCH(COLUMNS($U$1006:AB1006),$U$1006:$AC$1006,0)))),"Fix")))</f>
        <v>0</v>
      </c>
      <c r="J691" s="3">
        <f>IF(OR(INDEX($O$2:$O$1001,MATCH(ROWS($N$2:N691),$N$2:$N$1001,0),1)&gt;=100000,INDEX($U$1005:$AC$1005,1,MATCH(COLUMNS($U$1006:AC1006),$U$1006:$AC$1006,0))&gt;=100000), " ",IF(INDEX($U$2:$AC$1001,MATCH(ROWS($N$2:N691),$N$2:$N$1001,0),MATCH(COLUMNS($U$1006:AC1006),$U$1006:$AC$1006,0)), HYPERLINK("#",""), HYPERLINK(CONCATENATE("#metadata!", ADDRESS(INDEX($P$2:$P$1001,MATCH(ROWS($N$2:N691),$N$2:$N$1001,0),0), INDEX($U$1004:$AC$1004,1,MATCH(COLUMNS($U$1006:AC1006),$U$1006:$AC$1006,0)))),"Fix")))</f>
        <v>0</v>
      </c>
      <c r="N691">
        <v>0</v>
      </c>
      <c r="O691">
        <v>0</v>
      </c>
      <c r="P691">
        <v>0</v>
      </c>
      <c r="Q691">
        <f>IF(R691,TRUE,AND(U691:AC691))</f>
        <v>0</v>
      </c>
      <c r="R691">
        <f>COUNTBLANK(metadata!B691:J691)=COLUMNS(metadata!B691:J691)</f>
        <v>0</v>
      </c>
      <c r="S691">
        <v>0</v>
      </c>
      <c r="U691">
        <f>AND(IF(metadata!B691="",FALSE,TRUE),COUNTIF(metadata!B:B, metadata!B691) = 1,NOT(ISERROR(SUMPRODUCT(SEARCH(MID(metadata!B691,ROW(INDIRECT("1:"&amp;LEN(metadata!B691))), 1),"0123456789abcdefghijklmnopqrstuvwxyzABCDEFGHIJKLMNOPQRSTUVWXYZ.")))))</f>
        <v>0</v>
      </c>
      <c r="V691">
        <f>AND(IF(metadata!C691="",FALSE,TRUE),exact(metadata!C691,"UBERON:genitourinary"))</f>
        <v>0</v>
      </c>
      <c r="W691">
        <f>AND(IF(metadata!D691="",FALSE,TRUE),exact(metadata!D691,"UBERON:urine"))</f>
        <v>0</v>
      </c>
      <c r="X691">
        <f>AND(IF(metadata!E691="",FALSE,TRUE),exact(metadata!E691,"UBERON:kidney"))</f>
        <v>0</v>
      </c>
      <c r="Y691">
        <f>AND(IF(metadata!F691="",FALSE,TRUE),exact(metadata!F691,"animal corpus"))</f>
        <v>0</v>
      </c>
      <c r="Z691">
        <f>AND(IF(metadata!G691="",FALSE,TRUE),exact(metadata!G691,"urine"))</f>
        <v>0</v>
      </c>
      <c r="AA691">
        <f>AND(IF(metadata!H691="",FALSE,TRUE),exact(metadata!H691,"urine"))</f>
        <v>0</v>
      </c>
      <c r="AB691">
        <f>AND(IF(metadata!I691="",FALSE,TRUE),exact(metadata!I691,"urine metagenome"))</f>
        <v>0</v>
      </c>
      <c r="AC691">
        <f>AND(IF(metadata!J691="",FALSE,TRUE),exact(metadata!J691,"1346744"))</f>
        <v>0</v>
      </c>
    </row>
    <row r="692" spans="1:29">
      <c r="A692" s="4">
        <f>IF(B692=" "," ",HYPERLINK(CONCATENATE("#metadata!",ADDRESS(INDEX($P$2:$P$1001,MATCH(ROWS($N$2:N692),$N$2:$N$1001,0),0),1)),INDEX($S$2:$S$1001,MATCH(ROWS($N$2:N692),$N$2:$N$1001,0),0)))</f>
        <v>0</v>
      </c>
      <c r="B692" s="3">
        <f>IF(OR(INDEX($O$2:$O$1001,MATCH(ROWS($N$2:N692),$N$2:$N$1001,0),1)&gt;=100000,INDEX($U$1005:$AC$1005,1,MATCH(COLUMNS($U$1006:U1006),$U$1006:$AC$1006,0))&gt;=100000), " ",IF(INDEX($U$2:$AC$1001,MATCH(ROWS($N$2:N692),$N$2:$N$1001,0),MATCH(COLUMNS($U$1006:U1006),$U$1006:$AC$1006,0)), HYPERLINK("#",""), HYPERLINK(CONCATENATE("#metadata!", ADDRESS(INDEX($P$2:$P$1001,MATCH(ROWS($N$2:N692),$N$2:$N$1001,0),0), INDEX($U$1004:$AC$1004,1,MATCH(COLUMNS($U$1006:U1006),$U$1006:$AC$1006,0)))),"Fix")))</f>
        <v>0</v>
      </c>
      <c r="C692" s="3">
        <f>IF(OR(INDEX($O$2:$O$1001,MATCH(ROWS($N$2:N692),$N$2:$N$1001,0),1)&gt;=100000,INDEX($U$1005:$AC$1005,1,MATCH(COLUMNS($U$1006:V1006),$U$1006:$AC$1006,0))&gt;=100000), " ",IF(INDEX($U$2:$AC$1001,MATCH(ROWS($N$2:N692),$N$2:$N$1001,0),MATCH(COLUMNS($U$1006:V1006),$U$1006:$AC$1006,0)), HYPERLINK("#",""), HYPERLINK(CONCATENATE("#metadata!", ADDRESS(INDEX($P$2:$P$1001,MATCH(ROWS($N$2:N692),$N$2:$N$1001,0),0), INDEX($U$1004:$AC$1004,1,MATCH(COLUMNS($U$1006:V1006),$U$1006:$AC$1006,0)))),"Fix")))</f>
        <v>0</v>
      </c>
      <c r="D692" s="3">
        <f>IF(OR(INDEX($O$2:$O$1001,MATCH(ROWS($N$2:N692),$N$2:$N$1001,0),1)&gt;=100000,INDEX($U$1005:$AC$1005,1,MATCH(COLUMNS($U$1006:W1006),$U$1006:$AC$1006,0))&gt;=100000), " ",IF(INDEX($U$2:$AC$1001,MATCH(ROWS($N$2:N692),$N$2:$N$1001,0),MATCH(COLUMNS($U$1006:W1006),$U$1006:$AC$1006,0)), HYPERLINK("#",""), HYPERLINK(CONCATENATE("#metadata!", ADDRESS(INDEX($P$2:$P$1001,MATCH(ROWS($N$2:N692),$N$2:$N$1001,0),0), INDEX($U$1004:$AC$1004,1,MATCH(COLUMNS($U$1006:W1006),$U$1006:$AC$1006,0)))),"Fix")))</f>
        <v>0</v>
      </c>
      <c r="E692" s="3">
        <f>IF(OR(INDEX($O$2:$O$1001,MATCH(ROWS($N$2:N692),$N$2:$N$1001,0),1)&gt;=100000,INDEX($U$1005:$AC$1005,1,MATCH(COLUMNS($U$1006:X1006),$U$1006:$AC$1006,0))&gt;=100000), " ",IF(INDEX($U$2:$AC$1001,MATCH(ROWS($N$2:N692),$N$2:$N$1001,0),MATCH(COLUMNS($U$1006:X1006),$U$1006:$AC$1006,0)), HYPERLINK("#",""), HYPERLINK(CONCATENATE("#metadata!", ADDRESS(INDEX($P$2:$P$1001,MATCH(ROWS($N$2:N692),$N$2:$N$1001,0),0), INDEX($U$1004:$AC$1004,1,MATCH(COLUMNS($U$1006:X1006),$U$1006:$AC$1006,0)))),"Fix")))</f>
        <v>0</v>
      </c>
      <c r="F692" s="3">
        <f>IF(OR(INDEX($O$2:$O$1001,MATCH(ROWS($N$2:N692),$N$2:$N$1001,0),1)&gt;=100000,INDEX($U$1005:$AC$1005,1,MATCH(COLUMNS($U$1006:Y1006),$U$1006:$AC$1006,0))&gt;=100000), " ",IF(INDEX($U$2:$AC$1001,MATCH(ROWS($N$2:N692),$N$2:$N$1001,0),MATCH(COLUMNS($U$1006:Y1006),$U$1006:$AC$1006,0)), HYPERLINK("#",""), HYPERLINK(CONCATENATE("#metadata!", ADDRESS(INDEX($P$2:$P$1001,MATCH(ROWS($N$2:N692),$N$2:$N$1001,0),0), INDEX($U$1004:$AC$1004,1,MATCH(COLUMNS($U$1006:Y1006),$U$1006:$AC$1006,0)))),"Fix")))</f>
        <v>0</v>
      </c>
      <c r="G692" s="3">
        <f>IF(OR(INDEX($O$2:$O$1001,MATCH(ROWS($N$2:N692),$N$2:$N$1001,0),1)&gt;=100000,INDEX($U$1005:$AC$1005,1,MATCH(COLUMNS($U$1006:Z1006),$U$1006:$AC$1006,0))&gt;=100000), " ",IF(INDEX($U$2:$AC$1001,MATCH(ROWS($N$2:N692),$N$2:$N$1001,0),MATCH(COLUMNS($U$1006:Z1006),$U$1006:$AC$1006,0)), HYPERLINK("#",""), HYPERLINK(CONCATENATE("#metadata!", ADDRESS(INDEX($P$2:$P$1001,MATCH(ROWS($N$2:N692),$N$2:$N$1001,0),0), INDEX($U$1004:$AC$1004,1,MATCH(COLUMNS($U$1006:Z1006),$U$1006:$AC$1006,0)))),"Fix")))</f>
        <v>0</v>
      </c>
      <c r="H692" s="3">
        <f>IF(OR(INDEX($O$2:$O$1001,MATCH(ROWS($N$2:N692),$N$2:$N$1001,0),1)&gt;=100000,INDEX($U$1005:$AC$1005,1,MATCH(COLUMNS($U$1006:AA1006),$U$1006:$AC$1006,0))&gt;=100000), " ",IF(INDEX($U$2:$AC$1001,MATCH(ROWS($N$2:N692),$N$2:$N$1001,0),MATCH(COLUMNS($U$1006:AA1006),$U$1006:$AC$1006,0)), HYPERLINK("#",""), HYPERLINK(CONCATENATE("#metadata!", ADDRESS(INDEX($P$2:$P$1001,MATCH(ROWS($N$2:N692),$N$2:$N$1001,0),0), INDEX($U$1004:$AC$1004,1,MATCH(COLUMNS($U$1006:AA1006),$U$1006:$AC$1006,0)))),"Fix")))</f>
        <v>0</v>
      </c>
      <c r="I692" s="3">
        <f>IF(OR(INDEX($O$2:$O$1001,MATCH(ROWS($N$2:N692),$N$2:$N$1001,0),1)&gt;=100000,INDEX($U$1005:$AC$1005,1,MATCH(COLUMNS($U$1006:AB1006),$U$1006:$AC$1006,0))&gt;=100000), " ",IF(INDEX($U$2:$AC$1001,MATCH(ROWS($N$2:N692),$N$2:$N$1001,0),MATCH(COLUMNS($U$1006:AB1006),$U$1006:$AC$1006,0)), HYPERLINK("#",""), HYPERLINK(CONCATENATE("#metadata!", ADDRESS(INDEX($P$2:$P$1001,MATCH(ROWS($N$2:N692),$N$2:$N$1001,0),0), INDEX($U$1004:$AC$1004,1,MATCH(COLUMNS($U$1006:AB1006),$U$1006:$AC$1006,0)))),"Fix")))</f>
        <v>0</v>
      </c>
      <c r="J692" s="3">
        <f>IF(OR(INDEX($O$2:$O$1001,MATCH(ROWS($N$2:N692),$N$2:$N$1001,0),1)&gt;=100000,INDEX($U$1005:$AC$1005,1,MATCH(COLUMNS($U$1006:AC1006),$U$1006:$AC$1006,0))&gt;=100000), " ",IF(INDEX($U$2:$AC$1001,MATCH(ROWS($N$2:N692),$N$2:$N$1001,0),MATCH(COLUMNS($U$1006:AC1006),$U$1006:$AC$1006,0)), HYPERLINK("#",""), HYPERLINK(CONCATENATE("#metadata!", ADDRESS(INDEX($P$2:$P$1001,MATCH(ROWS($N$2:N692),$N$2:$N$1001,0),0), INDEX($U$1004:$AC$1004,1,MATCH(COLUMNS($U$1006:AC1006),$U$1006:$AC$1006,0)))),"Fix")))</f>
        <v>0</v>
      </c>
      <c r="N692">
        <v>0</v>
      </c>
      <c r="O692">
        <v>0</v>
      </c>
      <c r="P692">
        <v>0</v>
      </c>
      <c r="Q692">
        <f>IF(R692,TRUE,AND(U692:AC692))</f>
        <v>0</v>
      </c>
      <c r="R692">
        <f>COUNTBLANK(metadata!B692:J692)=COLUMNS(metadata!B692:J692)</f>
        <v>0</v>
      </c>
      <c r="S692">
        <v>0</v>
      </c>
      <c r="U692">
        <f>AND(IF(metadata!B692="",FALSE,TRUE),COUNTIF(metadata!B:B, metadata!B692) = 1,NOT(ISERROR(SUMPRODUCT(SEARCH(MID(metadata!B692,ROW(INDIRECT("1:"&amp;LEN(metadata!B692))), 1),"0123456789abcdefghijklmnopqrstuvwxyzABCDEFGHIJKLMNOPQRSTUVWXYZ.")))))</f>
        <v>0</v>
      </c>
      <c r="V692">
        <f>AND(IF(metadata!C692="",FALSE,TRUE),exact(metadata!C692,"UBERON:genitourinary"))</f>
        <v>0</v>
      </c>
      <c r="W692">
        <f>AND(IF(metadata!D692="",FALSE,TRUE),exact(metadata!D692,"UBERON:urine"))</f>
        <v>0</v>
      </c>
      <c r="X692">
        <f>AND(IF(metadata!E692="",FALSE,TRUE),exact(metadata!E692,"UBERON:kidney"))</f>
        <v>0</v>
      </c>
      <c r="Y692">
        <f>AND(IF(metadata!F692="",FALSE,TRUE),exact(metadata!F692,"animal corpus"))</f>
        <v>0</v>
      </c>
      <c r="Z692">
        <f>AND(IF(metadata!G692="",FALSE,TRUE),exact(metadata!G692,"urine"))</f>
        <v>0</v>
      </c>
      <c r="AA692">
        <f>AND(IF(metadata!H692="",FALSE,TRUE),exact(metadata!H692,"urine"))</f>
        <v>0</v>
      </c>
      <c r="AB692">
        <f>AND(IF(metadata!I692="",FALSE,TRUE),exact(metadata!I692,"urine metagenome"))</f>
        <v>0</v>
      </c>
      <c r="AC692">
        <f>AND(IF(metadata!J692="",FALSE,TRUE),exact(metadata!J692,"1346744"))</f>
        <v>0</v>
      </c>
    </row>
    <row r="693" spans="1:29">
      <c r="A693" s="4">
        <f>IF(B693=" "," ",HYPERLINK(CONCATENATE("#metadata!",ADDRESS(INDEX($P$2:$P$1001,MATCH(ROWS($N$2:N693),$N$2:$N$1001,0),0),1)),INDEX($S$2:$S$1001,MATCH(ROWS($N$2:N693),$N$2:$N$1001,0),0)))</f>
        <v>0</v>
      </c>
      <c r="B693" s="3">
        <f>IF(OR(INDEX($O$2:$O$1001,MATCH(ROWS($N$2:N693),$N$2:$N$1001,0),1)&gt;=100000,INDEX($U$1005:$AC$1005,1,MATCH(COLUMNS($U$1006:U1006),$U$1006:$AC$1006,0))&gt;=100000), " ",IF(INDEX($U$2:$AC$1001,MATCH(ROWS($N$2:N693),$N$2:$N$1001,0),MATCH(COLUMNS($U$1006:U1006),$U$1006:$AC$1006,0)), HYPERLINK("#",""), HYPERLINK(CONCATENATE("#metadata!", ADDRESS(INDEX($P$2:$P$1001,MATCH(ROWS($N$2:N693),$N$2:$N$1001,0),0), INDEX($U$1004:$AC$1004,1,MATCH(COLUMNS($U$1006:U1006),$U$1006:$AC$1006,0)))),"Fix")))</f>
        <v>0</v>
      </c>
      <c r="C693" s="3">
        <f>IF(OR(INDEX($O$2:$O$1001,MATCH(ROWS($N$2:N693),$N$2:$N$1001,0),1)&gt;=100000,INDEX($U$1005:$AC$1005,1,MATCH(COLUMNS($U$1006:V1006),$U$1006:$AC$1006,0))&gt;=100000), " ",IF(INDEX($U$2:$AC$1001,MATCH(ROWS($N$2:N693),$N$2:$N$1001,0),MATCH(COLUMNS($U$1006:V1006),$U$1006:$AC$1006,0)), HYPERLINK("#",""), HYPERLINK(CONCATENATE("#metadata!", ADDRESS(INDEX($P$2:$P$1001,MATCH(ROWS($N$2:N693),$N$2:$N$1001,0),0), INDEX($U$1004:$AC$1004,1,MATCH(COLUMNS($U$1006:V1006),$U$1006:$AC$1006,0)))),"Fix")))</f>
        <v>0</v>
      </c>
      <c r="D693" s="3">
        <f>IF(OR(INDEX($O$2:$O$1001,MATCH(ROWS($N$2:N693),$N$2:$N$1001,0),1)&gt;=100000,INDEX($U$1005:$AC$1005,1,MATCH(COLUMNS($U$1006:W1006),$U$1006:$AC$1006,0))&gt;=100000), " ",IF(INDEX($U$2:$AC$1001,MATCH(ROWS($N$2:N693),$N$2:$N$1001,0),MATCH(COLUMNS($U$1006:W1006),$U$1006:$AC$1006,0)), HYPERLINK("#",""), HYPERLINK(CONCATENATE("#metadata!", ADDRESS(INDEX($P$2:$P$1001,MATCH(ROWS($N$2:N693),$N$2:$N$1001,0),0), INDEX($U$1004:$AC$1004,1,MATCH(COLUMNS($U$1006:W1006),$U$1006:$AC$1006,0)))),"Fix")))</f>
        <v>0</v>
      </c>
      <c r="E693" s="3">
        <f>IF(OR(INDEX($O$2:$O$1001,MATCH(ROWS($N$2:N693),$N$2:$N$1001,0),1)&gt;=100000,INDEX($U$1005:$AC$1005,1,MATCH(COLUMNS($U$1006:X1006),$U$1006:$AC$1006,0))&gt;=100000), " ",IF(INDEX($U$2:$AC$1001,MATCH(ROWS($N$2:N693),$N$2:$N$1001,0),MATCH(COLUMNS($U$1006:X1006),$U$1006:$AC$1006,0)), HYPERLINK("#",""), HYPERLINK(CONCATENATE("#metadata!", ADDRESS(INDEX($P$2:$P$1001,MATCH(ROWS($N$2:N693),$N$2:$N$1001,0),0), INDEX($U$1004:$AC$1004,1,MATCH(COLUMNS($U$1006:X1006),$U$1006:$AC$1006,0)))),"Fix")))</f>
        <v>0</v>
      </c>
      <c r="F693" s="3">
        <f>IF(OR(INDEX($O$2:$O$1001,MATCH(ROWS($N$2:N693),$N$2:$N$1001,0),1)&gt;=100000,INDEX($U$1005:$AC$1005,1,MATCH(COLUMNS($U$1006:Y1006),$U$1006:$AC$1006,0))&gt;=100000), " ",IF(INDEX($U$2:$AC$1001,MATCH(ROWS($N$2:N693),$N$2:$N$1001,0),MATCH(COLUMNS($U$1006:Y1006),$U$1006:$AC$1006,0)), HYPERLINK("#",""), HYPERLINK(CONCATENATE("#metadata!", ADDRESS(INDEX($P$2:$P$1001,MATCH(ROWS($N$2:N693),$N$2:$N$1001,0),0), INDEX($U$1004:$AC$1004,1,MATCH(COLUMNS($U$1006:Y1006),$U$1006:$AC$1006,0)))),"Fix")))</f>
        <v>0</v>
      </c>
      <c r="G693" s="3">
        <f>IF(OR(INDEX($O$2:$O$1001,MATCH(ROWS($N$2:N693),$N$2:$N$1001,0),1)&gt;=100000,INDEX($U$1005:$AC$1005,1,MATCH(COLUMNS($U$1006:Z1006),$U$1006:$AC$1006,0))&gt;=100000), " ",IF(INDEX($U$2:$AC$1001,MATCH(ROWS($N$2:N693),$N$2:$N$1001,0),MATCH(COLUMNS($U$1006:Z1006),$U$1006:$AC$1006,0)), HYPERLINK("#",""), HYPERLINK(CONCATENATE("#metadata!", ADDRESS(INDEX($P$2:$P$1001,MATCH(ROWS($N$2:N693),$N$2:$N$1001,0),0), INDEX($U$1004:$AC$1004,1,MATCH(COLUMNS($U$1006:Z1006),$U$1006:$AC$1006,0)))),"Fix")))</f>
        <v>0</v>
      </c>
      <c r="H693" s="3">
        <f>IF(OR(INDEX($O$2:$O$1001,MATCH(ROWS($N$2:N693),$N$2:$N$1001,0),1)&gt;=100000,INDEX($U$1005:$AC$1005,1,MATCH(COLUMNS($U$1006:AA1006),$U$1006:$AC$1006,0))&gt;=100000), " ",IF(INDEX($U$2:$AC$1001,MATCH(ROWS($N$2:N693),$N$2:$N$1001,0),MATCH(COLUMNS($U$1006:AA1006),$U$1006:$AC$1006,0)), HYPERLINK("#",""), HYPERLINK(CONCATENATE("#metadata!", ADDRESS(INDEX($P$2:$P$1001,MATCH(ROWS($N$2:N693),$N$2:$N$1001,0),0), INDEX($U$1004:$AC$1004,1,MATCH(COLUMNS($U$1006:AA1006),$U$1006:$AC$1006,0)))),"Fix")))</f>
        <v>0</v>
      </c>
      <c r="I693" s="3">
        <f>IF(OR(INDEX($O$2:$O$1001,MATCH(ROWS($N$2:N693),$N$2:$N$1001,0),1)&gt;=100000,INDEX($U$1005:$AC$1005,1,MATCH(COLUMNS($U$1006:AB1006),$U$1006:$AC$1006,0))&gt;=100000), " ",IF(INDEX($U$2:$AC$1001,MATCH(ROWS($N$2:N693),$N$2:$N$1001,0),MATCH(COLUMNS($U$1006:AB1006),$U$1006:$AC$1006,0)), HYPERLINK("#",""), HYPERLINK(CONCATENATE("#metadata!", ADDRESS(INDEX($P$2:$P$1001,MATCH(ROWS($N$2:N693),$N$2:$N$1001,0),0), INDEX($U$1004:$AC$1004,1,MATCH(COLUMNS($U$1006:AB1006),$U$1006:$AC$1006,0)))),"Fix")))</f>
        <v>0</v>
      </c>
      <c r="J693" s="3">
        <f>IF(OR(INDEX($O$2:$O$1001,MATCH(ROWS($N$2:N693),$N$2:$N$1001,0),1)&gt;=100000,INDEX($U$1005:$AC$1005,1,MATCH(COLUMNS($U$1006:AC1006),$U$1006:$AC$1006,0))&gt;=100000), " ",IF(INDEX($U$2:$AC$1001,MATCH(ROWS($N$2:N693),$N$2:$N$1001,0),MATCH(COLUMNS($U$1006:AC1006),$U$1006:$AC$1006,0)), HYPERLINK("#",""), HYPERLINK(CONCATENATE("#metadata!", ADDRESS(INDEX($P$2:$P$1001,MATCH(ROWS($N$2:N693),$N$2:$N$1001,0),0), INDEX($U$1004:$AC$1004,1,MATCH(COLUMNS($U$1006:AC1006),$U$1006:$AC$1006,0)))),"Fix")))</f>
        <v>0</v>
      </c>
      <c r="N693">
        <v>0</v>
      </c>
      <c r="O693">
        <v>0</v>
      </c>
      <c r="P693">
        <v>0</v>
      </c>
      <c r="Q693">
        <f>IF(R693,TRUE,AND(U693:AC693))</f>
        <v>0</v>
      </c>
      <c r="R693">
        <f>COUNTBLANK(metadata!B693:J693)=COLUMNS(metadata!B693:J693)</f>
        <v>0</v>
      </c>
      <c r="S693">
        <v>0</v>
      </c>
      <c r="U693">
        <f>AND(IF(metadata!B693="",FALSE,TRUE),COUNTIF(metadata!B:B, metadata!B693) = 1,NOT(ISERROR(SUMPRODUCT(SEARCH(MID(metadata!B693,ROW(INDIRECT("1:"&amp;LEN(metadata!B693))), 1),"0123456789abcdefghijklmnopqrstuvwxyzABCDEFGHIJKLMNOPQRSTUVWXYZ.")))))</f>
        <v>0</v>
      </c>
      <c r="V693">
        <f>AND(IF(metadata!C693="",FALSE,TRUE),exact(metadata!C693,"UBERON:genitourinary"))</f>
        <v>0</v>
      </c>
      <c r="W693">
        <f>AND(IF(metadata!D693="",FALSE,TRUE),exact(metadata!D693,"UBERON:urine"))</f>
        <v>0</v>
      </c>
      <c r="X693">
        <f>AND(IF(metadata!E693="",FALSE,TRUE),exact(metadata!E693,"UBERON:kidney"))</f>
        <v>0</v>
      </c>
      <c r="Y693">
        <f>AND(IF(metadata!F693="",FALSE,TRUE),exact(metadata!F693,"animal corpus"))</f>
        <v>0</v>
      </c>
      <c r="Z693">
        <f>AND(IF(metadata!G693="",FALSE,TRUE),exact(metadata!G693,"urine"))</f>
        <v>0</v>
      </c>
      <c r="AA693">
        <f>AND(IF(metadata!H693="",FALSE,TRUE),exact(metadata!H693,"urine"))</f>
        <v>0</v>
      </c>
      <c r="AB693">
        <f>AND(IF(metadata!I693="",FALSE,TRUE),exact(metadata!I693,"urine metagenome"))</f>
        <v>0</v>
      </c>
      <c r="AC693">
        <f>AND(IF(metadata!J693="",FALSE,TRUE),exact(metadata!J693,"1346744"))</f>
        <v>0</v>
      </c>
    </row>
    <row r="694" spans="1:29">
      <c r="A694" s="4">
        <f>IF(B694=" "," ",HYPERLINK(CONCATENATE("#metadata!",ADDRESS(INDEX($P$2:$P$1001,MATCH(ROWS($N$2:N694),$N$2:$N$1001,0),0),1)),INDEX($S$2:$S$1001,MATCH(ROWS($N$2:N694),$N$2:$N$1001,0),0)))</f>
        <v>0</v>
      </c>
      <c r="B694" s="3">
        <f>IF(OR(INDEX($O$2:$O$1001,MATCH(ROWS($N$2:N694),$N$2:$N$1001,0),1)&gt;=100000,INDEX($U$1005:$AC$1005,1,MATCH(COLUMNS($U$1006:U1006),$U$1006:$AC$1006,0))&gt;=100000), " ",IF(INDEX($U$2:$AC$1001,MATCH(ROWS($N$2:N694),$N$2:$N$1001,0),MATCH(COLUMNS($U$1006:U1006),$U$1006:$AC$1006,0)), HYPERLINK("#",""), HYPERLINK(CONCATENATE("#metadata!", ADDRESS(INDEX($P$2:$P$1001,MATCH(ROWS($N$2:N694),$N$2:$N$1001,0),0), INDEX($U$1004:$AC$1004,1,MATCH(COLUMNS($U$1006:U1006),$U$1006:$AC$1006,0)))),"Fix")))</f>
        <v>0</v>
      </c>
      <c r="C694" s="3">
        <f>IF(OR(INDEX($O$2:$O$1001,MATCH(ROWS($N$2:N694),$N$2:$N$1001,0),1)&gt;=100000,INDEX($U$1005:$AC$1005,1,MATCH(COLUMNS($U$1006:V1006),$U$1006:$AC$1006,0))&gt;=100000), " ",IF(INDEX($U$2:$AC$1001,MATCH(ROWS($N$2:N694),$N$2:$N$1001,0),MATCH(COLUMNS($U$1006:V1006),$U$1006:$AC$1006,0)), HYPERLINK("#",""), HYPERLINK(CONCATENATE("#metadata!", ADDRESS(INDEX($P$2:$P$1001,MATCH(ROWS($N$2:N694),$N$2:$N$1001,0),0), INDEX($U$1004:$AC$1004,1,MATCH(COLUMNS($U$1006:V1006),$U$1006:$AC$1006,0)))),"Fix")))</f>
        <v>0</v>
      </c>
      <c r="D694" s="3">
        <f>IF(OR(INDEX($O$2:$O$1001,MATCH(ROWS($N$2:N694),$N$2:$N$1001,0),1)&gt;=100000,INDEX($U$1005:$AC$1005,1,MATCH(COLUMNS($U$1006:W1006),$U$1006:$AC$1006,0))&gt;=100000), " ",IF(INDEX($U$2:$AC$1001,MATCH(ROWS($N$2:N694),$N$2:$N$1001,0),MATCH(COLUMNS($U$1006:W1006),$U$1006:$AC$1006,0)), HYPERLINK("#",""), HYPERLINK(CONCATENATE("#metadata!", ADDRESS(INDEX($P$2:$P$1001,MATCH(ROWS($N$2:N694),$N$2:$N$1001,0),0), INDEX($U$1004:$AC$1004,1,MATCH(COLUMNS($U$1006:W1006),$U$1006:$AC$1006,0)))),"Fix")))</f>
        <v>0</v>
      </c>
      <c r="E694" s="3">
        <f>IF(OR(INDEX($O$2:$O$1001,MATCH(ROWS($N$2:N694),$N$2:$N$1001,0),1)&gt;=100000,INDEX($U$1005:$AC$1005,1,MATCH(COLUMNS($U$1006:X1006),$U$1006:$AC$1006,0))&gt;=100000), " ",IF(INDEX($U$2:$AC$1001,MATCH(ROWS($N$2:N694),$N$2:$N$1001,0),MATCH(COLUMNS($U$1006:X1006),$U$1006:$AC$1006,0)), HYPERLINK("#",""), HYPERLINK(CONCATENATE("#metadata!", ADDRESS(INDEX($P$2:$P$1001,MATCH(ROWS($N$2:N694),$N$2:$N$1001,0),0), INDEX($U$1004:$AC$1004,1,MATCH(COLUMNS($U$1006:X1006),$U$1006:$AC$1006,0)))),"Fix")))</f>
        <v>0</v>
      </c>
      <c r="F694" s="3">
        <f>IF(OR(INDEX($O$2:$O$1001,MATCH(ROWS($N$2:N694),$N$2:$N$1001,0),1)&gt;=100000,INDEX($U$1005:$AC$1005,1,MATCH(COLUMNS($U$1006:Y1006),$U$1006:$AC$1006,0))&gt;=100000), " ",IF(INDEX($U$2:$AC$1001,MATCH(ROWS($N$2:N694),$N$2:$N$1001,0),MATCH(COLUMNS($U$1006:Y1006),$U$1006:$AC$1006,0)), HYPERLINK("#",""), HYPERLINK(CONCATENATE("#metadata!", ADDRESS(INDEX($P$2:$P$1001,MATCH(ROWS($N$2:N694),$N$2:$N$1001,0),0), INDEX($U$1004:$AC$1004,1,MATCH(COLUMNS($U$1006:Y1006),$U$1006:$AC$1006,0)))),"Fix")))</f>
        <v>0</v>
      </c>
      <c r="G694" s="3">
        <f>IF(OR(INDEX($O$2:$O$1001,MATCH(ROWS($N$2:N694),$N$2:$N$1001,0),1)&gt;=100000,INDEX($U$1005:$AC$1005,1,MATCH(COLUMNS($U$1006:Z1006),$U$1006:$AC$1006,0))&gt;=100000), " ",IF(INDEX($U$2:$AC$1001,MATCH(ROWS($N$2:N694),$N$2:$N$1001,0),MATCH(COLUMNS($U$1006:Z1006),$U$1006:$AC$1006,0)), HYPERLINK("#",""), HYPERLINK(CONCATENATE("#metadata!", ADDRESS(INDEX($P$2:$P$1001,MATCH(ROWS($N$2:N694),$N$2:$N$1001,0),0), INDEX($U$1004:$AC$1004,1,MATCH(COLUMNS($U$1006:Z1006),$U$1006:$AC$1006,0)))),"Fix")))</f>
        <v>0</v>
      </c>
      <c r="H694" s="3">
        <f>IF(OR(INDEX($O$2:$O$1001,MATCH(ROWS($N$2:N694),$N$2:$N$1001,0),1)&gt;=100000,INDEX($U$1005:$AC$1005,1,MATCH(COLUMNS($U$1006:AA1006),$U$1006:$AC$1006,0))&gt;=100000), " ",IF(INDEX($U$2:$AC$1001,MATCH(ROWS($N$2:N694),$N$2:$N$1001,0),MATCH(COLUMNS($U$1006:AA1006),$U$1006:$AC$1006,0)), HYPERLINK("#",""), HYPERLINK(CONCATENATE("#metadata!", ADDRESS(INDEX($P$2:$P$1001,MATCH(ROWS($N$2:N694),$N$2:$N$1001,0),0), INDEX($U$1004:$AC$1004,1,MATCH(COLUMNS($U$1006:AA1006),$U$1006:$AC$1006,0)))),"Fix")))</f>
        <v>0</v>
      </c>
      <c r="I694" s="3">
        <f>IF(OR(INDEX($O$2:$O$1001,MATCH(ROWS($N$2:N694),$N$2:$N$1001,0),1)&gt;=100000,INDEX($U$1005:$AC$1005,1,MATCH(COLUMNS($U$1006:AB1006),$U$1006:$AC$1006,0))&gt;=100000), " ",IF(INDEX($U$2:$AC$1001,MATCH(ROWS($N$2:N694),$N$2:$N$1001,0),MATCH(COLUMNS($U$1006:AB1006),$U$1006:$AC$1006,0)), HYPERLINK("#",""), HYPERLINK(CONCATENATE("#metadata!", ADDRESS(INDEX($P$2:$P$1001,MATCH(ROWS($N$2:N694),$N$2:$N$1001,0),0), INDEX($U$1004:$AC$1004,1,MATCH(COLUMNS($U$1006:AB1006),$U$1006:$AC$1006,0)))),"Fix")))</f>
        <v>0</v>
      </c>
      <c r="J694" s="3">
        <f>IF(OR(INDEX($O$2:$O$1001,MATCH(ROWS($N$2:N694),$N$2:$N$1001,0),1)&gt;=100000,INDEX($U$1005:$AC$1005,1,MATCH(COLUMNS($U$1006:AC1006),$U$1006:$AC$1006,0))&gt;=100000), " ",IF(INDEX($U$2:$AC$1001,MATCH(ROWS($N$2:N694),$N$2:$N$1001,0),MATCH(COLUMNS($U$1006:AC1006),$U$1006:$AC$1006,0)), HYPERLINK("#",""), HYPERLINK(CONCATENATE("#metadata!", ADDRESS(INDEX($P$2:$P$1001,MATCH(ROWS($N$2:N694),$N$2:$N$1001,0),0), INDEX($U$1004:$AC$1004,1,MATCH(COLUMNS($U$1006:AC1006),$U$1006:$AC$1006,0)))),"Fix")))</f>
        <v>0</v>
      </c>
      <c r="N694">
        <v>0</v>
      </c>
      <c r="O694">
        <v>0</v>
      </c>
      <c r="P694">
        <v>0</v>
      </c>
      <c r="Q694">
        <f>IF(R694,TRUE,AND(U694:AC694))</f>
        <v>0</v>
      </c>
      <c r="R694">
        <f>COUNTBLANK(metadata!B694:J694)=COLUMNS(metadata!B694:J694)</f>
        <v>0</v>
      </c>
      <c r="S694">
        <v>0</v>
      </c>
      <c r="U694">
        <f>AND(IF(metadata!B694="",FALSE,TRUE),COUNTIF(metadata!B:B, metadata!B694) = 1,NOT(ISERROR(SUMPRODUCT(SEARCH(MID(metadata!B694,ROW(INDIRECT("1:"&amp;LEN(metadata!B694))), 1),"0123456789abcdefghijklmnopqrstuvwxyzABCDEFGHIJKLMNOPQRSTUVWXYZ.")))))</f>
        <v>0</v>
      </c>
      <c r="V694">
        <f>AND(IF(metadata!C694="",FALSE,TRUE),exact(metadata!C694,"UBERON:genitourinary"))</f>
        <v>0</v>
      </c>
      <c r="W694">
        <f>AND(IF(metadata!D694="",FALSE,TRUE),exact(metadata!D694,"UBERON:urine"))</f>
        <v>0</v>
      </c>
      <c r="X694">
        <f>AND(IF(metadata!E694="",FALSE,TRUE),exact(metadata!E694,"UBERON:kidney"))</f>
        <v>0</v>
      </c>
      <c r="Y694">
        <f>AND(IF(metadata!F694="",FALSE,TRUE),exact(metadata!F694,"animal corpus"))</f>
        <v>0</v>
      </c>
      <c r="Z694">
        <f>AND(IF(metadata!G694="",FALSE,TRUE),exact(metadata!G694,"urine"))</f>
        <v>0</v>
      </c>
      <c r="AA694">
        <f>AND(IF(metadata!H694="",FALSE,TRUE),exact(metadata!H694,"urine"))</f>
        <v>0</v>
      </c>
      <c r="AB694">
        <f>AND(IF(metadata!I694="",FALSE,TRUE),exact(metadata!I694,"urine metagenome"))</f>
        <v>0</v>
      </c>
      <c r="AC694">
        <f>AND(IF(metadata!J694="",FALSE,TRUE),exact(metadata!J694,"1346744"))</f>
        <v>0</v>
      </c>
    </row>
    <row r="695" spans="1:29">
      <c r="A695" s="4">
        <f>IF(B695=" "," ",HYPERLINK(CONCATENATE("#metadata!",ADDRESS(INDEX($P$2:$P$1001,MATCH(ROWS($N$2:N695),$N$2:$N$1001,0),0),1)),INDEX($S$2:$S$1001,MATCH(ROWS($N$2:N695),$N$2:$N$1001,0),0)))</f>
        <v>0</v>
      </c>
      <c r="B695" s="3">
        <f>IF(OR(INDEX($O$2:$O$1001,MATCH(ROWS($N$2:N695),$N$2:$N$1001,0),1)&gt;=100000,INDEX($U$1005:$AC$1005,1,MATCH(COLUMNS($U$1006:U1006),$U$1006:$AC$1006,0))&gt;=100000), " ",IF(INDEX($U$2:$AC$1001,MATCH(ROWS($N$2:N695),$N$2:$N$1001,0),MATCH(COLUMNS($U$1006:U1006),$U$1006:$AC$1006,0)), HYPERLINK("#",""), HYPERLINK(CONCATENATE("#metadata!", ADDRESS(INDEX($P$2:$P$1001,MATCH(ROWS($N$2:N695),$N$2:$N$1001,0),0), INDEX($U$1004:$AC$1004,1,MATCH(COLUMNS($U$1006:U1006),$U$1006:$AC$1006,0)))),"Fix")))</f>
        <v>0</v>
      </c>
      <c r="C695" s="3">
        <f>IF(OR(INDEX($O$2:$O$1001,MATCH(ROWS($N$2:N695),$N$2:$N$1001,0),1)&gt;=100000,INDEX($U$1005:$AC$1005,1,MATCH(COLUMNS($U$1006:V1006),$U$1006:$AC$1006,0))&gt;=100000), " ",IF(INDEX($U$2:$AC$1001,MATCH(ROWS($N$2:N695),$N$2:$N$1001,0),MATCH(COLUMNS($U$1006:V1006),$U$1006:$AC$1006,0)), HYPERLINK("#",""), HYPERLINK(CONCATENATE("#metadata!", ADDRESS(INDEX($P$2:$P$1001,MATCH(ROWS($N$2:N695),$N$2:$N$1001,0),0), INDEX($U$1004:$AC$1004,1,MATCH(COLUMNS($U$1006:V1006),$U$1006:$AC$1006,0)))),"Fix")))</f>
        <v>0</v>
      </c>
      <c r="D695" s="3">
        <f>IF(OR(INDEX($O$2:$O$1001,MATCH(ROWS($N$2:N695),$N$2:$N$1001,0),1)&gt;=100000,INDEX($U$1005:$AC$1005,1,MATCH(COLUMNS($U$1006:W1006),$U$1006:$AC$1006,0))&gt;=100000), " ",IF(INDEX($U$2:$AC$1001,MATCH(ROWS($N$2:N695),$N$2:$N$1001,0),MATCH(COLUMNS($U$1006:W1006),$U$1006:$AC$1006,0)), HYPERLINK("#",""), HYPERLINK(CONCATENATE("#metadata!", ADDRESS(INDEX($P$2:$P$1001,MATCH(ROWS($N$2:N695),$N$2:$N$1001,0),0), INDEX($U$1004:$AC$1004,1,MATCH(COLUMNS($U$1006:W1006),$U$1006:$AC$1006,0)))),"Fix")))</f>
        <v>0</v>
      </c>
      <c r="E695" s="3">
        <f>IF(OR(INDEX($O$2:$O$1001,MATCH(ROWS($N$2:N695),$N$2:$N$1001,0),1)&gt;=100000,INDEX($U$1005:$AC$1005,1,MATCH(COLUMNS($U$1006:X1006),$U$1006:$AC$1006,0))&gt;=100000), " ",IF(INDEX($U$2:$AC$1001,MATCH(ROWS($N$2:N695),$N$2:$N$1001,0),MATCH(COLUMNS($U$1006:X1006),$U$1006:$AC$1006,0)), HYPERLINK("#",""), HYPERLINK(CONCATENATE("#metadata!", ADDRESS(INDEX($P$2:$P$1001,MATCH(ROWS($N$2:N695),$N$2:$N$1001,0),0), INDEX($U$1004:$AC$1004,1,MATCH(COLUMNS($U$1006:X1006),$U$1006:$AC$1006,0)))),"Fix")))</f>
        <v>0</v>
      </c>
      <c r="F695" s="3">
        <f>IF(OR(INDEX($O$2:$O$1001,MATCH(ROWS($N$2:N695),$N$2:$N$1001,0),1)&gt;=100000,INDEX($U$1005:$AC$1005,1,MATCH(COLUMNS($U$1006:Y1006),$U$1006:$AC$1006,0))&gt;=100000), " ",IF(INDEX($U$2:$AC$1001,MATCH(ROWS($N$2:N695),$N$2:$N$1001,0),MATCH(COLUMNS($U$1006:Y1006),$U$1006:$AC$1006,0)), HYPERLINK("#",""), HYPERLINK(CONCATENATE("#metadata!", ADDRESS(INDEX($P$2:$P$1001,MATCH(ROWS($N$2:N695),$N$2:$N$1001,0),0), INDEX($U$1004:$AC$1004,1,MATCH(COLUMNS($U$1006:Y1006),$U$1006:$AC$1006,0)))),"Fix")))</f>
        <v>0</v>
      </c>
      <c r="G695" s="3">
        <f>IF(OR(INDEX($O$2:$O$1001,MATCH(ROWS($N$2:N695),$N$2:$N$1001,0),1)&gt;=100000,INDEX($U$1005:$AC$1005,1,MATCH(COLUMNS($U$1006:Z1006),$U$1006:$AC$1006,0))&gt;=100000), " ",IF(INDEX($U$2:$AC$1001,MATCH(ROWS($N$2:N695),$N$2:$N$1001,0),MATCH(COLUMNS($U$1006:Z1006),$U$1006:$AC$1006,0)), HYPERLINK("#",""), HYPERLINK(CONCATENATE("#metadata!", ADDRESS(INDEX($P$2:$P$1001,MATCH(ROWS($N$2:N695),$N$2:$N$1001,0),0), INDEX($U$1004:$AC$1004,1,MATCH(COLUMNS($U$1006:Z1006),$U$1006:$AC$1006,0)))),"Fix")))</f>
        <v>0</v>
      </c>
      <c r="H695" s="3">
        <f>IF(OR(INDEX($O$2:$O$1001,MATCH(ROWS($N$2:N695),$N$2:$N$1001,0),1)&gt;=100000,INDEX($U$1005:$AC$1005,1,MATCH(COLUMNS($U$1006:AA1006),$U$1006:$AC$1006,0))&gt;=100000), " ",IF(INDEX($U$2:$AC$1001,MATCH(ROWS($N$2:N695),$N$2:$N$1001,0),MATCH(COLUMNS($U$1006:AA1006),$U$1006:$AC$1006,0)), HYPERLINK("#",""), HYPERLINK(CONCATENATE("#metadata!", ADDRESS(INDEX($P$2:$P$1001,MATCH(ROWS($N$2:N695),$N$2:$N$1001,0),0), INDEX($U$1004:$AC$1004,1,MATCH(COLUMNS($U$1006:AA1006),$U$1006:$AC$1006,0)))),"Fix")))</f>
        <v>0</v>
      </c>
      <c r="I695" s="3">
        <f>IF(OR(INDEX($O$2:$O$1001,MATCH(ROWS($N$2:N695),$N$2:$N$1001,0),1)&gt;=100000,INDEX($U$1005:$AC$1005,1,MATCH(COLUMNS($U$1006:AB1006),$U$1006:$AC$1006,0))&gt;=100000), " ",IF(INDEX($U$2:$AC$1001,MATCH(ROWS($N$2:N695),$N$2:$N$1001,0),MATCH(COLUMNS($U$1006:AB1006),$U$1006:$AC$1006,0)), HYPERLINK("#",""), HYPERLINK(CONCATENATE("#metadata!", ADDRESS(INDEX($P$2:$P$1001,MATCH(ROWS($N$2:N695),$N$2:$N$1001,0),0), INDEX($U$1004:$AC$1004,1,MATCH(COLUMNS($U$1006:AB1006),$U$1006:$AC$1006,0)))),"Fix")))</f>
        <v>0</v>
      </c>
      <c r="J695" s="3">
        <f>IF(OR(INDEX($O$2:$O$1001,MATCH(ROWS($N$2:N695),$N$2:$N$1001,0),1)&gt;=100000,INDEX($U$1005:$AC$1005,1,MATCH(COLUMNS($U$1006:AC1006),$U$1006:$AC$1006,0))&gt;=100000), " ",IF(INDEX($U$2:$AC$1001,MATCH(ROWS($N$2:N695),$N$2:$N$1001,0),MATCH(COLUMNS($U$1006:AC1006),$U$1006:$AC$1006,0)), HYPERLINK("#",""), HYPERLINK(CONCATENATE("#metadata!", ADDRESS(INDEX($P$2:$P$1001,MATCH(ROWS($N$2:N695),$N$2:$N$1001,0),0), INDEX($U$1004:$AC$1004,1,MATCH(COLUMNS($U$1006:AC1006),$U$1006:$AC$1006,0)))),"Fix")))</f>
        <v>0</v>
      </c>
      <c r="N695">
        <v>0</v>
      </c>
      <c r="O695">
        <v>0</v>
      </c>
      <c r="P695">
        <v>0</v>
      </c>
      <c r="Q695">
        <f>IF(R695,TRUE,AND(U695:AC695))</f>
        <v>0</v>
      </c>
      <c r="R695">
        <f>COUNTBLANK(metadata!B695:J695)=COLUMNS(metadata!B695:J695)</f>
        <v>0</v>
      </c>
      <c r="S695">
        <v>0</v>
      </c>
      <c r="U695">
        <f>AND(IF(metadata!B695="",FALSE,TRUE),COUNTIF(metadata!B:B, metadata!B695) = 1,NOT(ISERROR(SUMPRODUCT(SEARCH(MID(metadata!B695,ROW(INDIRECT("1:"&amp;LEN(metadata!B695))), 1),"0123456789abcdefghijklmnopqrstuvwxyzABCDEFGHIJKLMNOPQRSTUVWXYZ.")))))</f>
        <v>0</v>
      </c>
      <c r="V695">
        <f>AND(IF(metadata!C695="",FALSE,TRUE),exact(metadata!C695,"UBERON:genitourinary"))</f>
        <v>0</v>
      </c>
      <c r="W695">
        <f>AND(IF(metadata!D695="",FALSE,TRUE),exact(metadata!D695,"UBERON:urine"))</f>
        <v>0</v>
      </c>
      <c r="X695">
        <f>AND(IF(metadata!E695="",FALSE,TRUE),exact(metadata!E695,"UBERON:kidney"))</f>
        <v>0</v>
      </c>
      <c r="Y695">
        <f>AND(IF(metadata!F695="",FALSE,TRUE),exact(metadata!F695,"animal corpus"))</f>
        <v>0</v>
      </c>
      <c r="Z695">
        <f>AND(IF(metadata!G695="",FALSE,TRUE),exact(metadata!G695,"urine"))</f>
        <v>0</v>
      </c>
      <c r="AA695">
        <f>AND(IF(metadata!H695="",FALSE,TRUE),exact(metadata!H695,"urine"))</f>
        <v>0</v>
      </c>
      <c r="AB695">
        <f>AND(IF(metadata!I695="",FALSE,TRUE),exact(metadata!I695,"urine metagenome"))</f>
        <v>0</v>
      </c>
      <c r="AC695">
        <f>AND(IF(metadata!J695="",FALSE,TRUE),exact(metadata!J695,"1346744"))</f>
        <v>0</v>
      </c>
    </row>
    <row r="696" spans="1:29">
      <c r="A696" s="4">
        <f>IF(B696=" "," ",HYPERLINK(CONCATENATE("#metadata!",ADDRESS(INDEX($P$2:$P$1001,MATCH(ROWS($N$2:N696),$N$2:$N$1001,0),0),1)),INDEX($S$2:$S$1001,MATCH(ROWS($N$2:N696),$N$2:$N$1001,0),0)))</f>
        <v>0</v>
      </c>
      <c r="B696" s="3">
        <f>IF(OR(INDEX($O$2:$O$1001,MATCH(ROWS($N$2:N696),$N$2:$N$1001,0),1)&gt;=100000,INDEX($U$1005:$AC$1005,1,MATCH(COLUMNS($U$1006:U1006),$U$1006:$AC$1006,0))&gt;=100000), " ",IF(INDEX($U$2:$AC$1001,MATCH(ROWS($N$2:N696),$N$2:$N$1001,0),MATCH(COLUMNS($U$1006:U1006),$U$1006:$AC$1006,0)), HYPERLINK("#",""), HYPERLINK(CONCATENATE("#metadata!", ADDRESS(INDEX($P$2:$P$1001,MATCH(ROWS($N$2:N696),$N$2:$N$1001,0),0), INDEX($U$1004:$AC$1004,1,MATCH(COLUMNS($U$1006:U1006),$U$1006:$AC$1006,0)))),"Fix")))</f>
        <v>0</v>
      </c>
      <c r="C696" s="3">
        <f>IF(OR(INDEX($O$2:$O$1001,MATCH(ROWS($N$2:N696),$N$2:$N$1001,0),1)&gt;=100000,INDEX($U$1005:$AC$1005,1,MATCH(COLUMNS($U$1006:V1006),$U$1006:$AC$1006,0))&gt;=100000), " ",IF(INDEX($U$2:$AC$1001,MATCH(ROWS($N$2:N696),$N$2:$N$1001,0),MATCH(COLUMNS($U$1006:V1006),$U$1006:$AC$1006,0)), HYPERLINK("#",""), HYPERLINK(CONCATENATE("#metadata!", ADDRESS(INDEX($P$2:$P$1001,MATCH(ROWS($N$2:N696),$N$2:$N$1001,0),0), INDEX($U$1004:$AC$1004,1,MATCH(COLUMNS($U$1006:V1006),$U$1006:$AC$1006,0)))),"Fix")))</f>
        <v>0</v>
      </c>
      <c r="D696" s="3">
        <f>IF(OR(INDEX($O$2:$O$1001,MATCH(ROWS($N$2:N696),$N$2:$N$1001,0),1)&gt;=100000,INDEX($U$1005:$AC$1005,1,MATCH(COLUMNS($U$1006:W1006),$U$1006:$AC$1006,0))&gt;=100000), " ",IF(INDEX($U$2:$AC$1001,MATCH(ROWS($N$2:N696),$N$2:$N$1001,0),MATCH(COLUMNS($U$1006:W1006),$U$1006:$AC$1006,0)), HYPERLINK("#",""), HYPERLINK(CONCATENATE("#metadata!", ADDRESS(INDEX($P$2:$P$1001,MATCH(ROWS($N$2:N696),$N$2:$N$1001,0),0), INDEX($U$1004:$AC$1004,1,MATCH(COLUMNS($U$1006:W1006),$U$1006:$AC$1006,0)))),"Fix")))</f>
        <v>0</v>
      </c>
      <c r="E696" s="3">
        <f>IF(OR(INDEX($O$2:$O$1001,MATCH(ROWS($N$2:N696),$N$2:$N$1001,0),1)&gt;=100000,INDEX($U$1005:$AC$1005,1,MATCH(COLUMNS($U$1006:X1006),$U$1006:$AC$1006,0))&gt;=100000), " ",IF(INDEX($U$2:$AC$1001,MATCH(ROWS($N$2:N696),$N$2:$N$1001,0),MATCH(COLUMNS($U$1006:X1006),$U$1006:$AC$1006,0)), HYPERLINK("#",""), HYPERLINK(CONCATENATE("#metadata!", ADDRESS(INDEX($P$2:$P$1001,MATCH(ROWS($N$2:N696),$N$2:$N$1001,0),0), INDEX($U$1004:$AC$1004,1,MATCH(COLUMNS($U$1006:X1006),$U$1006:$AC$1006,0)))),"Fix")))</f>
        <v>0</v>
      </c>
      <c r="F696" s="3">
        <f>IF(OR(INDEX($O$2:$O$1001,MATCH(ROWS($N$2:N696),$N$2:$N$1001,0),1)&gt;=100000,INDEX($U$1005:$AC$1005,1,MATCH(COLUMNS($U$1006:Y1006),$U$1006:$AC$1006,0))&gt;=100000), " ",IF(INDEX($U$2:$AC$1001,MATCH(ROWS($N$2:N696),$N$2:$N$1001,0),MATCH(COLUMNS($U$1006:Y1006),$U$1006:$AC$1006,0)), HYPERLINK("#",""), HYPERLINK(CONCATENATE("#metadata!", ADDRESS(INDEX($P$2:$P$1001,MATCH(ROWS($N$2:N696),$N$2:$N$1001,0),0), INDEX($U$1004:$AC$1004,1,MATCH(COLUMNS($U$1006:Y1006),$U$1006:$AC$1006,0)))),"Fix")))</f>
        <v>0</v>
      </c>
      <c r="G696" s="3">
        <f>IF(OR(INDEX($O$2:$O$1001,MATCH(ROWS($N$2:N696),$N$2:$N$1001,0),1)&gt;=100000,INDEX($U$1005:$AC$1005,1,MATCH(COLUMNS($U$1006:Z1006),$U$1006:$AC$1006,0))&gt;=100000), " ",IF(INDEX($U$2:$AC$1001,MATCH(ROWS($N$2:N696),$N$2:$N$1001,0),MATCH(COLUMNS($U$1006:Z1006),$U$1006:$AC$1006,0)), HYPERLINK("#",""), HYPERLINK(CONCATENATE("#metadata!", ADDRESS(INDEX($P$2:$P$1001,MATCH(ROWS($N$2:N696),$N$2:$N$1001,0),0), INDEX($U$1004:$AC$1004,1,MATCH(COLUMNS($U$1006:Z1006),$U$1006:$AC$1006,0)))),"Fix")))</f>
        <v>0</v>
      </c>
      <c r="H696" s="3">
        <f>IF(OR(INDEX($O$2:$O$1001,MATCH(ROWS($N$2:N696),$N$2:$N$1001,0),1)&gt;=100000,INDEX($U$1005:$AC$1005,1,MATCH(COLUMNS($U$1006:AA1006),$U$1006:$AC$1006,0))&gt;=100000), " ",IF(INDEX($U$2:$AC$1001,MATCH(ROWS($N$2:N696),$N$2:$N$1001,0),MATCH(COLUMNS($U$1006:AA1006),$U$1006:$AC$1006,0)), HYPERLINK("#",""), HYPERLINK(CONCATENATE("#metadata!", ADDRESS(INDEX($P$2:$P$1001,MATCH(ROWS($N$2:N696),$N$2:$N$1001,0),0), INDEX($U$1004:$AC$1004,1,MATCH(COLUMNS($U$1006:AA1006),$U$1006:$AC$1006,0)))),"Fix")))</f>
        <v>0</v>
      </c>
      <c r="I696" s="3">
        <f>IF(OR(INDEX($O$2:$O$1001,MATCH(ROWS($N$2:N696),$N$2:$N$1001,0),1)&gt;=100000,INDEX($U$1005:$AC$1005,1,MATCH(COLUMNS($U$1006:AB1006),$U$1006:$AC$1006,0))&gt;=100000), " ",IF(INDEX($U$2:$AC$1001,MATCH(ROWS($N$2:N696),$N$2:$N$1001,0),MATCH(COLUMNS($U$1006:AB1006),$U$1006:$AC$1006,0)), HYPERLINK("#",""), HYPERLINK(CONCATENATE("#metadata!", ADDRESS(INDEX($P$2:$P$1001,MATCH(ROWS($N$2:N696),$N$2:$N$1001,0),0), INDEX($U$1004:$AC$1004,1,MATCH(COLUMNS($U$1006:AB1006),$U$1006:$AC$1006,0)))),"Fix")))</f>
        <v>0</v>
      </c>
      <c r="J696" s="3">
        <f>IF(OR(INDEX($O$2:$O$1001,MATCH(ROWS($N$2:N696),$N$2:$N$1001,0),1)&gt;=100000,INDEX($U$1005:$AC$1005,1,MATCH(COLUMNS($U$1006:AC1006),$U$1006:$AC$1006,0))&gt;=100000), " ",IF(INDEX($U$2:$AC$1001,MATCH(ROWS($N$2:N696),$N$2:$N$1001,0),MATCH(COLUMNS($U$1006:AC1006),$U$1006:$AC$1006,0)), HYPERLINK("#",""), HYPERLINK(CONCATENATE("#metadata!", ADDRESS(INDEX($P$2:$P$1001,MATCH(ROWS($N$2:N696),$N$2:$N$1001,0),0), INDEX($U$1004:$AC$1004,1,MATCH(COLUMNS($U$1006:AC1006),$U$1006:$AC$1006,0)))),"Fix")))</f>
        <v>0</v>
      </c>
      <c r="N696">
        <v>0</v>
      </c>
      <c r="O696">
        <v>0</v>
      </c>
      <c r="P696">
        <v>0</v>
      </c>
      <c r="Q696">
        <f>IF(R696,TRUE,AND(U696:AC696))</f>
        <v>0</v>
      </c>
      <c r="R696">
        <f>COUNTBLANK(metadata!B696:J696)=COLUMNS(metadata!B696:J696)</f>
        <v>0</v>
      </c>
      <c r="S696">
        <v>0</v>
      </c>
      <c r="U696">
        <f>AND(IF(metadata!B696="",FALSE,TRUE),COUNTIF(metadata!B:B, metadata!B696) = 1,NOT(ISERROR(SUMPRODUCT(SEARCH(MID(metadata!B696,ROW(INDIRECT("1:"&amp;LEN(metadata!B696))), 1),"0123456789abcdefghijklmnopqrstuvwxyzABCDEFGHIJKLMNOPQRSTUVWXYZ.")))))</f>
        <v>0</v>
      </c>
      <c r="V696">
        <f>AND(IF(metadata!C696="",FALSE,TRUE),exact(metadata!C696,"UBERON:genitourinary"))</f>
        <v>0</v>
      </c>
      <c r="W696">
        <f>AND(IF(metadata!D696="",FALSE,TRUE),exact(metadata!D696,"UBERON:urine"))</f>
        <v>0</v>
      </c>
      <c r="X696">
        <f>AND(IF(metadata!E696="",FALSE,TRUE),exact(metadata!E696,"UBERON:kidney"))</f>
        <v>0</v>
      </c>
      <c r="Y696">
        <f>AND(IF(metadata!F696="",FALSE,TRUE),exact(metadata!F696,"animal corpus"))</f>
        <v>0</v>
      </c>
      <c r="Z696">
        <f>AND(IF(metadata!G696="",FALSE,TRUE),exact(metadata!G696,"urine"))</f>
        <v>0</v>
      </c>
      <c r="AA696">
        <f>AND(IF(metadata!H696="",FALSE,TRUE),exact(metadata!H696,"urine"))</f>
        <v>0</v>
      </c>
      <c r="AB696">
        <f>AND(IF(metadata!I696="",FALSE,TRUE),exact(metadata!I696,"urine metagenome"))</f>
        <v>0</v>
      </c>
      <c r="AC696">
        <f>AND(IF(metadata!J696="",FALSE,TRUE),exact(metadata!J696,"1346744"))</f>
        <v>0</v>
      </c>
    </row>
    <row r="697" spans="1:29">
      <c r="A697" s="4">
        <f>IF(B697=" "," ",HYPERLINK(CONCATENATE("#metadata!",ADDRESS(INDEX($P$2:$P$1001,MATCH(ROWS($N$2:N697),$N$2:$N$1001,0),0),1)),INDEX($S$2:$S$1001,MATCH(ROWS($N$2:N697),$N$2:$N$1001,0),0)))</f>
        <v>0</v>
      </c>
      <c r="B697" s="3">
        <f>IF(OR(INDEX($O$2:$O$1001,MATCH(ROWS($N$2:N697),$N$2:$N$1001,0),1)&gt;=100000,INDEX($U$1005:$AC$1005,1,MATCH(COLUMNS($U$1006:U1006),$U$1006:$AC$1006,0))&gt;=100000), " ",IF(INDEX($U$2:$AC$1001,MATCH(ROWS($N$2:N697),$N$2:$N$1001,0),MATCH(COLUMNS($U$1006:U1006),$U$1006:$AC$1006,0)), HYPERLINK("#",""), HYPERLINK(CONCATENATE("#metadata!", ADDRESS(INDEX($P$2:$P$1001,MATCH(ROWS($N$2:N697),$N$2:$N$1001,0),0), INDEX($U$1004:$AC$1004,1,MATCH(COLUMNS($U$1006:U1006),$U$1006:$AC$1006,0)))),"Fix")))</f>
        <v>0</v>
      </c>
      <c r="C697" s="3">
        <f>IF(OR(INDEX($O$2:$O$1001,MATCH(ROWS($N$2:N697),$N$2:$N$1001,0),1)&gt;=100000,INDEX($U$1005:$AC$1005,1,MATCH(COLUMNS($U$1006:V1006),$U$1006:$AC$1006,0))&gt;=100000), " ",IF(INDEX($U$2:$AC$1001,MATCH(ROWS($N$2:N697),$N$2:$N$1001,0),MATCH(COLUMNS($U$1006:V1006),$U$1006:$AC$1006,0)), HYPERLINK("#",""), HYPERLINK(CONCATENATE("#metadata!", ADDRESS(INDEX($P$2:$P$1001,MATCH(ROWS($N$2:N697),$N$2:$N$1001,0),0), INDEX($U$1004:$AC$1004,1,MATCH(COLUMNS($U$1006:V1006),$U$1006:$AC$1006,0)))),"Fix")))</f>
        <v>0</v>
      </c>
      <c r="D697" s="3">
        <f>IF(OR(INDEX($O$2:$O$1001,MATCH(ROWS($N$2:N697),$N$2:$N$1001,0),1)&gt;=100000,INDEX($U$1005:$AC$1005,1,MATCH(COLUMNS($U$1006:W1006),$U$1006:$AC$1006,0))&gt;=100000), " ",IF(INDEX($U$2:$AC$1001,MATCH(ROWS($N$2:N697),$N$2:$N$1001,0),MATCH(COLUMNS($U$1006:W1006),$U$1006:$AC$1006,0)), HYPERLINK("#",""), HYPERLINK(CONCATENATE("#metadata!", ADDRESS(INDEX($P$2:$P$1001,MATCH(ROWS($N$2:N697),$N$2:$N$1001,0),0), INDEX($U$1004:$AC$1004,1,MATCH(COLUMNS($U$1006:W1006),$U$1006:$AC$1006,0)))),"Fix")))</f>
        <v>0</v>
      </c>
      <c r="E697" s="3">
        <f>IF(OR(INDEX($O$2:$O$1001,MATCH(ROWS($N$2:N697),$N$2:$N$1001,0),1)&gt;=100000,INDEX($U$1005:$AC$1005,1,MATCH(COLUMNS($U$1006:X1006),$U$1006:$AC$1006,0))&gt;=100000), " ",IF(INDEX($U$2:$AC$1001,MATCH(ROWS($N$2:N697),$N$2:$N$1001,0),MATCH(COLUMNS($U$1006:X1006),$U$1006:$AC$1006,0)), HYPERLINK("#",""), HYPERLINK(CONCATENATE("#metadata!", ADDRESS(INDEX($P$2:$P$1001,MATCH(ROWS($N$2:N697),$N$2:$N$1001,0),0), INDEX($U$1004:$AC$1004,1,MATCH(COLUMNS($U$1006:X1006),$U$1006:$AC$1006,0)))),"Fix")))</f>
        <v>0</v>
      </c>
      <c r="F697" s="3">
        <f>IF(OR(INDEX($O$2:$O$1001,MATCH(ROWS($N$2:N697),$N$2:$N$1001,0),1)&gt;=100000,INDEX($U$1005:$AC$1005,1,MATCH(COLUMNS($U$1006:Y1006),$U$1006:$AC$1006,0))&gt;=100000), " ",IF(INDEX($U$2:$AC$1001,MATCH(ROWS($N$2:N697),$N$2:$N$1001,0),MATCH(COLUMNS($U$1006:Y1006),$U$1006:$AC$1006,0)), HYPERLINK("#",""), HYPERLINK(CONCATENATE("#metadata!", ADDRESS(INDEX($P$2:$P$1001,MATCH(ROWS($N$2:N697),$N$2:$N$1001,0),0), INDEX($U$1004:$AC$1004,1,MATCH(COLUMNS($U$1006:Y1006),$U$1006:$AC$1006,0)))),"Fix")))</f>
        <v>0</v>
      </c>
      <c r="G697" s="3">
        <f>IF(OR(INDEX($O$2:$O$1001,MATCH(ROWS($N$2:N697),$N$2:$N$1001,0),1)&gt;=100000,INDEX($U$1005:$AC$1005,1,MATCH(COLUMNS($U$1006:Z1006),$U$1006:$AC$1006,0))&gt;=100000), " ",IF(INDEX($U$2:$AC$1001,MATCH(ROWS($N$2:N697),$N$2:$N$1001,0),MATCH(COLUMNS($U$1006:Z1006),$U$1006:$AC$1006,0)), HYPERLINK("#",""), HYPERLINK(CONCATENATE("#metadata!", ADDRESS(INDEX($P$2:$P$1001,MATCH(ROWS($N$2:N697),$N$2:$N$1001,0),0), INDEX($U$1004:$AC$1004,1,MATCH(COLUMNS($U$1006:Z1006),$U$1006:$AC$1006,0)))),"Fix")))</f>
        <v>0</v>
      </c>
      <c r="H697" s="3">
        <f>IF(OR(INDEX($O$2:$O$1001,MATCH(ROWS($N$2:N697),$N$2:$N$1001,0),1)&gt;=100000,INDEX($U$1005:$AC$1005,1,MATCH(COLUMNS($U$1006:AA1006),$U$1006:$AC$1006,0))&gt;=100000), " ",IF(INDEX($U$2:$AC$1001,MATCH(ROWS($N$2:N697),$N$2:$N$1001,0),MATCH(COLUMNS($U$1006:AA1006),$U$1006:$AC$1006,0)), HYPERLINK("#",""), HYPERLINK(CONCATENATE("#metadata!", ADDRESS(INDEX($P$2:$P$1001,MATCH(ROWS($N$2:N697),$N$2:$N$1001,0),0), INDEX($U$1004:$AC$1004,1,MATCH(COLUMNS($U$1006:AA1006),$U$1006:$AC$1006,0)))),"Fix")))</f>
        <v>0</v>
      </c>
      <c r="I697" s="3">
        <f>IF(OR(INDEX($O$2:$O$1001,MATCH(ROWS($N$2:N697),$N$2:$N$1001,0),1)&gt;=100000,INDEX($U$1005:$AC$1005,1,MATCH(COLUMNS($U$1006:AB1006),$U$1006:$AC$1006,0))&gt;=100000), " ",IF(INDEX($U$2:$AC$1001,MATCH(ROWS($N$2:N697),$N$2:$N$1001,0),MATCH(COLUMNS($U$1006:AB1006),$U$1006:$AC$1006,0)), HYPERLINK("#",""), HYPERLINK(CONCATENATE("#metadata!", ADDRESS(INDEX($P$2:$P$1001,MATCH(ROWS($N$2:N697),$N$2:$N$1001,0),0), INDEX($U$1004:$AC$1004,1,MATCH(COLUMNS($U$1006:AB1006),$U$1006:$AC$1006,0)))),"Fix")))</f>
        <v>0</v>
      </c>
      <c r="J697" s="3">
        <f>IF(OR(INDEX($O$2:$O$1001,MATCH(ROWS($N$2:N697),$N$2:$N$1001,0),1)&gt;=100000,INDEX($U$1005:$AC$1005,1,MATCH(COLUMNS($U$1006:AC1006),$U$1006:$AC$1006,0))&gt;=100000), " ",IF(INDEX($U$2:$AC$1001,MATCH(ROWS($N$2:N697),$N$2:$N$1001,0),MATCH(COLUMNS($U$1006:AC1006),$U$1006:$AC$1006,0)), HYPERLINK("#",""), HYPERLINK(CONCATENATE("#metadata!", ADDRESS(INDEX($P$2:$P$1001,MATCH(ROWS($N$2:N697),$N$2:$N$1001,0),0), INDEX($U$1004:$AC$1004,1,MATCH(COLUMNS($U$1006:AC1006),$U$1006:$AC$1006,0)))),"Fix")))</f>
        <v>0</v>
      </c>
      <c r="N697">
        <v>0</v>
      </c>
      <c r="O697">
        <v>0</v>
      </c>
      <c r="P697">
        <v>0</v>
      </c>
      <c r="Q697">
        <f>IF(R697,TRUE,AND(U697:AC697))</f>
        <v>0</v>
      </c>
      <c r="R697">
        <f>COUNTBLANK(metadata!B697:J697)=COLUMNS(metadata!B697:J697)</f>
        <v>0</v>
      </c>
      <c r="S697">
        <v>0</v>
      </c>
      <c r="U697">
        <f>AND(IF(metadata!B697="",FALSE,TRUE),COUNTIF(metadata!B:B, metadata!B697) = 1,NOT(ISERROR(SUMPRODUCT(SEARCH(MID(metadata!B697,ROW(INDIRECT("1:"&amp;LEN(metadata!B697))), 1),"0123456789abcdefghijklmnopqrstuvwxyzABCDEFGHIJKLMNOPQRSTUVWXYZ.")))))</f>
        <v>0</v>
      </c>
      <c r="V697">
        <f>AND(IF(metadata!C697="",FALSE,TRUE),exact(metadata!C697,"UBERON:genitourinary"))</f>
        <v>0</v>
      </c>
      <c r="W697">
        <f>AND(IF(metadata!D697="",FALSE,TRUE),exact(metadata!D697,"UBERON:urine"))</f>
        <v>0</v>
      </c>
      <c r="X697">
        <f>AND(IF(metadata!E697="",FALSE,TRUE),exact(metadata!E697,"UBERON:kidney"))</f>
        <v>0</v>
      </c>
      <c r="Y697">
        <f>AND(IF(metadata!F697="",FALSE,TRUE),exact(metadata!F697,"animal corpus"))</f>
        <v>0</v>
      </c>
      <c r="Z697">
        <f>AND(IF(metadata!G697="",FALSE,TRUE),exact(metadata!G697,"urine"))</f>
        <v>0</v>
      </c>
      <c r="AA697">
        <f>AND(IF(metadata!H697="",FALSE,TRUE),exact(metadata!H697,"urine"))</f>
        <v>0</v>
      </c>
      <c r="AB697">
        <f>AND(IF(metadata!I697="",FALSE,TRUE),exact(metadata!I697,"urine metagenome"))</f>
        <v>0</v>
      </c>
      <c r="AC697">
        <f>AND(IF(metadata!J697="",FALSE,TRUE),exact(metadata!J697,"1346744"))</f>
        <v>0</v>
      </c>
    </row>
    <row r="698" spans="1:29">
      <c r="A698" s="4">
        <f>IF(B698=" "," ",HYPERLINK(CONCATENATE("#metadata!",ADDRESS(INDEX($P$2:$P$1001,MATCH(ROWS($N$2:N698),$N$2:$N$1001,0),0),1)),INDEX($S$2:$S$1001,MATCH(ROWS($N$2:N698),$N$2:$N$1001,0),0)))</f>
        <v>0</v>
      </c>
      <c r="B698" s="3">
        <f>IF(OR(INDEX($O$2:$O$1001,MATCH(ROWS($N$2:N698),$N$2:$N$1001,0),1)&gt;=100000,INDEX($U$1005:$AC$1005,1,MATCH(COLUMNS($U$1006:U1006),$U$1006:$AC$1006,0))&gt;=100000), " ",IF(INDEX($U$2:$AC$1001,MATCH(ROWS($N$2:N698),$N$2:$N$1001,0),MATCH(COLUMNS($U$1006:U1006),$U$1006:$AC$1006,0)), HYPERLINK("#",""), HYPERLINK(CONCATENATE("#metadata!", ADDRESS(INDEX($P$2:$P$1001,MATCH(ROWS($N$2:N698),$N$2:$N$1001,0),0), INDEX($U$1004:$AC$1004,1,MATCH(COLUMNS($U$1006:U1006),$U$1006:$AC$1006,0)))),"Fix")))</f>
        <v>0</v>
      </c>
      <c r="C698" s="3">
        <f>IF(OR(INDEX($O$2:$O$1001,MATCH(ROWS($N$2:N698),$N$2:$N$1001,0),1)&gt;=100000,INDEX($U$1005:$AC$1005,1,MATCH(COLUMNS($U$1006:V1006),$U$1006:$AC$1006,0))&gt;=100000), " ",IF(INDEX($U$2:$AC$1001,MATCH(ROWS($N$2:N698),$N$2:$N$1001,0),MATCH(COLUMNS($U$1006:V1006),$U$1006:$AC$1006,0)), HYPERLINK("#",""), HYPERLINK(CONCATENATE("#metadata!", ADDRESS(INDEX($P$2:$P$1001,MATCH(ROWS($N$2:N698),$N$2:$N$1001,0),0), INDEX($U$1004:$AC$1004,1,MATCH(COLUMNS($U$1006:V1006),$U$1006:$AC$1006,0)))),"Fix")))</f>
        <v>0</v>
      </c>
      <c r="D698" s="3">
        <f>IF(OR(INDEX($O$2:$O$1001,MATCH(ROWS($N$2:N698),$N$2:$N$1001,0),1)&gt;=100000,INDEX($U$1005:$AC$1005,1,MATCH(COLUMNS($U$1006:W1006),$U$1006:$AC$1006,0))&gt;=100000), " ",IF(INDEX($U$2:$AC$1001,MATCH(ROWS($N$2:N698),$N$2:$N$1001,0),MATCH(COLUMNS($U$1006:W1006),$U$1006:$AC$1006,0)), HYPERLINK("#",""), HYPERLINK(CONCATENATE("#metadata!", ADDRESS(INDEX($P$2:$P$1001,MATCH(ROWS($N$2:N698),$N$2:$N$1001,0),0), INDEX($U$1004:$AC$1004,1,MATCH(COLUMNS($U$1006:W1006),$U$1006:$AC$1006,0)))),"Fix")))</f>
        <v>0</v>
      </c>
      <c r="E698" s="3">
        <f>IF(OR(INDEX($O$2:$O$1001,MATCH(ROWS($N$2:N698),$N$2:$N$1001,0),1)&gt;=100000,INDEX($U$1005:$AC$1005,1,MATCH(COLUMNS($U$1006:X1006),$U$1006:$AC$1006,0))&gt;=100000), " ",IF(INDEX($U$2:$AC$1001,MATCH(ROWS($N$2:N698),$N$2:$N$1001,0),MATCH(COLUMNS($U$1006:X1006),$U$1006:$AC$1006,0)), HYPERLINK("#",""), HYPERLINK(CONCATENATE("#metadata!", ADDRESS(INDEX($P$2:$P$1001,MATCH(ROWS($N$2:N698),$N$2:$N$1001,0),0), INDEX($U$1004:$AC$1004,1,MATCH(COLUMNS($U$1006:X1006),$U$1006:$AC$1006,0)))),"Fix")))</f>
        <v>0</v>
      </c>
      <c r="F698" s="3">
        <f>IF(OR(INDEX($O$2:$O$1001,MATCH(ROWS($N$2:N698),$N$2:$N$1001,0),1)&gt;=100000,INDEX($U$1005:$AC$1005,1,MATCH(COLUMNS($U$1006:Y1006),$U$1006:$AC$1006,0))&gt;=100000), " ",IF(INDEX($U$2:$AC$1001,MATCH(ROWS($N$2:N698),$N$2:$N$1001,0),MATCH(COLUMNS($U$1006:Y1006),$U$1006:$AC$1006,0)), HYPERLINK("#",""), HYPERLINK(CONCATENATE("#metadata!", ADDRESS(INDEX($P$2:$P$1001,MATCH(ROWS($N$2:N698),$N$2:$N$1001,0),0), INDEX($U$1004:$AC$1004,1,MATCH(COLUMNS($U$1006:Y1006),$U$1006:$AC$1006,0)))),"Fix")))</f>
        <v>0</v>
      </c>
      <c r="G698" s="3">
        <f>IF(OR(INDEX($O$2:$O$1001,MATCH(ROWS($N$2:N698),$N$2:$N$1001,0),1)&gt;=100000,INDEX($U$1005:$AC$1005,1,MATCH(COLUMNS($U$1006:Z1006),$U$1006:$AC$1006,0))&gt;=100000), " ",IF(INDEX($U$2:$AC$1001,MATCH(ROWS($N$2:N698),$N$2:$N$1001,0),MATCH(COLUMNS($U$1006:Z1006),$U$1006:$AC$1006,0)), HYPERLINK("#",""), HYPERLINK(CONCATENATE("#metadata!", ADDRESS(INDEX($P$2:$P$1001,MATCH(ROWS($N$2:N698),$N$2:$N$1001,0),0), INDEX($U$1004:$AC$1004,1,MATCH(COLUMNS($U$1006:Z1006),$U$1006:$AC$1006,0)))),"Fix")))</f>
        <v>0</v>
      </c>
      <c r="H698" s="3">
        <f>IF(OR(INDEX($O$2:$O$1001,MATCH(ROWS($N$2:N698),$N$2:$N$1001,0),1)&gt;=100000,INDEX($U$1005:$AC$1005,1,MATCH(COLUMNS($U$1006:AA1006),$U$1006:$AC$1006,0))&gt;=100000), " ",IF(INDEX($U$2:$AC$1001,MATCH(ROWS($N$2:N698),$N$2:$N$1001,0),MATCH(COLUMNS($U$1006:AA1006),$U$1006:$AC$1006,0)), HYPERLINK("#",""), HYPERLINK(CONCATENATE("#metadata!", ADDRESS(INDEX($P$2:$P$1001,MATCH(ROWS($N$2:N698),$N$2:$N$1001,0),0), INDEX($U$1004:$AC$1004,1,MATCH(COLUMNS($U$1006:AA1006),$U$1006:$AC$1006,0)))),"Fix")))</f>
        <v>0</v>
      </c>
      <c r="I698" s="3">
        <f>IF(OR(INDEX($O$2:$O$1001,MATCH(ROWS($N$2:N698),$N$2:$N$1001,0),1)&gt;=100000,INDEX($U$1005:$AC$1005,1,MATCH(COLUMNS($U$1006:AB1006),$U$1006:$AC$1006,0))&gt;=100000), " ",IF(INDEX($U$2:$AC$1001,MATCH(ROWS($N$2:N698),$N$2:$N$1001,0),MATCH(COLUMNS($U$1006:AB1006),$U$1006:$AC$1006,0)), HYPERLINK("#",""), HYPERLINK(CONCATENATE("#metadata!", ADDRESS(INDEX($P$2:$P$1001,MATCH(ROWS($N$2:N698),$N$2:$N$1001,0),0), INDEX($U$1004:$AC$1004,1,MATCH(COLUMNS($U$1006:AB1006),$U$1006:$AC$1006,0)))),"Fix")))</f>
        <v>0</v>
      </c>
      <c r="J698" s="3">
        <f>IF(OR(INDEX($O$2:$O$1001,MATCH(ROWS($N$2:N698),$N$2:$N$1001,0),1)&gt;=100000,INDEX($U$1005:$AC$1005,1,MATCH(COLUMNS($U$1006:AC1006),$U$1006:$AC$1006,0))&gt;=100000), " ",IF(INDEX($U$2:$AC$1001,MATCH(ROWS($N$2:N698),$N$2:$N$1001,0),MATCH(COLUMNS($U$1006:AC1006),$U$1006:$AC$1006,0)), HYPERLINK("#",""), HYPERLINK(CONCATENATE("#metadata!", ADDRESS(INDEX($P$2:$P$1001,MATCH(ROWS($N$2:N698),$N$2:$N$1001,0),0), INDEX($U$1004:$AC$1004,1,MATCH(COLUMNS($U$1006:AC1006),$U$1006:$AC$1006,0)))),"Fix")))</f>
        <v>0</v>
      </c>
      <c r="N698">
        <v>0</v>
      </c>
      <c r="O698">
        <v>0</v>
      </c>
      <c r="P698">
        <v>0</v>
      </c>
      <c r="Q698">
        <f>IF(R698,TRUE,AND(U698:AC698))</f>
        <v>0</v>
      </c>
      <c r="R698">
        <f>COUNTBLANK(metadata!B698:J698)=COLUMNS(metadata!B698:J698)</f>
        <v>0</v>
      </c>
      <c r="S698">
        <v>0</v>
      </c>
      <c r="U698">
        <f>AND(IF(metadata!B698="",FALSE,TRUE),COUNTIF(metadata!B:B, metadata!B698) = 1,NOT(ISERROR(SUMPRODUCT(SEARCH(MID(metadata!B698,ROW(INDIRECT("1:"&amp;LEN(metadata!B698))), 1),"0123456789abcdefghijklmnopqrstuvwxyzABCDEFGHIJKLMNOPQRSTUVWXYZ.")))))</f>
        <v>0</v>
      </c>
      <c r="V698">
        <f>AND(IF(metadata!C698="",FALSE,TRUE),exact(metadata!C698,"UBERON:genitourinary"))</f>
        <v>0</v>
      </c>
      <c r="W698">
        <f>AND(IF(metadata!D698="",FALSE,TRUE),exact(metadata!D698,"UBERON:urine"))</f>
        <v>0</v>
      </c>
      <c r="X698">
        <f>AND(IF(metadata!E698="",FALSE,TRUE),exact(metadata!E698,"UBERON:kidney"))</f>
        <v>0</v>
      </c>
      <c r="Y698">
        <f>AND(IF(metadata!F698="",FALSE,TRUE),exact(metadata!F698,"animal corpus"))</f>
        <v>0</v>
      </c>
      <c r="Z698">
        <f>AND(IF(metadata!G698="",FALSE,TRUE),exact(metadata!G698,"urine"))</f>
        <v>0</v>
      </c>
      <c r="AA698">
        <f>AND(IF(metadata!H698="",FALSE,TRUE),exact(metadata!H698,"urine"))</f>
        <v>0</v>
      </c>
      <c r="AB698">
        <f>AND(IF(metadata!I698="",FALSE,TRUE),exact(metadata!I698,"urine metagenome"))</f>
        <v>0</v>
      </c>
      <c r="AC698">
        <f>AND(IF(metadata!J698="",FALSE,TRUE),exact(metadata!J698,"1346744"))</f>
        <v>0</v>
      </c>
    </row>
    <row r="699" spans="1:29">
      <c r="A699" s="4">
        <f>IF(B699=" "," ",HYPERLINK(CONCATENATE("#metadata!",ADDRESS(INDEX($P$2:$P$1001,MATCH(ROWS($N$2:N699),$N$2:$N$1001,0),0),1)),INDEX($S$2:$S$1001,MATCH(ROWS($N$2:N699),$N$2:$N$1001,0),0)))</f>
        <v>0</v>
      </c>
      <c r="B699" s="3">
        <f>IF(OR(INDEX($O$2:$O$1001,MATCH(ROWS($N$2:N699),$N$2:$N$1001,0),1)&gt;=100000,INDEX($U$1005:$AC$1005,1,MATCH(COLUMNS($U$1006:U1006),$U$1006:$AC$1006,0))&gt;=100000), " ",IF(INDEX($U$2:$AC$1001,MATCH(ROWS($N$2:N699),$N$2:$N$1001,0),MATCH(COLUMNS($U$1006:U1006),$U$1006:$AC$1006,0)), HYPERLINK("#",""), HYPERLINK(CONCATENATE("#metadata!", ADDRESS(INDEX($P$2:$P$1001,MATCH(ROWS($N$2:N699),$N$2:$N$1001,0),0), INDEX($U$1004:$AC$1004,1,MATCH(COLUMNS($U$1006:U1006),$U$1006:$AC$1006,0)))),"Fix")))</f>
        <v>0</v>
      </c>
      <c r="C699" s="3">
        <f>IF(OR(INDEX($O$2:$O$1001,MATCH(ROWS($N$2:N699),$N$2:$N$1001,0),1)&gt;=100000,INDEX($U$1005:$AC$1005,1,MATCH(COLUMNS($U$1006:V1006),$U$1006:$AC$1006,0))&gt;=100000), " ",IF(INDEX($U$2:$AC$1001,MATCH(ROWS($N$2:N699),$N$2:$N$1001,0),MATCH(COLUMNS($U$1006:V1006),$U$1006:$AC$1006,0)), HYPERLINK("#",""), HYPERLINK(CONCATENATE("#metadata!", ADDRESS(INDEX($P$2:$P$1001,MATCH(ROWS($N$2:N699),$N$2:$N$1001,0),0), INDEX($U$1004:$AC$1004,1,MATCH(COLUMNS($U$1006:V1006),$U$1006:$AC$1006,0)))),"Fix")))</f>
        <v>0</v>
      </c>
      <c r="D699" s="3">
        <f>IF(OR(INDEX($O$2:$O$1001,MATCH(ROWS($N$2:N699),$N$2:$N$1001,0),1)&gt;=100000,INDEX($U$1005:$AC$1005,1,MATCH(COLUMNS($U$1006:W1006),$U$1006:$AC$1006,0))&gt;=100000), " ",IF(INDEX($U$2:$AC$1001,MATCH(ROWS($N$2:N699),$N$2:$N$1001,0),MATCH(COLUMNS($U$1006:W1006),$U$1006:$AC$1006,0)), HYPERLINK("#",""), HYPERLINK(CONCATENATE("#metadata!", ADDRESS(INDEX($P$2:$P$1001,MATCH(ROWS($N$2:N699),$N$2:$N$1001,0),0), INDEX($U$1004:$AC$1004,1,MATCH(COLUMNS($U$1006:W1006),$U$1006:$AC$1006,0)))),"Fix")))</f>
        <v>0</v>
      </c>
      <c r="E699" s="3">
        <f>IF(OR(INDEX($O$2:$O$1001,MATCH(ROWS($N$2:N699),$N$2:$N$1001,0),1)&gt;=100000,INDEX($U$1005:$AC$1005,1,MATCH(COLUMNS($U$1006:X1006),$U$1006:$AC$1006,0))&gt;=100000), " ",IF(INDEX($U$2:$AC$1001,MATCH(ROWS($N$2:N699),$N$2:$N$1001,0),MATCH(COLUMNS($U$1006:X1006),$U$1006:$AC$1006,0)), HYPERLINK("#",""), HYPERLINK(CONCATENATE("#metadata!", ADDRESS(INDEX($P$2:$P$1001,MATCH(ROWS($N$2:N699),$N$2:$N$1001,0),0), INDEX($U$1004:$AC$1004,1,MATCH(COLUMNS($U$1006:X1006),$U$1006:$AC$1006,0)))),"Fix")))</f>
        <v>0</v>
      </c>
      <c r="F699" s="3">
        <f>IF(OR(INDEX($O$2:$O$1001,MATCH(ROWS($N$2:N699),$N$2:$N$1001,0),1)&gt;=100000,INDEX($U$1005:$AC$1005,1,MATCH(COLUMNS($U$1006:Y1006),$U$1006:$AC$1006,0))&gt;=100000), " ",IF(INDEX($U$2:$AC$1001,MATCH(ROWS($N$2:N699),$N$2:$N$1001,0),MATCH(COLUMNS($U$1006:Y1006),$U$1006:$AC$1006,0)), HYPERLINK("#",""), HYPERLINK(CONCATENATE("#metadata!", ADDRESS(INDEX($P$2:$P$1001,MATCH(ROWS($N$2:N699),$N$2:$N$1001,0),0), INDEX($U$1004:$AC$1004,1,MATCH(COLUMNS($U$1006:Y1006),$U$1006:$AC$1006,0)))),"Fix")))</f>
        <v>0</v>
      </c>
      <c r="G699" s="3">
        <f>IF(OR(INDEX($O$2:$O$1001,MATCH(ROWS($N$2:N699),$N$2:$N$1001,0),1)&gt;=100000,INDEX($U$1005:$AC$1005,1,MATCH(COLUMNS($U$1006:Z1006),$U$1006:$AC$1006,0))&gt;=100000), " ",IF(INDEX($U$2:$AC$1001,MATCH(ROWS($N$2:N699),$N$2:$N$1001,0),MATCH(COLUMNS($U$1006:Z1006),$U$1006:$AC$1006,0)), HYPERLINK("#",""), HYPERLINK(CONCATENATE("#metadata!", ADDRESS(INDEX($P$2:$P$1001,MATCH(ROWS($N$2:N699),$N$2:$N$1001,0),0), INDEX($U$1004:$AC$1004,1,MATCH(COLUMNS($U$1006:Z1006),$U$1006:$AC$1006,0)))),"Fix")))</f>
        <v>0</v>
      </c>
      <c r="H699" s="3">
        <f>IF(OR(INDEX($O$2:$O$1001,MATCH(ROWS($N$2:N699),$N$2:$N$1001,0),1)&gt;=100000,INDEX($U$1005:$AC$1005,1,MATCH(COLUMNS($U$1006:AA1006),$U$1006:$AC$1006,0))&gt;=100000), " ",IF(INDEX($U$2:$AC$1001,MATCH(ROWS($N$2:N699),$N$2:$N$1001,0),MATCH(COLUMNS($U$1006:AA1006),$U$1006:$AC$1006,0)), HYPERLINK("#",""), HYPERLINK(CONCATENATE("#metadata!", ADDRESS(INDEX($P$2:$P$1001,MATCH(ROWS($N$2:N699),$N$2:$N$1001,0),0), INDEX($U$1004:$AC$1004,1,MATCH(COLUMNS($U$1006:AA1006),$U$1006:$AC$1006,0)))),"Fix")))</f>
        <v>0</v>
      </c>
      <c r="I699" s="3">
        <f>IF(OR(INDEX($O$2:$O$1001,MATCH(ROWS($N$2:N699),$N$2:$N$1001,0),1)&gt;=100000,INDEX($U$1005:$AC$1005,1,MATCH(COLUMNS($U$1006:AB1006),$U$1006:$AC$1006,0))&gt;=100000), " ",IF(INDEX($U$2:$AC$1001,MATCH(ROWS($N$2:N699),$N$2:$N$1001,0),MATCH(COLUMNS($U$1006:AB1006),$U$1006:$AC$1006,0)), HYPERLINK("#",""), HYPERLINK(CONCATENATE("#metadata!", ADDRESS(INDEX($P$2:$P$1001,MATCH(ROWS($N$2:N699),$N$2:$N$1001,0),0), INDEX($U$1004:$AC$1004,1,MATCH(COLUMNS($U$1006:AB1006),$U$1006:$AC$1006,0)))),"Fix")))</f>
        <v>0</v>
      </c>
      <c r="J699" s="3">
        <f>IF(OR(INDEX($O$2:$O$1001,MATCH(ROWS($N$2:N699),$N$2:$N$1001,0),1)&gt;=100000,INDEX($U$1005:$AC$1005,1,MATCH(COLUMNS($U$1006:AC1006),$U$1006:$AC$1006,0))&gt;=100000), " ",IF(INDEX($U$2:$AC$1001,MATCH(ROWS($N$2:N699),$N$2:$N$1001,0),MATCH(COLUMNS($U$1006:AC1006),$U$1006:$AC$1006,0)), HYPERLINK("#",""), HYPERLINK(CONCATENATE("#metadata!", ADDRESS(INDEX($P$2:$P$1001,MATCH(ROWS($N$2:N699),$N$2:$N$1001,0),0), INDEX($U$1004:$AC$1004,1,MATCH(COLUMNS($U$1006:AC1006),$U$1006:$AC$1006,0)))),"Fix")))</f>
        <v>0</v>
      </c>
      <c r="N699">
        <v>0</v>
      </c>
      <c r="O699">
        <v>0</v>
      </c>
      <c r="P699">
        <v>0</v>
      </c>
      <c r="Q699">
        <f>IF(R699,TRUE,AND(U699:AC699))</f>
        <v>0</v>
      </c>
      <c r="R699">
        <f>COUNTBLANK(metadata!B699:J699)=COLUMNS(metadata!B699:J699)</f>
        <v>0</v>
      </c>
      <c r="S699">
        <v>0</v>
      </c>
      <c r="U699">
        <f>AND(IF(metadata!B699="",FALSE,TRUE),COUNTIF(metadata!B:B, metadata!B699) = 1,NOT(ISERROR(SUMPRODUCT(SEARCH(MID(metadata!B699,ROW(INDIRECT("1:"&amp;LEN(metadata!B699))), 1),"0123456789abcdefghijklmnopqrstuvwxyzABCDEFGHIJKLMNOPQRSTUVWXYZ.")))))</f>
        <v>0</v>
      </c>
      <c r="V699">
        <f>AND(IF(metadata!C699="",FALSE,TRUE),exact(metadata!C699,"UBERON:genitourinary"))</f>
        <v>0</v>
      </c>
      <c r="W699">
        <f>AND(IF(metadata!D699="",FALSE,TRUE),exact(metadata!D699,"UBERON:urine"))</f>
        <v>0</v>
      </c>
      <c r="X699">
        <f>AND(IF(metadata!E699="",FALSE,TRUE),exact(metadata!E699,"UBERON:kidney"))</f>
        <v>0</v>
      </c>
      <c r="Y699">
        <f>AND(IF(metadata!F699="",FALSE,TRUE),exact(metadata!F699,"animal corpus"))</f>
        <v>0</v>
      </c>
      <c r="Z699">
        <f>AND(IF(metadata!G699="",FALSE,TRUE),exact(metadata!G699,"urine"))</f>
        <v>0</v>
      </c>
      <c r="AA699">
        <f>AND(IF(metadata!H699="",FALSE,TRUE),exact(metadata!H699,"urine"))</f>
        <v>0</v>
      </c>
      <c r="AB699">
        <f>AND(IF(metadata!I699="",FALSE,TRUE),exact(metadata!I699,"urine metagenome"))</f>
        <v>0</v>
      </c>
      <c r="AC699">
        <f>AND(IF(metadata!J699="",FALSE,TRUE),exact(metadata!J699,"1346744"))</f>
        <v>0</v>
      </c>
    </row>
    <row r="700" spans="1:29">
      <c r="A700" s="4">
        <f>IF(B700=" "," ",HYPERLINK(CONCATENATE("#metadata!",ADDRESS(INDEX($P$2:$P$1001,MATCH(ROWS($N$2:N700),$N$2:$N$1001,0),0),1)),INDEX($S$2:$S$1001,MATCH(ROWS($N$2:N700),$N$2:$N$1001,0),0)))</f>
        <v>0</v>
      </c>
      <c r="B700" s="3">
        <f>IF(OR(INDEX($O$2:$O$1001,MATCH(ROWS($N$2:N700),$N$2:$N$1001,0),1)&gt;=100000,INDEX($U$1005:$AC$1005,1,MATCH(COLUMNS($U$1006:U1006),$U$1006:$AC$1006,0))&gt;=100000), " ",IF(INDEX($U$2:$AC$1001,MATCH(ROWS($N$2:N700),$N$2:$N$1001,0),MATCH(COLUMNS($U$1006:U1006),$U$1006:$AC$1006,0)), HYPERLINK("#",""), HYPERLINK(CONCATENATE("#metadata!", ADDRESS(INDEX($P$2:$P$1001,MATCH(ROWS($N$2:N700),$N$2:$N$1001,0),0), INDEX($U$1004:$AC$1004,1,MATCH(COLUMNS($U$1006:U1006),$U$1006:$AC$1006,0)))),"Fix")))</f>
        <v>0</v>
      </c>
      <c r="C700" s="3">
        <f>IF(OR(INDEX($O$2:$O$1001,MATCH(ROWS($N$2:N700),$N$2:$N$1001,0),1)&gt;=100000,INDEX($U$1005:$AC$1005,1,MATCH(COLUMNS($U$1006:V1006),$U$1006:$AC$1006,0))&gt;=100000), " ",IF(INDEX($U$2:$AC$1001,MATCH(ROWS($N$2:N700),$N$2:$N$1001,0),MATCH(COLUMNS($U$1006:V1006),$U$1006:$AC$1006,0)), HYPERLINK("#",""), HYPERLINK(CONCATENATE("#metadata!", ADDRESS(INDEX($P$2:$P$1001,MATCH(ROWS($N$2:N700),$N$2:$N$1001,0),0), INDEX($U$1004:$AC$1004,1,MATCH(COLUMNS($U$1006:V1006),$U$1006:$AC$1006,0)))),"Fix")))</f>
        <v>0</v>
      </c>
      <c r="D700" s="3">
        <f>IF(OR(INDEX($O$2:$O$1001,MATCH(ROWS($N$2:N700),$N$2:$N$1001,0),1)&gt;=100000,INDEX($U$1005:$AC$1005,1,MATCH(COLUMNS($U$1006:W1006),$U$1006:$AC$1006,0))&gt;=100000), " ",IF(INDEX($U$2:$AC$1001,MATCH(ROWS($N$2:N700),$N$2:$N$1001,0),MATCH(COLUMNS($U$1006:W1006),$U$1006:$AC$1006,0)), HYPERLINK("#",""), HYPERLINK(CONCATENATE("#metadata!", ADDRESS(INDEX($P$2:$P$1001,MATCH(ROWS($N$2:N700),$N$2:$N$1001,0),0), INDEX($U$1004:$AC$1004,1,MATCH(COLUMNS($U$1006:W1006),$U$1006:$AC$1006,0)))),"Fix")))</f>
        <v>0</v>
      </c>
      <c r="E700" s="3">
        <f>IF(OR(INDEX($O$2:$O$1001,MATCH(ROWS($N$2:N700),$N$2:$N$1001,0),1)&gt;=100000,INDEX($U$1005:$AC$1005,1,MATCH(COLUMNS($U$1006:X1006),$U$1006:$AC$1006,0))&gt;=100000), " ",IF(INDEX($U$2:$AC$1001,MATCH(ROWS($N$2:N700),$N$2:$N$1001,0),MATCH(COLUMNS($U$1006:X1006),$U$1006:$AC$1006,0)), HYPERLINK("#",""), HYPERLINK(CONCATENATE("#metadata!", ADDRESS(INDEX($P$2:$P$1001,MATCH(ROWS($N$2:N700),$N$2:$N$1001,0),0), INDEX($U$1004:$AC$1004,1,MATCH(COLUMNS($U$1006:X1006),$U$1006:$AC$1006,0)))),"Fix")))</f>
        <v>0</v>
      </c>
      <c r="F700" s="3">
        <f>IF(OR(INDEX($O$2:$O$1001,MATCH(ROWS($N$2:N700),$N$2:$N$1001,0),1)&gt;=100000,INDEX($U$1005:$AC$1005,1,MATCH(COLUMNS($U$1006:Y1006),$U$1006:$AC$1006,0))&gt;=100000), " ",IF(INDEX($U$2:$AC$1001,MATCH(ROWS($N$2:N700),$N$2:$N$1001,0),MATCH(COLUMNS($U$1006:Y1006),$U$1006:$AC$1006,0)), HYPERLINK("#",""), HYPERLINK(CONCATENATE("#metadata!", ADDRESS(INDEX($P$2:$P$1001,MATCH(ROWS($N$2:N700),$N$2:$N$1001,0),0), INDEX($U$1004:$AC$1004,1,MATCH(COLUMNS($U$1006:Y1006),$U$1006:$AC$1006,0)))),"Fix")))</f>
        <v>0</v>
      </c>
      <c r="G700" s="3">
        <f>IF(OR(INDEX($O$2:$O$1001,MATCH(ROWS($N$2:N700),$N$2:$N$1001,0),1)&gt;=100000,INDEX($U$1005:$AC$1005,1,MATCH(COLUMNS($U$1006:Z1006),$U$1006:$AC$1006,0))&gt;=100000), " ",IF(INDEX($U$2:$AC$1001,MATCH(ROWS($N$2:N700),$N$2:$N$1001,0),MATCH(COLUMNS($U$1006:Z1006),$U$1006:$AC$1006,0)), HYPERLINK("#",""), HYPERLINK(CONCATENATE("#metadata!", ADDRESS(INDEX($P$2:$P$1001,MATCH(ROWS($N$2:N700),$N$2:$N$1001,0),0), INDEX($U$1004:$AC$1004,1,MATCH(COLUMNS($U$1006:Z1006),$U$1006:$AC$1006,0)))),"Fix")))</f>
        <v>0</v>
      </c>
      <c r="H700" s="3">
        <f>IF(OR(INDEX($O$2:$O$1001,MATCH(ROWS($N$2:N700),$N$2:$N$1001,0),1)&gt;=100000,INDEX($U$1005:$AC$1005,1,MATCH(COLUMNS($U$1006:AA1006),$U$1006:$AC$1006,0))&gt;=100000), " ",IF(INDEX($U$2:$AC$1001,MATCH(ROWS($N$2:N700),$N$2:$N$1001,0),MATCH(COLUMNS($U$1006:AA1006),$U$1006:$AC$1006,0)), HYPERLINK("#",""), HYPERLINK(CONCATENATE("#metadata!", ADDRESS(INDEX($P$2:$P$1001,MATCH(ROWS($N$2:N700),$N$2:$N$1001,0),0), INDEX($U$1004:$AC$1004,1,MATCH(COLUMNS($U$1006:AA1006),$U$1006:$AC$1006,0)))),"Fix")))</f>
        <v>0</v>
      </c>
      <c r="I700" s="3">
        <f>IF(OR(INDEX($O$2:$O$1001,MATCH(ROWS($N$2:N700),$N$2:$N$1001,0),1)&gt;=100000,INDEX($U$1005:$AC$1005,1,MATCH(COLUMNS($U$1006:AB1006),$U$1006:$AC$1006,0))&gt;=100000), " ",IF(INDEX($U$2:$AC$1001,MATCH(ROWS($N$2:N700),$N$2:$N$1001,0),MATCH(COLUMNS($U$1006:AB1006),$U$1006:$AC$1006,0)), HYPERLINK("#",""), HYPERLINK(CONCATENATE("#metadata!", ADDRESS(INDEX($P$2:$P$1001,MATCH(ROWS($N$2:N700),$N$2:$N$1001,0),0), INDEX($U$1004:$AC$1004,1,MATCH(COLUMNS($U$1006:AB1006),$U$1006:$AC$1006,0)))),"Fix")))</f>
        <v>0</v>
      </c>
      <c r="J700" s="3">
        <f>IF(OR(INDEX($O$2:$O$1001,MATCH(ROWS($N$2:N700),$N$2:$N$1001,0),1)&gt;=100000,INDEX($U$1005:$AC$1005,1,MATCH(COLUMNS($U$1006:AC1006),$U$1006:$AC$1006,0))&gt;=100000), " ",IF(INDEX($U$2:$AC$1001,MATCH(ROWS($N$2:N700),$N$2:$N$1001,0),MATCH(COLUMNS($U$1006:AC1006),$U$1006:$AC$1006,0)), HYPERLINK("#",""), HYPERLINK(CONCATENATE("#metadata!", ADDRESS(INDEX($P$2:$P$1001,MATCH(ROWS($N$2:N700),$N$2:$N$1001,0),0), INDEX($U$1004:$AC$1004,1,MATCH(COLUMNS($U$1006:AC1006),$U$1006:$AC$1006,0)))),"Fix")))</f>
        <v>0</v>
      </c>
      <c r="N700">
        <v>0</v>
      </c>
      <c r="O700">
        <v>0</v>
      </c>
      <c r="P700">
        <v>0</v>
      </c>
      <c r="Q700">
        <f>IF(R700,TRUE,AND(U700:AC700))</f>
        <v>0</v>
      </c>
      <c r="R700">
        <f>COUNTBLANK(metadata!B700:J700)=COLUMNS(metadata!B700:J700)</f>
        <v>0</v>
      </c>
      <c r="S700">
        <v>0</v>
      </c>
      <c r="U700">
        <f>AND(IF(metadata!B700="",FALSE,TRUE),COUNTIF(metadata!B:B, metadata!B700) = 1,NOT(ISERROR(SUMPRODUCT(SEARCH(MID(metadata!B700,ROW(INDIRECT("1:"&amp;LEN(metadata!B700))), 1),"0123456789abcdefghijklmnopqrstuvwxyzABCDEFGHIJKLMNOPQRSTUVWXYZ.")))))</f>
        <v>0</v>
      </c>
      <c r="V700">
        <f>AND(IF(metadata!C700="",FALSE,TRUE),exact(metadata!C700,"UBERON:genitourinary"))</f>
        <v>0</v>
      </c>
      <c r="W700">
        <f>AND(IF(metadata!D700="",FALSE,TRUE),exact(metadata!D700,"UBERON:urine"))</f>
        <v>0</v>
      </c>
      <c r="X700">
        <f>AND(IF(metadata!E700="",FALSE,TRUE),exact(metadata!E700,"UBERON:kidney"))</f>
        <v>0</v>
      </c>
      <c r="Y700">
        <f>AND(IF(metadata!F700="",FALSE,TRUE),exact(metadata!F700,"animal corpus"))</f>
        <v>0</v>
      </c>
      <c r="Z700">
        <f>AND(IF(metadata!G700="",FALSE,TRUE),exact(metadata!G700,"urine"))</f>
        <v>0</v>
      </c>
      <c r="AA700">
        <f>AND(IF(metadata!H700="",FALSE,TRUE),exact(metadata!H700,"urine"))</f>
        <v>0</v>
      </c>
      <c r="AB700">
        <f>AND(IF(metadata!I700="",FALSE,TRUE),exact(metadata!I700,"urine metagenome"))</f>
        <v>0</v>
      </c>
      <c r="AC700">
        <f>AND(IF(metadata!J700="",FALSE,TRUE),exact(metadata!J700,"1346744"))</f>
        <v>0</v>
      </c>
    </row>
    <row r="701" spans="1:29">
      <c r="A701" s="4">
        <f>IF(B701=" "," ",HYPERLINK(CONCATENATE("#metadata!",ADDRESS(INDEX($P$2:$P$1001,MATCH(ROWS($N$2:N701),$N$2:$N$1001,0),0),1)),INDEX($S$2:$S$1001,MATCH(ROWS($N$2:N701),$N$2:$N$1001,0),0)))</f>
        <v>0</v>
      </c>
      <c r="B701" s="3">
        <f>IF(OR(INDEX($O$2:$O$1001,MATCH(ROWS($N$2:N701),$N$2:$N$1001,0),1)&gt;=100000,INDEX($U$1005:$AC$1005,1,MATCH(COLUMNS($U$1006:U1006),$U$1006:$AC$1006,0))&gt;=100000), " ",IF(INDEX($U$2:$AC$1001,MATCH(ROWS($N$2:N701),$N$2:$N$1001,0),MATCH(COLUMNS($U$1006:U1006),$U$1006:$AC$1006,0)), HYPERLINK("#",""), HYPERLINK(CONCATENATE("#metadata!", ADDRESS(INDEX($P$2:$P$1001,MATCH(ROWS($N$2:N701),$N$2:$N$1001,0),0), INDEX($U$1004:$AC$1004,1,MATCH(COLUMNS($U$1006:U1006),$U$1006:$AC$1006,0)))),"Fix")))</f>
        <v>0</v>
      </c>
      <c r="C701" s="3">
        <f>IF(OR(INDEX($O$2:$O$1001,MATCH(ROWS($N$2:N701),$N$2:$N$1001,0),1)&gt;=100000,INDEX($U$1005:$AC$1005,1,MATCH(COLUMNS($U$1006:V1006),$U$1006:$AC$1006,0))&gt;=100000), " ",IF(INDEX($U$2:$AC$1001,MATCH(ROWS($N$2:N701),$N$2:$N$1001,0),MATCH(COLUMNS($U$1006:V1006),$U$1006:$AC$1006,0)), HYPERLINK("#",""), HYPERLINK(CONCATENATE("#metadata!", ADDRESS(INDEX($P$2:$P$1001,MATCH(ROWS($N$2:N701),$N$2:$N$1001,0),0), INDEX($U$1004:$AC$1004,1,MATCH(COLUMNS($U$1006:V1006),$U$1006:$AC$1006,0)))),"Fix")))</f>
        <v>0</v>
      </c>
      <c r="D701" s="3">
        <f>IF(OR(INDEX($O$2:$O$1001,MATCH(ROWS($N$2:N701),$N$2:$N$1001,0),1)&gt;=100000,INDEX($U$1005:$AC$1005,1,MATCH(COLUMNS($U$1006:W1006),$U$1006:$AC$1006,0))&gt;=100000), " ",IF(INDEX($U$2:$AC$1001,MATCH(ROWS($N$2:N701),$N$2:$N$1001,0),MATCH(COLUMNS($U$1006:W1006),$U$1006:$AC$1006,0)), HYPERLINK("#",""), HYPERLINK(CONCATENATE("#metadata!", ADDRESS(INDEX($P$2:$P$1001,MATCH(ROWS($N$2:N701),$N$2:$N$1001,0),0), INDEX($U$1004:$AC$1004,1,MATCH(COLUMNS($U$1006:W1006),$U$1006:$AC$1006,0)))),"Fix")))</f>
        <v>0</v>
      </c>
      <c r="E701" s="3">
        <f>IF(OR(INDEX($O$2:$O$1001,MATCH(ROWS($N$2:N701),$N$2:$N$1001,0),1)&gt;=100000,INDEX($U$1005:$AC$1005,1,MATCH(COLUMNS($U$1006:X1006),$U$1006:$AC$1006,0))&gt;=100000), " ",IF(INDEX($U$2:$AC$1001,MATCH(ROWS($N$2:N701),$N$2:$N$1001,0),MATCH(COLUMNS($U$1006:X1006),$U$1006:$AC$1006,0)), HYPERLINK("#",""), HYPERLINK(CONCATENATE("#metadata!", ADDRESS(INDEX($P$2:$P$1001,MATCH(ROWS($N$2:N701),$N$2:$N$1001,0),0), INDEX($U$1004:$AC$1004,1,MATCH(COLUMNS($U$1006:X1006),$U$1006:$AC$1006,0)))),"Fix")))</f>
        <v>0</v>
      </c>
      <c r="F701" s="3">
        <f>IF(OR(INDEX($O$2:$O$1001,MATCH(ROWS($N$2:N701),$N$2:$N$1001,0),1)&gt;=100000,INDEX($U$1005:$AC$1005,1,MATCH(COLUMNS($U$1006:Y1006),$U$1006:$AC$1006,0))&gt;=100000), " ",IF(INDEX($U$2:$AC$1001,MATCH(ROWS($N$2:N701),$N$2:$N$1001,0),MATCH(COLUMNS($U$1006:Y1006),$U$1006:$AC$1006,0)), HYPERLINK("#",""), HYPERLINK(CONCATENATE("#metadata!", ADDRESS(INDEX($P$2:$P$1001,MATCH(ROWS($N$2:N701),$N$2:$N$1001,0),0), INDEX($U$1004:$AC$1004,1,MATCH(COLUMNS($U$1006:Y1006),$U$1006:$AC$1006,0)))),"Fix")))</f>
        <v>0</v>
      </c>
      <c r="G701" s="3">
        <f>IF(OR(INDEX($O$2:$O$1001,MATCH(ROWS($N$2:N701),$N$2:$N$1001,0),1)&gt;=100000,INDEX($U$1005:$AC$1005,1,MATCH(COLUMNS($U$1006:Z1006),$U$1006:$AC$1006,0))&gt;=100000), " ",IF(INDEX($U$2:$AC$1001,MATCH(ROWS($N$2:N701),$N$2:$N$1001,0),MATCH(COLUMNS($U$1006:Z1006),$U$1006:$AC$1006,0)), HYPERLINK("#",""), HYPERLINK(CONCATENATE("#metadata!", ADDRESS(INDEX($P$2:$P$1001,MATCH(ROWS($N$2:N701),$N$2:$N$1001,0),0), INDEX($U$1004:$AC$1004,1,MATCH(COLUMNS($U$1006:Z1006),$U$1006:$AC$1006,0)))),"Fix")))</f>
        <v>0</v>
      </c>
      <c r="H701" s="3">
        <f>IF(OR(INDEX($O$2:$O$1001,MATCH(ROWS($N$2:N701),$N$2:$N$1001,0),1)&gt;=100000,INDEX($U$1005:$AC$1005,1,MATCH(COLUMNS($U$1006:AA1006),$U$1006:$AC$1006,0))&gt;=100000), " ",IF(INDEX($U$2:$AC$1001,MATCH(ROWS($N$2:N701),$N$2:$N$1001,0),MATCH(COLUMNS($U$1006:AA1006),$U$1006:$AC$1006,0)), HYPERLINK("#",""), HYPERLINK(CONCATENATE("#metadata!", ADDRESS(INDEX($P$2:$P$1001,MATCH(ROWS($N$2:N701),$N$2:$N$1001,0),0), INDEX($U$1004:$AC$1004,1,MATCH(COLUMNS($U$1006:AA1006),$U$1006:$AC$1006,0)))),"Fix")))</f>
        <v>0</v>
      </c>
      <c r="I701" s="3">
        <f>IF(OR(INDEX($O$2:$O$1001,MATCH(ROWS($N$2:N701),$N$2:$N$1001,0),1)&gt;=100000,INDEX($U$1005:$AC$1005,1,MATCH(COLUMNS($U$1006:AB1006),$U$1006:$AC$1006,0))&gt;=100000), " ",IF(INDEX($U$2:$AC$1001,MATCH(ROWS($N$2:N701),$N$2:$N$1001,0),MATCH(COLUMNS($U$1006:AB1006),$U$1006:$AC$1006,0)), HYPERLINK("#",""), HYPERLINK(CONCATENATE("#metadata!", ADDRESS(INDEX($P$2:$P$1001,MATCH(ROWS($N$2:N701),$N$2:$N$1001,0),0), INDEX($U$1004:$AC$1004,1,MATCH(COLUMNS($U$1006:AB1006),$U$1006:$AC$1006,0)))),"Fix")))</f>
        <v>0</v>
      </c>
      <c r="J701" s="3">
        <f>IF(OR(INDEX($O$2:$O$1001,MATCH(ROWS($N$2:N701),$N$2:$N$1001,0),1)&gt;=100000,INDEX($U$1005:$AC$1005,1,MATCH(COLUMNS($U$1006:AC1006),$U$1006:$AC$1006,0))&gt;=100000), " ",IF(INDEX($U$2:$AC$1001,MATCH(ROWS($N$2:N701),$N$2:$N$1001,0),MATCH(COLUMNS($U$1006:AC1006),$U$1006:$AC$1006,0)), HYPERLINK("#",""), HYPERLINK(CONCATENATE("#metadata!", ADDRESS(INDEX($P$2:$P$1001,MATCH(ROWS($N$2:N701),$N$2:$N$1001,0),0), INDEX($U$1004:$AC$1004,1,MATCH(COLUMNS($U$1006:AC1006),$U$1006:$AC$1006,0)))),"Fix")))</f>
        <v>0</v>
      </c>
      <c r="N701">
        <v>0</v>
      </c>
      <c r="O701">
        <v>0</v>
      </c>
      <c r="P701">
        <v>0</v>
      </c>
      <c r="Q701">
        <f>IF(R701,TRUE,AND(U701:AC701))</f>
        <v>0</v>
      </c>
      <c r="R701">
        <f>COUNTBLANK(metadata!B701:J701)=COLUMNS(metadata!B701:J701)</f>
        <v>0</v>
      </c>
      <c r="S701">
        <v>0</v>
      </c>
      <c r="U701">
        <f>AND(IF(metadata!B701="",FALSE,TRUE),COUNTIF(metadata!B:B, metadata!B701) = 1,NOT(ISERROR(SUMPRODUCT(SEARCH(MID(metadata!B701,ROW(INDIRECT("1:"&amp;LEN(metadata!B701))), 1),"0123456789abcdefghijklmnopqrstuvwxyzABCDEFGHIJKLMNOPQRSTUVWXYZ.")))))</f>
        <v>0</v>
      </c>
      <c r="V701">
        <f>AND(IF(metadata!C701="",FALSE,TRUE),exact(metadata!C701,"UBERON:genitourinary"))</f>
        <v>0</v>
      </c>
      <c r="W701">
        <f>AND(IF(metadata!D701="",FALSE,TRUE),exact(metadata!D701,"UBERON:urine"))</f>
        <v>0</v>
      </c>
      <c r="X701">
        <f>AND(IF(metadata!E701="",FALSE,TRUE),exact(metadata!E701,"UBERON:kidney"))</f>
        <v>0</v>
      </c>
      <c r="Y701">
        <f>AND(IF(metadata!F701="",FALSE,TRUE),exact(metadata!F701,"animal corpus"))</f>
        <v>0</v>
      </c>
      <c r="Z701">
        <f>AND(IF(metadata!G701="",FALSE,TRUE),exact(metadata!G701,"urine"))</f>
        <v>0</v>
      </c>
      <c r="AA701">
        <f>AND(IF(metadata!H701="",FALSE,TRUE),exact(metadata!H701,"urine"))</f>
        <v>0</v>
      </c>
      <c r="AB701">
        <f>AND(IF(metadata!I701="",FALSE,TRUE),exact(metadata!I701,"urine metagenome"))</f>
        <v>0</v>
      </c>
      <c r="AC701">
        <f>AND(IF(metadata!J701="",FALSE,TRUE),exact(metadata!J701,"1346744"))</f>
        <v>0</v>
      </c>
    </row>
    <row r="702" spans="1:29">
      <c r="A702" s="4">
        <f>IF(B702=" "," ",HYPERLINK(CONCATENATE("#metadata!",ADDRESS(INDEX($P$2:$P$1001,MATCH(ROWS($N$2:N702),$N$2:$N$1001,0),0),1)),INDEX($S$2:$S$1001,MATCH(ROWS($N$2:N702),$N$2:$N$1001,0),0)))</f>
        <v>0</v>
      </c>
      <c r="B702" s="3">
        <f>IF(OR(INDEX($O$2:$O$1001,MATCH(ROWS($N$2:N702),$N$2:$N$1001,0),1)&gt;=100000,INDEX($U$1005:$AC$1005,1,MATCH(COLUMNS($U$1006:U1006),$U$1006:$AC$1006,0))&gt;=100000), " ",IF(INDEX($U$2:$AC$1001,MATCH(ROWS($N$2:N702),$N$2:$N$1001,0),MATCH(COLUMNS($U$1006:U1006),$U$1006:$AC$1006,0)), HYPERLINK("#",""), HYPERLINK(CONCATENATE("#metadata!", ADDRESS(INDEX($P$2:$P$1001,MATCH(ROWS($N$2:N702),$N$2:$N$1001,0),0), INDEX($U$1004:$AC$1004,1,MATCH(COLUMNS($U$1006:U1006),$U$1006:$AC$1006,0)))),"Fix")))</f>
        <v>0</v>
      </c>
      <c r="C702" s="3">
        <f>IF(OR(INDEX($O$2:$O$1001,MATCH(ROWS($N$2:N702),$N$2:$N$1001,0),1)&gt;=100000,INDEX($U$1005:$AC$1005,1,MATCH(COLUMNS($U$1006:V1006),$U$1006:$AC$1006,0))&gt;=100000), " ",IF(INDEX($U$2:$AC$1001,MATCH(ROWS($N$2:N702),$N$2:$N$1001,0),MATCH(COLUMNS($U$1006:V1006),$U$1006:$AC$1006,0)), HYPERLINK("#",""), HYPERLINK(CONCATENATE("#metadata!", ADDRESS(INDEX($P$2:$P$1001,MATCH(ROWS($N$2:N702),$N$2:$N$1001,0),0), INDEX($U$1004:$AC$1004,1,MATCH(COLUMNS($U$1006:V1006),$U$1006:$AC$1006,0)))),"Fix")))</f>
        <v>0</v>
      </c>
      <c r="D702" s="3">
        <f>IF(OR(INDEX($O$2:$O$1001,MATCH(ROWS($N$2:N702),$N$2:$N$1001,0),1)&gt;=100000,INDEX($U$1005:$AC$1005,1,MATCH(COLUMNS($U$1006:W1006),$U$1006:$AC$1006,0))&gt;=100000), " ",IF(INDEX($U$2:$AC$1001,MATCH(ROWS($N$2:N702),$N$2:$N$1001,0),MATCH(COLUMNS($U$1006:W1006),$U$1006:$AC$1006,0)), HYPERLINK("#",""), HYPERLINK(CONCATENATE("#metadata!", ADDRESS(INDEX($P$2:$P$1001,MATCH(ROWS($N$2:N702),$N$2:$N$1001,0),0), INDEX($U$1004:$AC$1004,1,MATCH(COLUMNS($U$1006:W1006),$U$1006:$AC$1006,0)))),"Fix")))</f>
        <v>0</v>
      </c>
      <c r="E702" s="3">
        <f>IF(OR(INDEX($O$2:$O$1001,MATCH(ROWS($N$2:N702),$N$2:$N$1001,0),1)&gt;=100000,INDEX($U$1005:$AC$1005,1,MATCH(COLUMNS($U$1006:X1006),$U$1006:$AC$1006,0))&gt;=100000), " ",IF(INDEX($U$2:$AC$1001,MATCH(ROWS($N$2:N702),$N$2:$N$1001,0),MATCH(COLUMNS($U$1006:X1006),$U$1006:$AC$1006,0)), HYPERLINK("#",""), HYPERLINK(CONCATENATE("#metadata!", ADDRESS(INDEX($P$2:$P$1001,MATCH(ROWS($N$2:N702),$N$2:$N$1001,0),0), INDEX($U$1004:$AC$1004,1,MATCH(COLUMNS($U$1006:X1006),$U$1006:$AC$1006,0)))),"Fix")))</f>
        <v>0</v>
      </c>
      <c r="F702" s="3">
        <f>IF(OR(INDEX($O$2:$O$1001,MATCH(ROWS($N$2:N702),$N$2:$N$1001,0),1)&gt;=100000,INDEX($U$1005:$AC$1005,1,MATCH(COLUMNS($U$1006:Y1006),$U$1006:$AC$1006,0))&gt;=100000), " ",IF(INDEX($U$2:$AC$1001,MATCH(ROWS($N$2:N702),$N$2:$N$1001,0),MATCH(COLUMNS($U$1006:Y1006),$U$1006:$AC$1006,0)), HYPERLINK("#",""), HYPERLINK(CONCATENATE("#metadata!", ADDRESS(INDEX($P$2:$P$1001,MATCH(ROWS($N$2:N702),$N$2:$N$1001,0),0), INDEX($U$1004:$AC$1004,1,MATCH(COLUMNS($U$1006:Y1006),$U$1006:$AC$1006,0)))),"Fix")))</f>
        <v>0</v>
      </c>
      <c r="G702" s="3">
        <f>IF(OR(INDEX($O$2:$O$1001,MATCH(ROWS($N$2:N702),$N$2:$N$1001,0),1)&gt;=100000,INDEX($U$1005:$AC$1005,1,MATCH(COLUMNS($U$1006:Z1006),$U$1006:$AC$1006,0))&gt;=100000), " ",IF(INDEX($U$2:$AC$1001,MATCH(ROWS($N$2:N702),$N$2:$N$1001,0),MATCH(COLUMNS($U$1006:Z1006),$U$1006:$AC$1006,0)), HYPERLINK("#",""), HYPERLINK(CONCATENATE("#metadata!", ADDRESS(INDEX($P$2:$P$1001,MATCH(ROWS($N$2:N702),$N$2:$N$1001,0),0), INDEX($U$1004:$AC$1004,1,MATCH(COLUMNS($U$1006:Z1006),$U$1006:$AC$1006,0)))),"Fix")))</f>
        <v>0</v>
      </c>
      <c r="H702" s="3">
        <f>IF(OR(INDEX($O$2:$O$1001,MATCH(ROWS($N$2:N702),$N$2:$N$1001,0),1)&gt;=100000,INDEX($U$1005:$AC$1005,1,MATCH(COLUMNS($U$1006:AA1006),$U$1006:$AC$1006,0))&gt;=100000), " ",IF(INDEX($U$2:$AC$1001,MATCH(ROWS($N$2:N702),$N$2:$N$1001,0),MATCH(COLUMNS($U$1006:AA1006),$U$1006:$AC$1006,0)), HYPERLINK("#",""), HYPERLINK(CONCATENATE("#metadata!", ADDRESS(INDEX($P$2:$P$1001,MATCH(ROWS($N$2:N702),$N$2:$N$1001,0),0), INDEX($U$1004:$AC$1004,1,MATCH(COLUMNS($U$1006:AA1006),$U$1006:$AC$1006,0)))),"Fix")))</f>
        <v>0</v>
      </c>
      <c r="I702" s="3">
        <f>IF(OR(INDEX($O$2:$O$1001,MATCH(ROWS($N$2:N702),$N$2:$N$1001,0),1)&gt;=100000,INDEX($U$1005:$AC$1005,1,MATCH(COLUMNS($U$1006:AB1006),$U$1006:$AC$1006,0))&gt;=100000), " ",IF(INDEX($U$2:$AC$1001,MATCH(ROWS($N$2:N702),$N$2:$N$1001,0),MATCH(COLUMNS($U$1006:AB1006),$U$1006:$AC$1006,0)), HYPERLINK("#",""), HYPERLINK(CONCATENATE("#metadata!", ADDRESS(INDEX($P$2:$P$1001,MATCH(ROWS($N$2:N702),$N$2:$N$1001,0),0), INDEX($U$1004:$AC$1004,1,MATCH(COLUMNS($U$1006:AB1006),$U$1006:$AC$1006,0)))),"Fix")))</f>
        <v>0</v>
      </c>
      <c r="J702" s="3">
        <f>IF(OR(INDEX($O$2:$O$1001,MATCH(ROWS($N$2:N702),$N$2:$N$1001,0),1)&gt;=100000,INDEX($U$1005:$AC$1005,1,MATCH(COLUMNS($U$1006:AC1006),$U$1006:$AC$1006,0))&gt;=100000), " ",IF(INDEX($U$2:$AC$1001,MATCH(ROWS($N$2:N702),$N$2:$N$1001,0),MATCH(COLUMNS($U$1006:AC1006),$U$1006:$AC$1006,0)), HYPERLINK("#",""), HYPERLINK(CONCATENATE("#metadata!", ADDRESS(INDEX($P$2:$P$1001,MATCH(ROWS($N$2:N702),$N$2:$N$1001,0),0), INDEX($U$1004:$AC$1004,1,MATCH(COLUMNS($U$1006:AC1006),$U$1006:$AC$1006,0)))),"Fix")))</f>
        <v>0</v>
      </c>
      <c r="N702">
        <v>0</v>
      </c>
      <c r="O702">
        <v>0</v>
      </c>
      <c r="P702">
        <v>0</v>
      </c>
      <c r="Q702">
        <f>IF(R702,TRUE,AND(U702:AC702))</f>
        <v>0</v>
      </c>
      <c r="R702">
        <f>COUNTBLANK(metadata!B702:J702)=COLUMNS(metadata!B702:J702)</f>
        <v>0</v>
      </c>
      <c r="S702">
        <v>0</v>
      </c>
      <c r="U702">
        <f>AND(IF(metadata!B702="",FALSE,TRUE),COUNTIF(metadata!B:B, metadata!B702) = 1,NOT(ISERROR(SUMPRODUCT(SEARCH(MID(metadata!B702,ROW(INDIRECT("1:"&amp;LEN(metadata!B702))), 1),"0123456789abcdefghijklmnopqrstuvwxyzABCDEFGHIJKLMNOPQRSTUVWXYZ.")))))</f>
        <v>0</v>
      </c>
      <c r="V702">
        <f>AND(IF(metadata!C702="",FALSE,TRUE),exact(metadata!C702,"UBERON:genitourinary"))</f>
        <v>0</v>
      </c>
      <c r="W702">
        <f>AND(IF(metadata!D702="",FALSE,TRUE),exact(metadata!D702,"UBERON:urine"))</f>
        <v>0</v>
      </c>
      <c r="X702">
        <f>AND(IF(metadata!E702="",FALSE,TRUE),exact(metadata!E702,"UBERON:kidney"))</f>
        <v>0</v>
      </c>
      <c r="Y702">
        <f>AND(IF(metadata!F702="",FALSE,TRUE),exact(metadata!F702,"animal corpus"))</f>
        <v>0</v>
      </c>
      <c r="Z702">
        <f>AND(IF(metadata!G702="",FALSE,TRUE),exact(metadata!G702,"urine"))</f>
        <v>0</v>
      </c>
      <c r="AA702">
        <f>AND(IF(metadata!H702="",FALSE,TRUE),exact(metadata!H702,"urine"))</f>
        <v>0</v>
      </c>
      <c r="AB702">
        <f>AND(IF(metadata!I702="",FALSE,TRUE),exact(metadata!I702,"urine metagenome"))</f>
        <v>0</v>
      </c>
      <c r="AC702">
        <f>AND(IF(metadata!J702="",FALSE,TRUE),exact(metadata!J702,"1346744"))</f>
        <v>0</v>
      </c>
    </row>
    <row r="703" spans="1:29">
      <c r="A703" s="4">
        <f>IF(B703=" "," ",HYPERLINK(CONCATENATE("#metadata!",ADDRESS(INDEX($P$2:$P$1001,MATCH(ROWS($N$2:N703),$N$2:$N$1001,0),0),1)),INDEX($S$2:$S$1001,MATCH(ROWS($N$2:N703),$N$2:$N$1001,0),0)))</f>
        <v>0</v>
      </c>
      <c r="B703" s="3">
        <f>IF(OR(INDEX($O$2:$O$1001,MATCH(ROWS($N$2:N703),$N$2:$N$1001,0),1)&gt;=100000,INDEX($U$1005:$AC$1005,1,MATCH(COLUMNS($U$1006:U1006),$U$1006:$AC$1006,0))&gt;=100000), " ",IF(INDEX($U$2:$AC$1001,MATCH(ROWS($N$2:N703),$N$2:$N$1001,0),MATCH(COLUMNS($U$1006:U1006),$U$1006:$AC$1006,0)), HYPERLINK("#",""), HYPERLINK(CONCATENATE("#metadata!", ADDRESS(INDEX($P$2:$P$1001,MATCH(ROWS($N$2:N703),$N$2:$N$1001,0),0), INDEX($U$1004:$AC$1004,1,MATCH(COLUMNS($U$1006:U1006),$U$1006:$AC$1006,0)))),"Fix")))</f>
        <v>0</v>
      </c>
      <c r="C703" s="3">
        <f>IF(OR(INDEX($O$2:$O$1001,MATCH(ROWS($N$2:N703),$N$2:$N$1001,0),1)&gt;=100000,INDEX($U$1005:$AC$1005,1,MATCH(COLUMNS($U$1006:V1006),$U$1006:$AC$1006,0))&gt;=100000), " ",IF(INDEX($U$2:$AC$1001,MATCH(ROWS($N$2:N703),$N$2:$N$1001,0),MATCH(COLUMNS($U$1006:V1006),$U$1006:$AC$1006,0)), HYPERLINK("#",""), HYPERLINK(CONCATENATE("#metadata!", ADDRESS(INDEX($P$2:$P$1001,MATCH(ROWS($N$2:N703),$N$2:$N$1001,0),0), INDEX($U$1004:$AC$1004,1,MATCH(COLUMNS($U$1006:V1006),$U$1006:$AC$1006,0)))),"Fix")))</f>
        <v>0</v>
      </c>
      <c r="D703" s="3">
        <f>IF(OR(INDEX($O$2:$O$1001,MATCH(ROWS($N$2:N703),$N$2:$N$1001,0),1)&gt;=100000,INDEX($U$1005:$AC$1005,1,MATCH(COLUMNS($U$1006:W1006),$U$1006:$AC$1006,0))&gt;=100000), " ",IF(INDEX($U$2:$AC$1001,MATCH(ROWS($N$2:N703),$N$2:$N$1001,0),MATCH(COLUMNS($U$1006:W1006),$U$1006:$AC$1006,0)), HYPERLINK("#",""), HYPERLINK(CONCATENATE("#metadata!", ADDRESS(INDEX($P$2:$P$1001,MATCH(ROWS($N$2:N703),$N$2:$N$1001,0),0), INDEX($U$1004:$AC$1004,1,MATCH(COLUMNS($U$1006:W1006),$U$1006:$AC$1006,0)))),"Fix")))</f>
        <v>0</v>
      </c>
      <c r="E703" s="3">
        <f>IF(OR(INDEX($O$2:$O$1001,MATCH(ROWS($N$2:N703),$N$2:$N$1001,0),1)&gt;=100000,INDEX($U$1005:$AC$1005,1,MATCH(COLUMNS($U$1006:X1006),$U$1006:$AC$1006,0))&gt;=100000), " ",IF(INDEX($U$2:$AC$1001,MATCH(ROWS($N$2:N703),$N$2:$N$1001,0),MATCH(COLUMNS($U$1006:X1006),$U$1006:$AC$1006,0)), HYPERLINK("#",""), HYPERLINK(CONCATENATE("#metadata!", ADDRESS(INDEX($P$2:$P$1001,MATCH(ROWS($N$2:N703),$N$2:$N$1001,0),0), INDEX($U$1004:$AC$1004,1,MATCH(COLUMNS($U$1006:X1006),$U$1006:$AC$1006,0)))),"Fix")))</f>
        <v>0</v>
      </c>
      <c r="F703" s="3">
        <f>IF(OR(INDEX($O$2:$O$1001,MATCH(ROWS($N$2:N703),$N$2:$N$1001,0),1)&gt;=100000,INDEX($U$1005:$AC$1005,1,MATCH(COLUMNS($U$1006:Y1006),$U$1006:$AC$1006,0))&gt;=100000), " ",IF(INDEX($U$2:$AC$1001,MATCH(ROWS($N$2:N703),$N$2:$N$1001,0),MATCH(COLUMNS($U$1006:Y1006),$U$1006:$AC$1006,0)), HYPERLINK("#",""), HYPERLINK(CONCATENATE("#metadata!", ADDRESS(INDEX($P$2:$P$1001,MATCH(ROWS($N$2:N703),$N$2:$N$1001,0),0), INDEX($U$1004:$AC$1004,1,MATCH(COLUMNS($U$1006:Y1006),$U$1006:$AC$1006,0)))),"Fix")))</f>
        <v>0</v>
      </c>
      <c r="G703" s="3">
        <f>IF(OR(INDEX($O$2:$O$1001,MATCH(ROWS($N$2:N703),$N$2:$N$1001,0),1)&gt;=100000,INDEX($U$1005:$AC$1005,1,MATCH(COLUMNS($U$1006:Z1006),$U$1006:$AC$1006,0))&gt;=100000), " ",IF(INDEX($U$2:$AC$1001,MATCH(ROWS($N$2:N703),$N$2:$N$1001,0),MATCH(COLUMNS($U$1006:Z1006),$U$1006:$AC$1006,0)), HYPERLINK("#",""), HYPERLINK(CONCATENATE("#metadata!", ADDRESS(INDEX($P$2:$P$1001,MATCH(ROWS($N$2:N703),$N$2:$N$1001,0),0), INDEX($U$1004:$AC$1004,1,MATCH(COLUMNS($U$1006:Z1006),$U$1006:$AC$1006,0)))),"Fix")))</f>
        <v>0</v>
      </c>
      <c r="H703" s="3">
        <f>IF(OR(INDEX($O$2:$O$1001,MATCH(ROWS($N$2:N703),$N$2:$N$1001,0),1)&gt;=100000,INDEX($U$1005:$AC$1005,1,MATCH(COLUMNS($U$1006:AA1006),$U$1006:$AC$1006,0))&gt;=100000), " ",IF(INDEX($U$2:$AC$1001,MATCH(ROWS($N$2:N703),$N$2:$N$1001,0),MATCH(COLUMNS($U$1006:AA1006),$U$1006:$AC$1006,0)), HYPERLINK("#",""), HYPERLINK(CONCATENATE("#metadata!", ADDRESS(INDEX($P$2:$P$1001,MATCH(ROWS($N$2:N703),$N$2:$N$1001,0),0), INDEX($U$1004:$AC$1004,1,MATCH(COLUMNS($U$1006:AA1006),$U$1006:$AC$1006,0)))),"Fix")))</f>
        <v>0</v>
      </c>
      <c r="I703" s="3">
        <f>IF(OR(INDEX($O$2:$O$1001,MATCH(ROWS($N$2:N703),$N$2:$N$1001,0),1)&gt;=100000,INDEX($U$1005:$AC$1005,1,MATCH(COLUMNS($U$1006:AB1006),$U$1006:$AC$1006,0))&gt;=100000), " ",IF(INDEX($U$2:$AC$1001,MATCH(ROWS($N$2:N703),$N$2:$N$1001,0),MATCH(COLUMNS($U$1006:AB1006),$U$1006:$AC$1006,0)), HYPERLINK("#",""), HYPERLINK(CONCATENATE("#metadata!", ADDRESS(INDEX($P$2:$P$1001,MATCH(ROWS($N$2:N703),$N$2:$N$1001,0),0), INDEX($U$1004:$AC$1004,1,MATCH(COLUMNS($U$1006:AB1006),$U$1006:$AC$1006,0)))),"Fix")))</f>
        <v>0</v>
      </c>
      <c r="J703" s="3">
        <f>IF(OR(INDEX($O$2:$O$1001,MATCH(ROWS($N$2:N703),$N$2:$N$1001,0),1)&gt;=100000,INDEX($U$1005:$AC$1005,1,MATCH(COLUMNS($U$1006:AC1006),$U$1006:$AC$1006,0))&gt;=100000), " ",IF(INDEX($U$2:$AC$1001,MATCH(ROWS($N$2:N703),$N$2:$N$1001,0),MATCH(COLUMNS($U$1006:AC1006),$U$1006:$AC$1006,0)), HYPERLINK("#",""), HYPERLINK(CONCATENATE("#metadata!", ADDRESS(INDEX($P$2:$P$1001,MATCH(ROWS($N$2:N703),$N$2:$N$1001,0),0), INDEX($U$1004:$AC$1004,1,MATCH(COLUMNS($U$1006:AC1006),$U$1006:$AC$1006,0)))),"Fix")))</f>
        <v>0</v>
      </c>
      <c r="N703">
        <v>0</v>
      </c>
      <c r="O703">
        <v>0</v>
      </c>
      <c r="P703">
        <v>0</v>
      </c>
      <c r="Q703">
        <f>IF(R703,TRUE,AND(U703:AC703))</f>
        <v>0</v>
      </c>
      <c r="R703">
        <f>COUNTBLANK(metadata!B703:J703)=COLUMNS(metadata!B703:J703)</f>
        <v>0</v>
      </c>
      <c r="S703">
        <v>0</v>
      </c>
      <c r="U703">
        <f>AND(IF(metadata!B703="",FALSE,TRUE),COUNTIF(metadata!B:B, metadata!B703) = 1,NOT(ISERROR(SUMPRODUCT(SEARCH(MID(metadata!B703,ROW(INDIRECT("1:"&amp;LEN(metadata!B703))), 1),"0123456789abcdefghijklmnopqrstuvwxyzABCDEFGHIJKLMNOPQRSTUVWXYZ.")))))</f>
        <v>0</v>
      </c>
      <c r="V703">
        <f>AND(IF(metadata!C703="",FALSE,TRUE),exact(metadata!C703,"UBERON:genitourinary"))</f>
        <v>0</v>
      </c>
      <c r="W703">
        <f>AND(IF(metadata!D703="",FALSE,TRUE),exact(metadata!D703,"UBERON:urine"))</f>
        <v>0</v>
      </c>
      <c r="X703">
        <f>AND(IF(metadata!E703="",FALSE,TRUE),exact(metadata!E703,"UBERON:kidney"))</f>
        <v>0</v>
      </c>
      <c r="Y703">
        <f>AND(IF(metadata!F703="",FALSE,TRUE),exact(metadata!F703,"animal corpus"))</f>
        <v>0</v>
      </c>
      <c r="Z703">
        <f>AND(IF(metadata!G703="",FALSE,TRUE),exact(metadata!G703,"urine"))</f>
        <v>0</v>
      </c>
      <c r="AA703">
        <f>AND(IF(metadata!H703="",FALSE,TRUE),exact(metadata!H703,"urine"))</f>
        <v>0</v>
      </c>
      <c r="AB703">
        <f>AND(IF(metadata!I703="",FALSE,TRUE),exact(metadata!I703,"urine metagenome"))</f>
        <v>0</v>
      </c>
      <c r="AC703">
        <f>AND(IF(metadata!J703="",FALSE,TRUE),exact(metadata!J703,"1346744"))</f>
        <v>0</v>
      </c>
    </row>
    <row r="704" spans="1:29">
      <c r="A704" s="4">
        <f>IF(B704=" "," ",HYPERLINK(CONCATENATE("#metadata!",ADDRESS(INDEX($P$2:$P$1001,MATCH(ROWS($N$2:N704),$N$2:$N$1001,0),0),1)),INDEX($S$2:$S$1001,MATCH(ROWS($N$2:N704),$N$2:$N$1001,0),0)))</f>
        <v>0</v>
      </c>
      <c r="B704" s="3">
        <f>IF(OR(INDEX($O$2:$O$1001,MATCH(ROWS($N$2:N704),$N$2:$N$1001,0),1)&gt;=100000,INDEX($U$1005:$AC$1005,1,MATCH(COLUMNS($U$1006:U1006),$U$1006:$AC$1006,0))&gt;=100000), " ",IF(INDEX($U$2:$AC$1001,MATCH(ROWS($N$2:N704),$N$2:$N$1001,0),MATCH(COLUMNS($U$1006:U1006),$U$1006:$AC$1006,0)), HYPERLINK("#",""), HYPERLINK(CONCATENATE("#metadata!", ADDRESS(INDEX($P$2:$P$1001,MATCH(ROWS($N$2:N704),$N$2:$N$1001,0),0), INDEX($U$1004:$AC$1004,1,MATCH(COLUMNS($U$1006:U1006),$U$1006:$AC$1006,0)))),"Fix")))</f>
        <v>0</v>
      </c>
      <c r="C704" s="3">
        <f>IF(OR(INDEX($O$2:$O$1001,MATCH(ROWS($N$2:N704),$N$2:$N$1001,0),1)&gt;=100000,INDEX($U$1005:$AC$1005,1,MATCH(COLUMNS($U$1006:V1006),$U$1006:$AC$1006,0))&gt;=100000), " ",IF(INDEX($U$2:$AC$1001,MATCH(ROWS($N$2:N704),$N$2:$N$1001,0),MATCH(COLUMNS($U$1006:V1006),$U$1006:$AC$1006,0)), HYPERLINK("#",""), HYPERLINK(CONCATENATE("#metadata!", ADDRESS(INDEX($P$2:$P$1001,MATCH(ROWS($N$2:N704),$N$2:$N$1001,0),0), INDEX($U$1004:$AC$1004,1,MATCH(COLUMNS($U$1006:V1006),$U$1006:$AC$1006,0)))),"Fix")))</f>
        <v>0</v>
      </c>
      <c r="D704" s="3">
        <f>IF(OR(INDEX($O$2:$O$1001,MATCH(ROWS($N$2:N704),$N$2:$N$1001,0),1)&gt;=100000,INDEX($U$1005:$AC$1005,1,MATCH(COLUMNS($U$1006:W1006),$U$1006:$AC$1006,0))&gt;=100000), " ",IF(INDEX($U$2:$AC$1001,MATCH(ROWS($N$2:N704),$N$2:$N$1001,0),MATCH(COLUMNS($U$1006:W1006),$U$1006:$AC$1006,0)), HYPERLINK("#",""), HYPERLINK(CONCATENATE("#metadata!", ADDRESS(INDEX($P$2:$P$1001,MATCH(ROWS($N$2:N704),$N$2:$N$1001,0),0), INDEX($U$1004:$AC$1004,1,MATCH(COLUMNS($U$1006:W1006),$U$1006:$AC$1006,0)))),"Fix")))</f>
        <v>0</v>
      </c>
      <c r="E704" s="3">
        <f>IF(OR(INDEX($O$2:$O$1001,MATCH(ROWS($N$2:N704),$N$2:$N$1001,0),1)&gt;=100000,INDEX($U$1005:$AC$1005,1,MATCH(COLUMNS($U$1006:X1006),$U$1006:$AC$1006,0))&gt;=100000), " ",IF(INDEX($U$2:$AC$1001,MATCH(ROWS($N$2:N704),$N$2:$N$1001,0),MATCH(COLUMNS($U$1006:X1006),$U$1006:$AC$1006,0)), HYPERLINK("#",""), HYPERLINK(CONCATENATE("#metadata!", ADDRESS(INDEX($P$2:$P$1001,MATCH(ROWS($N$2:N704),$N$2:$N$1001,0),0), INDEX($U$1004:$AC$1004,1,MATCH(COLUMNS($U$1006:X1006),$U$1006:$AC$1006,0)))),"Fix")))</f>
        <v>0</v>
      </c>
      <c r="F704" s="3">
        <f>IF(OR(INDEX($O$2:$O$1001,MATCH(ROWS($N$2:N704),$N$2:$N$1001,0),1)&gt;=100000,INDEX($U$1005:$AC$1005,1,MATCH(COLUMNS($U$1006:Y1006),$U$1006:$AC$1006,0))&gt;=100000), " ",IF(INDEX($U$2:$AC$1001,MATCH(ROWS($N$2:N704),$N$2:$N$1001,0),MATCH(COLUMNS($U$1006:Y1006),$U$1006:$AC$1006,0)), HYPERLINK("#",""), HYPERLINK(CONCATENATE("#metadata!", ADDRESS(INDEX($P$2:$P$1001,MATCH(ROWS($N$2:N704),$N$2:$N$1001,0),0), INDEX($U$1004:$AC$1004,1,MATCH(COLUMNS($U$1006:Y1006),$U$1006:$AC$1006,0)))),"Fix")))</f>
        <v>0</v>
      </c>
      <c r="G704" s="3">
        <f>IF(OR(INDEX($O$2:$O$1001,MATCH(ROWS($N$2:N704),$N$2:$N$1001,0),1)&gt;=100000,INDEX($U$1005:$AC$1005,1,MATCH(COLUMNS($U$1006:Z1006),$U$1006:$AC$1006,0))&gt;=100000), " ",IF(INDEX($U$2:$AC$1001,MATCH(ROWS($N$2:N704),$N$2:$N$1001,0),MATCH(COLUMNS($U$1006:Z1006),$U$1006:$AC$1006,0)), HYPERLINK("#",""), HYPERLINK(CONCATENATE("#metadata!", ADDRESS(INDEX($P$2:$P$1001,MATCH(ROWS($N$2:N704),$N$2:$N$1001,0),0), INDEX($U$1004:$AC$1004,1,MATCH(COLUMNS($U$1006:Z1006),$U$1006:$AC$1006,0)))),"Fix")))</f>
        <v>0</v>
      </c>
      <c r="H704" s="3">
        <f>IF(OR(INDEX($O$2:$O$1001,MATCH(ROWS($N$2:N704),$N$2:$N$1001,0),1)&gt;=100000,INDEX($U$1005:$AC$1005,1,MATCH(COLUMNS($U$1006:AA1006),$U$1006:$AC$1006,0))&gt;=100000), " ",IF(INDEX($U$2:$AC$1001,MATCH(ROWS($N$2:N704),$N$2:$N$1001,0),MATCH(COLUMNS($U$1006:AA1006),$U$1006:$AC$1006,0)), HYPERLINK("#",""), HYPERLINK(CONCATENATE("#metadata!", ADDRESS(INDEX($P$2:$P$1001,MATCH(ROWS($N$2:N704),$N$2:$N$1001,0),0), INDEX($U$1004:$AC$1004,1,MATCH(COLUMNS($U$1006:AA1006),$U$1006:$AC$1006,0)))),"Fix")))</f>
        <v>0</v>
      </c>
      <c r="I704" s="3">
        <f>IF(OR(INDEX($O$2:$O$1001,MATCH(ROWS($N$2:N704),$N$2:$N$1001,0),1)&gt;=100000,INDEX($U$1005:$AC$1005,1,MATCH(COLUMNS($U$1006:AB1006),$U$1006:$AC$1006,0))&gt;=100000), " ",IF(INDEX($U$2:$AC$1001,MATCH(ROWS($N$2:N704),$N$2:$N$1001,0),MATCH(COLUMNS($U$1006:AB1006),$U$1006:$AC$1006,0)), HYPERLINK("#",""), HYPERLINK(CONCATENATE("#metadata!", ADDRESS(INDEX($P$2:$P$1001,MATCH(ROWS($N$2:N704),$N$2:$N$1001,0),0), INDEX($U$1004:$AC$1004,1,MATCH(COLUMNS($U$1006:AB1006),$U$1006:$AC$1006,0)))),"Fix")))</f>
        <v>0</v>
      </c>
      <c r="J704" s="3">
        <f>IF(OR(INDEX($O$2:$O$1001,MATCH(ROWS($N$2:N704),$N$2:$N$1001,0),1)&gt;=100000,INDEX($U$1005:$AC$1005,1,MATCH(COLUMNS($U$1006:AC1006),$U$1006:$AC$1006,0))&gt;=100000), " ",IF(INDEX($U$2:$AC$1001,MATCH(ROWS($N$2:N704),$N$2:$N$1001,0),MATCH(COLUMNS($U$1006:AC1006),$U$1006:$AC$1006,0)), HYPERLINK("#",""), HYPERLINK(CONCATENATE("#metadata!", ADDRESS(INDEX($P$2:$P$1001,MATCH(ROWS($N$2:N704),$N$2:$N$1001,0),0), INDEX($U$1004:$AC$1004,1,MATCH(COLUMNS($U$1006:AC1006),$U$1006:$AC$1006,0)))),"Fix")))</f>
        <v>0</v>
      </c>
      <c r="N704">
        <v>0</v>
      </c>
      <c r="O704">
        <v>0</v>
      </c>
      <c r="P704">
        <v>0</v>
      </c>
      <c r="Q704">
        <f>IF(R704,TRUE,AND(U704:AC704))</f>
        <v>0</v>
      </c>
      <c r="R704">
        <f>COUNTBLANK(metadata!B704:J704)=COLUMNS(metadata!B704:J704)</f>
        <v>0</v>
      </c>
      <c r="S704">
        <v>0</v>
      </c>
      <c r="U704">
        <f>AND(IF(metadata!B704="",FALSE,TRUE),COUNTIF(metadata!B:B, metadata!B704) = 1,NOT(ISERROR(SUMPRODUCT(SEARCH(MID(metadata!B704,ROW(INDIRECT("1:"&amp;LEN(metadata!B704))), 1),"0123456789abcdefghijklmnopqrstuvwxyzABCDEFGHIJKLMNOPQRSTUVWXYZ.")))))</f>
        <v>0</v>
      </c>
      <c r="V704">
        <f>AND(IF(metadata!C704="",FALSE,TRUE),exact(metadata!C704,"UBERON:genitourinary"))</f>
        <v>0</v>
      </c>
      <c r="W704">
        <f>AND(IF(metadata!D704="",FALSE,TRUE),exact(metadata!D704,"UBERON:urine"))</f>
        <v>0</v>
      </c>
      <c r="X704">
        <f>AND(IF(metadata!E704="",FALSE,TRUE),exact(metadata!E704,"UBERON:kidney"))</f>
        <v>0</v>
      </c>
      <c r="Y704">
        <f>AND(IF(metadata!F704="",FALSE,TRUE),exact(metadata!F704,"animal corpus"))</f>
        <v>0</v>
      </c>
      <c r="Z704">
        <f>AND(IF(metadata!G704="",FALSE,TRUE),exact(metadata!G704,"urine"))</f>
        <v>0</v>
      </c>
      <c r="AA704">
        <f>AND(IF(metadata!H704="",FALSE,TRUE),exact(metadata!H704,"urine"))</f>
        <v>0</v>
      </c>
      <c r="AB704">
        <f>AND(IF(metadata!I704="",FALSE,TRUE),exact(metadata!I704,"urine metagenome"))</f>
        <v>0</v>
      </c>
      <c r="AC704">
        <f>AND(IF(metadata!J704="",FALSE,TRUE),exact(metadata!J704,"1346744"))</f>
        <v>0</v>
      </c>
    </row>
    <row r="705" spans="1:29">
      <c r="A705" s="4">
        <f>IF(B705=" "," ",HYPERLINK(CONCATENATE("#metadata!",ADDRESS(INDEX($P$2:$P$1001,MATCH(ROWS($N$2:N705),$N$2:$N$1001,0),0),1)),INDEX($S$2:$S$1001,MATCH(ROWS($N$2:N705),$N$2:$N$1001,0),0)))</f>
        <v>0</v>
      </c>
      <c r="B705" s="3">
        <f>IF(OR(INDEX($O$2:$O$1001,MATCH(ROWS($N$2:N705),$N$2:$N$1001,0),1)&gt;=100000,INDEX($U$1005:$AC$1005,1,MATCH(COLUMNS($U$1006:U1006),$U$1006:$AC$1006,0))&gt;=100000), " ",IF(INDEX($U$2:$AC$1001,MATCH(ROWS($N$2:N705),$N$2:$N$1001,0),MATCH(COLUMNS($U$1006:U1006),$U$1006:$AC$1006,0)), HYPERLINK("#",""), HYPERLINK(CONCATENATE("#metadata!", ADDRESS(INDEX($P$2:$P$1001,MATCH(ROWS($N$2:N705),$N$2:$N$1001,0),0), INDEX($U$1004:$AC$1004,1,MATCH(COLUMNS($U$1006:U1006),$U$1006:$AC$1006,0)))),"Fix")))</f>
        <v>0</v>
      </c>
      <c r="C705" s="3">
        <f>IF(OR(INDEX($O$2:$O$1001,MATCH(ROWS($N$2:N705),$N$2:$N$1001,0),1)&gt;=100000,INDEX($U$1005:$AC$1005,1,MATCH(COLUMNS($U$1006:V1006),$U$1006:$AC$1006,0))&gt;=100000), " ",IF(INDEX($U$2:$AC$1001,MATCH(ROWS($N$2:N705),$N$2:$N$1001,0),MATCH(COLUMNS($U$1006:V1006),$U$1006:$AC$1006,0)), HYPERLINK("#",""), HYPERLINK(CONCATENATE("#metadata!", ADDRESS(INDEX($P$2:$P$1001,MATCH(ROWS($N$2:N705),$N$2:$N$1001,0),0), INDEX($U$1004:$AC$1004,1,MATCH(COLUMNS($U$1006:V1006),$U$1006:$AC$1006,0)))),"Fix")))</f>
        <v>0</v>
      </c>
      <c r="D705" s="3">
        <f>IF(OR(INDEX($O$2:$O$1001,MATCH(ROWS($N$2:N705),$N$2:$N$1001,0),1)&gt;=100000,INDEX($U$1005:$AC$1005,1,MATCH(COLUMNS($U$1006:W1006),$U$1006:$AC$1006,0))&gt;=100000), " ",IF(INDEX($U$2:$AC$1001,MATCH(ROWS($N$2:N705),$N$2:$N$1001,0),MATCH(COLUMNS($U$1006:W1006),$U$1006:$AC$1006,0)), HYPERLINK("#",""), HYPERLINK(CONCATENATE("#metadata!", ADDRESS(INDEX($P$2:$P$1001,MATCH(ROWS($N$2:N705),$N$2:$N$1001,0),0), INDEX($U$1004:$AC$1004,1,MATCH(COLUMNS($U$1006:W1006),$U$1006:$AC$1006,0)))),"Fix")))</f>
        <v>0</v>
      </c>
      <c r="E705" s="3">
        <f>IF(OR(INDEX($O$2:$O$1001,MATCH(ROWS($N$2:N705),$N$2:$N$1001,0),1)&gt;=100000,INDEX($U$1005:$AC$1005,1,MATCH(COLUMNS($U$1006:X1006),$U$1006:$AC$1006,0))&gt;=100000), " ",IF(INDEX($U$2:$AC$1001,MATCH(ROWS($N$2:N705),$N$2:$N$1001,0),MATCH(COLUMNS($U$1006:X1006),$U$1006:$AC$1006,0)), HYPERLINK("#",""), HYPERLINK(CONCATENATE("#metadata!", ADDRESS(INDEX($P$2:$P$1001,MATCH(ROWS($N$2:N705),$N$2:$N$1001,0),0), INDEX($U$1004:$AC$1004,1,MATCH(COLUMNS($U$1006:X1006),$U$1006:$AC$1006,0)))),"Fix")))</f>
        <v>0</v>
      </c>
      <c r="F705" s="3">
        <f>IF(OR(INDEX($O$2:$O$1001,MATCH(ROWS($N$2:N705),$N$2:$N$1001,0),1)&gt;=100000,INDEX($U$1005:$AC$1005,1,MATCH(COLUMNS($U$1006:Y1006),$U$1006:$AC$1006,0))&gt;=100000), " ",IF(INDEX($U$2:$AC$1001,MATCH(ROWS($N$2:N705),$N$2:$N$1001,0),MATCH(COLUMNS($U$1006:Y1006),$U$1006:$AC$1006,0)), HYPERLINK("#",""), HYPERLINK(CONCATENATE("#metadata!", ADDRESS(INDEX($P$2:$P$1001,MATCH(ROWS($N$2:N705),$N$2:$N$1001,0),0), INDEX($U$1004:$AC$1004,1,MATCH(COLUMNS($U$1006:Y1006),$U$1006:$AC$1006,0)))),"Fix")))</f>
        <v>0</v>
      </c>
      <c r="G705" s="3">
        <f>IF(OR(INDEX($O$2:$O$1001,MATCH(ROWS($N$2:N705),$N$2:$N$1001,0),1)&gt;=100000,INDEX($U$1005:$AC$1005,1,MATCH(COLUMNS($U$1006:Z1006),$U$1006:$AC$1006,0))&gt;=100000), " ",IF(INDEX($U$2:$AC$1001,MATCH(ROWS($N$2:N705),$N$2:$N$1001,0),MATCH(COLUMNS($U$1006:Z1006),$U$1006:$AC$1006,0)), HYPERLINK("#",""), HYPERLINK(CONCATENATE("#metadata!", ADDRESS(INDEX($P$2:$P$1001,MATCH(ROWS($N$2:N705),$N$2:$N$1001,0),0), INDEX($U$1004:$AC$1004,1,MATCH(COLUMNS($U$1006:Z1006),$U$1006:$AC$1006,0)))),"Fix")))</f>
        <v>0</v>
      </c>
      <c r="H705" s="3">
        <f>IF(OR(INDEX($O$2:$O$1001,MATCH(ROWS($N$2:N705),$N$2:$N$1001,0),1)&gt;=100000,INDEX($U$1005:$AC$1005,1,MATCH(COLUMNS($U$1006:AA1006),$U$1006:$AC$1006,0))&gt;=100000), " ",IF(INDEX($U$2:$AC$1001,MATCH(ROWS($N$2:N705),$N$2:$N$1001,0),MATCH(COLUMNS($U$1006:AA1006),$U$1006:$AC$1006,0)), HYPERLINK("#",""), HYPERLINK(CONCATENATE("#metadata!", ADDRESS(INDEX($P$2:$P$1001,MATCH(ROWS($N$2:N705),$N$2:$N$1001,0),0), INDEX($U$1004:$AC$1004,1,MATCH(COLUMNS($U$1006:AA1006),$U$1006:$AC$1006,0)))),"Fix")))</f>
        <v>0</v>
      </c>
      <c r="I705" s="3">
        <f>IF(OR(INDEX($O$2:$O$1001,MATCH(ROWS($N$2:N705),$N$2:$N$1001,0),1)&gt;=100000,INDEX($U$1005:$AC$1005,1,MATCH(COLUMNS($U$1006:AB1006),$U$1006:$AC$1006,0))&gt;=100000), " ",IF(INDEX($U$2:$AC$1001,MATCH(ROWS($N$2:N705),$N$2:$N$1001,0),MATCH(COLUMNS($U$1006:AB1006),$U$1006:$AC$1006,0)), HYPERLINK("#",""), HYPERLINK(CONCATENATE("#metadata!", ADDRESS(INDEX($P$2:$P$1001,MATCH(ROWS($N$2:N705),$N$2:$N$1001,0),0), INDEX($U$1004:$AC$1004,1,MATCH(COLUMNS($U$1006:AB1006),$U$1006:$AC$1006,0)))),"Fix")))</f>
        <v>0</v>
      </c>
      <c r="J705" s="3">
        <f>IF(OR(INDEX($O$2:$O$1001,MATCH(ROWS($N$2:N705),$N$2:$N$1001,0),1)&gt;=100000,INDEX($U$1005:$AC$1005,1,MATCH(COLUMNS($U$1006:AC1006),$U$1006:$AC$1006,0))&gt;=100000), " ",IF(INDEX($U$2:$AC$1001,MATCH(ROWS($N$2:N705),$N$2:$N$1001,0),MATCH(COLUMNS($U$1006:AC1006),$U$1006:$AC$1006,0)), HYPERLINK("#",""), HYPERLINK(CONCATENATE("#metadata!", ADDRESS(INDEX($P$2:$P$1001,MATCH(ROWS($N$2:N705),$N$2:$N$1001,0),0), INDEX($U$1004:$AC$1004,1,MATCH(COLUMNS($U$1006:AC1006),$U$1006:$AC$1006,0)))),"Fix")))</f>
        <v>0</v>
      </c>
      <c r="N705">
        <v>0</v>
      </c>
      <c r="O705">
        <v>0</v>
      </c>
      <c r="P705">
        <v>0</v>
      </c>
      <c r="Q705">
        <f>IF(R705,TRUE,AND(U705:AC705))</f>
        <v>0</v>
      </c>
      <c r="R705">
        <f>COUNTBLANK(metadata!B705:J705)=COLUMNS(metadata!B705:J705)</f>
        <v>0</v>
      </c>
      <c r="S705">
        <v>0</v>
      </c>
      <c r="U705">
        <f>AND(IF(metadata!B705="",FALSE,TRUE),COUNTIF(metadata!B:B, metadata!B705) = 1,NOT(ISERROR(SUMPRODUCT(SEARCH(MID(metadata!B705,ROW(INDIRECT("1:"&amp;LEN(metadata!B705))), 1),"0123456789abcdefghijklmnopqrstuvwxyzABCDEFGHIJKLMNOPQRSTUVWXYZ.")))))</f>
        <v>0</v>
      </c>
      <c r="V705">
        <f>AND(IF(metadata!C705="",FALSE,TRUE),exact(metadata!C705,"UBERON:genitourinary"))</f>
        <v>0</v>
      </c>
      <c r="W705">
        <f>AND(IF(metadata!D705="",FALSE,TRUE),exact(metadata!D705,"UBERON:urine"))</f>
        <v>0</v>
      </c>
      <c r="X705">
        <f>AND(IF(metadata!E705="",FALSE,TRUE),exact(metadata!E705,"UBERON:kidney"))</f>
        <v>0</v>
      </c>
      <c r="Y705">
        <f>AND(IF(metadata!F705="",FALSE,TRUE),exact(metadata!F705,"animal corpus"))</f>
        <v>0</v>
      </c>
      <c r="Z705">
        <f>AND(IF(metadata!G705="",FALSE,TRUE),exact(metadata!G705,"urine"))</f>
        <v>0</v>
      </c>
      <c r="AA705">
        <f>AND(IF(metadata!H705="",FALSE,TRUE),exact(metadata!H705,"urine"))</f>
        <v>0</v>
      </c>
      <c r="AB705">
        <f>AND(IF(metadata!I705="",FALSE,TRUE),exact(metadata!I705,"urine metagenome"))</f>
        <v>0</v>
      </c>
      <c r="AC705">
        <f>AND(IF(metadata!J705="",FALSE,TRUE),exact(metadata!J705,"1346744"))</f>
        <v>0</v>
      </c>
    </row>
    <row r="706" spans="1:29">
      <c r="A706" s="4">
        <f>IF(B706=" "," ",HYPERLINK(CONCATENATE("#metadata!",ADDRESS(INDEX($P$2:$P$1001,MATCH(ROWS($N$2:N706),$N$2:$N$1001,0),0),1)),INDEX($S$2:$S$1001,MATCH(ROWS($N$2:N706),$N$2:$N$1001,0),0)))</f>
        <v>0</v>
      </c>
      <c r="B706" s="3">
        <f>IF(OR(INDEX($O$2:$O$1001,MATCH(ROWS($N$2:N706),$N$2:$N$1001,0),1)&gt;=100000,INDEX($U$1005:$AC$1005,1,MATCH(COLUMNS($U$1006:U1006),$U$1006:$AC$1006,0))&gt;=100000), " ",IF(INDEX($U$2:$AC$1001,MATCH(ROWS($N$2:N706),$N$2:$N$1001,0),MATCH(COLUMNS($U$1006:U1006),$U$1006:$AC$1006,0)), HYPERLINK("#",""), HYPERLINK(CONCATENATE("#metadata!", ADDRESS(INDEX($P$2:$P$1001,MATCH(ROWS($N$2:N706),$N$2:$N$1001,0),0), INDEX($U$1004:$AC$1004,1,MATCH(COLUMNS($U$1006:U1006),$U$1006:$AC$1006,0)))),"Fix")))</f>
        <v>0</v>
      </c>
      <c r="C706" s="3">
        <f>IF(OR(INDEX($O$2:$O$1001,MATCH(ROWS($N$2:N706),$N$2:$N$1001,0),1)&gt;=100000,INDEX($U$1005:$AC$1005,1,MATCH(COLUMNS($U$1006:V1006),$U$1006:$AC$1006,0))&gt;=100000), " ",IF(INDEX($U$2:$AC$1001,MATCH(ROWS($N$2:N706),$N$2:$N$1001,0),MATCH(COLUMNS($U$1006:V1006),$U$1006:$AC$1006,0)), HYPERLINK("#",""), HYPERLINK(CONCATENATE("#metadata!", ADDRESS(INDEX($P$2:$P$1001,MATCH(ROWS($N$2:N706),$N$2:$N$1001,0),0), INDEX($U$1004:$AC$1004,1,MATCH(COLUMNS($U$1006:V1006),$U$1006:$AC$1006,0)))),"Fix")))</f>
        <v>0</v>
      </c>
      <c r="D706" s="3">
        <f>IF(OR(INDEX($O$2:$O$1001,MATCH(ROWS($N$2:N706),$N$2:$N$1001,0),1)&gt;=100000,INDEX($U$1005:$AC$1005,1,MATCH(COLUMNS($U$1006:W1006),$U$1006:$AC$1006,0))&gt;=100000), " ",IF(INDEX($U$2:$AC$1001,MATCH(ROWS($N$2:N706),$N$2:$N$1001,0),MATCH(COLUMNS($U$1006:W1006),$U$1006:$AC$1006,0)), HYPERLINK("#",""), HYPERLINK(CONCATENATE("#metadata!", ADDRESS(INDEX($P$2:$P$1001,MATCH(ROWS($N$2:N706),$N$2:$N$1001,0),0), INDEX($U$1004:$AC$1004,1,MATCH(COLUMNS($U$1006:W1006),$U$1006:$AC$1006,0)))),"Fix")))</f>
        <v>0</v>
      </c>
      <c r="E706" s="3">
        <f>IF(OR(INDEX($O$2:$O$1001,MATCH(ROWS($N$2:N706),$N$2:$N$1001,0),1)&gt;=100000,INDEX($U$1005:$AC$1005,1,MATCH(COLUMNS($U$1006:X1006),$U$1006:$AC$1006,0))&gt;=100000), " ",IF(INDEX($U$2:$AC$1001,MATCH(ROWS($N$2:N706),$N$2:$N$1001,0),MATCH(COLUMNS($U$1006:X1006),$U$1006:$AC$1006,0)), HYPERLINK("#",""), HYPERLINK(CONCATENATE("#metadata!", ADDRESS(INDEX($P$2:$P$1001,MATCH(ROWS($N$2:N706),$N$2:$N$1001,0),0), INDEX($U$1004:$AC$1004,1,MATCH(COLUMNS($U$1006:X1006),$U$1006:$AC$1006,0)))),"Fix")))</f>
        <v>0</v>
      </c>
      <c r="F706" s="3">
        <f>IF(OR(INDEX($O$2:$O$1001,MATCH(ROWS($N$2:N706),$N$2:$N$1001,0),1)&gt;=100000,INDEX($U$1005:$AC$1005,1,MATCH(COLUMNS($U$1006:Y1006),$U$1006:$AC$1006,0))&gt;=100000), " ",IF(INDEX($U$2:$AC$1001,MATCH(ROWS($N$2:N706),$N$2:$N$1001,0),MATCH(COLUMNS($U$1006:Y1006),$U$1006:$AC$1006,0)), HYPERLINK("#",""), HYPERLINK(CONCATENATE("#metadata!", ADDRESS(INDEX($P$2:$P$1001,MATCH(ROWS($N$2:N706),$N$2:$N$1001,0),0), INDEX($U$1004:$AC$1004,1,MATCH(COLUMNS($U$1006:Y1006),$U$1006:$AC$1006,0)))),"Fix")))</f>
        <v>0</v>
      </c>
      <c r="G706" s="3">
        <f>IF(OR(INDEX($O$2:$O$1001,MATCH(ROWS($N$2:N706),$N$2:$N$1001,0),1)&gt;=100000,INDEX($U$1005:$AC$1005,1,MATCH(COLUMNS($U$1006:Z1006),$U$1006:$AC$1006,0))&gt;=100000), " ",IF(INDEX($U$2:$AC$1001,MATCH(ROWS($N$2:N706),$N$2:$N$1001,0),MATCH(COLUMNS($U$1006:Z1006),$U$1006:$AC$1006,0)), HYPERLINK("#",""), HYPERLINK(CONCATENATE("#metadata!", ADDRESS(INDEX($P$2:$P$1001,MATCH(ROWS($N$2:N706),$N$2:$N$1001,0),0), INDEX($U$1004:$AC$1004,1,MATCH(COLUMNS($U$1006:Z1006),$U$1006:$AC$1006,0)))),"Fix")))</f>
        <v>0</v>
      </c>
      <c r="H706" s="3">
        <f>IF(OR(INDEX($O$2:$O$1001,MATCH(ROWS($N$2:N706),$N$2:$N$1001,0),1)&gt;=100000,INDEX($U$1005:$AC$1005,1,MATCH(COLUMNS($U$1006:AA1006),$U$1006:$AC$1006,0))&gt;=100000), " ",IF(INDEX($U$2:$AC$1001,MATCH(ROWS($N$2:N706),$N$2:$N$1001,0),MATCH(COLUMNS($U$1006:AA1006),$U$1006:$AC$1006,0)), HYPERLINK("#",""), HYPERLINK(CONCATENATE("#metadata!", ADDRESS(INDEX($P$2:$P$1001,MATCH(ROWS($N$2:N706),$N$2:$N$1001,0),0), INDEX($U$1004:$AC$1004,1,MATCH(COLUMNS($U$1006:AA1006),$U$1006:$AC$1006,0)))),"Fix")))</f>
        <v>0</v>
      </c>
      <c r="I706" s="3">
        <f>IF(OR(INDEX($O$2:$O$1001,MATCH(ROWS($N$2:N706),$N$2:$N$1001,0),1)&gt;=100000,INDEX($U$1005:$AC$1005,1,MATCH(COLUMNS($U$1006:AB1006),$U$1006:$AC$1006,0))&gt;=100000), " ",IF(INDEX($U$2:$AC$1001,MATCH(ROWS($N$2:N706),$N$2:$N$1001,0),MATCH(COLUMNS($U$1006:AB1006),$U$1006:$AC$1006,0)), HYPERLINK("#",""), HYPERLINK(CONCATENATE("#metadata!", ADDRESS(INDEX($P$2:$P$1001,MATCH(ROWS($N$2:N706),$N$2:$N$1001,0),0), INDEX($U$1004:$AC$1004,1,MATCH(COLUMNS($U$1006:AB1006),$U$1006:$AC$1006,0)))),"Fix")))</f>
        <v>0</v>
      </c>
      <c r="J706" s="3">
        <f>IF(OR(INDEX($O$2:$O$1001,MATCH(ROWS($N$2:N706),$N$2:$N$1001,0),1)&gt;=100000,INDEX($U$1005:$AC$1005,1,MATCH(COLUMNS($U$1006:AC1006),$U$1006:$AC$1006,0))&gt;=100000), " ",IF(INDEX($U$2:$AC$1001,MATCH(ROWS($N$2:N706),$N$2:$N$1001,0),MATCH(COLUMNS($U$1006:AC1006),$U$1006:$AC$1006,0)), HYPERLINK("#",""), HYPERLINK(CONCATENATE("#metadata!", ADDRESS(INDEX($P$2:$P$1001,MATCH(ROWS($N$2:N706),$N$2:$N$1001,0),0), INDEX($U$1004:$AC$1004,1,MATCH(COLUMNS($U$1006:AC1006),$U$1006:$AC$1006,0)))),"Fix")))</f>
        <v>0</v>
      </c>
      <c r="N706">
        <v>0</v>
      </c>
      <c r="O706">
        <v>0</v>
      </c>
      <c r="P706">
        <v>0</v>
      </c>
      <c r="Q706">
        <f>IF(R706,TRUE,AND(U706:AC706))</f>
        <v>0</v>
      </c>
      <c r="R706">
        <f>COUNTBLANK(metadata!B706:J706)=COLUMNS(metadata!B706:J706)</f>
        <v>0</v>
      </c>
      <c r="S706">
        <v>0</v>
      </c>
      <c r="U706">
        <f>AND(IF(metadata!B706="",FALSE,TRUE),COUNTIF(metadata!B:B, metadata!B706) = 1,NOT(ISERROR(SUMPRODUCT(SEARCH(MID(metadata!B706,ROW(INDIRECT("1:"&amp;LEN(metadata!B706))), 1),"0123456789abcdefghijklmnopqrstuvwxyzABCDEFGHIJKLMNOPQRSTUVWXYZ.")))))</f>
        <v>0</v>
      </c>
      <c r="V706">
        <f>AND(IF(metadata!C706="",FALSE,TRUE),exact(metadata!C706,"UBERON:genitourinary"))</f>
        <v>0</v>
      </c>
      <c r="W706">
        <f>AND(IF(metadata!D706="",FALSE,TRUE),exact(metadata!D706,"UBERON:urine"))</f>
        <v>0</v>
      </c>
      <c r="X706">
        <f>AND(IF(metadata!E706="",FALSE,TRUE),exact(metadata!E706,"UBERON:kidney"))</f>
        <v>0</v>
      </c>
      <c r="Y706">
        <f>AND(IF(metadata!F706="",FALSE,TRUE),exact(metadata!F706,"animal corpus"))</f>
        <v>0</v>
      </c>
      <c r="Z706">
        <f>AND(IF(metadata!G706="",FALSE,TRUE),exact(metadata!G706,"urine"))</f>
        <v>0</v>
      </c>
      <c r="AA706">
        <f>AND(IF(metadata!H706="",FALSE,TRUE),exact(metadata!H706,"urine"))</f>
        <v>0</v>
      </c>
      <c r="AB706">
        <f>AND(IF(metadata!I706="",FALSE,TRUE),exact(metadata!I706,"urine metagenome"))</f>
        <v>0</v>
      </c>
      <c r="AC706">
        <f>AND(IF(metadata!J706="",FALSE,TRUE),exact(metadata!J706,"1346744"))</f>
        <v>0</v>
      </c>
    </row>
    <row r="707" spans="1:29">
      <c r="A707" s="4">
        <f>IF(B707=" "," ",HYPERLINK(CONCATENATE("#metadata!",ADDRESS(INDEX($P$2:$P$1001,MATCH(ROWS($N$2:N707),$N$2:$N$1001,0),0),1)),INDEX($S$2:$S$1001,MATCH(ROWS($N$2:N707),$N$2:$N$1001,0),0)))</f>
        <v>0</v>
      </c>
      <c r="B707" s="3">
        <f>IF(OR(INDEX($O$2:$O$1001,MATCH(ROWS($N$2:N707),$N$2:$N$1001,0),1)&gt;=100000,INDEX($U$1005:$AC$1005,1,MATCH(COLUMNS($U$1006:U1006),$U$1006:$AC$1006,0))&gt;=100000), " ",IF(INDEX($U$2:$AC$1001,MATCH(ROWS($N$2:N707),$N$2:$N$1001,0),MATCH(COLUMNS($U$1006:U1006),$U$1006:$AC$1006,0)), HYPERLINK("#",""), HYPERLINK(CONCATENATE("#metadata!", ADDRESS(INDEX($P$2:$P$1001,MATCH(ROWS($N$2:N707),$N$2:$N$1001,0),0), INDEX($U$1004:$AC$1004,1,MATCH(COLUMNS($U$1006:U1006),$U$1006:$AC$1006,0)))),"Fix")))</f>
        <v>0</v>
      </c>
      <c r="C707" s="3">
        <f>IF(OR(INDEX($O$2:$O$1001,MATCH(ROWS($N$2:N707),$N$2:$N$1001,0),1)&gt;=100000,INDEX($U$1005:$AC$1005,1,MATCH(COLUMNS($U$1006:V1006),$U$1006:$AC$1006,0))&gt;=100000), " ",IF(INDEX($U$2:$AC$1001,MATCH(ROWS($N$2:N707),$N$2:$N$1001,0),MATCH(COLUMNS($U$1006:V1006),$U$1006:$AC$1006,0)), HYPERLINK("#",""), HYPERLINK(CONCATENATE("#metadata!", ADDRESS(INDEX($P$2:$P$1001,MATCH(ROWS($N$2:N707),$N$2:$N$1001,0),0), INDEX($U$1004:$AC$1004,1,MATCH(COLUMNS($U$1006:V1006),$U$1006:$AC$1006,0)))),"Fix")))</f>
        <v>0</v>
      </c>
      <c r="D707" s="3">
        <f>IF(OR(INDEX($O$2:$O$1001,MATCH(ROWS($N$2:N707),$N$2:$N$1001,0),1)&gt;=100000,INDEX($U$1005:$AC$1005,1,MATCH(COLUMNS($U$1006:W1006),$U$1006:$AC$1006,0))&gt;=100000), " ",IF(INDEX($U$2:$AC$1001,MATCH(ROWS($N$2:N707),$N$2:$N$1001,0),MATCH(COLUMNS($U$1006:W1006),$U$1006:$AC$1006,0)), HYPERLINK("#",""), HYPERLINK(CONCATENATE("#metadata!", ADDRESS(INDEX($P$2:$P$1001,MATCH(ROWS($N$2:N707),$N$2:$N$1001,0),0), INDEX($U$1004:$AC$1004,1,MATCH(COLUMNS($U$1006:W1006),$U$1006:$AC$1006,0)))),"Fix")))</f>
        <v>0</v>
      </c>
      <c r="E707" s="3">
        <f>IF(OR(INDEX($O$2:$O$1001,MATCH(ROWS($N$2:N707),$N$2:$N$1001,0),1)&gt;=100000,INDEX($U$1005:$AC$1005,1,MATCH(COLUMNS($U$1006:X1006),$U$1006:$AC$1006,0))&gt;=100000), " ",IF(INDEX($U$2:$AC$1001,MATCH(ROWS($N$2:N707),$N$2:$N$1001,0),MATCH(COLUMNS($U$1006:X1006),$U$1006:$AC$1006,0)), HYPERLINK("#",""), HYPERLINK(CONCATENATE("#metadata!", ADDRESS(INDEX($P$2:$P$1001,MATCH(ROWS($N$2:N707),$N$2:$N$1001,0),0), INDEX($U$1004:$AC$1004,1,MATCH(COLUMNS($U$1006:X1006),$U$1006:$AC$1006,0)))),"Fix")))</f>
        <v>0</v>
      </c>
      <c r="F707" s="3">
        <f>IF(OR(INDEX($O$2:$O$1001,MATCH(ROWS($N$2:N707),$N$2:$N$1001,0),1)&gt;=100000,INDEX($U$1005:$AC$1005,1,MATCH(COLUMNS($U$1006:Y1006),$U$1006:$AC$1006,0))&gt;=100000), " ",IF(INDEX($U$2:$AC$1001,MATCH(ROWS($N$2:N707),$N$2:$N$1001,0),MATCH(COLUMNS($U$1006:Y1006),$U$1006:$AC$1006,0)), HYPERLINK("#",""), HYPERLINK(CONCATENATE("#metadata!", ADDRESS(INDEX($P$2:$P$1001,MATCH(ROWS($N$2:N707),$N$2:$N$1001,0),0), INDEX($U$1004:$AC$1004,1,MATCH(COLUMNS($U$1006:Y1006),$U$1006:$AC$1006,0)))),"Fix")))</f>
        <v>0</v>
      </c>
      <c r="G707" s="3">
        <f>IF(OR(INDEX($O$2:$O$1001,MATCH(ROWS($N$2:N707),$N$2:$N$1001,0),1)&gt;=100000,INDEX($U$1005:$AC$1005,1,MATCH(COLUMNS($U$1006:Z1006),$U$1006:$AC$1006,0))&gt;=100000), " ",IF(INDEX($U$2:$AC$1001,MATCH(ROWS($N$2:N707),$N$2:$N$1001,0),MATCH(COLUMNS($U$1006:Z1006),$U$1006:$AC$1006,0)), HYPERLINK("#",""), HYPERLINK(CONCATENATE("#metadata!", ADDRESS(INDEX($P$2:$P$1001,MATCH(ROWS($N$2:N707),$N$2:$N$1001,0),0), INDEX($U$1004:$AC$1004,1,MATCH(COLUMNS($U$1006:Z1006),$U$1006:$AC$1006,0)))),"Fix")))</f>
        <v>0</v>
      </c>
      <c r="H707" s="3">
        <f>IF(OR(INDEX($O$2:$O$1001,MATCH(ROWS($N$2:N707),$N$2:$N$1001,0),1)&gt;=100000,INDEX($U$1005:$AC$1005,1,MATCH(COLUMNS($U$1006:AA1006),$U$1006:$AC$1006,0))&gt;=100000), " ",IF(INDEX($U$2:$AC$1001,MATCH(ROWS($N$2:N707),$N$2:$N$1001,0),MATCH(COLUMNS($U$1006:AA1006),$U$1006:$AC$1006,0)), HYPERLINK("#",""), HYPERLINK(CONCATENATE("#metadata!", ADDRESS(INDEX($P$2:$P$1001,MATCH(ROWS($N$2:N707),$N$2:$N$1001,0),0), INDEX($U$1004:$AC$1004,1,MATCH(COLUMNS($U$1006:AA1006),$U$1006:$AC$1006,0)))),"Fix")))</f>
        <v>0</v>
      </c>
      <c r="I707" s="3">
        <f>IF(OR(INDEX($O$2:$O$1001,MATCH(ROWS($N$2:N707),$N$2:$N$1001,0),1)&gt;=100000,INDEX($U$1005:$AC$1005,1,MATCH(COLUMNS($U$1006:AB1006),$U$1006:$AC$1006,0))&gt;=100000), " ",IF(INDEX($U$2:$AC$1001,MATCH(ROWS($N$2:N707),$N$2:$N$1001,0),MATCH(COLUMNS($U$1006:AB1006),$U$1006:$AC$1006,0)), HYPERLINK("#",""), HYPERLINK(CONCATENATE("#metadata!", ADDRESS(INDEX($P$2:$P$1001,MATCH(ROWS($N$2:N707),$N$2:$N$1001,0),0), INDEX($U$1004:$AC$1004,1,MATCH(COLUMNS($U$1006:AB1006),$U$1006:$AC$1006,0)))),"Fix")))</f>
        <v>0</v>
      </c>
      <c r="J707" s="3">
        <f>IF(OR(INDEX($O$2:$O$1001,MATCH(ROWS($N$2:N707),$N$2:$N$1001,0),1)&gt;=100000,INDEX($U$1005:$AC$1005,1,MATCH(COLUMNS($U$1006:AC1006),$U$1006:$AC$1006,0))&gt;=100000), " ",IF(INDEX($U$2:$AC$1001,MATCH(ROWS($N$2:N707),$N$2:$N$1001,0),MATCH(COLUMNS($U$1006:AC1006),$U$1006:$AC$1006,0)), HYPERLINK("#",""), HYPERLINK(CONCATENATE("#metadata!", ADDRESS(INDEX($P$2:$P$1001,MATCH(ROWS($N$2:N707),$N$2:$N$1001,0),0), INDEX($U$1004:$AC$1004,1,MATCH(COLUMNS($U$1006:AC1006),$U$1006:$AC$1006,0)))),"Fix")))</f>
        <v>0</v>
      </c>
      <c r="N707">
        <v>0</v>
      </c>
      <c r="O707">
        <v>0</v>
      </c>
      <c r="P707">
        <v>0</v>
      </c>
      <c r="Q707">
        <f>IF(R707,TRUE,AND(U707:AC707))</f>
        <v>0</v>
      </c>
      <c r="R707">
        <f>COUNTBLANK(metadata!B707:J707)=COLUMNS(metadata!B707:J707)</f>
        <v>0</v>
      </c>
      <c r="S707">
        <v>0</v>
      </c>
      <c r="U707">
        <f>AND(IF(metadata!B707="",FALSE,TRUE),COUNTIF(metadata!B:B, metadata!B707) = 1,NOT(ISERROR(SUMPRODUCT(SEARCH(MID(metadata!B707,ROW(INDIRECT("1:"&amp;LEN(metadata!B707))), 1),"0123456789abcdefghijklmnopqrstuvwxyzABCDEFGHIJKLMNOPQRSTUVWXYZ.")))))</f>
        <v>0</v>
      </c>
      <c r="V707">
        <f>AND(IF(metadata!C707="",FALSE,TRUE),exact(metadata!C707,"UBERON:genitourinary"))</f>
        <v>0</v>
      </c>
      <c r="W707">
        <f>AND(IF(metadata!D707="",FALSE,TRUE),exact(metadata!D707,"UBERON:urine"))</f>
        <v>0</v>
      </c>
      <c r="X707">
        <f>AND(IF(metadata!E707="",FALSE,TRUE),exact(metadata!E707,"UBERON:kidney"))</f>
        <v>0</v>
      </c>
      <c r="Y707">
        <f>AND(IF(metadata!F707="",FALSE,TRUE),exact(metadata!F707,"animal corpus"))</f>
        <v>0</v>
      </c>
      <c r="Z707">
        <f>AND(IF(metadata!G707="",FALSE,TRUE),exact(metadata!G707,"urine"))</f>
        <v>0</v>
      </c>
      <c r="AA707">
        <f>AND(IF(metadata!H707="",FALSE,TRUE),exact(metadata!H707,"urine"))</f>
        <v>0</v>
      </c>
      <c r="AB707">
        <f>AND(IF(metadata!I707="",FALSE,TRUE),exact(metadata!I707,"urine metagenome"))</f>
        <v>0</v>
      </c>
      <c r="AC707">
        <f>AND(IF(metadata!J707="",FALSE,TRUE),exact(metadata!J707,"1346744"))</f>
        <v>0</v>
      </c>
    </row>
    <row r="708" spans="1:29">
      <c r="A708" s="4">
        <f>IF(B708=" "," ",HYPERLINK(CONCATENATE("#metadata!",ADDRESS(INDEX($P$2:$P$1001,MATCH(ROWS($N$2:N708),$N$2:$N$1001,0),0),1)),INDEX($S$2:$S$1001,MATCH(ROWS($N$2:N708),$N$2:$N$1001,0),0)))</f>
        <v>0</v>
      </c>
      <c r="B708" s="3">
        <f>IF(OR(INDEX($O$2:$O$1001,MATCH(ROWS($N$2:N708),$N$2:$N$1001,0),1)&gt;=100000,INDEX($U$1005:$AC$1005,1,MATCH(COLUMNS($U$1006:U1006),$U$1006:$AC$1006,0))&gt;=100000), " ",IF(INDEX($U$2:$AC$1001,MATCH(ROWS($N$2:N708),$N$2:$N$1001,0),MATCH(COLUMNS($U$1006:U1006),$U$1006:$AC$1006,0)), HYPERLINK("#",""), HYPERLINK(CONCATENATE("#metadata!", ADDRESS(INDEX($P$2:$P$1001,MATCH(ROWS($N$2:N708),$N$2:$N$1001,0),0), INDEX($U$1004:$AC$1004,1,MATCH(COLUMNS($U$1006:U1006),$U$1006:$AC$1006,0)))),"Fix")))</f>
        <v>0</v>
      </c>
      <c r="C708" s="3">
        <f>IF(OR(INDEX($O$2:$O$1001,MATCH(ROWS($N$2:N708),$N$2:$N$1001,0),1)&gt;=100000,INDEX($U$1005:$AC$1005,1,MATCH(COLUMNS($U$1006:V1006),$U$1006:$AC$1006,0))&gt;=100000), " ",IF(INDEX($U$2:$AC$1001,MATCH(ROWS($N$2:N708),$N$2:$N$1001,0),MATCH(COLUMNS($U$1006:V1006),$U$1006:$AC$1006,0)), HYPERLINK("#",""), HYPERLINK(CONCATENATE("#metadata!", ADDRESS(INDEX($P$2:$P$1001,MATCH(ROWS($N$2:N708),$N$2:$N$1001,0),0), INDEX($U$1004:$AC$1004,1,MATCH(COLUMNS($U$1006:V1006),$U$1006:$AC$1006,0)))),"Fix")))</f>
        <v>0</v>
      </c>
      <c r="D708" s="3">
        <f>IF(OR(INDEX($O$2:$O$1001,MATCH(ROWS($N$2:N708),$N$2:$N$1001,0),1)&gt;=100000,INDEX($U$1005:$AC$1005,1,MATCH(COLUMNS($U$1006:W1006),$U$1006:$AC$1006,0))&gt;=100000), " ",IF(INDEX($U$2:$AC$1001,MATCH(ROWS($N$2:N708),$N$2:$N$1001,0),MATCH(COLUMNS($U$1006:W1006),$U$1006:$AC$1006,0)), HYPERLINK("#",""), HYPERLINK(CONCATENATE("#metadata!", ADDRESS(INDEX($P$2:$P$1001,MATCH(ROWS($N$2:N708),$N$2:$N$1001,0),0), INDEX($U$1004:$AC$1004,1,MATCH(COLUMNS($U$1006:W1006),$U$1006:$AC$1006,0)))),"Fix")))</f>
        <v>0</v>
      </c>
      <c r="E708" s="3">
        <f>IF(OR(INDEX($O$2:$O$1001,MATCH(ROWS($N$2:N708),$N$2:$N$1001,0),1)&gt;=100000,INDEX($U$1005:$AC$1005,1,MATCH(COLUMNS($U$1006:X1006),$U$1006:$AC$1006,0))&gt;=100000), " ",IF(INDEX($U$2:$AC$1001,MATCH(ROWS($N$2:N708),$N$2:$N$1001,0),MATCH(COLUMNS($U$1006:X1006),$U$1006:$AC$1006,0)), HYPERLINK("#",""), HYPERLINK(CONCATENATE("#metadata!", ADDRESS(INDEX($P$2:$P$1001,MATCH(ROWS($N$2:N708),$N$2:$N$1001,0),0), INDEX($U$1004:$AC$1004,1,MATCH(COLUMNS($U$1006:X1006),$U$1006:$AC$1006,0)))),"Fix")))</f>
        <v>0</v>
      </c>
      <c r="F708" s="3">
        <f>IF(OR(INDEX($O$2:$O$1001,MATCH(ROWS($N$2:N708),$N$2:$N$1001,0),1)&gt;=100000,INDEX($U$1005:$AC$1005,1,MATCH(COLUMNS($U$1006:Y1006),$U$1006:$AC$1006,0))&gt;=100000), " ",IF(INDEX($U$2:$AC$1001,MATCH(ROWS($N$2:N708),$N$2:$N$1001,0),MATCH(COLUMNS($U$1006:Y1006),$U$1006:$AC$1006,0)), HYPERLINK("#",""), HYPERLINK(CONCATENATE("#metadata!", ADDRESS(INDEX($P$2:$P$1001,MATCH(ROWS($N$2:N708),$N$2:$N$1001,0),0), INDEX($U$1004:$AC$1004,1,MATCH(COLUMNS($U$1006:Y1006),$U$1006:$AC$1006,0)))),"Fix")))</f>
        <v>0</v>
      </c>
      <c r="G708" s="3">
        <f>IF(OR(INDEX($O$2:$O$1001,MATCH(ROWS($N$2:N708),$N$2:$N$1001,0),1)&gt;=100000,INDEX($U$1005:$AC$1005,1,MATCH(COLUMNS($U$1006:Z1006),$U$1006:$AC$1006,0))&gt;=100000), " ",IF(INDEX($U$2:$AC$1001,MATCH(ROWS($N$2:N708),$N$2:$N$1001,0),MATCH(COLUMNS($U$1006:Z1006),$U$1006:$AC$1006,0)), HYPERLINK("#",""), HYPERLINK(CONCATENATE("#metadata!", ADDRESS(INDEX($P$2:$P$1001,MATCH(ROWS($N$2:N708),$N$2:$N$1001,0),0), INDEX($U$1004:$AC$1004,1,MATCH(COLUMNS($U$1006:Z1006),$U$1006:$AC$1006,0)))),"Fix")))</f>
        <v>0</v>
      </c>
      <c r="H708" s="3">
        <f>IF(OR(INDEX($O$2:$O$1001,MATCH(ROWS($N$2:N708),$N$2:$N$1001,0),1)&gt;=100000,INDEX($U$1005:$AC$1005,1,MATCH(COLUMNS($U$1006:AA1006),$U$1006:$AC$1006,0))&gt;=100000), " ",IF(INDEX($U$2:$AC$1001,MATCH(ROWS($N$2:N708),$N$2:$N$1001,0),MATCH(COLUMNS($U$1006:AA1006),$U$1006:$AC$1006,0)), HYPERLINK("#",""), HYPERLINK(CONCATENATE("#metadata!", ADDRESS(INDEX($P$2:$P$1001,MATCH(ROWS($N$2:N708),$N$2:$N$1001,0),0), INDEX($U$1004:$AC$1004,1,MATCH(COLUMNS($U$1006:AA1006),$U$1006:$AC$1006,0)))),"Fix")))</f>
        <v>0</v>
      </c>
      <c r="I708" s="3">
        <f>IF(OR(INDEX($O$2:$O$1001,MATCH(ROWS($N$2:N708),$N$2:$N$1001,0),1)&gt;=100000,INDEX($U$1005:$AC$1005,1,MATCH(COLUMNS($U$1006:AB1006),$U$1006:$AC$1006,0))&gt;=100000), " ",IF(INDEX($U$2:$AC$1001,MATCH(ROWS($N$2:N708),$N$2:$N$1001,0),MATCH(COLUMNS($U$1006:AB1006),$U$1006:$AC$1006,0)), HYPERLINK("#",""), HYPERLINK(CONCATENATE("#metadata!", ADDRESS(INDEX($P$2:$P$1001,MATCH(ROWS($N$2:N708),$N$2:$N$1001,0),0), INDEX($U$1004:$AC$1004,1,MATCH(COLUMNS($U$1006:AB1006),$U$1006:$AC$1006,0)))),"Fix")))</f>
        <v>0</v>
      </c>
      <c r="J708" s="3">
        <f>IF(OR(INDEX($O$2:$O$1001,MATCH(ROWS($N$2:N708),$N$2:$N$1001,0),1)&gt;=100000,INDEX($U$1005:$AC$1005,1,MATCH(COLUMNS($U$1006:AC1006),$U$1006:$AC$1006,0))&gt;=100000), " ",IF(INDEX($U$2:$AC$1001,MATCH(ROWS($N$2:N708),$N$2:$N$1001,0),MATCH(COLUMNS($U$1006:AC1006),$U$1006:$AC$1006,0)), HYPERLINK("#",""), HYPERLINK(CONCATENATE("#metadata!", ADDRESS(INDEX($P$2:$P$1001,MATCH(ROWS($N$2:N708),$N$2:$N$1001,0),0), INDEX($U$1004:$AC$1004,1,MATCH(COLUMNS($U$1006:AC1006),$U$1006:$AC$1006,0)))),"Fix")))</f>
        <v>0</v>
      </c>
      <c r="N708">
        <v>0</v>
      </c>
      <c r="O708">
        <v>0</v>
      </c>
      <c r="P708">
        <v>0</v>
      </c>
      <c r="Q708">
        <f>IF(R708,TRUE,AND(U708:AC708))</f>
        <v>0</v>
      </c>
      <c r="R708">
        <f>COUNTBLANK(metadata!B708:J708)=COLUMNS(metadata!B708:J708)</f>
        <v>0</v>
      </c>
      <c r="S708">
        <v>0</v>
      </c>
      <c r="U708">
        <f>AND(IF(metadata!B708="",FALSE,TRUE),COUNTIF(metadata!B:B, metadata!B708) = 1,NOT(ISERROR(SUMPRODUCT(SEARCH(MID(metadata!B708,ROW(INDIRECT("1:"&amp;LEN(metadata!B708))), 1),"0123456789abcdefghijklmnopqrstuvwxyzABCDEFGHIJKLMNOPQRSTUVWXYZ.")))))</f>
        <v>0</v>
      </c>
      <c r="V708">
        <f>AND(IF(metadata!C708="",FALSE,TRUE),exact(metadata!C708,"UBERON:genitourinary"))</f>
        <v>0</v>
      </c>
      <c r="W708">
        <f>AND(IF(metadata!D708="",FALSE,TRUE),exact(metadata!D708,"UBERON:urine"))</f>
        <v>0</v>
      </c>
      <c r="X708">
        <f>AND(IF(metadata!E708="",FALSE,TRUE),exact(metadata!E708,"UBERON:kidney"))</f>
        <v>0</v>
      </c>
      <c r="Y708">
        <f>AND(IF(metadata!F708="",FALSE,TRUE),exact(metadata!F708,"animal corpus"))</f>
        <v>0</v>
      </c>
      <c r="Z708">
        <f>AND(IF(metadata!G708="",FALSE,TRUE),exact(metadata!G708,"urine"))</f>
        <v>0</v>
      </c>
      <c r="AA708">
        <f>AND(IF(metadata!H708="",FALSE,TRUE),exact(metadata!H708,"urine"))</f>
        <v>0</v>
      </c>
      <c r="AB708">
        <f>AND(IF(metadata!I708="",FALSE,TRUE),exact(metadata!I708,"urine metagenome"))</f>
        <v>0</v>
      </c>
      <c r="AC708">
        <f>AND(IF(metadata!J708="",FALSE,TRUE),exact(metadata!J708,"1346744"))</f>
        <v>0</v>
      </c>
    </row>
    <row r="709" spans="1:29">
      <c r="A709" s="4">
        <f>IF(B709=" "," ",HYPERLINK(CONCATENATE("#metadata!",ADDRESS(INDEX($P$2:$P$1001,MATCH(ROWS($N$2:N709),$N$2:$N$1001,0),0),1)),INDEX($S$2:$S$1001,MATCH(ROWS($N$2:N709),$N$2:$N$1001,0),0)))</f>
        <v>0</v>
      </c>
      <c r="B709" s="3">
        <f>IF(OR(INDEX($O$2:$O$1001,MATCH(ROWS($N$2:N709),$N$2:$N$1001,0),1)&gt;=100000,INDEX($U$1005:$AC$1005,1,MATCH(COLUMNS($U$1006:U1006),$U$1006:$AC$1006,0))&gt;=100000), " ",IF(INDEX($U$2:$AC$1001,MATCH(ROWS($N$2:N709),$N$2:$N$1001,0),MATCH(COLUMNS($U$1006:U1006),$U$1006:$AC$1006,0)), HYPERLINK("#",""), HYPERLINK(CONCATENATE("#metadata!", ADDRESS(INDEX($P$2:$P$1001,MATCH(ROWS($N$2:N709),$N$2:$N$1001,0),0), INDEX($U$1004:$AC$1004,1,MATCH(COLUMNS($U$1006:U1006),$U$1006:$AC$1006,0)))),"Fix")))</f>
        <v>0</v>
      </c>
      <c r="C709" s="3">
        <f>IF(OR(INDEX($O$2:$O$1001,MATCH(ROWS($N$2:N709),$N$2:$N$1001,0),1)&gt;=100000,INDEX($U$1005:$AC$1005,1,MATCH(COLUMNS($U$1006:V1006),$U$1006:$AC$1006,0))&gt;=100000), " ",IF(INDEX($U$2:$AC$1001,MATCH(ROWS($N$2:N709),$N$2:$N$1001,0),MATCH(COLUMNS($U$1006:V1006),$U$1006:$AC$1006,0)), HYPERLINK("#",""), HYPERLINK(CONCATENATE("#metadata!", ADDRESS(INDEX($P$2:$P$1001,MATCH(ROWS($N$2:N709),$N$2:$N$1001,0),0), INDEX($U$1004:$AC$1004,1,MATCH(COLUMNS($U$1006:V1006),$U$1006:$AC$1006,0)))),"Fix")))</f>
        <v>0</v>
      </c>
      <c r="D709" s="3">
        <f>IF(OR(INDEX($O$2:$O$1001,MATCH(ROWS($N$2:N709),$N$2:$N$1001,0),1)&gt;=100000,INDEX($U$1005:$AC$1005,1,MATCH(COLUMNS($U$1006:W1006),$U$1006:$AC$1006,0))&gt;=100000), " ",IF(INDEX($U$2:$AC$1001,MATCH(ROWS($N$2:N709),$N$2:$N$1001,0),MATCH(COLUMNS($U$1006:W1006),$U$1006:$AC$1006,0)), HYPERLINK("#",""), HYPERLINK(CONCATENATE("#metadata!", ADDRESS(INDEX($P$2:$P$1001,MATCH(ROWS($N$2:N709),$N$2:$N$1001,0),0), INDEX($U$1004:$AC$1004,1,MATCH(COLUMNS($U$1006:W1006),$U$1006:$AC$1006,0)))),"Fix")))</f>
        <v>0</v>
      </c>
      <c r="E709" s="3">
        <f>IF(OR(INDEX($O$2:$O$1001,MATCH(ROWS($N$2:N709),$N$2:$N$1001,0),1)&gt;=100000,INDEX($U$1005:$AC$1005,1,MATCH(COLUMNS($U$1006:X1006),$U$1006:$AC$1006,0))&gt;=100000), " ",IF(INDEX($U$2:$AC$1001,MATCH(ROWS($N$2:N709),$N$2:$N$1001,0),MATCH(COLUMNS($U$1006:X1006),$U$1006:$AC$1006,0)), HYPERLINK("#",""), HYPERLINK(CONCATENATE("#metadata!", ADDRESS(INDEX($P$2:$P$1001,MATCH(ROWS($N$2:N709),$N$2:$N$1001,0),0), INDEX($U$1004:$AC$1004,1,MATCH(COLUMNS($U$1006:X1006),$U$1006:$AC$1006,0)))),"Fix")))</f>
        <v>0</v>
      </c>
      <c r="F709" s="3">
        <f>IF(OR(INDEX($O$2:$O$1001,MATCH(ROWS($N$2:N709),$N$2:$N$1001,0),1)&gt;=100000,INDEX($U$1005:$AC$1005,1,MATCH(COLUMNS($U$1006:Y1006),$U$1006:$AC$1006,0))&gt;=100000), " ",IF(INDEX($U$2:$AC$1001,MATCH(ROWS($N$2:N709),$N$2:$N$1001,0),MATCH(COLUMNS($U$1006:Y1006),$U$1006:$AC$1006,0)), HYPERLINK("#",""), HYPERLINK(CONCATENATE("#metadata!", ADDRESS(INDEX($P$2:$P$1001,MATCH(ROWS($N$2:N709),$N$2:$N$1001,0),0), INDEX($U$1004:$AC$1004,1,MATCH(COLUMNS($U$1006:Y1006),$U$1006:$AC$1006,0)))),"Fix")))</f>
        <v>0</v>
      </c>
      <c r="G709" s="3">
        <f>IF(OR(INDEX($O$2:$O$1001,MATCH(ROWS($N$2:N709),$N$2:$N$1001,0),1)&gt;=100000,INDEX($U$1005:$AC$1005,1,MATCH(COLUMNS($U$1006:Z1006),$U$1006:$AC$1006,0))&gt;=100000), " ",IF(INDEX($U$2:$AC$1001,MATCH(ROWS($N$2:N709),$N$2:$N$1001,0),MATCH(COLUMNS($U$1006:Z1006),$U$1006:$AC$1006,0)), HYPERLINK("#",""), HYPERLINK(CONCATENATE("#metadata!", ADDRESS(INDEX($P$2:$P$1001,MATCH(ROWS($N$2:N709),$N$2:$N$1001,0),0), INDEX($U$1004:$AC$1004,1,MATCH(COLUMNS($U$1006:Z1006),$U$1006:$AC$1006,0)))),"Fix")))</f>
        <v>0</v>
      </c>
      <c r="H709" s="3">
        <f>IF(OR(INDEX($O$2:$O$1001,MATCH(ROWS($N$2:N709),$N$2:$N$1001,0),1)&gt;=100000,INDEX($U$1005:$AC$1005,1,MATCH(COLUMNS($U$1006:AA1006),$U$1006:$AC$1006,0))&gt;=100000), " ",IF(INDEX($U$2:$AC$1001,MATCH(ROWS($N$2:N709),$N$2:$N$1001,0),MATCH(COLUMNS($U$1006:AA1006),$U$1006:$AC$1006,0)), HYPERLINK("#",""), HYPERLINK(CONCATENATE("#metadata!", ADDRESS(INDEX($P$2:$P$1001,MATCH(ROWS($N$2:N709),$N$2:$N$1001,0),0), INDEX($U$1004:$AC$1004,1,MATCH(COLUMNS($U$1006:AA1006),$U$1006:$AC$1006,0)))),"Fix")))</f>
        <v>0</v>
      </c>
      <c r="I709" s="3">
        <f>IF(OR(INDEX($O$2:$O$1001,MATCH(ROWS($N$2:N709),$N$2:$N$1001,0),1)&gt;=100000,INDEX($U$1005:$AC$1005,1,MATCH(COLUMNS($U$1006:AB1006),$U$1006:$AC$1006,0))&gt;=100000), " ",IF(INDEX($U$2:$AC$1001,MATCH(ROWS($N$2:N709),$N$2:$N$1001,0),MATCH(COLUMNS($U$1006:AB1006),$U$1006:$AC$1006,0)), HYPERLINK("#",""), HYPERLINK(CONCATENATE("#metadata!", ADDRESS(INDEX($P$2:$P$1001,MATCH(ROWS($N$2:N709),$N$2:$N$1001,0),0), INDEX($U$1004:$AC$1004,1,MATCH(COLUMNS($U$1006:AB1006),$U$1006:$AC$1006,0)))),"Fix")))</f>
        <v>0</v>
      </c>
      <c r="J709" s="3">
        <f>IF(OR(INDEX($O$2:$O$1001,MATCH(ROWS($N$2:N709),$N$2:$N$1001,0),1)&gt;=100000,INDEX($U$1005:$AC$1005,1,MATCH(COLUMNS($U$1006:AC1006),$U$1006:$AC$1006,0))&gt;=100000), " ",IF(INDEX($U$2:$AC$1001,MATCH(ROWS($N$2:N709),$N$2:$N$1001,0),MATCH(COLUMNS($U$1006:AC1006),$U$1006:$AC$1006,0)), HYPERLINK("#",""), HYPERLINK(CONCATENATE("#metadata!", ADDRESS(INDEX($P$2:$P$1001,MATCH(ROWS($N$2:N709),$N$2:$N$1001,0),0), INDEX($U$1004:$AC$1004,1,MATCH(COLUMNS($U$1006:AC1006),$U$1006:$AC$1006,0)))),"Fix")))</f>
        <v>0</v>
      </c>
      <c r="N709">
        <v>0</v>
      </c>
      <c r="O709">
        <v>0</v>
      </c>
      <c r="P709">
        <v>0</v>
      </c>
      <c r="Q709">
        <f>IF(R709,TRUE,AND(U709:AC709))</f>
        <v>0</v>
      </c>
      <c r="R709">
        <f>COUNTBLANK(metadata!B709:J709)=COLUMNS(metadata!B709:J709)</f>
        <v>0</v>
      </c>
      <c r="S709">
        <v>0</v>
      </c>
      <c r="U709">
        <f>AND(IF(metadata!B709="",FALSE,TRUE),COUNTIF(metadata!B:B, metadata!B709) = 1,NOT(ISERROR(SUMPRODUCT(SEARCH(MID(metadata!B709,ROW(INDIRECT("1:"&amp;LEN(metadata!B709))), 1),"0123456789abcdefghijklmnopqrstuvwxyzABCDEFGHIJKLMNOPQRSTUVWXYZ.")))))</f>
        <v>0</v>
      </c>
      <c r="V709">
        <f>AND(IF(metadata!C709="",FALSE,TRUE),exact(metadata!C709,"UBERON:genitourinary"))</f>
        <v>0</v>
      </c>
      <c r="W709">
        <f>AND(IF(metadata!D709="",FALSE,TRUE),exact(metadata!D709,"UBERON:urine"))</f>
        <v>0</v>
      </c>
      <c r="X709">
        <f>AND(IF(metadata!E709="",FALSE,TRUE),exact(metadata!E709,"UBERON:kidney"))</f>
        <v>0</v>
      </c>
      <c r="Y709">
        <f>AND(IF(metadata!F709="",FALSE,TRUE),exact(metadata!F709,"animal corpus"))</f>
        <v>0</v>
      </c>
      <c r="Z709">
        <f>AND(IF(metadata!G709="",FALSE,TRUE),exact(metadata!G709,"urine"))</f>
        <v>0</v>
      </c>
      <c r="AA709">
        <f>AND(IF(metadata!H709="",FALSE,TRUE),exact(metadata!H709,"urine"))</f>
        <v>0</v>
      </c>
      <c r="AB709">
        <f>AND(IF(metadata!I709="",FALSE,TRUE),exact(metadata!I709,"urine metagenome"))</f>
        <v>0</v>
      </c>
      <c r="AC709">
        <f>AND(IF(metadata!J709="",FALSE,TRUE),exact(metadata!J709,"1346744"))</f>
        <v>0</v>
      </c>
    </row>
    <row r="710" spans="1:29">
      <c r="A710" s="4">
        <f>IF(B710=" "," ",HYPERLINK(CONCATENATE("#metadata!",ADDRESS(INDEX($P$2:$P$1001,MATCH(ROWS($N$2:N710),$N$2:$N$1001,0),0),1)),INDEX($S$2:$S$1001,MATCH(ROWS($N$2:N710),$N$2:$N$1001,0),0)))</f>
        <v>0</v>
      </c>
      <c r="B710" s="3">
        <f>IF(OR(INDEX($O$2:$O$1001,MATCH(ROWS($N$2:N710),$N$2:$N$1001,0),1)&gt;=100000,INDEX($U$1005:$AC$1005,1,MATCH(COLUMNS($U$1006:U1006),$U$1006:$AC$1006,0))&gt;=100000), " ",IF(INDEX($U$2:$AC$1001,MATCH(ROWS($N$2:N710),$N$2:$N$1001,0),MATCH(COLUMNS($U$1006:U1006),$U$1006:$AC$1006,0)), HYPERLINK("#",""), HYPERLINK(CONCATENATE("#metadata!", ADDRESS(INDEX($P$2:$P$1001,MATCH(ROWS($N$2:N710),$N$2:$N$1001,0),0), INDEX($U$1004:$AC$1004,1,MATCH(COLUMNS($U$1006:U1006),$U$1006:$AC$1006,0)))),"Fix")))</f>
        <v>0</v>
      </c>
      <c r="C710" s="3">
        <f>IF(OR(INDEX($O$2:$O$1001,MATCH(ROWS($N$2:N710),$N$2:$N$1001,0),1)&gt;=100000,INDEX($U$1005:$AC$1005,1,MATCH(COLUMNS($U$1006:V1006),$U$1006:$AC$1006,0))&gt;=100000), " ",IF(INDEX($U$2:$AC$1001,MATCH(ROWS($N$2:N710),$N$2:$N$1001,0),MATCH(COLUMNS($U$1006:V1006),$U$1006:$AC$1006,0)), HYPERLINK("#",""), HYPERLINK(CONCATENATE("#metadata!", ADDRESS(INDEX($P$2:$P$1001,MATCH(ROWS($N$2:N710),$N$2:$N$1001,0),0), INDEX($U$1004:$AC$1004,1,MATCH(COLUMNS($U$1006:V1006),$U$1006:$AC$1006,0)))),"Fix")))</f>
        <v>0</v>
      </c>
      <c r="D710" s="3">
        <f>IF(OR(INDEX($O$2:$O$1001,MATCH(ROWS($N$2:N710),$N$2:$N$1001,0),1)&gt;=100000,INDEX($U$1005:$AC$1005,1,MATCH(COLUMNS($U$1006:W1006),$U$1006:$AC$1006,0))&gt;=100000), " ",IF(INDEX($U$2:$AC$1001,MATCH(ROWS($N$2:N710),$N$2:$N$1001,0),MATCH(COLUMNS($U$1006:W1006),$U$1006:$AC$1006,0)), HYPERLINK("#",""), HYPERLINK(CONCATENATE("#metadata!", ADDRESS(INDEX($P$2:$P$1001,MATCH(ROWS($N$2:N710),$N$2:$N$1001,0),0), INDEX($U$1004:$AC$1004,1,MATCH(COLUMNS($U$1006:W1006),$U$1006:$AC$1006,0)))),"Fix")))</f>
        <v>0</v>
      </c>
      <c r="E710" s="3">
        <f>IF(OR(INDEX($O$2:$O$1001,MATCH(ROWS($N$2:N710),$N$2:$N$1001,0),1)&gt;=100000,INDEX($U$1005:$AC$1005,1,MATCH(COLUMNS($U$1006:X1006),$U$1006:$AC$1006,0))&gt;=100000), " ",IF(INDEX($U$2:$AC$1001,MATCH(ROWS($N$2:N710),$N$2:$N$1001,0),MATCH(COLUMNS($U$1006:X1006),$U$1006:$AC$1006,0)), HYPERLINK("#",""), HYPERLINK(CONCATENATE("#metadata!", ADDRESS(INDEX($P$2:$P$1001,MATCH(ROWS($N$2:N710),$N$2:$N$1001,0),0), INDEX($U$1004:$AC$1004,1,MATCH(COLUMNS($U$1006:X1006),$U$1006:$AC$1006,0)))),"Fix")))</f>
        <v>0</v>
      </c>
      <c r="F710" s="3">
        <f>IF(OR(INDEX($O$2:$O$1001,MATCH(ROWS($N$2:N710),$N$2:$N$1001,0),1)&gt;=100000,INDEX($U$1005:$AC$1005,1,MATCH(COLUMNS($U$1006:Y1006),$U$1006:$AC$1006,0))&gt;=100000), " ",IF(INDEX($U$2:$AC$1001,MATCH(ROWS($N$2:N710),$N$2:$N$1001,0),MATCH(COLUMNS($U$1006:Y1006),$U$1006:$AC$1006,0)), HYPERLINK("#",""), HYPERLINK(CONCATENATE("#metadata!", ADDRESS(INDEX($P$2:$P$1001,MATCH(ROWS($N$2:N710),$N$2:$N$1001,0),0), INDEX($U$1004:$AC$1004,1,MATCH(COLUMNS($U$1006:Y1006),$U$1006:$AC$1006,0)))),"Fix")))</f>
        <v>0</v>
      </c>
      <c r="G710" s="3">
        <f>IF(OR(INDEX($O$2:$O$1001,MATCH(ROWS($N$2:N710),$N$2:$N$1001,0),1)&gt;=100000,INDEX($U$1005:$AC$1005,1,MATCH(COLUMNS($U$1006:Z1006),$U$1006:$AC$1006,0))&gt;=100000), " ",IF(INDEX($U$2:$AC$1001,MATCH(ROWS($N$2:N710),$N$2:$N$1001,0),MATCH(COLUMNS($U$1006:Z1006),$U$1006:$AC$1006,0)), HYPERLINK("#",""), HYPERLINK(CONCATENATE("#metadata!", ADDRESS(INDEX($P$2:$P$1001,MATCH(ROWS($N$2:N710),$N$2:$N$1001,0),0), INDEX($U$1004:$AC$1004,1,MATCH(COLUMNS($U$1006:Z1006),$U$1006:$AC$1006,0)))),"Fix")))</f>
        <v>0</v>
      </c>
      <c r="H710" s="3">
        <f>IF(OR(INDEX($O$2:$O$1001,MATCH(ROWS($N$2:N710),$N$2:$N$1001,0),1)&gt;=100000,INDEX($U$1005:$AC$1005,1,MATCH(COLUMNS($U$1006:AA1006),$U$1006:$AC$1006,0))&gt;=100000), " ",IF(INDEX($U$2:$AC$1001,MATCH(ROWS($N$2:N710),$N$2:$N$1001,0),MATCH(COLUMNS($U$1006:AA1006),$U$1006:$AC$1006,0)), HYPERLINK("#",""), HYPERLINK(CONCATENATE("#metadata!", ADDRESS(INDEX($P$2:$P$1001,MATCH(ROWS($N$2:N710),$N$2:$N$1001,0),0), INDEX($U$1004:$AC$1004,1,MATCH(COLUMNS($U$1006:AA1006),$U$1006:$AC$1006,0)))),"Fix")))</f>
        <v>0</v>
      </c>
      <c r="I710" s="3">
        <f>IF(OR(INDEX($O$2:$O$1001,MATCH(ROWS($N$2:N710),$N$2:$N$1001,0),1)&gt;=100000,INDEX($U$1005:$AC$1005,1,MATCH(COLUMNS($U$1006:AB1006),$U$1006:$AC$1006,0))&gt;=100000), " ",IF(INDEX($U$2:$AC$1001,MATCH(ROWS($N$2:N710),$N$2:$N$1001,0),MATCH(COLUMNS($U$1006:AB1006),$U$1006:$AC$1006,0)), HYPERLINK("#",""), HYPERLINK(CONCATENATE("#metadata!", ADDRESS(INDEX($P$2:$P$1001,MATCH(ROWS($N$2:N710),$N$2:$N$1001,0),0), INDEX($U$1004:$AC$1004,1,MATCH(COLUMNS($U$1006:AB1006),$U$1006:$AC$1006,0)))),"Fix")))</f>
        <v>0</v>
      </c>
      <c r="J710" s="3">
        <f>IF(OR(INDEX($O$2:$O$1001,MATCH(ROWS($N$2:N710),$N$2:$N$1001,0),1)&gt;=100000,INDEX($U$1005:$AC$1005,1,MATCH(COLUMNS($U$1006:AC1006),$U$1006:$AC$1006,0))&gt;=100000), " ",IF(INDEX($U$2:$AC$1001,MATCH(ROWS($N$2:N710),$N$2:$N$1001,0),MATCH(COLUMNS($U$1006:AC1006),$U$1006:$AC$1006,0)), HYPERLINK("#",""), HYPERLINK(CONCATENATE("#metadata!", ADDRESS(INDEX($P$2:$P$1001,MATCH(ROWS($N$2:N710),$N$2:$N$1001,0),0), INDEX($U$1004:$AC$1004,1,MATCH(COLUMNS($U$1006:AC1006),$U$1006:$AC$1006,0)))),"Fix")))</f>
        <v>0</v>
      </c>
      <c r="N710">
        <v>0</v>
      </c>
      <c r="O710">
        <v>0</v>
      </c>
      <c r="P710">
        <v>0</v>
      </c>
      <c r="Q710">
        <f>IF(R710,TRUE,AND(U710:AC710))</f>
        <v>0</v>
      </c>
      <c r="R710">
        <f>COUNTBLANK(metadata!B710:J710)=COLUMNS(metadata!B710:J710)</f>
        <v>0</v>
      </c>
      <c r="S710">
        <v>0</v>
      </c>
      <c r="U710">
        <f>AND(IF(metadata!B710="",FALSE,TRUE),COUNTIF(metadata!B:B, metadata!B710) = 1,NOT(ISERROR(SUMPRODUCT(SEARCH(MID(metadata!B710,ROW(INDIRECT("1:"&amp;LEN(metadata!B710))), 1),"0123456789abcdefghijklmnopqrstuvwxyzABCDEFGHIJKLMNOPQRSTUVWXYZ.")))))</f>
        <v>0</v>
      </c>
      <c r="V710">
        <f>AND(IF(metadata!C710="",FALSE,TRUE),exact(metadata!C710,"UBERON:genitourinary"))</f>
        <v>0</v>
      </c>
      <c r="W710">
        <f>AND(IF(metadata!D710="",FALSE,TRUE),exact(metadata!D710,"UBERON:urine"))</f>
        <v>0</v>
      </c>
      <c r="X710">
        <f>AND(IF(metadata!E710="",FALSE,TRUE),exact(metadata!E710,"UBERON:kidney"))</f>
        <v>0</v>
      </c>
      <c r="Y710">
        <f>AND(IF(metadata!F710="",FALSE,TRUE),exact(metadata!F710,"animal corpus"))</f>
        <v>0</v>
      </c>
      <c r="Z710">
        <f>AND(IF(metadata!G710="",FALSE,TRUE),exact(metadata!G710,"urine"))</f>
        <v>0</v>
      </c>
      <c r="AA710">
        <f>AND(IF(metadata!H710="",FALSE,TRUE),exact(metadata!H710,"urine"))</f>
        <v>0</v>
      </c>
      <c r="AB710">
        <f>AND(IF(metadata!I710="",FALSE,TRUE),exact(metadata!I710,"urine metagenome"))</f>
        <v>0</v>
      </c>
      <c r="AC710">
        <f>AND(IF(metadata!J710="",FALSE,TRUE),exact(metadata!J710,"1346744"))</f>
        <v>0</v>
      </c>
    </row>
    <row r="711" spans="1:29">
      <c r="A711" s="4">
        <f>IF(B711=" "," ",HYPERLINK(CONCATENATE("#metadata!",ADDRESS(INDEX($P$2:$P$1001,MATCH(ROWS($N$2:N711),$N$2:$N$1001,0),0),1)),INDEX($S$2:$S$1001,MATCH(ROWS($N$2:N711),$N$2:$N$1001,0),0)))</f>
        <v>0</v>
      </c>
      <c r="B711" s="3">
        <f>IF(OR(INDEX($O$2:$O$1001,MATCH(ROWS($N$2:N711),$N$2:$N$1001,0),1)&gt;=100000,INDEX($U$1005:$AC$1005,1,MATCH(COLUMNS($U$1006:U1006),$U$1006:$AC$1006,0))&gt;=100000), " ",IF(INDEX($U$2:$AC$1001,MATCH(ROWS($N$2:N711),$N$2:$N$1001,0),MATCH(COLUMNS($U$1006:U1006),$U$1006:$AC$1006,0)), HYPERLINK("#",""), HYPERLINK(CONCATENATE("#metadata!", ADDRESS(INDEX($P$2:$P$1001,MATCH(ROWS($N$2:N711),$N$2:$N$1001,0),0), INDEX($U$1004:$AC$1004,1,MATCH(COLUMNS($U$1006:U1006),$U$1006:$AC$1006,0)))),"Fix")))</f>
        <v>0</v>
      </c>
      <c r="C711" s="3">
        <f>IF(OR(INDEX($O$2:$O$1001,MATCH(ROWS($N$2:N711),$N$2:$N$1001,0),1)&gt;=100000,INDEX($U$1005:$AC$1005,1,MATCH(COLUMNS($U$1006:V1006),$U$1006:$AC$1006,0))&gt;=100000), " ",IF(INDEX($U$2:$AC$1001,MATCH(ROWS($N$2:N711),$N$2:$N$1001,0),MATCH(COLUMNS($U$1006:V1006),$U$1006:$AC$1006,0)), HYPERLINK("#",""), HYPERLINK(CONCATENATE("#metadata!", ADDRESS(INDEX($P$2:$P$1001,MATCH(ROWS($N$2:N711),$N$2:$N$1001,0),0), INDEX($U$1004:$AC$1004,1,MATCH(COLUMNS($U$1006:V1006),$U$1006:$AC$1006,0)))),"Fix")))</f>
        <v>0</v>
      </c>
      <c r="D711" s="3">
        <f>IF(OR(INDEX($O$2:$O$1001,MATCH(ROWS($N$2:N711),$N$2:$N$1001,0),1)&gt;=100000,INDEX($U$1005:$AC$1005,1,MATCH(COLUMNS($U$1006:W1006),$U$1006:$AC$1006,0))&gt;=100000), " ",IF(INDEX($U$2:$AC$1001,MATCH(ROWS($N$2:N711),$N$2:$N$1001,0),MATCH(COLUMNS($U$1006:W1006),$U$1006:$AC$1006,0)), HYPERLINK("#",""), HYPERLINK(CONCATENATE("#metadata!", ADDRESS(INDEX($P$2:$P$1001,MATCH(ROWS($N$2:N711),$N$2:$N$1001,0),0), INDEX($U$1004:$AC$1004,1,MATCH(COLUMNS($U$1006:W1006),$U$1006:$AC$1006,0)))),"Fix")))</f>
        <v>0</v>
      </c>
      <c r="E711" s="3">
        <f>IF(OR(INDEX($O$2:$O$1001,MATCH(ROWS($N$2:N711),$N$2:$N$1001,0),1)&gt;=100000,INDEX($U$1005:$AC$1005,1,MATCH(COLUMNS($U$1006:X1006),$U$1006:$AC$1006,0))&gt;=100000), " ",IF(INDEX($U$2:$AC$1001,MATCH(ROWS($N$2:N711),$N$2:$N$1001,0),MATCH(COLUMNS($U$1006:X1006),$U$1006:$AC$1006,0)), HYPERLINK("#",""), HYPERLINK(CONCATENATE("#metadata!", ADDRESS(INDEX($P$2:$P$1001,MATCH(ROWS($N$2:N711),$N$2:$N$1001,0),0), INDEX($U$1004:$AC$1004,1,MATCH(COLUMNS($U$1006:X1006),$U$1006:$AC$1006,0)))),"Fix")))</f>
        <v>0</v>
      </c>
      <c r="F711" s="3">
        <f>IF(OR(INDEX($O$2:$O$1001,MATCH(ROWS($N$2:N711),$N$2:$N$1001,0),1)&gt;=100000,INDEX($U$1005:$AC$1005,1,MATCH(COLUMNS($U$1006:Y1006),$U$1006:$AC$1006,0))&gt;=100000), " ",IF(INDEX($U$2:$AC$1001,MATCH(ROWS($N$2:N711),$N$2:$N$1001,0),MATCH(COLUMNS($U$1006:Y1006),$U$1006:$AC$1006,0)), HYPERLINK("#",""), HYPERLINK(CONCATENATE("#metadata!", ADDRESS(INDEX($P$2:$P$1001,MATCH(ROWS($N$2:N711),$N$2:$N$1001,0),0), INDEX($U$1004:$AC$1004,1,MATCH(COLUMNS($U$1006:Y1006),$U$1006:$AC$1006,0)))),"Fix")))</f>
        <v>0</v>
      </c>
      <c r="G711" s="3">
        <f>IF(OR(INDEX($O$2:$O$1001,MATCH(ROWS($N$2:N711),$N$2:$N$1001,0),1)&gt;=100000,INDEX($U$1005:$AC$1005,1,MATCH(COLUMNS($U$1006:Z1006),$U$1006:$AC$1006,0))&gt;=100000), " ",IF(INDEX($U$2:$AC$1001,MATCH(ROWS($N$2:N711),$N$2:$N$1001,0),MATCH(COLUMNS($U$1006:Z1006),$U$1006:$AC$1006,0)), HYPERLINK("#",""), HYPERLINK(CONCATENATE("#metadata!", ADDRESS(INDEX($P$2:$P$1001,MATCH(ROWS($N$2:N711),$N$2:$N$1001,0),0), INDEX($U$1004:$AC$1004,1,MATCH(COLUMNS($U$1006:Z1006),$U$1006:$AC$1006,0)))),"Fix")))</f>
        <v>0</v>
      </c>
      <c r="H711" s="3">
        <f>IF(OR(INDEX($O$2:$O$1001,MATCH(ROWS($N$2:N711),$N$2:$N$1001,0),1)&gt;=100000,INDEX($U$1005:$AC$1005,1,MATCH(COLUMNS($U$1006:AA1006),$U$1006:$AC$1006,0))&gt;=100000), " ",IF(INDEX($U$2:$AC$1001,MATCH(ROWS($N$2:N711),$N$2:$N$1001,0),MATCH(COLUMNS($U$1006:AA1006),$U$1006:$AC$1006,0)), HYPERLINK("#",""), HYPERLINK(CONCATENATE("#metadata!", ADDRESS(INDEX($P$2:$P$1001,MATCH(ROWS($N$2:N711),$N$2:$N$1001,0),0), INDEX($U$1004:$AC$1004,1,MATCH(COLUMNS($U$1006:AA1006),$U$1006:$AC$1006,0)))),"Fix")))</f>
        <v>0</v>
      </c>
      <c r="I711" s="3">
        <f>IF(OR(INDEX($O$2:$O$1001,MATCH(ROWS($N$2:N711),$N$2:$N$1001,0),1)&gt;=100000,INDEX($U$1005:$AC$1005,1,MATCH(COLUMNS($U$1006:AB1006),$U$1006:$AC$1006,0))&gt;=100000), " ",IF(INDEX($U$2:$AC$1001,MATCH(ROWS($N$2:N711),$N$2:$N$1001,0),MATCH(COLUMNS($U$1006:AB1006),$U$1006:$AC$1006,0)), HYPERLINK("#",""), HYPERLINK(CONCATENATE("#metadata!", ADDRESS(INDEX($P$2:$P$1001,MATCH(ROWS($N$2:N711),$N$2:$N$1001,0),0), INDEX($U$1004:$AC$1004,1,MATCH(COLUMNS($U$1006:AB1006),$U$1006:$AC$1006,0)))),"Fix")))</f>
        <v>0</v>
      </c>
      <c r="J711" s="3">
        <f>IF(OR(INDEX($O$2:$O$1001,MATCH(ROWS($N$2:N711),$N$2:$N$1001,0),1)&gt;=100000,INDEX($U$1005:$AC$1005,1,MATCH(COLUMNS($U$1006:AC1006),$U$1006:$AC$1006,0))&gt;=100000), " ",IF(INDEX($U$2:$AC$1001,MATCH(ROWS($N$2:N711),$N$2:$N$1001,0),MATCH(COLUMNS($U$1006:AC1006),$U$1006:$AC$1006,0)), HYPERLINK("#",""), HYPERLINK(CONCATENATE("#metadata!", ADDRESS(INDEX($P$2:$P$1001,MATCH(ROWS($N$2:N711),$N$2:$N$1001,0),0), INDEX($U$1004:$AC$1004,1,MATCH(COLUMNS($U$1006:AC1006),$U$1006:$AC$1006,0)))),"Fix")))</f>
        <v>0</v>
      </c>
      <c r="N711">
        <v>0</v>
      </c>
      <c r="O711">
        <v>0</v>
      </c>
      <c r="P711">
        <v>0</v>
      </c>
      <c r="Q711">
        <f>IF(R711,TRUE,AND(U711:AC711))</f>
        <v>0</v>
      </c>
      <c r="R711">
        <f>COUNTBLANK(metadata!B711:J711)=COLUMNS(metadata!B711:J711)</f>
        <v>0</v>
      </c>
      <c r="S711">
        <v>0</v>
      </c>
      <c r="U711">
        <f>AND(IF(metadata!B711="",FALSE,TRUE),COUNTIF(metadata!B:B, metadata!B711) = 1,NOT(ISERROR(SUMPRODUCT(SEARCH(MID(metadata!B711,ROW(INDIRECT("1:"&amp;LEN(metadata!B711))), 1),"0123456789abcdefghijklmnopqrstuvwxyzABCDEFGHIJKLMNOPQRSTUVWXYZ.")))))</f>
        <v>0</v>
      </c>
      <c r="V711">
        <f>AND(IF(metadata!C711="",FALSE,TRUE),exact(metadata!C711,"UBERON:genitourinary"))</f>
        <v>0</v>
      </c>
      <c r="W711">
        <f>AND(IF(metadata!D711="",FALSE,TRUE),exact(metadata!D711,"UBERON:urine"))</f>
        <v>0</v>
      </c>
      <c r="X711">
        <f>AND(IF(metadata!E711="",FALSE,TRUE),exact(metadata!E711,"UBERON:kidney"))</f>
        <v>0</v>
      </c>
      <c r="Y711">
        <f>AND(IF(metadata!F711="",FALSE,TRUE),exact(metadata!F711,"animal corpus"))</f>
        <v>0</v>
      </c>
      <c r="Z711">
        <f>AND(IF(metadata!G711="",FALSE,TRUE),exact(metadata!G711,"urine"))</f>
        <v>0</v>
      </c>
      <c r="AA711">
        <f>AND(IF(metadata!H711="",FALSE,TRUE),exact(metadata!H711,"urine"))</f>
        <v>0</v>
      </c>
      <c r="AB711">
        <f>AND(IF(metadata!I711="",FALSE,TRUE),exact(metadata!I711,"urine metagenome"))</f>
        <v>0</v>
      </c>
      <c r="AC711">
        <f>AND(IF(metadata!J711="",FALSE,TRUE),exact(metadata!J711,"1346744"))</f>
        <v>0</v>
      </c>
    </row>
    <row r="712" spans="1:29">
      <c r="A712" s="4">
        <f>IF(B712=" "," ",HYPERLINK(CONCATENATE("#metadata!",ADDRESS(INDEX($P$2:$P$1001,MATCH(ROWS($N$2:N712),$N$2:$N$1001,0),0),1)),INDEX($S$2:$S$1001,MATCH(ROWS($N$2:N712),$N$2:$N$1001,0),0)))</f>
        <v>0</v>
      </c>
      <c r="B712" s="3">
        <f>IF(OR(INDEX($O$2:$O$1001,MATCH(ROWS($N$2:N712),$N$2:$N$1001,0),1)&gt;=100000,INDEX($U$1005:$AC$1005,1,MATCH(COLUMNS($U$1006:U1006),$U$1006:$AC$1006,0))&gt;=100000), " ",IF(INDEX($U$2:$AC$1001,MATCH(ROWS($N$2:N712),$N$2:$N$1001,0),MATCH(COLUMNS($U$1006:U1006),$U$1006:$AC$1006,0)), HYPERLINK("#",""), HYPERLINK(CONCATENATE("#metadata!", ADDRESS(INDEX($P$2:$P$1001,MATCH(ROWS($N$2:N712),$N$2:$N$1001,0),0), INDEX($U$1004:$AC$1004,1,MATCH(COLUMNS($U$1006:U1006),$U$1006:$AC$1006,0)))),"Fix")))</f>
        <v>0</v>
      </c>
      <c r="C712" s="3">
        <f>IF(OR(INDEX($O$2:$O$1001,MATCH(ROWS($N$2:N712),$N$2:$N$1001,0),1)&gt;=100000,INDEX($U$1005:$AC$1005,1,MATCH(COLUMNS($U$1006:V1006),$U$1006:$AC$1006,0))&gt;=100000), " ",IF(INDEX($U$2:$AC$1001,MATCH(ROWS($N$2:N712),$N$2:$N$1001,0),MATCH(COLUMNS($U$1006:V1006),$U$1006:$AC$1006,0)), HYPERLINK("#",""), HYPERLINK(CONCATENATE("#metadata!", ADDRESS(INDEX($P$2:$P$1001,MATCH(ROWS($N$2:N712),$N$2:$N$1001,0),0), INDEX($U$1004:$AC$1004,1,MATCH(COLUMNS($U$1006:V1006),$U$1006:$AC$1006,0)))),"Fix")))</f>
        <v>0</v>
      </c>
      <c r="D712" s="3">
        <f>IF(OR(INDEX($O$2:$O$1001,MATCH(ROWS($N$2:N712),$N$2:$N$1001,0),1)&gt;=100000,INDEX($U$1005:$AC$1005,1,MATCH(COLUMNS($U$1006:W1006),$U$1006:$AC$1006,0))&gt;=100000), " ",IF(INDEX($U$2:$AC$1001,MATCH(ROWS($N$2:N712),$N$2:$N$1001,0),MATCH(COLUMNS($U$1006:W1006),$U$1006:$AC$1006,0)), HYPERLINK("#",""), HYPERLINK(CONCATENATE("#metadata!", ADDRESS(INDEX($P$2:$P$1001,MATCH(ROWS($N$2:N712),$N$2:$N$1001,0),0), INDEX($U$1004:$AC$1004,1,MATCH(COLUMNS($U$1006:W1006),$U$1006:$AC$1006,0)))),"Fix")))</f>
        <v>0</v>
      </c>
      <c r="E712" s="3">
        <f>IF(OR(INDEX($O$2:$O$1001,MATCH(ROWS($N$2:N712),$N$2:$N$1001,0),1)&gt;=100000,INDEX($U$1005:$AC$1005,1,MATCH(COLUMNS($U$1006:X1006),$U$1006:$AC$1006,0))&gt;=100000), " ",IF(INDEX($U$2:$AC$1001,MATCH(ROWS($N$2:N712),$N$2:$N$1001,0),MATCH(COLUMNS($U$1006:X1006),$U$1006:$AC$1006,0)), HYPERLINK("#",""), HYPERLINK(CONCATENATE("#metadata!", ADDRESS(INDEX($P$2:$P$1001,MATCH(ROWS($N$2:N712),$N$2:$N$1001,0),0), INDEX($U$1004:$AC$1004,1,MATCH(COLUMNS($U$1006:X1006),$U$1006:$AC$1006,0)))),"Fix")))</f>
        <v>0</v>
      </c>
      <c r="F712" s="3">
        <f>IF(OR(INDEX($O$2:$O$1001,MATCH(ROWS($N$2:N712),$N$2:$N$1001,0),1)&gt;=100000,INDEX($U$1005:$AC$1005,1,MATCH(COLUMNS($U$1006:Y1006),$U$1006:$AC$1006,0))&gt;=100000), " ",IF(INDEX($U$2:$AC$1001,MATCH(ROWS($N$2:N712),$N$2:$N$1001,0),MATCH(COLUMNS($U$1006:Y1006),$U$1006:$AC$1006,0)), HYPERLINK("#",""), HYPERLINK(CONCATENATE("#metadata!", ADDRESS(INDEX($P$2:$P$1001,MATCH(ROWS($N$2:N712),$N$2:$N$1001,0),0), INDEX($U$1004:$AC$1004,1,MATCH(COLUMNS($U$1006:Y1006),$U$1006:$AC$1006,0)))),"Fix")))</f>
        <v>0</v>
      </c>
      <c r="G712" s="3">
        <f>IF(OR(INDEX($O$2:$O$1001,MATCH(ROWS($N$2:N712),$N$2:$N$1001,0),1)&gt;=100000,INDEX($U$1005:$AC$1005,1,MATCH(COLUMNS($U$1006:Z1006),$U$1006:$AC$1006,0))&gt;=100000), " ",IF(INDEX($U$2:$AC$1001,MATCH(ROWS($N$2:N712),$N$2:$N$1001,0),MATCH(COLUMNS($U$1006:Z1006),$U$1006:$AC$1006,0)), HYPERLINK("#",""), HYPERLINK(CONCATENATE("#metadata!", ADDRESS(INDEX($P$2:$P$1001,MATCH(ROWS($N$2:N712),$N$2:$N$1001,0),0), INDEX($U$1004:$AC$1004,1,MATCH(COLUMNS($U$1006:Z1006),$U$1006:$AC$1006,0)))),"Fix")))</f>
        <v>0</v>
      </c>
      <c r="H712" s="3">
        <f>IF(OR(INDEX($O$2:$O$1001,MATCH(ROWS($N$2:N712),$N$2:$N$1001,0),1)&gt;=100000,INDEX($U$1005:$AC$1005,1,MATCH(COLUMNS($U$1006:AA1006),$U$1006:$AC$1006,0))&gt;=100000), " ",IF(INDEX($U$2:$AC$1001,MATCH(ROWS($N$2:N712),$N$2:$N$1001,0),MATCH(COLUMNS($U$1006:AA1006),$U$1006:$AC$1006,0)), HYPERLINK("#",""), HYPERLINK(CONCATENATE("#metadata!", ADDRESS(INDEX($P$2:$P$1001,MATCH(ROWS($N$2:N712),$N$2:$N$1001,0),0), INDEX($U$1004:$AC$1004,1,MATCH(COLUMNS($U$1006:AA1006),$U$1006:$AC$1006,0)))),"Fix")))</f>
        <v>0</v>
      </c>
      <c r="I712" s="3">
        <f>IF(OR(INDEX($O$2:$O$1001,MATCH(ROWS($N$2:N712),$N$2:$N$1001,0),1)&gt;=100000,INDEX($U$1005:$AC$1005,1,MATCH(COLUMNS($U$1006:AB1006),$U$1006:$AC$1006,0))&gt;=100000), " ",IF(INDEX($U$2:$AC$1001,MATCH(ROWS($N$2:N712),$N$2:$N$1001,0),MATCH(COLUMNS($U$1006:AB1006),$U$1006:$AC$1006,0)), HYPERLINK("#",""), HYPERLINK(CONCATENATE("#metadata!", ADDRESS(INDEX($P$2:$P$1001,MATCH(ROWS($N$2:N712),$N$2:$N$1001,0),0), INDEX($U$1004:$AC$1004,1,MATCH(COLUMNS($U$1006:AB1006),$U$1006:$AC$1006,0)))),"Fix")))</f>
        <v>0</v>
      </c>
      <c r="J712" s="3">
        <f>IF(OR(INDEX($O$2:$O$1001,MATCH(ROWS($N$2:N712),$N$2:$N$1001,0),1)&gt;=100000,INDEX($U$1005:$AC$1005,1,MATCH(COLUMNS($U$1006:AC1006),$U$1006:$AC$1006,0))&gt;=100000), " ",IF(INDEX($U$2:$AC$1001,MATCH(ROWS($N$2:N712),$N$2:$N$1001,0),MATCH(COLUMNS($U$1006:AC1006),$U$1006:$AC$1006,0)), HYPERLINK("#",""), HYPERLINK(CONCATENATE("#metadata!", ADDRESS(INDEX($P$2:$P$1001,MATCH(ROWS($N$2:N712),$N$2:$N$1001,0),0), INDEX($U$1004:$AC$1004,1,MATCH(COLUMNS($U$1006:AC1006),$U$1006:$AC$1006,0)))),"Fix")))</f>
        <v>0</v>
      </c>
      <c r="N712">
        <v>0</v>
      </c>
      <c r="O712">
        <v>0</v>
      </c>
      <c r="P712">
        <v>0</v>
      </c>
      <c r="Q712">
        <f>IF(R712,TRUE,AND(U712:AC712))</f>
        <v>0</v>
      </c>
      <c r="R712">
        <f>COUNTBLANK(metadata!B712:J712)=COLUMNS(metadata!B712:J712)</f>
        <v>0</v>
      </c>
      <c r="S712">
        <v>0</v>
      </c>
      <c r="U712">
        <f>AND(IF(metadata!B712="",FALSE,TRUE),COUNTIF(metadata!B:B, metadata!B712) = 1,NOT(ISERROR(SUMPRODUCT(SEARCH(MID(metadata!B712,ROW(INDIRECT("1:"&amp;LEN(metadata!B712))), 1),"0123456789abcdefghijklmnopqrstuvwxyzABCDEFGHIJKLMNOPQRSTUVWXYZ.")))))</f>
        <v>0</v>
      </c>
      <c r="V712">
        <f>AND(IF(metadata!C712="",FALSE,TRUE),exact(metadata!C712,"UBERON:genitourinary"))</f>
        <v>0</v>
      </c>
      <c r="W712">
        <f>AND(IF(metadata!D712="",FALSE,TRUE),exact(metadata!D712,"UBERON:urine"))</f>
        <v>0</v>
      </c>
      <c r="X712">
        <f>AND(IF(metadata!E712="",FALSE,TRUE),exact(metadata!E712,"UBERON:kidney"))</f>
        <v>0</v>
      </c>
      <c r="Y712">
        <f>AND(IF(metadata!F712="",FALSE,TRUE),exact(metadata!F712,"animal corpus"))</f>
        <v>0</v>
      </c>
      <c r="Z712">
        <f>AND(IF(metadata!G712="",FALSE,TRUE),exact(metadata!G712,"urine"))</f>
        <v>0</v>
      </c>
      <c r="AA712">
        <f>AND(IF(metadata!H712="",FALSE,TRUE),exact(metadata!H712,"urine"))</f>
        <v>0</v>
      </c>
      <c r="AB712">
        <f>AND(IF(metadata!I712="",FALSE,TRUE),exact(metadata!I712,"urine metagenome"))</f>
        <v>0</v>
      </c>
      <c r="AC712">
        <f>AND(IF(metadata!J712="",FALSE,TRUE),exact(metadata!J712,"1346744"))</f>
        <v>0</v>
      </c>
    </row>
    <row r="713" spans="1:29">
      <c r="A713" s="4">
        <f>IF(B713=" "," ",HYPERLINK(CONCATENATE("#metadata!",ADDRESS(INDEX($P$2:$P$1001,MATCH(ROWS($N$2:N713),$N$2:$N$1001,0),0),1)),INDEX($S$2:$S$1001,MATCH(ROWS($N$2:N713),$N$2:$N$1001,0),0)))</f>
        <v>0</v>
      </c>
      <c r="B713" s="3">
        <f>IF(OR(INDEX($O$2:$O$1001,MATCH(ROWS($N$2:N713),$N$2:$N$1001,0),1)&gt;=100000,INDEX($U$1005:$AC$1005,1,MATCH(COLUMNS($U$1006:U1006),$U$1006:$AC$1006,0))&gt;=100000), " ",IF(INDEX($U$2:$AC$1001,MATCH(ROWS($N$2:N713),$N$2:$N$1001,0),MATCH(COLUMNS($U$1006:U1006),$U$1006:$AC$1006,0)), HYPERLINK("#",""), HYPERLINK(CONCATENATE("#metadata!", ADDRESS(INDEX($P$2:$P$1001,MATCH(ROWS($N$2:N713),$N$2:$N$1001,0),0), INDEX($U$1004:$AC$1004,1,MATCH(COLUMNS($U$1006:U1006),$U$1006:$AC$1006,0)))),"Fix")))</f>
        <v>0</v>
      </c>
      <c r="C713" s="3">
        <f>IF(OR(INDEX($O$2:$O$1001,MATCH(ROWS($N$2:N713),$N$2:$N$1001,0),1)&gt;=100000,INDEX($U$1005:$AC$1005,1,MATCH(COLUMNS($U$1006:V1006),$U$1006:$AC$1006,0))&gt;=100000), " ",IF(INDEX($U$2:$AC$1001,MATCH(ROWS($N$2:N713),$N$2:$N$1001,0),MATCH(COLUMNS($U$1006:V1006),$U$1006:$AC$1006,0)), HYPERLINK("#",""), HYPERLINK(CONCATENATE("#metadata!", ADDRESS(INDEX($P$2:$P$1001,MATCH(ROWS($N$2:N713),$N$2:$N$1001,0),0), INDEX($U$1004:$AC$1004,1,MATCH(COLUMNS($U$1006:V1006),$U$1006:$AC$1006,0)))),"Fix")))</f>
        <v>0</v>
      </c>
      <c r="D713" s="3">
        <f>IF(OR(INDEX($O$2:$O$1001,MATCH(ROWS($N$2:N713),$N$2:$N$1001,0),1)&gt;=100000,INDEX($U$1005:$AC$1005,1,MATCH(COLUMNS($U$1006:W1006),$U$1006:$AC$1006,0))&gt;=100000), " ",IF(INDEX($U$2:$AC$1001,MATCH(ROWS($N$2:N713),$N$2:$N$1001,0),MATCH(COLUMNS($U$1006:W1006),$U$1006:$AC$1006,0)), HYPERLINK("#",""), HYPERLINK(CONCATENATE("#metadata!", ADDRESS(INDEX($P$2:$P$1001,MATCH(ROWS($N$2:N713),$N$2:$N$1001,0),0), INDEX($U$1004:$AC$1004,1,MATCH(COLUMNS($U$1006:W1006),$U$1006:$AC$1006,0)))),"Fix")))</f>
        <v>0</v>
      </c>
      <c r="E713" s="3">
        <f>IF(OR(INDEX($O$2:$O$1001,MATCH(ROWS($N$2:N713),$N$2:$N$1001,0),1)&gt;=100000,INDEX($U$1005:$AC$1005,1,MATCH(COLUMNS($U$1006:X1006),$U$1006:$AC$1006,0))&gt;=100000), " ",IF(INDEX($U$2:$AC$1001,MATCH(ROWS($N$2:N713),$N$2:$N$1001,0),MATCH(COLUMNS($U$1006:X1006),$U$1006:$AC$1006,0)), HYPERLINK("#",""), HYPERLINK(CONCATENATE("#metadata!", ADDRESS(INDEX($P$2:$P$1001,MATCH(ROWS($N$2:N713),$N$2:$N$1001,0),0), INDEX($U$1004:$AC$1004,1,MATCH(COLUMNS($U$1006:X1006),$U$1006:$AC$1006,0)))),"Fix")))</f>
        <v>0</v>
      </c>
      <c r="F713" s="3">
        <f>IF(OR(INDEX($O$2:$O$1001,MATCH(ROWS($N$2:N713),$N$2:$N$1001,0),1)&gt;=100000,INDEX($U$1005:$AC$1005,1,MATCH(COLUMNS($U$1006:Y1006),$U$1006:$AC$1006,0))&gt;=100000), " ",IF(INDEX($U$2:$AC$1001,MATCH(ROWS($N$2:N713),$N$2:$N$1001,0),MATCH(COLUMNS($U$1006:Y1006),$U$1006:$AC$1006,0)), HYPERLINK("#",""), HYPERLINK(CONCATENATE("#metadata!", ADDRESS(INDEX($P$2:$P$1001,MATCH(ROWS($N$2:N713),$N$2:$N$1001,0),0), INDEX($U$1004:$AC$1004,1,MATCH(COLUMNS($U$1006:Y1006),$U$1006:$AC$1006,0)))),"Fix")))</f>
        <v>0</v>
      </c>
      <c r="G713" s="3">
        <f>IF(OR(INDEX($O$2:$O$1001,MATCH(ROWS($N$2:N713),$N$2:$N$1001,0),1)&gt;=100000,INDEX($U$1005:$AC$1005,1,MATCH(COLUMNS($U$1006:Z1006),$U$1006:$AC$1006,0))&gt;=100000), " ",IF(INDEX($U$2:$AC$1001,MATCH(ROWS($N$2:N713),$N$2:$N$1001,0),MATCH(COLUMNS($U$1006:Z1006),$U$1006:$AC$1006,0)), HYPERLINK("#",""), HYPERLINK(CONCATENATE("#metadata!", ADDRESS(INDEX($P$2:$P$1001,MATCH(ROWS($N$2:N713),$N$2:$N$1001,0),0), INDEX($U$1004:$AC$1004,1,MATCH(COLUMNS($U$1006:Z1006),$U$1006:$AC$1006,0)))),"Fix")))</f>
        <v>0</v>
      </c>
      <c r="H713" s="3">
        <f>IF(OR(INDEX($O$2:$O$1001,MATCH(ROWS($N$2:N713),$N$2:$N$1001,0),1)&gt;=100000,INDEX($U$1005:$AC$1005,1,MATCH(COLUMNS($U$1006:AA1006),$U$1006:$AC$1006,0))&gt;=100000), " ",IF(INDEX($U$2:$AC$1001,MATCH(ROWS($N$2:N713),$N$2:$N$1001,0),MATCH(COLUMNS($U$1006:AA1006),$U$1006:$AC$1006,0)), HYPERLINK("#",""), HYPERLINK(CONCATENATE("#metadata!", ADDRESS(INDEX($P$2:$P$1001,MATCH(ROWS($N$2:N713),$N$2:$N$1001,0),0), INDEX($U$1004:$AC$1004,1,MATCH(COLUMNS($U$1006:AA1006),$U$1006:$AC$1006,0)))),"Fix")))</f>
        <v>0</v>
      </c>
      <c r="I713" s="3">
        <f>IF(OR(INDEX($O$2:$O$1001,MATCH(ROWS($N$2:N713),$N$2:$N$1001,0),1)&gt;=100000,INDEX($U$1005:$AC$1005,1,MATCH(COLUMNS($U$1006:AB1006),$U$1006:$AC$1006,0))&gt;=100000), " ",IF(INDEX($U$2:$AC$1001,MATCH(ROWS($N$2:N713),$N$2:$N$1001,0),MATCH(COLUMNS($U$1006:AB1006),$U$1006:$AC$1006,0)), HYPERLINK("#",""), HYPERLINK(CONCATENATE("#metadata!", ADDRESS(INDEX($P$2:$P$1001,MATCH(ROWS($N$2:N713),$N$2:$N$1001,0),0), INDEX($U$1004:$AC$1004,1,MATCH(COLUMNS($U$1006:AB1006),$U$1006:$AC$1006,0)))),"Fix")))</f>
        <v>0</v>
      </c>
      <c r="J713" s="3">
        <f>IF(OR(INDEX($O$2:$O$1001,MATCH(ROWS($N$2:N713),$N$2:$N$1001,0),1)&gt;=100000,INDEX($U$1005:$AC$1005,1,MATCH(COLUMNS($U$1006:AC1006),$U$1006:$AC$1006,0))&gt;=100000), " ",IF(INDEX($U$2:$AC$1001,MATCH(ROWS($N$2:N713),$N$2:$N$1001,0),MATCH(COLUMNS($U$1006:AC1006),$U$1006:$AC$1006,0)), HYPERLINK("#",""), HYPERLINK(CONCATENATE("#metadata!", ADDRESS(INDEX($P$2:$P$1001,MATCH(ROWS($N$2:N713),$N$2:$N$1001,0),0), INDEX($U$1004:$AC$1004,1,MATCH(COLUMNS($U$1006:AC1006),$U$1006:$AC$1006,0)))),"Fix")))</f>
        <v>0</v>
      </c>
      <c r="N713">
        <v>0</v>
      </c>
      <c r="O713">
        <v>0</v>
      </c>
      <c r="P713">
        <v>0</v>
      </c>
      <c r="Q713">
        <f>IF(R713,TRUE,AND(U713:AC713))</f>
        <v>0</v>
      </c>
      <c r="R713">
        <f>COUNTBLANK(metadata!B713:J713)=COLUMNS(metadata!B713:J713)</f>
        <v>0</v>
      </c>
      <c r="S713">
        <v>0</v>
      </c>
      <c r="U713">
        <f>AND(IF(metadata!B713="",FALSE,TRUE),COUNTIF(metadata!B:B, metadata!B713) = 1,NOT(ISERROR(SUMPRODUCT(SEARCH(MID(metadata!B713,ROW(INDIRECT("1:"&amp;LEN(metadata!B713))), 1),"0123456789abcdefghijklmnopqrstuvwxyzABCDEFGHIJKLMNOPQRSTUVWXYZ.")))))</f>
        <v>0</v>
      </c>
      <c r="V713">
        <f>AND(IF(metadata!C713="",FALSE,TRUE),exact(metadata!C713,"UBERON:genitourinary"))</f>
        <v>0</v>
      </c>
      <c r="W713">
        <f>AND(IF(metadata!D713="",FALSE,TRUE),exact(metadata!D713,"UBERON:urine"))</f>
        <v>0</v>
      </c>
      <c r="X713">
        <f>AND(IF(metadata!E713="",FALSE,TRUE),exact(metadata!E713,"UBERON:kidney"))</f>
        <v>0</v>
      </c>
      <c r="Y713">
        <f>AND(IF(metadata!F713="",FALSE,TRUE),exact(metadata!F713,"animal corpus"))</f>
        <v>0</v>
      </c>
      <c r="Z713">
        <f>AND(IF(metadata!G713="",FALSE,TRUE),exact(metadata!G713,"urine"))</f>
        <v>0</v>
      </c>
      <c r="AA713">
        <f>AND(IF(metadata!H713="",FALSE,TRUE),exact(metadata!H713,"urine"))</f>
        <v>0</v>
      </c>
      <c r="AB713">
        <f>AND(IF(metadata!I713="",FALSE,TRUE),exact(metadata!I713,"urine metagenome"))</f>
        <v>0</v>
      </c>
      <c r="AC713">
        <f>AND(IF(metadata!J713="",FALSE,TRUE),exact(metadata!J713,"1346744"))</f>
        <v>0</v>
      </c>
    </row>
    <row r="714" spans="1:29">
      <c r="A714" s="4">
        <f>IF(B714=" "," ",HYPERLINK(CONCATENATE("#metadata!",ADDRESS(INDEX($P$2:$P$1001,MATCH(ROWS($N$2:N714),$N$2:$N$1001,0),0),1)),INDEX($S$2:$S$1001,MATCH(ROWS($N$2:N714),$N$2:$N$1001,0),0)))</f>
        <v>0</v>
      </c>
      <c r="B714" s="3">
        <f>IF(OR(INDEX($O$2:$O$1001,MATCH(ROWS($N$2:N714),$N$2:$N$1001,0),1)&gt;=100000,INDEX($U$1005:$AC$1005,1,MATCH(COLUMNS($U$1006:U1006),$U$1006:$AC$1006,0))&gt;=100000), " ",IF(INDEX($U$2:$AC$1001,MATCH(ROWS($N$2:N714),$N$2:$N$1001,0),MATCH(COLUMNS($U$1006:U1006),$U$1006:$AC$1006,0)), HYPERLINK("#",""), HYPERLINK(CONCATENATE("#metadata!", ADDRESS(INDEX($P$2:$P$1001,MATCH(ROWS($N$2:N714),$N$2:$N$1001,0),0), INDEX($U$1004:$AC$1004,1,MATCH(COLUMNS($U$1006:U1006),$U$1006:$AC$1006,0)))),"Fix")))</f>
        <v>0</v>
      </c>
      <c r="C714" s="3">
        <f>IF(OR(INDEX($O$2:$O$1001,MATCH(ROWS($N$2:N714),$N$2:$N$1001,0),1)&gt;=100000,INDEX($U$1005:$AC$1005,1,MATCH(COLUMNS($U$1006:V1006),$U$1006:$AC$1006,0))&gt;=100000), " ",IF(INDEX($U$2:$AC$1001,MATCH(ROWS($N$2:N714),$N$2:$N$1001,0),MATCH(COLUMNS($U$1006:V1006),$U$1006:$AC$1006,0)), HYPERLINK("#",""), HYPERLINK(CONCATENATE("#metadata!", ADDRESS(INDEX($P$2:$P$1001,MATCH(ROWS($N$2:N714),$N$2:$N$1001,0),0), INDEX($U$1004:$AC$1004,1,MATCH(COLUMNS($U$1006:V1006),$U$1006:$AC$1006,0)))),"Fix")))</f>
        <v>0</v>
      </c>
      <c r="D714" s="3">
        <f>IF(OR(INDEX($O$2:$O$1001,MATCH(ROWS($N$2:N714),$N$2:$N$1001,0),1)&gt;=100000,INDEX($U$1005:$AC$1005,1,MATCH(COLUMNS($U$1006:W1006),$U$1006:$AC$1006,0))&gt;=100000), " ",IF(INDEX($U$2:$AC$1001,MATCH(ROWS($N$2:N714),$N$2:$N$1001,0),MATCH(COLUMNS($U$1006:W1006),$U$1006:$AC$1006,0)), HYPERLINK("#",""), HYPERLINK(CONCATENATE("#metadata!", ADDRESS(INDEX($P$2:$P$1001,MATCH(ROWS($N$2:N714),$N$2:$N$1001,0),0), INDEX($U$1004:$AC$1004,1,MATCH(COLUMNS($U$1006:W1006),$U$1006:$AC$1006,0)))),"Fix")))</f>
        <v>0</v>
      </c>
      <c r="E714" s="3">
        <f>IF(OR(INDEX($O$2:$O$1001,MATCH(ROWS($N$2:N714),$N$2:$N$1001,0),1)&gt;=100000,INDEX($U$1005:$AC$1005,1,MATCH(COLUMNS($U$1006:X1006),$U$1006:$AC$1006,0))&gt;=100000), " ",IF(INDEX($U$2:$AC$1001,MATCH(ROWS($N$2:N714),$N$2:$N$1001,0),MATCH(COLUMNS($U$1006:X1006),$U$1006:$AC$1006,0)), HYPERLINK("#",""), HYPERLINK(CONCATENATE("#metadata!", ADDRESS(INDEX($P$2:$P$1001,MATCH(ROWS($N$2:N714),$N$2:$N$1001,0),0), INDEX($U$1004:$AC$1004,1,MATCH(COLUMNS($U$1006:X1006),$U$1006:$AC$1006,0)))),"Fix")))</f>
        <v>0</v>
      </c>
      <c r="F714" s="3">
        <f>IF(OR(INDEX($O$2:$O$1001,MATCH(ROWS($N$2:N714),$N$2:$N$1001,0),1)&gt;=100000,INDEX($U$1005:$AC$1005,1,MATCH(COLUMNS($U$1006:Y1006),$U$1006:$AC$1006,0))&gt;=100000), " ",IF(INDEX($U$2:$AC$1001,MATCH(ROWS($N$2:N714),$N$2:$N$1001,0),MATCH(COLUMNS($U$1006:Y1006),$U$1006:$AC$1006,0)), HYPERLINK("#",""), HYPERLINK(CONCATENATE("#metadata!", ADDRESS(INDEX($P$2:$P$1001,MATCH(ROWS($N$2:N714),$N$2:$N$1001,0),0), INDEX($U$1004:$AC$1004,1,MATCH(COLUMNS($U$1006:Y1006),$U$1006:$AC$1006,0)))),"Fix")))</f>
        <v>0</v>
      </c>
      <c r="G714" s="3">
        <f>IF(OR(INDEX($O$2:$O$1001,MATCH(ROWS($N$2:N714),$N$2:$N$1001,0),1)&gt;=100000,INDEX($U$1005:$AC$1005,1,MATCH(COLUMNS($U$1006:Z1006),$U$1006:$AC$1006,0))&gt;=100000), " ",IF(INDEX($U$2:$AC$1001,MATCH(ROWS($N$2:N714),$N$2:$N$1001,0),MATCH(COLUMNS($U$1006:Z1006),$U$1006:$AC$1006,0)), HYPERLINK("#",""), HYPERLINK(CONCATENATE("#metadata!", ADDRESS(INDEX($P$2:$P$1001,MATCH(ROWS($N$2:N714),$N$2:$N$1001,0),0), INDEX($U$1004:$AC$1004,1,MATCH(COLUMNS($U$1006:Z1006),$U$1006:$AC$1006,0)))),"Fix")))</f>
        <v>0</v>
      </c>
      <c r="H714" s="3">
        <f>IF(OR(INDEX($O$2:$O$1001,MATCH(ROWS($N$2:N714),$N$2:$N$1001,0),1)&gt;=100000,INDEX($U$1005:$AC$1005,1,MATCH(COLUMNS($U$1006:AA1006),$U$1006:$AC$1006,0))&gt;=100000), " ",IF(INDEX($U$2:$AC$1001,MATCH(ROWS($N$2:N714),$N$2:$N$1001,0),MATCH(COLUMNS($U$1006:AA1006),$U$1006:$AC$1006,0)), HYPERLINK("#",""), HYPERLINK(CONCATENATE("#metadata!", ADDRESS(INDEX($P$2:$P$1001,MATCH(ROWS($N$2:N714),$N$2:$N$1001,0),0), INDEX($U$1004:$AC$1004,1,MATCH(COLUMNS($U$1006:AA1006),$U$1006:$AC$1006,0)))),"Fix")))</f>
        <v>0</v>
      </c>
      <c r="I714" s="3">
        <f>IF(OR(INDEX($O$2:$O$1001,MATCH(ROWS($N$2:N714),$N$2:$N$1001,0),1)&gt;=100000,INDEX($U$1005:$AC$1005,1,MATCH(COLUMNS($U$1006:AB1006),$U$1006:$AC$1006,0))&gt;=100000), " ",IF(INDEX($U$2:$AC$1001,MATCH(ROWS($N$2:N714),$N$2:$N$1001,0),MATCH(COLUMNS($U$1006:AB1006),$U$1006:$AC$1006,0)), HYPERLINK("#",""), HYPERLINK(CONCATENATE("#metadata!", ADDRESS(INDEX($P$2:$P$1001,MATCH(ROWS($N$2:N714),$N$2:$N$1001,0),0), INDEX($U$1004:$AC$1004,1,MATCH(COLUMNS($U$1006:AB1006),$U$1006:$AC$1006,0)))),"Fix")))</f>
        <v>0</v>
      </c>
      <c r="J714" s="3">
        <f>IF(OR(INDEX($O$2:$O$1001,MATCH(ROWS($N$2:N714),$N$2:$N$1001,0),1)&gt;=100000,INDEX($U$1005:$AC$1005,1,MATCH(COLUMNS($U$1006:AC1006),$U$1006:$AC$1006,0))&gt;=100000), " ",IF(INDEX($U$2:$AC$1001,MATCH(ROWS($N$2:N714),$N$2:$N$1001,0),MATCH(COLUMNS($U$1006:AC1006),$U$1006:$AC$1006,0)), HYPERLINK("#",""), HYPERLINK(CONCATENATE("#metadata!", ADDRESS(INDEX($P$2:$P$1001,MATCH(ROWS($N$2:N714),$N$2:$N$1001,0),0), INDEX($U$1004:$AC$1004,1,MATCH(COLUMNS($U$1006:AC1006),$U$1006:$AC$1006,0)))),"Fix")))</f>
        <v>0</v>
      </c>
      <c r="N714">
        <v>0</v>
      </c>
      <c r="O714">
        <v>0</v>
      </c>
      <c r="P714">
        <v>0</v>
      </c>
      <c r="Q714">
        <f>IF(R714,TRUE,AND(U714:AC714))</f>
        <v>0</v>
      </c>
      <c r="R714">
        <f>COUNTBLANK(metadata!B714:J714)=COLUMNS(metadata!B714:J714)</f>
        <v>0</v>
      </c>
      <c r="S714">
        <v>0</v>
      </c>
      <c r="U714">
        <f>AND(IF(metadata!B714="",FALSE,TRUE),COUNTIF(metadata!B:B, metadata!B714) = 1,NOT(ISERROR(SUMPRODUCT(SEARCH(MID(metadata!B714,ROW(INDIRECT("1:"&amp;LEN(metadata!B714))), 1),"0123456789abcdefghijklmnopqrstuvwxyzABCDEFGHIJKLMNOPQRSTUVWXYZ.")))))</f>
        <v>0</v>
      </c>
      <c r="V714">
        <f>AND(IF(metadata!C714="",FALSE,TRUE),exact(metadata!C714,"UBERON:genitourinary"))</f>
        <v>0</v>
      </c>
      <c r="W714">
        <f>AND(IF(metadata!D714="",FALSE,TRUE),exact(metadata!D714,"UBERON:urine"))</f>
        <v>0</v>
      </c>
      <c r="X714">
        <f>AND(IF(metadata!E714="",FALSE,TRUE),exact(metadata!E714,"UBERON:kidney"))</f>
        <v>0</v>
      </c>
      <c r="Y714">
        <f>AND(IF(metadata!F714="",FALSE,TRUE),exact(metadata!F714,"animal corpus"))</f>
        <v>0</v>
      </c>
      <c r="Z714">
        <f>AND(IF(metadata!G714="",FALSE,TRUE),exact(metadata!G714,"urine"))</f>
        <v>0</v>
      </c>
      <c r="AA714">
        <f>AND(IF(metadata!H714="",FALSE,TRUE),exact(metadata!H714,"urine"))</f>
        <v>0</v>
      </c>
      <c r="AB714">
        <f>AND(IF(metadata!I714="",FALSE,TRUE),exact(metadata!I714,"urine metagenome"))</f>
        <v>0</v>
      </c>
      <c r="AC714">
        <f>AND(IF(metadata!J714="",FALSE,TRUE),exact(metadata!J714,"1346744"))</f>
        <v>0</v>
      </c>
    </row>
    <row r="715" spans="1:29">
      <c r="A715" s="4">
        <f>IF(B715=" "," ",HYPERLINK(CONCATENATE("#metadata!",ADDRESS(INDEX($P$2:$P$1001,MATCH(ROWS($N$2:N715),$N$2:$N$1001,0),0),1)),INDEX($S$2:$S$1001,MATCH(ROWS($N$2:N715),$N$2:$N$1001,0),0)))</f>
        <v>0</v>
      </c>
      <c r="B715" s="3">
        <f>IF(OR(INDEX($O$2:$O$1001,MATCH(ROWS($N$2:N715),$N$2:$N$1001,0),1)&gt;=100000,INDEX($U$1005:$AC$1005,1,MATCH(COLUMNS($U$1006:U1006),$U$1006:$AC$1006,0))&gt;=100000), " ",IF(INDEX($U$2:$AC$1001,MATCH(ROWS($N$2:N715),$N$2:$N$1001,0),MATCH(COLUMNS($U$1006:U1006),$U$1006:$AC$1006,0)), HYPERLINK("#",""), HYPERLINK(CONCATENATE("#metadata!", ADDRESS(INDEX($P$2:$P$1001,MATCH(ROWS($N$2:N715),$N$2:$N$1001,0),0), INDEX($U$1004:$AC$1004,1,MATCH(COLUMNS($U$1006:U1006),$U$1006:$AC$1006,0)))),"Fix")))</f>
        <v>0</v>
      </c>
      <c r="C715" s="3">
        <f>IF(OR(INDEX($O$2:$O$1001,MATCH(ROWS($N$2:N715),$N$2:$N$1001,0),1)&gt;=100000,INDEX($U$1005:$AC$1005,1,MATCH(COLUMNS($U$1006:V1006),$U$1006:$AC$1006,0))&gt;=100000), " ",IF(INDEX($U$2:$AC$1001,MATCH(ROWS($N$2:N715),$N$2:$N$1001,0),MATCH(COLUMNS($U$1006:V1006),$U$1006:$AC$1006,0)), HYPERLINK("#",""), HYPERLINK(CONCATENATE("#metadata!", ADDRESS(INDEX($P$2:$P$1001,MATCH(ROWS($N$2:N715),$N$2:$N$1001,0),0), INDEX($U$1004:$AC$1004,1,MATCH(COLUMNS($U$1006:V1006),$U$1006:$AC$1006,0)))),"Fix")))</f>
        <v>0</v>
      </c>
      <c r="D715" s="3">
        <f>IF(OR(INDEX($O$2:$O$1001,MATCH(ROWS($N$2:N715),$N$2:$N$1001,0),1)&gt;=100000,INDEX($U$1005:$AC$1005,1,MATCH(COLUMNS($U$1006:W1006),$U$1006:$AC$1006,0))&gt;=100000), " ",IF(INDEX($U$2:$AC$1001,MATCH(ROWS($N$2:N715),$N$2:$N$1001,0),MATCH(COLUMNS($U$1006:W1006),$U$1006:$AC$1006,0)), HYPERLINK("#",""), HYPERLINK(CONCATENATE("#metadata!", ADDRESS(INDEX($P$2:$P$1001,MATCH(ROWS($N$2:N715),$N$2:$N$1001,0),0), INDEX($U$1004:$AC$1004,1,MATCH(COLUMNS($U$1006:W1006),$U$1006:$AC$1006,0)))),"Fix")))</f>
        <v>0</v>
      </c>
      <c r="E715" s="3">
        <f>IF(OR(INDEX($O$2:$O$1001,MATCH(ROWS($N$2:N715),$N$2:$N$1001,0),1)&gt;=100000,INDEX($U$1005:$AC$1005,1,MATCH(COLUMNS($U$1006:X1006),$U$1006:$AC$1006,0))&gt;=100000), " ",IF(INDEX($U$2:$AC$1001,MATCH(ROWS($N$2:N715),$N$2:$N$1001,0),MATCH(COLUMNS($U$1006:X1006),$U$1006:$AC$1006,0)), HYPERLINK("#",""), HYPERLINK(CONCATENATE("#metadata!", ADDRESS(INDEX($P$2:$P$1001,MATCH(ROWS($N$2:N715),$N$2:$N$1001,0),0), INDEX($U$1004:$AC$1004,1,MATCH(COLUMNS($U$1006:X1006),$U$1006:$AC$1006,0)))),"Fix")))</f>
        <v>0</v>
      </c>
      <c r="F715" s="3">
        <f>IF(OR(INDEX($O$2:$O$1001,MATCH(ROWS($N$2:N715),$N$2:$N$1001,0),1)&gt;=100000,INDEX($U$1005:$AC$1005,1,MATCH(COLUMNS($U$1006:Y1006),$U$1006:$AC$1006,0))&gt;=100000), " ",IF(INDEX($U$2:$AC$1001,MATCH(ROWS($N$2:N715),$N$2:$N$1001,0),MATCH(COLUMNS($U$1006:Y1006),$U$1006:$AC$1006,0)), HYPERLINK("#",""), HYPERLINK(CONCATENATE("#metadata!", ADDRESS(INDEX($P$2:$P$1001,MATCH(ROWS($N$2:N715),$N$2:$N$1001,0),0), INDEX($U$1004:$AC$1004,1,MATCH(COLUMNS($U$1006:Y1006),$U$1006:$AC$1006,0)))),"Fix")))</f>
        <v>0</v>
      </c>
      <c r="G715" s="3">
        <f>IF(OR(INDEX($O$2:$O$1001,MATCH(ROWS($N$2:N715),$N$2:$N$1001,0),1)&gt;=100000,INDEX($U$1005:$AC$1005,1,MATCH(COLUMNS($U$1006:Z1006),$U$1006:$AC$1006,0))&gt;=100000), " ",IF(INDEX($U$2:$AC$1001,MATCH(ROWS($N$2:N715),$N$2:$N$1001,0),MATCH(COLUMNS($U$1006:Z1006),$U$1006:$AC$1006,0)), HYPERLINK("#",""), HYPERLINK(CONCATENATE("#metadata!", ADDRESS(INDEX($P$2:$P$1001,MATCH(ROWS($N$2:N715),$N$2:$N$1001,0),0), INDEX($U$1004:$AC$1004,1,MATCH(COLUMNS($U$1006:Z1006),$U$1006:$AC$1006,0)))),"Fix")))</f>
        <v>0</v>
      </c>
      <c r="H715" s="3">
        <f>IF(OR(INDEX($O$2:$O$1001,MATCH(ROWS($N$2:N715),$N$2:$N$1001,0),1)&gt;=100000,INDEX($U$1005:$AC$1005,1,MATCH(COLUMNS($U$1006:AA1006),$U$1006:$AC$1006,0))&gt;=100000), " ",IF(INDEX($U$2:$AC$1001,MATCH(ROWS($N$2:N715),$N$2:$N$1001,0),MATCH(COLUMNS($U$1006:AA1006),$U$1006:$AC$1006,0)), HYPERLINK("#",""), HYPERLINK(CONCATENATE("#metadata!", ADDRESS(INDEX($P$2:$P$1001,MATCH(ROWS($N$2:N715),$N$2:$N$1001,0),0), INDEX($U$1004:$AC$1004,1,MATCH(COLUMNS($U$1006:AA1006),$U$1006:$AC$1006,0)))),"Fix")))</f>
        <v>0</v>
      </c>
      <c r="I715" s="3">
        <f>IF(OR(INDEX($O$2:$O$1001,MATCH(ROWS($N$2:N715),$N$2:$N$1001,0),1)&gt;=100000,INDEX($U$1005:$AC$1005,1,MATCH(COLUMNS($U$1006:AB1006),$U$1006:$AC$1006,0))&gt;=100000), " ",IF(INDEX($U$2:$AC$1001,MATCH(ROWS($N$2:N715),$N$2:$N$1001,0),MATCH(COLUMNS($U$1006:AB1006),$U$1006:$AC$1006,0)), HYPERLINK("#",""), HYPERLINK(CONCATENATE("#metadata!", ADDRESS(INDEX($P$2:$P$1001,MATCH(ROWS($N$2:N715),$N$2:$N$1001,0),0), INDEX($U$1004:$AC$1004,1,MATCH(COLUMNS($U$1006:AB1006),$U$1006:$AC$1006,0)))),"Fix")))</f>
        <v>0</v>
      </c>
      <c r="J715" s="3">
        <f>IF(OR(INDEX($O$2:$O$1001,MATCH(ROWS($N$2:N715),$N$2:$N$1001,0),1)&gt;=100000,INDEX($U$1005:$AC$1005,1,MATCH(COLUMNS($U$1006:AC1006),$U$1006:$AC$1006,0))&gt;=100000), " ",IF(INDEX($U$2:$AC$1001,MATCH(ROWS($N$2:N715),$N$2:$N$1001,0),MATCH(COLUMNS($U$1006:AC1006),$U$1006:$AC$1006,0)), HYPERLINK("#",""), HYPERLINK(CONCATENATE("#metadata!", ADDRESS(INDEX($P$2:$P$1001,MATCH(ROWS($N$2:N715),$N$2:$N$1001,0),0), INDEX($U$1004:$AC$1004,1,MATCH(COLUMNS($U$1006:AC1006),$U$1006:$AC$1006,0)))),"Fix")))</f>
        <v>0</v>
      </c>
      <c r="N715">
        <v>0</v>
      </c>
      <c r="O715">
        <v>0</v>
      </c>
      <c r="P715">
        <v>0</v>
      </c>
      <c r="Q715">
        <f>IF(R715,TRUE,AND(U715:AC715))</f>
        <v>0</v>
      </c>
      <c r="R715">
        <f>COUNTBLANK(metadata!B715:J715)=COLUMNS(metadata!B715:J715)</f>
        <v>0</v>
      </c>
      <c r="S715">
        <v>0</v>
      </c>
      <c r="U715">
        <f>AND(IF(metadata!B715="",FALSE,TRUE),COUNTIF(metadata!B:B, metadata!B715) = 1,NOT(ISERROR(SUMPRODUCT(SEARCH(MID(metadata!B715,ROW(INDIRECT("1:"&amp;LEN(metadata!B715))), 1),"0123456789abcdefghijklmnopqrstuvwxyzABCDEFGHIJKLMNOPQRSTUVWXYZ.")))))</f>
        <v>0</v>
      </c>
      <c r="V715">
        <f>AND(IF(metadata!C715="",FALSE,TRUE),exact(metadata!C715,"UBERON:genitourinary"))</f>
        <v>0</v>
      </c>
      <c r="W715">
        <f>AND(IF(metadata!D715="",FALSE,TRUE),exact(metadata!D715,"UBERON:urine"))</f>
        <v>0</v>
      </c>
      <c r="X715">
        <f>AND(IF(metadata!E715="",FALSE,TRUE),exact(metadata!E715,"UBERON:kidney"))</f>
        <v>0</v>
      </c>
      <c r="Y715">
        <f>AND(IF(metadata!F715="",FALSE,TRUE),exact(metadata!F715,"animal corpus"))</f>
        <v>0</v>
      </c>
      <c r="Z715">
        <f>AND(IF(metadata!G715="",FALSE,TRUE),exact(metadata!G715,"urine"))</f>
        <v>0</v>
      </c>
      <c r="AA715">
        <f>AND(IF(metadata!H715="",FALSE,TRUE),exact(metadata!H715,"urine"))</f>
        <v>0</v>
      </c>
      <c r="AB715">
        <f>AND(IF(metadata!I715="",FALSE,TRUE),exact(metadata!I715,"urine metagenome"))</f>
        <v>0</v>
      </c>
      <c r="AC715">
        <f>AND(IF(metadata!J715="",FALSE,TRUE),exact(metadata!J715,"1346744"))</f>
        <v>0</v>
      </c>
    </row>
    <row r="716" spans="1:29">
      <c r="A716" s="4">
        <f>IF(B716=" "," ",HYPERLINK(CONCATENATE("#metadata!",ADDRESS(INDEX($P$2:$P$1001,MATCH(ROWS($N$2:N716),$N$2:$N$1001,0),0),1)),INDEX($S$2:$S$1001,MATCH(ROWS($N$2:N716),$N$2:$N$1001,0),0)))</f>
        <v>0</v>
      </c>
      <c r="B716" s="3">
        <f>IF(OR(INDEX($O$2:$O$1001,MATCH(ROWS($N$2:N716),$N$2:$N$1001,0),1)&gt;=100000,INDEX($U$1005:$AC$1005,1,MATCH(COLUMNS($U$1006:U1006),$U$1006:$AC$1006,0))&gt;=100000), " ",IF(INDEX($U$2:$AC$1001,MATCH(ROWS($N$2:N716),$N$2:$N$1001,0),MATCH(COLUMNS($U$1006:U1006),$U$1006:$AC$1006,0)), HYPERLINK("#",""), HYPERLINK(CONCATENATE("#metadata!", ADDRESS(INDEX($P$2:$P$1001,MATCH(ROWS($N$2:N716),$N$2:$N$1001,0),0), INDEX($U$1004:$AC$1004,1,MATCH(COLUMNS($U$1006:U1006),$U$1006:$AC$1006,0)))),"Fix")))</f>
        <v>0</v>
      </c>
      <c r="C716" s="3">
        <f>IF(OR(INDEX($O$2:$O$1001,MATCH(ROWS($N$2:N716),$N$2:$N$1001,0),1)&gt;=100000,INDEX($U$1005:$AC$1005,1,MATCH(COLUMNS($U$1006:V1006),$U$1006:$AC$1006,0))&gt;=100000), " ",IF(INDEX($U$2:$AC$1001,MATCH(ROWS($N$2:N716),$N$2:$N$1001,0),MATCH(COLUMNS($U$1006:V1006),$U$1006:$AC$1006,0)), HYPERLINK("#",""), HYPERLINK(CONCATENATE("#metadata!", ADDRESS(INDEX($P$2:$P$1001,MATCH(ROWS($N$2:N716),$N$2:$N$1001,0),0), INDEX($U$1004:$AC$1004,1,MATCH(COLUMNS($U$1006:V1006),$U$1006:$AC$1006,0)))),"Fix")))</f>
        <v>0</v>
      </c>
      <c r="D716" s="3">
        <f>IF(OR(INDEX($O$2:$O$1001,MATCH(ROWS($N$2:N716),$N$2:$N$1001,0),1)&gt;=100000,INDEX($U$1005:$AC$1005,1,MATCH(COLUMNS($U$1006:W1006),$U$1006:$AC$1006,0))&gt;=100000), " ",IF(INDEX($U$2:$AC$1001,MATCH(ROWS($N$2:N716),$N$2:$N$1001,0),MATCH(COLUMNS($U$1006:W1006),$U$1006:$AC$1006,0)), HYPERLINK("#",""), HYPERLINK(CONCATENATE("#metadata!", ADDRESS(INDEX($P$2:$P$1001,MATCH(ROWS($N$2:N716),$N$2:$N$1001,0),0), INDEX($U$1004:$AC$1004,1,MATCH(COLUMNS($U$1006:W1006),$U$1006:$AC$1006,0)))),"Fix")))</f>
        <v>0</v>
      </c>
      <c r="E716" s="3">
        <f>IF(OR(INDEX($O$2:$O$1001,MATCH(ROWS($N$2:N716),$N$2:$N$1001,0),1)&gt;=100000,INDEX($U$1005:$AC$1005,1,MATCH(COLUMNS($U$1006:X1006),$U$1006:$AC$1006,0))&gt;=100000), " ",IF(INDEX($U$2:$AC$1001,MATCH(ROWS($N$2:N716),$N$2:$N$1001,0),MATCH(COLUMNS($U$1006:X1006),$U$1006:$AC$1006,0)), HYPERLINK("#",""), HYPERLINK(CONCATENATE("#metadata!", ADDRESS(INDEX($P$2:$P$1001,MATCH(ROWS($N$2:N716),$N$2:$N$1001,0),0), INDEX($U$1004:$AC$1004,1,MATCH(COLUMNS($U$1006:X1006),$U$1006:$AC$1006,0)))),"Fix")))</f>
        <v>0</v>
      </c>
      <c r="F716" s="3">
        <f>IF(OR(INDEX($O$2:$O$1001,MATCH(ROWS($N$2:N716),$N$2:$N$1001,0),1)&gt;=100000,INDEX($U$1005:$AC$1005,1,MATCH(COLUMNS($U$1006:Y1006),$U$1006:$AC$1006,0))&gt;=100000), " ",IF(INDEX($U$2:$AC$1001,MATCH(ROWS($N$2:N716),$N$2:$N$1001,0),MATCH(COLUMNS($U$1006:Y1006),$U$1006:$AC$1006,0)), HYPERLINK("#",""), HYPERLINK(CONCATENATE("#metadata!", ADDRESS(INDEX($P$2:$P$1001,MATCH(ROWS($N$2:N716),$N$2:$N$1001,0),0), INDEX($U$1004:$AC$1004,1,MATCH(COLUMNS($U$1006:Y1006),$U$1006:$AC$1006,0)))),"Fix")))</f>
        <v>0</v>
      </c>
      <c r="G716" s="3">
        <f>IF(OR(INDEX($O$2:$O$1001,MATCH(ROWS($N$2:N716),$N$2:$N$1001,0),1)&gt;=100000,INDEX($U$1005:$AC$1005,1,MATCH(COLUMNS($U$1006:Z1006),$U$1006:$AC$1006,0))&gt;=100000), " ",IF(INDEX($U$2:$AC$1001,MATCH(ROWS($N$2:N716),$N$2:$N$1001,0),MATCH(COLUMNS($U$1006:Z1006),$U$1006:$AC$1006,0)), HYPERLINK("#",""), HYPERLINK(CONCATENATE("#metadata!", ADDRESS(INDEX($P$2:$P$1001,MATCH(ROWS($N$2:N716),$N$2:$N$1001,0),0), INDEX($U$1004:$AC$1004,1,MATCH(COLUMNS($U$1006:Z1006),$U$1006:$AC$1006,0)))),"Fix")))</f>
        <v>0</v>
      </c>
      <c r="H716" s="3">
        <f>IF(OR(INDEX($O$2:$O$1001,MATCH(ROWS($N$2:N716),$N$2:$N$1001,0),1)&gt;=100000,INDEX($U$1005:$AC$1005,1,MATCH(COLUMNS($U$1006:AA1006),$U$1006:$AC$1006,0))&gt;=100000), " ",IF(INDEX($U$2:$AC$1001,MATCH(ROWS($N$2:N716),$N$2:$N$1001,0),MATCH(COLUMNS($U$1006:AA1006),$U$1006:$AC$1006,0)), HYPERLINK("#",""), HYPERLINK(CONCATENATE("#metadata!", ADDRESS(INDEX($P$2:$P$1001,MATCH(ROWS($N$2:N716),$N$2:$N$1001,0),0), INDEX($U$1004:$AC$1004,1,MATCH(COLUMNS($U$1006:AA1006),$U$1006:$AC$1006,0)))),"Fix")))</f>
        <v>0</v>
      </c>
      <c r="I716" s="3">
        <f>IF(OR(INDEX($O$2:$O$1001,MATCH(ROWS($N$2:N716),$N$2:$N$1001,0),1)&gt;=100000,INDEX($U$1005:$AC$1005,1,MATCH(COLUMNS($U$1006:AB1006),$U$1006:$AC$1006,0))&gt;=100000), " ",IF(INDEX($U$2:$AC$1001,MATCH(ROWS($N$2:N716),$N$2:$N$1001,0),MATCH(COLUMNS($U$1006:AB1006),$U$1006:$AC$1006,0)), HYPERLINK("#",""), HYPERLINK(CONCATENATE("#metadata!", ADDRESS(INDEX($P$2:$P$1001,MATCH(ROWS($N$2:N716),$N$2:$N$1001,0),0), INDEX($U$1004:$AC$1004,1,MATCH(COLUMNS($U$1006:AB1006),$U$1006:$AC$1006,0)))),"Fix")))</f>
        <v>0</v>
      </c>
      <c r="J716" s="3">
        <f>IF(OR(INDEX($O$2:$O$1001,MATCH(ROWS($N$2:N716),$N$2:$N$1001,0),1)&gt;=100000,INDEX($U$1005:$AC$1005,1,MATCH(COLUMNS($U$1006:AC1006),$U$1006:$AC$1006,0))&gt;=100000), " ",IF(INDEX($U$2:$AC$1001,MATCH(ROWS($N$2:N716),$N$2:$N$1001,0),MATCH(COLUMNS($U$1006:AC1006),$U$1006:$AC$1006,0)), HYPERLINK("#",""), HYPERLINK(CONCATENATE("#metadata!", ADDRESS(INDEX($P$2:$P$1001,MATCH(ROWS($N$2:N716),$N$2:$N$1001,0),0), INDEX($U$1004:$AC$1004,1,MATCH(COLUMNS($U$1006:AC1006),$U$1006:$AC$1006,0)))),"Fix")))</f>
        <v>0</v>
      </c>
      <c r="N716">
        <v>0</v>
      </c>
      <c r="O716">
        <v>0</v>
      </c>
      <c r="P716">
        <v>0</v>
      </c>
      <c r="Q716">
        <f>IF(R716,TRUE,AND(U716:AC716))</f>
        <v>0</v>
      </c>
      <c r="R716">
        <f>COUNTBLANK(metadata!B716:J716)=COLUMNS(metadata!B716:J716)</f>
        <v>0</v>
      </c>
      <c r="S716">
        <v>0</v>
      </c>
      <c r="U716">
        <f>AND(IF(metadata!B716="",FALSE,TRUE),COUNTIF(metadata!B:B, metadata!B716) = 1,NOT(ISERROR(SUMPRODUCT(SEARCH(MID(metadata!B716,ROW(INDIRECT("1:"&amp;LEN(metadata!B716))), 1),"0123456789abcdefghijklmnopqrstuvwxyzABCDEFGHIJKLMNOPQRSTUVWXYZ.")))))</f>
        <v>0</v>
      </c>
      <c r="V716">
        <f>AND(IF(metadata!C716="",FALSE,TRUE),exact(metadata!C716,"UBERON:genitourinary"))</f>
        <v>0</v>
      </c>
      <c r="W716">
        <f>AND(IF(metadata!D716="",FALSE,TRUE),exact(metadata!D716,"UBERON:urine"))</f>
        <v>0</v>
      </c>
      <c r="X716">
        <f>AND(IF(metadata!E716="",FALSE,TRUE),exact(metadata!E716,"UBERON:kidney"))</f>
        <v>0</v>
      </c>
      <c r="Y716">
        <f>AND(IF(metadata!F716="",FALSE,TRUE),exact(metadata!F716,"animal corpus"))</f>
        <v>0</v>
      </c>
      <c r="Z716">
        <f>AND(IF(metadata!G716="",FALSE,TRUE),exact(metadata!G716,"urine"))</f>
        <v>0</v>
      </c>
      <c r="AA716">
        <f>AND(IF(metadata!H716="",FALSE,TRUE),exact(metadata!H716,"urine"))</f>
        <v>0</v>
      </c>
      <c r="AB716">
        <f>AND(IF(metadata!I716="",FALSE,TRUE),exact(metadata!I716,"urine metagenome"))</f>
        <v>0</v>
      </c>
      <c r="AC716">
        <f>AND(IF(metadata!J716="",FALSE,TRUE),exact(metadata!J716,"1346744"))</f>
        <v>0</v>
      </c>
    </row>
    <row r="717" spans="1:29">
      <c r="A717" s="4">
        <f>IF(B717=" "," ",HYPERLINK(CONCATENATE("#metadata!",ADDRESS(INDEX($P$2:$P$1001,MATCH(ROWS($N$2:N717),$N$2:$N$1001,0),0),1)),INDEX($S$2:$S$1001,MATCH(ROWS($N$2:N717),$N$2:$N$1001,0),0)))</f>
        <v>0</v>
      </c>
      <c r="B717" s="3">
        <f>IF(OR(INDEX($O$2:$O$1001,MATCH(ROWS($N$2:N717),$N$2:$N$1001,0),1)&gt;=100000,INDEX($U$1005:$AC$1005,1,MATCH(COLUMNS($U$1006:U1006),$U$1006:$AC$1006,0))&gt;=100000), " ",IF(INDEX($U$2:$AC$1001,MATCH(ROWS($N$2:N717),$N$2:$N$1001,0),MATCH(COLUMNS($U$1006:U1006),$U$1006:$AC$1006,0)), HYPERLINK("#",""), HYPERLINK(CONCATENATE("#metadata!", ADDRESS(INDEX($P$2:$P$1001,MATCH(ROWS($N$2:N717),$N$2:$N$1001,0),0), INDEX($U$1004:$AC$1004,1,MATCH(COLUMNS($U$1006:U1006),$U$1006:$AC$1006,0)))),"Fix")))</f>
        <v>0</v>
      </c>
      <c r="C717" s="3">
        <f>IF(OR(INDEX($O$2:$O$1001,MATCH(ROWS($N$2:N717),$N$2:$N$1001,0),1)&gt;=100000,INDEX($U$1005:$AC$1005,1,MATCH(COLUMNS($U$1006:V1006),$U$1006:$AC$1006,0))&gt;=100000), " ",IF(INDEX($U$2:$AC$1001,MATCH(ROWS($N$2:N717),$N$2:$N$1001,0),MATCH(COLUMNS($U$1006:V1006),$U$1006:$AC$1006,0)), HYPERLINK("#",""), HYPERLINK(CONCATENATE("#metadata!", ADDRESS(INDEX($P$2:$P$1001,MATCH(ROWS($N$2:N717),$N$2:$N$1001,0),0), INDEX($U$1004:$AC$1004,1,MATCH(COLUMNS($U$1006:V1006),$U$1006:$AC$1006,0)))),"Fix")))</f>
        <v>0</v>
      </c>
      <c r="D717" s="3">
        <f>IF(OR(INDEX($O$2:$O$1001,MATCH(ROWS($N$2:N717),$N$2:$N$1001,0),1)&gt;=100000,INDEX($U$1005:$AC$1005,1,MATCH(COLUMNS($U$1006:W1006),$U$1006:$AC$1006,0))&gt;=100000), " ",IF(INDEX($U$2:$AC$1001,MATCH(ROWS($N$2:N717),$N$2:$N$1001,0),MATCH(COLUMNS($U$1006:W1006),$U$1006:$AC$1006,0)), HYPERLINK("#",""), HYPERLINK(CONCATENATE("#metadata!", ADDRESS(INDEX($P$2:$P$1001,MATCH(ROWS($N$2:N717),$N$2:$N$1001,0),0), INDEX($U$1004:$AC$1004,1,MATCH(COLUMNS($U$1006:W1006),$U$1006:$AC$1006,0)))),"Fix")))</f>
        <v>0</v>
      </c>
      <c r="E717" s="3">
        <f>IF(OR(INDEX($O$2:$O$1001,MATCH(ROWS($N$2:N717),$N$2:$N$1001,0),1)&gt;=100000,INDEX($U$1005:$AC$1005,1,MATCH(COLUMNS($U$1006:X1006),$U$1006:$AC$1006,0))&gt;=100000), " ",IF(INDEX($U$2:$AC$1001,MATCH(ROWS($N$2:N717),$N$2:$N$1001,0),MATCH(COLUMNS($U$1006:X1006),$U$1006:$AC$1006,0)), HYPERLINK("#",""), HYPERLINK(CONCATENATE("#metadata!", ADDRESS(INDEX($P$2:$P$1001,MATCH(ROWS($N$2:N717),$N$2:$N$1001,0),0), INDEX($U$1004:$AC$1004,1,MATCH(COLUMNS($U$1006:X1006),$U$1006:$AC$1006,0)))),"Fix")))</f>
        <v>0</v>
      </c>
      <c r="F717" s="3">
        <f>IF(OR(INDEX($O$2:$O$1001,MATCH(ROWS($N$2:N717),$N$2:$N$1001,0),1)&gt;=100000,INDEX($U$1005:$AC$1005,1,MATCH(COLUMNS($U$1006:Y1006),$U$1006:$AC$1006,0))&gt;=100000), " ",IF(INDEX($U$2:$AC$1001,MATCH(ROWS($N$2:N717),$N$2:$N$1001,0),MATCH(COLUMNS($U$1006:Y1006),$U$1006:$AC$1006,0)), HYPERLINK("#",""), HYPERLINK(CONCATENATE("#metadata!", ADDRESS(INDEX($P$2:$P$1001,MATCH(ROWS($N$2:N717),$N$2:$N$1001,0),0), INDEX($U$1004:$AC$1004,1,MATCH(COLUMNS($U$1006:Y1006),$U$1006:$AC$1006,0)))),"Fix")))</f>
        <v>0</v>
      </c>
      <c r="G717" s="3">
        <f>IF(OR(INDEX($O$2:$O$1001,MATCH(ROWS($N$2:N717),$N$2:$N$1001,0),1)&gt;=100000,INDEX($U$1005:$AC$1005,1,MATCH(COLUMNS($U$1006:Z1006),$U$1006:$AC$1006,0))&gt;=100000), " ",IF(INDEX($U$2:$AC$1001,MATCH(ROWS($N$2:N717),$N$2:$N$1001,0),MATCH(COLUMNS($U$1006:Z1006),$U$1006:$AC$1006,0)), HYPERLINK("#",""), HYPERLINK(CONCATENATE("#metadata!", ADDRESS(INDEX($P$2:$P$1001,MATCH(ROWS($N$2:N717),$N$2:$N$1001,0),0), INDEX($U$1004:$AC$1004,1,MATCH(COLUMNS($U$1006:Z1006),$U$1006:$AC$1006,0)))),"Fix")))</f>
        <v>0</v>
      </c>
      <c r="H717" s="3">
        <f>IF(OR(INDEX($O$2:$O$1001,MATCH(ROWS($N$2:N717),$N$2:$N$1001,0),1)&gt;=100000,INDEX($U$1005:$AC$1005,1,MATCH(COLUMNS($U$1006:AA1006),$U$1006:$AC$1006,0))&gt;=100000), " ",IF(INDEX($U$2:$AC$1001,MATCH(ROWS($N$2:N717),$N$2:$N$1001,0),MATCH(COLUMNS($U$1006:AA1006),$U$1006:$AC$1006,0)), HYPERLINK("#",""), HYPERLINK(CONCATENATE("#metadata!", ADDRESS(INDEX($P$2:$P$1001,MATCH(ROWS($N$2:N717),$N$2:$N$1001,0),0), INDEX($U$1004:$AC$1004,1,MATCH(COLUMNS($U$1006:AA1006),$U$1006:$AC$1006,0)))),"Fix")))</f>
        <v>0</v>
      </c>
      <c r="I717" s="3">
        <f>IF(OR(INDEX($O$2:$O$1001,MATCH(ROWS($N$2:N717),$N$2:$N$1001,0),1)&gt;=100000,INDEX($U$1005:$AC$1005,1,MATCH(COLUMNS($U$1006:AB1006),$U$1006:$AC$1006,0))&gt;=100000), " ",IF(INDEX($U$2:$AC$1001,MATCH(ROWS($N$2:N717),$N$2:$N$1001,0),MATCH(COLUMNS($U$1006:AB1006),$U$1006:$AC$1006,0)), HYPERLINK("#",""), HYPERLINK(CONCATENATE("#metadata!", ADDRESS(INDEX($P$2:$P$1001,MATCH(ROWS($N$2:N717),$N$2:$N$1001,0),0), INDEX($U$1004:$AC$1004,1,MATCH(COLUMNS($U$1006:AB1006),$U$1006:$AC$1006,0)))),"Fix")))</f>
        <v>0</v>
      </c>
      <c r="J717" s="3">
        <f>IF(OR(INDEX($O$2:$O$1001,MATCH(ROWS($N$2:N717),$N$2:$N$1001,0),1)&gt;=100000,INDEX($U$1005:$AC$1005,1,MATCH(COLUMNS($U$1006:AC1006),$U$1006:$AC$1006,0))&gt;=100000), " ",IF(INDEX($U$2:$AC$1001,MATCH(ROWS($N$2:N717),$N$2:$N$1001,0),MATCH(COLUMNS($U$1006:AC1006),$U$1006:$AC$1006,0)), HYPERLINK("#",""), HYPERLINK(CONCATENATE("#metadata!", ADDRESS(INDEX($P$2:$P$1001,MATCH(ROWS($N$2:N717),$N$2:$N$1001,0),0), INDEX($U$1004:$AC$1004,1,MATCH(COLUMNS($U$1006:AC1006),$U$1006:$AC$1006,0)))),"Fix")))</f>
        <v>0</v>
      </c>
      <c r="N717">
        <v>0</v>
      </c>
      <c r="O717">
        <v>0</v>
      </c>
      <c r="P717">
        <v>0</v>
      </c>
      <c r="Q717">
        <f>IF(R717,TRUE,AND(U717:AC717))</f>
        <v>0</v>
      </c>
      <c r="R717">
        <f>COUNTBLANK(metadata!B717:J717)=COLUMNS(metadata!B717:J717)</f>
        <v>0</v>
      </c>
      <c r="S717">
        <v>0</v>
      </c>
      <c r="U717">
        <f>AND(IF(metadata!B717="",FALSE,TRUE),COUNTIF(metadata!B:B, metadata!B717) = 1,NOT(ISERROR(SUMPRODUCT(SEARCH(MID(metadata!B717,ROW(INDIRECT("1:"&amp;LEN(metadata!B717))), 1),"0123456789abcdefghijklmnopqrstuvwxyzABCDEFGHIJKLMNOPQRSTUVWXYZ.")))))</f>
        <v>0</v>
      </c>
      <c r="V717">
        <f>AND(IF(metadata!C717="",FALSE,TRUE),exact(metadata!C717,"UBERON:genitourinary"))</f>
        <v>0</v>
      </c>
      <c r="W717">
        <f>AND(IF(metadata!D717="",FALSE,TRUE),exact(metadata!D717,"UBERON:urine"))</f>
        <v>0</v>
      </c>
      <c r="X717">
        <f>AND(IF(metadata!E717="",FALSE,TRUE),exact(metadata!E717,"UBERON:kidney"))</f>
        <v>0</v>
      </c>
      <c r="Y717">
        <f>AND(IF(metadata!F717="",FALSE,TRUE),exact(metadata!F717,"animal corpus"))</f>
        <v>0</v>
      </c>
      <c r="Z717">
        <f>AND(IF(metadata!G717="",FALSE,TRUE),exact(metadata!G717,"urine"))</f>
        <v>0</v>
      </c>
      <c r="AA717">
        <f>AND(IF(metadata!H717="",FALSE,TRUE),exact(metadata!H717,"urine"))</f>
        <v>0</v>
      </c>
      <c r="AB717">
        <f>AND(IF(metadata!I717="",FALSE,TRUE),exact(metadata!I717,"urine metagenome"))</f>
        <v>0</v>
      </c>
      <c r="AC717">
        <f>AND(IF(metadata!J717="",FALSE,TRUE),exact(metadata!J717,"1346744"))</f>
        <v>0</v>
      </c>
    </row>
    <row r="718" spans="1:29">
      <c r="A718" s="4">
        <f>IF(B718=" "," ",HYPERLINK(CONCATENATE("#metadata!",ADDRESS(INDEX($P$2:$P$1001,MATCH(ROWS($N$2:N718),$N$2:$N$1001,0),0),1)),INDEX($S$2:$S$1001,MATCH(ROWS($N$2:N718),$N$2:$N$1001,0),0)))</f>
        <v>0</v>
      </c>
      <c r="B718" s="3">
        <f>IF(OR(INDEX($O$2:$O$1001,MATCH(ROWS($N$2:N718),$N$2:$N$1001,0),1)&gt;=100000,INDEX($U$1005:$AC$1005,1,MATCH(COLUMNS($U$1006:U1006),$U$1006:$AC$1006,0))&gt;=100000), " ",IF(INDEX($U$2:$AC$1001,MATCH(ROWS($N$2:N718),$N$2:$N$1001,0),MATCH(COLUMNS($U$1006:U1006),$U$1006:$AC$1006,0)), HYPERLINK("#",""), HYPERLINK(CONCATENATE("#metadata!", ADDRESS(INDEX($P$2:$P$1001,MATCH(ROWS($N$2:N718),$N$2:$N$1001,0),0), INDEX($U$1004:$AC$1004,1,MATCH(COLUMNS($U$1006:U1006),$U$1006:$AC$1006,0)))),"Fix")))</f>
        <v>0</v>
      </c>
      <c r="C718" s="3">
        <f>IF(OR(INDEX($O$2:$O$1001,MATCH(ROWS($N$2:N718),$N$2:$N$1001,0),1)&gt;=100000,INDEX($U$1005:$AC$1005,1,MATCH(COLUMNS($U$1006:V1006),$U$1006:$AC$1006,0))&gt;=100000), " ",IF(INDEX($U$2:$AC$1001,MATCH(ROWS($N$2:N718),$N$2:$N$1001,0),MATCH(COLUMNS($U$1006:V1006),$U$1006:$AC$1006,0)), HYPERLINK("#",""), HYPERLINK(CONCATENATE("#metadata!", ADDRESS(INDEX($P$2:$P$1001,MATCH(ROWS($N$2:N718),$N$2:$N$1001,0),0), INDEX($U$1004:$AC$1004,1,MATCH(COLUMNS($U$1006:V1006),$U$1006:$AC$1006,0)))),"Fix")))</f>
        <v>0</v>
      </c>
      <c r="D718" s="3">
        <f>IF(OR(INDEX($O$2:$O$1001,MATCH(ROWS($N$2:N718),$N$2:$N$1001,0),1)&gt;=100000,INDEX($U$1005:$AC$1005,1,MATCH(COLUMNS($U$1006:W1006),$U$1006:$AC$1006,0))&gt;=100000), " ",IF(INDEX($U$2:$AC$1001,MATCH(ROWS($N$2:N718),$N$2:$N$1001,0),MATCH(COLUMNS($U$1006:W1006),$U$1006:$AC$1006,0)), HYPERLINK("#",""), HYPERLINK(CONCATENATE("#metadata!", ADDRESS(INDEX($P$2:$P$1001,MATCH(ROWS($N$2:N718),$N$2:$N$1001,0),0), INDEX($U$1004:$AC$1004,1,MATCH(COLUMNS($U$1006:W1006),$U$1006:$AC$1006,0)))),"Fix")))</f>
        <v>0</v>
      </c>
      <c r="E718" s="3">
        <f>IF(OR(INDEX($O$2:$O$1001,MATCH(ROWS($N$2:N718),$N$2:$N$1001,0),1)&gt;=100000,INDEX($U$1005:$AC$1005,1,MATCH(COLUMNS($U$1006:X1006),$U$1006:$AC$1006,0))&gt;=100000), " ",IF(INDEX($U$2:$AC$1001,MATCH(ROWS($N$2:N718),$N$2:$N$1001,0),MATCH(COLUMNS($U$1006:X1006),$U$1006:$AC$1006,0)), HYPERLINK("#",""), HYPERLINK(CONCATENATE("#metadata!", ADDRESS(INDEX($P$2:$P$1001,MATCH(ROWS($N$2:N718),$N$2:$N$1001,0),0), INDEX($U$1004:$AC$1004,1,MATCH(COLUMNS($U$1006:X1006),$U$1006:$AC$1006,0)))),"Fix")))</f>
        <v>0</v>
      </c>
      <c r="F718" s="3">
        <f>IF(OR(INDEX($O$2:$O$1001,MATCH(ROWS($N$2:N718),$N$2:$N$1001,0),1)&gt;=100000,INDEX($U$1005:$AC$1005,1,MATCH(COLUMNS($U$1006:Y1006),$U$1006:$AC$1006,0))&gt;=100000), " ",IF(INDEX($U$2:$AC$1001,MATCH(ROWS($N$2:N718),$N$2:$N$1001,0),MATCH(COLUMNS($U$1006:Y1006),$U$1006:$AC$1006,0)), HYPERLINK("#",""), HYPERLINK(CONCATENATE("#metadata!", ADDRESS(INDEX($P$2:$P$1001,MATCH(ROWS($N$2:N718),$N$2:$N$1001,0),0), INDEX($U$1004:$AC$1004,1,MATCH(COLUMNS($U$1006:Y1006),$U$1006:$AC$1006,0)))),"Fix")))</f>
        <v>0</v>
      </c>
      <c r="G718" s="3">
        <f>IF(OR(INDEX($O$2:$O$1001,MATCH(ROWS($N$2:N718),$N$2:$N$1001,0),1)&gt;=100000,INDEX($U$1005:$AC$1005,1,MATCH(COLUMNS($U$1006:Z1006),$U$1006:$AC$1006,0))&gt;=100000), " ",IF(INDEX($U$2:$AC$1001,MATCH(ROWS($N$2:N718),$N$2:$N$1001,0),MATCH(COLUMNS($U$1006:Z1006),$U$1006:$AC$1006,0)), HYPERLINK("#",""), HYPERLINK(CONCATENATE("#metadata!", ADDRESS(INDEX($P$2:$P$1001,MATCH(ROWS($N$2:N718),$N$2:$N$1001,0),0), INDEX($U$1004:$AC$1004,1,MATCH(COLUMNS($U$1006:Z1006),$U$1006:$AC$1006,0)))),"Fix")))</f>
        <v>0</v>
      </c>
      <c r="H718" s="3">
        <f>IF(OR(INDEX($O$2:$O$1001,MATCH(ROWS($N$2:N718),$N$2:$N$1001,0),1)&gt;=100000,INDEX($U$1005:$AC$1005,1,MATCH(COLUMNS($U$1006:AA1006),$U$1006:$AC$1006,0))&gt;=100000), " ",IF(INDEX($U$2:$AC$1001,MATCH(ROWS($N$2:N718),$N$2:$N$1001,0),MATCH(COLUMNS($U$1006:AA1006),$U$1006:$AC$1006,0)), HYPERLINK("#",""), HYPERLINK(CONCATENATE("#metadata!", ADDRESS(INDEX($P$2:$P$1001,MATCH(ROWS($N$2:N718),$N$2:$N$1001,0),0), INDEX($U$1004:$AC$1004,1,MATCH(COLUMNS($U$1006:AA1006),$U$1006:$AC$1006,0)))),"Fix")))</f>
        <v>0</v>
      </c>
      <c r="I718" s="3">
        <f>IF(OR(INDEX($O$2:$O$1001,MATCH(ROWS($N$2:N718),$N$2:$N$1001,0),1)&gt;=100000,INDEX($U$1005:$AC$1005,1,MATCH(COLUMNS($U$1006:AB1006),$U$1006:$AC$1006,0))&gt;=100000), " ",IF(INDEX($U$2:$AC$1001,MATCH(ROWS($N$2:N718),$N$2:$N$1001,0),MATCH(COLUMNS($U$1006:AB1006),$U$1006:$AC$1006,0)), HYPERLINK("#",""), HYPERLINK(CONCATENATE("#metadata!", ADDRESS(INDEX($P$2:$P$1001,MATCH(ROWS($N$2:N718),$N$2:$N$1001,0),0), INDEX($U$1004:$AC$1004,1,MATCH(COLUMNS($U$1006:AB1006),$U$1006:$AC$1006,0)))),"Fix")))</f>
        <v>0</v>
      </c>
      <c r="J718" s="3">
        <f>IF(OR(INDEX($O$2:$O$1001,MATCH(ROWS($N$2:N718),$N$2:$N$1001,0),1)&gt;=100000,INDEX($U$1005:$AC$1005,1,MATCH(COLUMNS($U$1006:AC1006),$U$1006:$AC$1006,0))&gt;=100000), " ",IF(INDEX($U$2:$AC$1001,MATCH(ROWS($N$2:N718),$N$2:$N$1001,0),MATCH(COLUMNS($U$1006:AC1006),$U$1006:$AC$1006,0)), HYPERLINK("#",""), HYPERLINK(CONCATENATE("#metadata!", ADDRESS(INDEX($P$2:$P$1001,MATCH(ROWS($N$2:N718),$N$2:$N$1001,0),0), INDEX($U$1004:$AC$1004,1,MATCH(COLUMNS($U$1006:AC1006),$U$1006:$AC$1006,0)))),"Fix")))</f>
        <v>0</v>
      </c>
      <c r="N718">
        <v>0</v>
      </c>
      <c r="O718">
        <v>0</v>
      </c>
      <c r="P718">
        <v>0</v>
      </c>
      <c r="Q718">
        <f>IF(R718,TRUE,AND(U718:AC718))</f>
        <v>0</v>
      </c>
      <c r="R718">
        <f>COUNTBLANK(metadata!B718:J718)=COLUMNS(metadata!B718:J718)</f>
        <v>0</v>
      </c>
      <c r="S718">
        <v>0</v>
      </c>
      <c r="U718">
        <f>AND(IF(metadata!B718="",FALSE,TRUE),COUNTIF(metadata!B:B, metadata!B718) = 1,NOT(ISERROR(SUMPRODUCT(SEARCH(MID(metadata!B718,ROW(INDIRECT("1:"&amp;LEN(metadata!B718))), 1),"0123456789abcdefghijklmnopqrstuvwxyzABCDEFGHIJKLMNOPQRSTUVWXYZ.")))))</f>
        <v>0</v>
      </c>
      <c r="V718">
        <f>AND(IF(metadata!C718="",FALSE,TRUE),exact(metadata!C718,"UBERON:genitourinary"))</f>
        <v>0</v>
      </c>
      <c r="W718">
        <f>AND(IF(metadata!D718="",FALSE,TRUE),exact(metadata!D718,"UBERON:urine"))</f>
        <v>0</v>
      </c>
      <c r="X718">
        <f>AND(IF(metadata!E718="",FALSE,TRUE),exact(metadata!E718,"UBERON:kidney"))</f>
        <v>0</v>
      </c>
      <c r="Y718">
        <f>AND(IF(metadata!F718="",FALSE,TRUE),exact(metadata!F718,"animal corpus"))</f>
        <v>0</v>
      </c>
      <c r="Z718">
        <f>AND(IF(metadata!G718="",FALSE,TRUE),exact(metadata!G718,"urine"))</f>
        <v>0</v>
      </c>
      <c r="AA718">
        <f>AND(IF(metadata!H718="",FALSE,TRUE),exact(metadata!H718,"urine"))</f>
        <v>0</v>
      </c>
      <c r="AB718">
        <f>AND(IF(metadata!I718="",FALSE,TRUE),exact(metadata!I718,"urine metagenome"))</f>
        <v>0</v>
      </c>
      <c r="AC718">
        <f>AND(IF(metadata!J718="",FALSE,TRUE),exact(metadata!J718,"1346744"))</f>
        <v>0</v>
      </c>
    </row>
    <row r="719" spans="1:29">
      <c r="A719" s="4">
        <f>IF(B719=" "," ",HYPERLINK(CONCATENATE("#metadata!",ADDRESS(INDEX($P$2:$P$1001,MATCH(ROWS($N$2:N719),$N$2:$N$1001,0),0),1)),INDEX($S$2:$S$1001,MATCH(ROWS($N$2:N719),$N$2:$N$1001,0),0)))</f>
        <v>0</v>
      </c>
      <c r="B719" s="3">
        <f>IF(OR(INDEX($O$2:$O$1001,MATCH(ROWS($N$2:N719),$N$2:$N$1001,0),1)&gt;=100000,INDEX($U$1005:$AC$1005,1,MATCH(COLUMNS($U$1006:U1006),$U$1006:$AC$1006,0))&gt;=100000), " ",IF(INDEX($U$2:$AC$1001,MATCH(ROWS($N$2:N719),$N$2:$N$1001,0),MATCH(COLUMNS($U$1006:U1006),$U$1006:$AC$1006,0)), HYPERLINK("#",""), HYPERLINK(CONCATENATE("#metadata!", ADDRESS(INDEX($P$2:$P$1001,MATCH(ROWS($N$2:N719),$N$2:$N$1001,0),0), INDEX($U$1004:$AC$1004,1,MATCH(COLUMNS($U$1006:U1006),$U$1006:$AC$1006,0)))),"Fix")))</f>
        <v>0</v>
      </c>
      <c r="C719" s="3">
        <f>IF(OR(INDEX($O$2:$O$1001,MATCH(ROWS($N$2:N719),$N$2:$N$1001,0),1)&gt;=100000,INDEX($U$1005:$AC$1005,1,MATCH(COLUMNS($U$1006:V1006),$U$1006:$AC$1006,0))&gt;=100000), " ",IF(INDEX($U$2:$AC$1001,MATCH(ROWS($N$2:N719),$N$2:$N$1001,0),MATCH(COLUMNS($U$1006:V1006),$U$1006:$AC$1006,0)), HYPERLINK("#",""), HYPERLINK(CONCATENATE("#metadata!", ADDRESS(INDEX($P$2:$P$1001,MATCH(ROWS($N$2:N719),$N$2:$N$1001,0),0), INDEX($U$1004:$AC$1004,1,MATCH(COLUMNS($U$1006:V1006),$U$1006:$AC$1006,0)))),"Fix")))</f>
        <v>0</v>
      </c>
      <c r="D719" s="3">
        <f>IF(OR(INDEX($O$2:$O$1001,MATCH(ROWS($N$2:N719),$N$2:$N$1001,0),1)&gt;=100000,INDEX($U$1005:$AC$1005,1,MATCH(COLUMNS($U$1006:W1006),$U$1006:$AC$1006,0))&gt;=100000), " ",IF(INDEX($U$2:$AC$1001,MATCH(ROWS($N$2:N719),$N$2:$N$1001,0),MATCH(COLUMNS($U$1006:W1006),$U$1006:$AC$1006,0)), HYPERLINK("#",""), HYPERLINK(CONCATENATE("#metadata!", ADDRESS(INDEX($P$2:$P$1001,MATCH(ROWS($N$2:N719),$N$2:$N$1001,0),0), INDEX($U$1004:$AC$1004,1,MATCH(COLUMNS($U$1006:W1006),$U$1006:$AC$1006,0)))),"Fix")))</f>
        <v>0</v>
      </c>
      <c r="E719" s="3">
        <f>IF(OR(INDEX($O$2:$O$1001,MATCH(ROWS($N$2:N719),$N$2:$N$1001,0),1)&gt;=100000,INDEX($U$1005:$AC$1005,1,MATCH(COLUMNS($U$1006:X1006),$U$1006:$AC$1006,0))&gt;=100000), " ",IF(INDEX($U$2:$AC$1001,MATCH(ROWS($N$2:N719),$N$2:$N$1001,0),MATCH(COLUMNS($U$1006:X1006),$U$1006:$AC$1006,0)), HYPERLINK("#",""), HYPERLINK(CONCATENATE("#metadata!", ADDRESS(INDEX($P$2:$P$1001,MATCH(ROWS($N$2:N719),$N$2:$N$1001,0),0), INDEX($U$1004:$AC$1004,1,MATCH(COLUMNS($U$1006:X1006),$U$1006:$AC$1006,0)))),"Fix")))</f>
        <v>0</v>
      </c>
      <c r="F719" s="3">
        <f>IF(OR(INDEX($O$2:$O$1001,MATCH(ROWS($N$2:N719),$N$2:$N$1001,0),1)&gt;=100000,INDEX($U$1005:$AC$1005,1,MATCH(COLUMNS($U$1006:Y1006),$U$1006:$AC$1006,0))&gt;=100000), " ",IF(INDEX($U$2:$AC$1001,MATCH(ROWS($N$2:N719),$N$2:$N$1001,0),MATCH(COLUMNS($U$1006:Y1006),$U$1006:$AC$1006,0)), HYPERLINK("#",""), HYPERLINK(CONCATENATE("#metadata!", ADDRESS(INDEX($P$2:$P$1001,MATCH(ROWS($N$2:N719),$N$2:$N$1001,0),0), INDEX($U$1004:$AC$1004,1,MATCH(COLUMNS($U$1006:Y1006),$U$1006:$AC$1006,0)))),"Fix")))</f>
        <v>0</v>
      </c>
      <c r="G719" s="3">
        <f>IF(OR(INDEX($O$2:$O$1001,MATCH(ROWS($N$2:N719),$N$2:$N$1001,0),1)&gt;=100000,INDEX($U$1005:$AC$1005,1,MATCH(COLUMNS($U$1006:Z1006),$U$1006:$AC$1006,0))&gt;=100000), " ",IF(INDEX($U$2:$AC$1001,MATCH(ROWS($N$2:N719),$N$2:$N$1001,0),MATCH(COLUMNS($U$1006:Z1006),$U$1006:$AC$1006,0)), HYPERLINK("#",""), HYPERLINK(CONCATENATE("#metadata!", ADDRESS(INDEX($P$2:$P$1001,MATCH(ROWS($N$2:N719),$N$2:$N$1001,0),0), INDEX($U$1004:$AC$1004,1,MATCH(COLUMNS($U$1006:Z1006),$U$1006:$AC$1006,0)))),"Fix")))</f>
        <v>0</v>
      </c>
      <c r="H719" s="3">
        <f>IF(OR(INDEX($O$2:$O$1001,MATCH(ROWS($N$2:N719),$N$2:$N$1001,0),1)&gt;=100000,INDEX($U$1005:$AC$1005,1,MATCH(COLUMNS($U$1006:AA1006),$U$1006:$AC$1006,0))&gt;=100000), " ",IF(INDEX($U$2:$AC$1001,MATCH(ROWS($N$2:N719),$N$2:$N$1001,0),MATCH(COLUMNS($U$1006:AA1006),$U$1006:$AC$1006,0)), HYPERLINK("#",""), HYPERLINK(CONCATENATE("#metadata!", ADDRESS(INDEX($P$2:$P$1001,MATCH(ROWS($N$2:N719),$N$2:$N$1001,0),0), INDEX($U$1004:$AC$1004,1,MATCH(COLUMNS($U$1006:AA1006),$U$1006:$AC$1006,0)))),"Fix")))</f>
        <v>0</v>
      </c>
      <c r="I719" s="3">
        <f>IF(OR(INDEX($O$2:$O$1001,MATCH(ROWS($N$2:N719),$N$2:$N$1001,0),1)&gt;=100000,INDEX($U$1005:$AC$1005,1,MATCH(COLUMNS($U$1006:AB1006),$U$1006:$AC$1006,0))&gt;=100000), " ",IF(INDEX($U$2:$AC$1001,MATCH(ROWS($N$2:N719),$N$2:$N$1001,0),MATCH(COLUMNS($U$1006:AB1006),$U$1006:$AC$1006,0)), HYPERLINK("#",""), HYPERLINK(CONCATENATE("#metadata!", ADDRESS(INDEX($P$2:$P$1001,MATCH(ROWS($N$2:N719),$N$2:$N$1001,0),0), INDEX($U$1004:$AC$1004,1,MATCH(COLUMNS($U$1006:AB1006),$U$1006:$AC$1006,0)))),"Fix")))</f>
        <v>0</v>
      </c>
      <c r="J719" s="3">
        <f>IF(OR(INDEX($O$2:$O$1001,MATCH(ROWS($N$2:N719),$N$2:$N$1001,0),1)&gt;=100000,INDEX($U$1005:$AC$1005,1,MATCH(COLUMNS($U$1006:AC1006),$U$1006:$AC$1006,0))&gt;=100000), " ",IF(INDEX($U$2:$AC$1001,MATCH(ROWS($N$2:N719),$N$2:$N$1001,0),MATCH(COLUMNS($U$1006:AC1006),$U$1006:$AC$1006,0)), HYPERLINK("#",""), HYPERLINK(CONCATENATE("#metadata!", ADDRESS(INDEX($P$2:$P$1001,MATCH(ROWS($N$2:N719),$N$2:$N$1001,0),0), INDEX($U$1004:$AC$1004,1,MATCH(COLUMNS($U$1006:AC1006),$U$1006:$AC$1006,0)))),"Fix")))</f>
        <v>0</v>
      </c>
      <c r="N719">
        <v>0</v>
      </c>
      <c r="O719">
        <v>0</v>
      </c>
      <c r="P719">
        <v>0</v>
      </c>
      <c r="Q719">
        <f>IF(R719,TRUE,AND(U719:AC719))</f>
        <v>0</v>
      </c>
      <c r="R719">
        <f>COUNTBLANK(metadata!B719:J719)=COLUMNS(metadata!B719:J719)</f>
        <v>0</v>
      </c>
      <c r="S719">
        <v>0</v>
      </c>
      <c r="U719">
        <f>AND(IF(metadata!B719="",FALSE,TRUE),COUNTIF(metadata!B:B, metadata!B719) = 1,NOT(ISERROR(SUMPRODUCT(SEARCH(MID(metadata!B719,ROW(INDIRECT("1:"&amp;LEN(metadata!B719))), 1),"0123456789abcdefghijklmnopqrstuvwxyzABCDEFGHIJKLMNOPQRSTUVWXYZ.")))))</f>
        <v>0</v>
      </c>
      <c r="V719">
        <f>AND(IF(metadata!C719="",FALSE,TRUE),exact(metadata!C719,"UBERON:genitourinary"))</f>
        <v>0</v>
      </c>
      <c r="W719">
        <f>AND(IF(metadata!D719="",FALSE,TRUE),exact(metadata!D719,"UBERON:urine"))</f>
        <v>0</v>
      </c>
      <c r="X719">
        <f>AND(IF(metadata!E719="",FALSE,TRUE),exact(metadata!E719,"UBERON:kidney"))</f>
        <v>0</v>
      </c>
      <c r="Y719">
        <f>AND(IF(metadata!F719="",FALSE,TRUE),exact(metadata!F719,"animal corpus"))</f>
        <v>0</v>
      </c>
      <c r="Z719">
        <f>AND(IF(metadata!G719="",FALSE,TRUE),exact(metadata!G719,"urine"))</f>
        <v>0</v>
      </c>
      <c r="AA719">
        <f>AND(IF(metadata!H719="",FALSE,TRUE),exact(metadata!H719,"urine"))</f>
        <v>0</v>
      </c>
      <c r="AB719">
        <f>AND(IF(metadata!I719="",FALSE,TRUE),exact(metadata!I719,"urine metagenome"))</f>
        <v>0</v>
      </c>
      <c r="AC719">
        <f>AND(IF(metadata!J719="",FALSE,TRUE),exact(metadata!J719,"1346744"))</f>
        <v>0</v>
      </c>
    </row>
    <row r="720" spans="1:29">
      <c r="A720" s="4">
        <f>IF(B720=" "," ",HYPERLINK(CONCATENATE("#metadata!",ADDRESS(INDEX($P$2:$P$1001,MATCH(ROWS($N$2:N720),$N$2:$N$1001,0),0),1)),INDEX($S$2:$S$1001,MATCH(ROWS($N$2:N720),$N$2:$N$1001,0),0)))</f>
        <v>0</v>
      </c>
      <c r="B720" s="3">
        <f>IF(OR(INDEX($O$2:$O$1001,MATCH(ROWS($N$2:N720),$N$2:$N$1001,0),1)&gt;=100000,INDEX($U$1005:$AC$1005,1,MATCH(COLUMNS($U$1006:U1006),$U$1006:$AC$1006,0))&gt;=100000), " ",IF(INDEX($U$2:$AC$1001,MATCH(ROWS($N$2:N720),$N$2:$N$1001,0),MATCH(COLUMNS($U$1006:U1006),$U$1006:$AC$1006,0)), HYPERLINK("#",""), HYPERLINK(CONCATENATE("#metadata!", ADDRESS(INDEX($P$2:$P$1001,MATCH(ROWS($N$2:N720),$N$2:$N$1001,0),0), INDEX($U$1004:$AC$1004,1,MATCH(COLUMNS($U$1006:U1006),$U$1006:$AC$1006,0)))),"Fix")))</f>
        <v>0</v>
      </c>
      <c r="C720" s="3">
        <f>IF(OR(INDEX($O$2:$O$1001,MATCH(ROWS($N$2:N720),$N$2:$N$1001,0),1)&gt;=100000,INDEX($U$1005:$AC$1005,1,MATCH(COLUMNS($U$1006:V1006),$U$1006:$AC$1006,0))&gt;=100000), " ",IF(INDEX($U$2:$AC$1001,MATCH(ROWS($N$2:N720),$N$2:$N$1001,0),MATCH(COLUMNS($U$1006:V1006),$U$1006:$AC$1006,0)), HYPERLINK("#",""), HYPERLINK(CONCATENATE("#metadata!", ADDRESS(INDEX($P$2:$P$1001,MATCH(ROWS($N$2:N720),$N$2:$N$1001,0),0), INDEX($U$1004:$AC$1004,1,MATCH(COLUMNS($U$1006:V1006),$U$1006:$AC$1006,0)))),"Fix")))</f>
        <v>0</v>
      </c>
      <c r="D720" s="3">
        <f>IF(OR(INDEX($O$2:$O$1001,MATCH(ROWS($N$2:N720),$N$2:$N$1001,0),1)&gt;=100000,INDEX($U$1005:$AC$1005,1,MATCH(COLUMNS($U$1006:W1006),$U$1006:$AC$1006,0))&gt;=100000), " ",IF(INDEX($U$2:$AC$1001,MATCH(ROWS($N$2:N720),$N$2:$N$1001,0),MATCH(COLUMNS($U$1006:W1006),$U$1006:$AC$1006,0)), HYPERLINK("#",""), HYPERLINK(CONCATENATE("#metadata!", ADDRESS(INDEX($P$2:$P$1001,MATCH(ROWS($N$2:N720),$N$2:$N$1001,0),0), INDEX($U$1004:$AC$1004,1,MATCH(COLUMNS($U$1006:W1006),$U$1006:$AC$1006,0)))),"Fix")))</f>
        <v>0</v>
      </c>
      <c r="E720" s="3">
        <f>IF(OR(INDEX($O$2:$O$1001,MATCH(ROWS($N$2:N720),$N$2:$N$1001,0),1)&gt;=100000,INDEX($U$1005:$AC$1005,1,MATCH(COLUMNS($U$1006:X1006),$U$1006:$AC$1006,0))&gt;=100000), " ",IF(INDEX($U$2:$AC$1001,MATCH(ROWS($N$2:N720),$N$2:$N$1001,0),MATCH(COLUMNS($U$1006:X1006),$U$1006:$AC$1006,0)), HYPERLINK("#",""), HYPERLINK(CONCATENATE("#metadata!", ADDRESS(INDEX($P$2:$P$1001,MATCH(ROWS($N$2:N720),$N$2:$N$1001,0),0), INDEX($U$1004:$AC$1004,1,MATCH(COLUMNS($U$1006:X1006),$U$1006:$AC$1006,0)))),"Fix")))</f>
        <v>0</v>
      </c>
      <c r="F720" s="3">
        <f>IF(OR(INDEX($O$2:$O$1001,MATCH(ROWS($N$2:N720),$N$2:$N$1001,0),1)&gt;=100000,INDEX($U$1005:$AC$1005,1,MATCH(COLUMNS($U$1006:Y1006),$U$1006:$AC$1006,0))&gt;=100000), " ",IF(INDEX($U$2:$AC$1001,MATCH(ROWS($N$2:N720),$N$2:$N$1001,0),MATCH(COLUMNS($U$1006:Y1006),$U$1006:$AC$1006,0)), HYPERLINK("#",""), HYPERLINK(CONCATENATE("#metadata!", ADDRESS(INDEX($P$2:$P$1001,MATCH(ROWS($N$2:N720),$N$2:$N$1001,0),0), INDEX($U$1004:$AC$1004,1,MATCH(COLUMNS($U$1006:Y1006),$U$1006:$AC$1006,0)))),"Fix")))</f>
        <v>0</v>
      </c>
      <c r="G720" s="3">
        <f>IF(OR(INDEX($O$2:$O$1001,MATCH(ROWS($N$2:N720),$N$2:$N$1001,0),1)&gt;=100000,INDEX($U$1005:$AC$1005,1,MATCH(COLUMNS($U$1006:Z1006),$U$1006:$AC$1006,0))&gt;=100000), " ",IF(INDEX($U$2:$AC$1001,MATCH(ROWS($N$2:N720),$N$2:$N$1001,0),MATCH(COLUMNS($U$1006:Z1006),$U$1006:$AC$1006,0)), HYPERLINK("#",""), HYPERLINK(CONCATENATE("#metadata!", ADDRESS(INDEX($P$2:$P$1001,MATCH(ROWS($N$2:N720),$N$2:$N$1001,0),0), INDEX($U$1004:$AC$1004,1,MATCH(COLUMNS($U$1006:Z1006),$U$1006:$AC$1006,0)))),"Fix")))</f>
        <v>0</v>
      </c>
      <c r="H720" s="3">
        <f>IF(OR(INDEX($O$2:$O$1001,MATCH(ROWS($N$2:N720),$N$2:$N$1001,0),1)&gt;=100000,INDEX($U$1005:$AC$1005,1,MATCH(COLUMNS($U$1006:AA1006),$U$1006:$AC$1006,0))&gt;=100000), " ",IF(INDEX($U$2:$AC$1001,MATCH(ROWS($N$2:N720),$N$2:$N$1001,0),MATCH(COLUMNS($U$1006:AA1006),$U$1006:$AC$1006,0)), HYPERLINK("#",""), HYPERLINK(CONCATENATE("#metadata!", ADDRESS(INDEX($P$2:$P$1001,MATCH(ROWS($N$2:N720),$N$2:$N$1001,0),0), INDEX($U$1004:$AC$1004,1,MATCH(COLUMNS($U$1006:AA1006),$U$1006:$AC$1006,0)))),"Fix")))</f>
        <v>0</v>
      </c>
      <c r="I720" s="3">
        <f>IF(OR(INDEX($O$2:$O$1001,MATCH(ROWS($N$2:N720),$N$2:$N$1001,0),1)&gt;=100000,INDEX($U$1005:$AC$1005,1,MATCH(COLUMNS($U$1006:AB1006),$U$1006:$AC$1006,0))&gt;=100000), " ",IF(INDEX($U$2:$AC$1001,MATCH(ROWS($N$2:N720),$N$2:$N$1001,0),MATCH(COLUMNS($U$1006:AB1006),$U$1006:$AC$1006,0)), HYPERLINK("#",""), HYPERLINK(CONCATENATE("#metadata!", ADDRESS(INDEX($P$2:$P$1001,MATCH(ROWS($N$2:N720),$N$2:$N$1001,0),0), INDEX($U$1004:$AC$1004,1,MATCH(COLUMNS($U$1006:AB1006),$U$1006:$AC$1006,0)))),"Fix")))</f>
        <v>0</v>
      </c>
      <c r="J720" s="3">
        <f>IF(OR(INDEX($O$2:$O$1001,MATCH(ROWS($N$2:N720),$N$2:$N$1001,0),1)&gt;=100000,INDEX($U$1005:$AC$1005,1,MATCH(COLUMNS($U$1006:AC1006),$U$1006:$AC$1006,0))&gt;=100000), " ",IF(INDEX($U$2:$AC$1001,MATCH(ROWS($N$2:N720),$N$2:$N$1001,0),MATCH(COLUMNS($U$1006:AC1006),$U$1006:$AC$1006,0)), HYPERLINK("#",""), HYPERLINK(CONCATENATE("#metadata!", ADDRESS(INDEX($P$2:$P$1001,MATCH(ROWS($N$2:N720),$N$2:$N$1001,0),0), INDEX($U$1004:$AC$1004,1,MATCH(COLUMNS($U$1006:AC1006),$U$1006:$AC$1006,0)))),"Fix")))</f>
        <v>0</v>
      </c>
      <c r="N720">
        <v>0</v>
      </c>
      <c r="O720">
        <v>0</v>
      </c>
      <c r="P720">
        <v>0</v>
      </c>
      <c r="Q720">
        <f>IF(R720,TRUE,AND(U720:AC720))</f>
        <v>0</v>
      </c>
      <c r="R720">
        <f>COUNTBLANK(metadata!B720:J720)=COLUMNS(metadata!B720:J720)</f>
        <v>0</v>
      </c>
      <c r="S720">
        <v>0</v>
      </c>
      <c r="U720">
        <f>AND(IF(metadata!B720="",FALSE,TRUE),COUNTIF(metadata!B:B, metadata!B720) = 1,NOT(ISERROR(SUMPRODUCT(SEARCH(MID(metadata!B720,ROW(INDIRECT("1:"&amp;LEN(metadata!B720))), 1),"0123456789abcdefghijklmnopqrstuvwxyzABCDEFGHIJKLMNOPQRSTUVWXYZ.")))))</f>
        <v>0</v>
      </c>
      <c r="V720">
        <f>AND(IF(metadata!C720="",FALSE,TRUE),exact(metadata!C720,"UBERON:genitourinary"))</f>
        <v>0</v>
      </c>
      <c r="W720">
        <f>AND(IF(metadata!D720="",FALSE,TRUE),exact(metadata!D720,"UBERON:urine"))</f>
        <v>0</v>
      </c>
      <c r="X720">
        <f>AND(IF(metadata!E720="",FALSE,TRUE),exact(metadata!E720,"UBERON:kidney"))</f>
        <v>0</v>
      </c>
      <c r="Y720">
        <f>AND(IF(metadata!F720="",FALSE,TRUE),exact(metadata!F720,"animal corpus"))</f>
        <v>0</v>
      </c>
      <c r="Z720">
        <f>AND(IF(metadata!G720="",FALSE,TRUE),exact(metadata!G720,"urine"))</f>
        <v>0</v>
      </c>
      <c r="AA720">
        <f>AND(IF(metadata!H720="",FALSE,TRUE),exact(metadata!H720,"urine"))</f>
        <v>0</v>
      </c>
      <c r="AB720">
        <f>AND(IF(metadata!I720="",FALSE,TRUE),exact(metadata!I720,"urine metagenome"))</f>
        <v>0</v>
      </c>
      <c r="AC720">
        <f>AND(IF(metadata!J720="",FALSE,TRUE),exact(metadata!J720,"1346744"))</f>
        <v>0</v>
      </c>
    </row>
    <row r="721" spans="1:29">
      <c r="A721" s="4">
        <f>IF(B721=" "," ",HYPERLINK(CONCATENATE("#metadata!",ADDRESS(INDEX($P$2:$P$1001,MATCH(ROWS($N$2:N721),$N$2:$N$1001,0),0),1)),INDEX($S$2:$S$1001,MATCH(ROWS($N$2:N721),$N$2:$N$1001,0),0)))</f>
        <v>0</v>
      </c>
      <c r="B721" s="3">
        <f>IF(OR(INDEX($O$2:$O$1001,MATCH(ROWS($N$2:N721),$N$2:$N$1001,0),1)&gt;=100000,INDEX($U$1005:$AC$1005,1,MATCH(COLUMNS($U$1006:U1006),$U$1006:$AC$1006,0))&gt;=100000), " ",IF(INDEX($U$2:$AC$1001,MATCH(ROWS($N$2:N721),$N$2:$N$1001,0),MATCH(COLUMNS($U$1006:U1006),$U$1006:$AC$1006,0)), HYPERLINK("#",""), HYPERLINK(CONCATENATE("#metadata!", ADDRESS(INDEX($P$2:$P$1001,MATCH(ROWS($N$2:N721),$N$2:$N$1001,0),0), INDEX($U$1004:$AC$1004,1,MATCH(COLUMNS($U$1006:U1006),$U$1006:$AC$1006,0)))),"Fix")))</f>
        <v>0</v>
      </c>
      <c r="C721" s="3">
        <f>IF(OR(INDEX($O$2:$O$1001,MATCH(ROWS($N$2:N721),$N$2:$N$1001,0),1)&gt;=100000,INDEX($U$1005:$AC$1005,1,MATCH(COLUMNS($U$1006:V1006),$U$1006:$AC$1006,0))&gt;=100000), " ",IF(INDEX($U$2:$AC$1001,MATCH(ROWS($N$2:N721),$N$2:$N$1001,0),MATCH(COLUMNS($U$1006:V1006),$U$1006:$AC$1006,0)), HYPERLINK("#",""), HYPERLINK(CONCATENATE("#metadata!", ADDRESS(INDEX($P$2:$P$1001,MATCH(ROWS($N$2:N721),$N$2:$N$1001,0),0), INDEX($U$1004:$AC$1004,1,MATCH(COLUMNS($U$1006:V1006),$U$1006:$AC$1006,0)))),"Fix")))</f>
        <v>0</v>
      </c>
      <c r="D721" s="3">
        <f>IF(OR(INDEX($O$2:$O$1001,MATCH(ROWS($N$2:N721),$N$2:$N$1001,0),1)&gt;=100000,INDEX($U$1005:$AC$1005,1,MATCH(COLUMNS($U$1006:W1006),$U$1006:$AC$1006,0))&gt;=100000), " ",IF(INDEX($U$2:$AC$1001,MATCH(ROWS($N$2:N721),$N$2:$N$1001,0),MATCH(COLUMNS($U$1006:W1006),$U$1006:$AC$1006,0)), HYPERLINK("#",""), HYPERLINK(CONCATENATE("#metadata!", ADDRESS(INDEX($P$2:$P$1001,MATCH(ROWS($N$2:N721),$N$2:$N$1001,0),0), INDEX($U$1004:$AC$1004,1,MATCH(COLUMNS($U$1006:W1006),$U$1006:$AC$1006,0)))),"Fix")))</f>
        <v>0</v>
      </c>
      <c r="E721" s="3">
        <f>IF(OR(INDEX($O$2:$O$1001,MATCH(ROWS($N$2:N721),$N$2:$N$1001,0),1)&gt;=100000,INDEX($U$1005:$AC$1005,1,MATCH(COLUMNS($U$1006:X1006),$U$1006:$AC$1006,0))&gt;=100000), " ",IF(INDEX($U$2:$AC$1001,MATCH(ROWS($N$2:N721),$N$2:$N$1001,0),MATCH(COLUMNS($U$1006:X1006),$U$1006:$AC$1006,0)), HYPERLINK("#",""), HYPERLINK(CONCATENATE("#metadata!", ADDRESS(INDEX($P$2:$P$1001,MATCH(ROWS($N$2:N721),$N$2:$N$1001,0),0), INDEX($U$1004:$AC$1004,1,MATCH(COLUMNS($U$1006:X1006),$U$1006:$AC$1006,0)))),"Fix")))</f>
        <v>0</v>
      </c>
      <c r="F721" s="3">
        <f>IF(OR(INDEX($O$2:$O$1001,MATCH(ROWS($N$2:N721),$N$2:$N$1001,0),1)&gt;=100000,INDEX($U$1005:$AC$1005,1,MATCH(COLUMNS($U$1006:Y1006),$U$1006:$AC$1006,0))&gt;=100000), " ",IF(INDEX($U$2:$AC$1001,MATCH(ROWS($N$2:N721),$N$2:$N$1001,0),MATCH(COLUMNS($U$1006:Y1006),$U$1006:$AC$1006,0)), HYPERLINK("#",""), HYPERLINK(CONCATENATE("#metadata!", ADDRESS(INDEX($P$2:$P$1001,MATCH(ROWS($N$2:N721),$N$2:$N$1001,0),0), INDEX($U$1004:$AC$1004,1,MATCH(COLUMNS($U$1006:Y1006),$U$1006:$AC$1006,0)))),"Fix")))</f>
        <v>0</v>
      </c>
      <c r="G721" s="3">
        <f>IF(OR(INDEX($O$2:$O$1001,MATCH(ROWS($N$2:N721),$N$2:$N$1001,0),1)&gt;=100000,INDEX($U$1005:$AC$1005,1,MATCH(COLUMNS($U$1006:Z1006),$U$1006:$AC$1006,0))&gt;=100000), " ",IF(INDEX($U$2:$AC$1001,MATCH(ROWS($N$2:N721),$N$2:$N$1001,0),MATCH(COLUMNS($U$1006:Z1006),$U$1006:$AC$1006,0)), HYPERLINK("#",""), HYPERLINK(CONCATENATE("#metadata!", ADDRESS(INDEX($P$2:$P$1001,MATCH(ROWS($N$2:N721),$N$2:$N$1001,0),0), INDEX($U$1004:$AC$1004,1,MATCH(COLUMNS($U$1006:Z1006),$U$1006:$AC$1006,0)))),"Fix")))</f>
        <v>0</v>
      </c>
      <c r="H721" s="3">
        <f>IF(OR(INDEX($O$2:$O$1001,MATCH(ROWS($N$2:N721),$N$2:$N$1001,0),1)&gt;=100000,INDEX($U$1005:$AC$1005,1,MATCH(COLUMNS($U$1006:AA1006),$U$1006:$AC$1006,0))&gt;=100000), " ",IF(INDEX($U$2:$AC$1001,MATCH(ROWS($N$2:N721),$N$2:$N$1001,0),MATCH(COLUMNS($U$1006:AA1006),$U$1006:$AC$1006,0)), HYPERLINK("#",""), HYPERLINK(CONCATENATE("#metadata!", ADDRESS(INDEX($P$2:$P$1001,MATCH(ROWS($N$2:N721),$N$2:$N$1001,0),0), INDEX($U$1004:$AC$1004,1,MATCH(COLUMNS($U$1006:AA1006),$U$1006:$AC$1006,0)))),"Fix")))</f>
        <v>0</v>
      </c>
      <c r="I721" s="3">
        <f>IF(OR(INDEX($O$2:$O$1001,MATCH(ROWS($N$2:N721),$N$2:$N$1001,0),1)&gt;=100000,INDEX($U$1005:$AC$1005,1,MATCH(COLUMNS($U$1006:AB1006),$U$1006:$AC$1006,0))&gt;=100000), " ",IF(INDEX($U$2:$AC$1001,MATCH(ROWS($N$2:N721),$N$2:$N$1001,0),MATCH(COLUMNS($U$1006:AB1006),$U$1006:$AC$1006,0)), HYPERLINK("#",""), HYPERLINK(CONCATENATE("#metadata!", ADDRESS(INDEX($P$2:$P$1001,MATCH(ROWS($N$2:N721),$N$2:$N$1001,0),0), INDEX($U$1004:$AC$1004,1,MATCH(COLUMNS($U$1006:AB1006),$U$1006:$AC$1006,0)))),"Fix")))</f>
        <v>0</v>
      </c>
      <c r="J721" s="3">
        <f>IF(OR(INDEX($O$2:$O$1001,MATCH(ROWS($N$2:N721),$N$2:$N$1001,0),1)&gt;=100000,INDEX($U$1005:$AC$1005,1,MATCH(COLUMNS($U$1006:AC1006),$U$1006:$AC$1006,0))&gt;=100000), " ",IF(INDEX($U$2:$AC$1001,MATCH(ROWS($N$2:N721),$N$2:$N$1001,0),MATCH(COLUMNS($U$1006:AC1006),$U$1006:$AC$1006,0)), HYPERLINK("#",""), HYPERLINK(CONCATENATE("#metadata!", ADDRESS(INDEX($P$2:$P$1001,MATCH(ROWS($N$2:N721),$N$2:$N$1001,0),0), INDEX($U$1004:$AC$1004,1,MATCH(COLUMNS($U$1006:AC1006),$U$1006:$AC$1006,0)))),"Fix")))</f>
        <v>0</v>
      </c>
      <c r="N721">
        <v>0</v>
      </c>
      <c r="O721">
        <v>0</v>
      </c>
      <c r="P721">
        <v>0</v>
      </c>
      <c r="Q721">
        <f>IF(R721,TRUE,AND(U721:AC721))</f>
        <v>0</v>
      </c>
      <c r="R721">
        <f>COUNTBLANK(metadata!B721:J721)=COLUMNS(metadata!B721:J721)</f>
        <v>0</v>
      </c>
      <c r="S721">
        <v>0</v>
      </c>
      <c r="U721">
        <f>AND(IF(metadata!B721="",FALSE,TRUE),COUNTIF(metadata!B:B, metadata!B721) = 1,NOT(ISERROR(SUMPRODUCT(SEARCH(MID(metadata!B721,ROW(INDIRECT("1:"&amp;LEN(metadata!B721))), 1),"0123456789abcdefghijklmnopqrstuvwxyzABCDEFGHIJKLMNOPQRSTUVWXYZ.")))))</f>
        <v>0</v>
      </c>
      <c r="V721">
        <f>AND(IF(metadata!C721="",FALSE,TRUE),exact(metadata!C721,"UBERON:genitourinary"))</f>
        <v>0</v>
      </c>
      <c r="W721">
        <f>AND(IF(metadata!D721="",FALSE,TRUE),exact(metadata!D721,"UBERON:urine"))</f>
        <v>0</v>
      </c>
      <c r="X721">
        <f>AND(IF(metadata!E721="",FALSE,TRUE),exact(metadata!E721,"UBERON:kidney"))</f>
        <v>0</v>
      </c>
      <c r="Y721">
        <f>AND(IF(metadata!F721="",FALSE,TRUE),exact(metadata!F721,"animal corpus"))</f>
        <v>0</v>
      </c>
      <c r="Z721">
        <f>AND(IF(metadata!G721="",FALSE,TRUE),exact(metadata!G721,"urine"))</f>
        <v>0</v>
      </c>
      <c r="AA721">
        <f>AND(IF(metadata!H721="",FALSE,TRUE),exact(metadata!H721,"urine"))</f>
        <v>0</v>
      </c>
      <c r="AB721">
        <f>AND(IF(metadata!I721="",FALSE,TRUE),exact(metadata!I721,"urine metagenome"))</f>
        <v>0</v>
      </c>
      <c r="AC721">
        <f>AND(IF(metadata!J721="",FALSE,TRUE),exact(metadata!J721,"1346744"))</f>
        <v>0</v>
      </c>
    </row>
    <row r="722" spans="1:29">
      <c r="A722" s="4">
        <f>IF(B722=" "," ",HYPERLINK(CONCATENATE("#metadata!",ADDRESS(INDEX($P$2:$P$1001,MATCH(ROWS($N$2:N722),$N$2:$N$1001,0),0),1)),INDEX($S$2:$S$1001,MATCH(ROWS($N$2:N722),$N$2:$N$1001,0),0)))</f>
        <v>0</v>
      </c>
      <c r="B722" s="3">
        <f>IF(OR(INDEX($O$2:$O$1001,MATCH(ROWS($N$2:N722),$N$2:$N$1001,0),1)&gt;=100000,INDEX($U$1005:$AC$1005,1,MATCH(COLUMNS($U$1006:U1006),$U$1006:$AC$1006,0))&gt;=100000), " ",IF(INDEX($U$2:$AC$1001,MATCH(ROWS($N$2:N722),$N$2:$N$1001,0),MATCH(COLUMNS($U$1006:U1006),$U$1006:$AC$1006,0)), HYPERLINK("#",""), HYPERLINK(CONCATENATE("#metadata!", ADDRESS(INDEX($P$2:$P$1001,MATCH(ROWS($N$2:N722),$N$2:$N$1001,0),0), INDEX($U$1004:$AC$1004,1,MATCH(COLUMNS($U$1006:U1006),$U$1006:$AC$1006,0)))),"Fix")))</f>
        <v>0</v>
      </c>
      <c r="C722" s="3">
        <f>IF(OR(INDEX($O$2:$O$1001,MATCH(ROWS($N$2:N722),$N$2:$N$1001,0),1)&gt;=100000,INDEX($U$1005:$AC$1005,1,MATCH(COLUMNS($U$1006:V1006),$U$1006:$AC$1006,0))&gt;=100000), " ",IF(INDEX($U$2:$AC$1001,MATCH(ROWS($N$2:N722),$N$2:$N$1001,0),MATCH(COLUMNS($U$1006:V1006),$U$1006:$AC$1006,0)), HYPERLINK("#",""), HYPERLINK(CONCATENATE("#metadata!", ADDRESS(INDEX($P$2:$P$1001,MATCH(ROWS($N$2:N722),$N$2:$N$1001,0),0), INDEX($U$1004:$AC$1004,1,MATCH(COLUMNS($U$1006:V1006),$U$1006:$AC$1006,0)))),"Fix")))</f>
        <v>0</v>
      </c>
      <c r="D722" s="3">
        <f>IF(OR(INDEX($O$2:$O$1001,MATCH(ROWS($N$2:N722),$N$2:$N$1001,0),1)&gt;=100000,INDEX($U$1005:$AC$1005,1,MATCH(COLUMNS($U$1006:W1006),$U$1006:$AC$1006,0))&gt;=100000), " ",IF(INDEX($U$2:$AC$1001,MATCH(ROWS($N$2:N722),$N$2:$N$1001,0),MATCH(COLUMNS($U$1006:W1006),$U$1006:$AC$1006,0)), HYPERLINK("#",""), HYPERLINK(CONCATENATE("#metadata!", ADDRESS(INDEX($P$2:$P$1001,MATCH(ROWS($N$2:N722),$N$2:$N$1001,0),0), INDEX($U$1004:$AC$1004,1,MATCH(COLUMNS($U$1006:W1006),$U$1006:$AC$1006,0)))),"Fix")))</f>
        <v>0</v>
      </c>
      <c r="E722" s="3">
        <f>IF(OR(INDEX($O$2:$O$1001,MATCH(ROWS($N$2:N722),$N$2:$N$1001,0),1)&gt;=100000,INDEX($U$1005:$AC$1005,1,MATCH(COLUMNS($U$1006:X1006),$U$1006:$AC$1006,0))&gt;=100000), " ",IF(INDEX($U$2:$AC$1001,MATCH(ROWS($N$2:N722),$N$2:$N$1001,0),MATCH(COLUMNS($U$1006:X1006),$U$1006:$AC$1006,0)), HYPERLINK("#",""), HYPERLINK(CONCATENATE("#metadata!", ADDRESS(INDEX($P$2:$P$1001,MATCH(ROWS($N$2:N722),$N$2:$N$1001,0),0), INDEX($U$1004:$AC$1004,1,MATCH(COLUMNS($U$1006:X1006),$U$1006:$AC$1006,0)))),"Fix")))</f>
        <v>0</v>
      </c>
      <c r="F722" s="3">
        <f>IF(OR(INDEX($O$2:$O$1001,MATCH(ROWS($N$2:N722),$N$2:$N$1001,0),1)&gt;=100000,INDEX($U$1005:$AC$1005,1,MATCH(COLUMNS($U$1006:Y1006),$U$1006:$AC$1006,0))&gt;=100000), " ",IF(INDEX($U$2:$AC$1001,MATCH(ROWS($N$2:N722),$N$2:$N$1001,0),MATCH(COLUMNS($U$1006:Y1006),$U$1006:$AC$1006,0)), HYPERLINK("#",""), HYPERLINK(CONCATENATE("#metadata!", ADDRESS(INDEX($P$2:$P$1001,MATCH(ROWS($N$2:N722),$N$2:$N$1001,0),0), INDEX($U$1004:$AC$1004,1,MATCH(COLUMNS($U$1006:Y1006),$U$1006:$AC$1006,0)))),"Fix")))</f>
        <v>0</v>
      </c>
      <c r="G722" s="3">
        <f>IF(OR(INDEX($O$2:$O$1001,MATCH(ROWS($N$2:N722),$N$2:$N$1001,0),1)&gt;=100000,INDEX($U$1005:$AC$1005,1,MATCH(COLUMNS($U$1006:Z1006),$U$1006:$AC$1006,0))&gt;=100000), " ",IF(INDEX($U$2:$AC$1001,MATCH(ROWS($N$2:N722),$N$2:$N$1001,0),MATCH(COLUMNS($U$1006:Z1006),$U$1006:$AC$1006,0)), HYPERLINK("#",""), HYPERLINK(CONCATENATE("#metadata!", ADDRESS(INDEX($P$2:$P$1001,MATCH(ROWS($N$2:N722),$N$2:$N$1001,0),0), INDEX($U$1004:$AC$1004,1,MATCH(COLUMNS($U$1006:Z1006),$U$1006:$AC$1006,0)))),"Fix")))</f>
        <v>0</v>
      </c>
      <c r="H722" s="3">
        <f>IF(OR(INDEX($O$2:$O$1001,MATCH(ROWS($N$2:N722),$N$2:$N$1001,0),1)&gt;=100000,INDEX($U$1005:$AC$1005,1,MATCH(COLUMNS($U$1006:AA1006),$U$1006:$AC$1006,0))&gt;=100000), " ",IF(INDEX($U$2:$AC$1001,MATCH(ROWS($N$2:N722),$N$2:$N$1001,0),MATCH(COLUMNS($U$1006:AA1006),$U$1006:$AC$1006,0)), HYPERLINK("#",""), HYPERLINK(CONCATENATE("#metadata!", ADDRESS(INDEX($P$2:$P$1001,MATCH(ROWS($N$2:N722),$N$2:$N$1001,0),0), INDEX($U$1004:$AC$1004,1,MATCH(COLUMNS($U$1006:AA1006),$U$1006:$AC$1006,0)))),"Fix")))</f>
        <v>0</v>
      </c>
      <c r="I722" s="3">
        <f>IF(OR(INDEX($O$2:$O$1001,MATCH(ROWS($N$2:N722),$N$2:$N$1001,0),1)&gt;=100000,INDEX($U$1005:$AC$1005,1,MATCH(COLUMNS($U$1006:AB1006),$U$1006:$AC$1006,0))&gt;=100000), " ",IF(INDEX($U$2:$AC$1001,MATCH(ROWS($N$2:N722),$N$2:$N$1001,0),MATCH(COLUMNS($U$1006:AB1006),$U$1006:$AC$1006,0)), HYPERLINK("#",""), HYPERLINK(CONCATENATE("#metadata!", ADDRESS(INDEX($P$2:$P$1001,MATCH(ROWS($N$2:N722),$N$2:$N$1001,0),0), INDEX($U$1004:$AC$1004,1,MATCH(COLUMNS($U$1006:AB1006),$U$1006:$AC$1006,0)))),"Fix")))</f>
        <v>0</v>
      </c>
      <c r="J722" s="3">
        <f>IF(OR(INDEX($O$2:$O$1001,MATCH(ROWS($N$2:N722),$N$2:$N$1001,0),1)&gt;=100000,INDEX($U$1005:$AC$1005,1,MATCH(COLUMNS($U$1006:AC1006),$U$1006:$AC$1006,0))&gt;=100000), " ",IF(INDEX($U$2:$AC$1001,MATCH(ROWS($N$2:N722),$N$2:$N$1001,0),MATCH(COLUMNS($U$1006:AC1006),$U$1006:$AC$1006,0)), HYPERLINK("#",""), HYPERLINK(CONCATENATE("#metadata!", ADDRESS(INDEX($P$2:$P$1001,MATCH(ROWS($N$2:N722),$N$2:$N$1001,0),0), INDEX($U$1004:$AC$1004,1,MATCH(COLUMNS($U$1006:AC1006),$U$1006:$AC$1006,0)))),"Fix")))</f>
        <v>0</v>
      </c>
      <c r="N722">
        <v>0</v>
      </c>
      <c r="O722">
        <v>0</v>
      </c>
      <c r="P722">
        <v>0</v>
      </c>
      <c r="Q722">
        <f>IF(R722,TRUE,AND(U722:AC722))</f>
        <v>0</v>
      </c>
      <c r="R722">
        <f>COUNTBLANK(metadata!B722:J722)=COLUMNS(metadata!B722:J722)</f>
        <v>0</v>
      </c>
      <c r="S722">
        <v>0</v>
      </c>
      <c r="U722">
        <f>AND(IF(metadata!B722="",FALSE,TRUE),COUNTIF(metadata!B:B, metadata!B722) = 1,NOT(ISERROR(SUMPRODUCT(SEARCH(MID(metadata!B722,ROW(INDIRECT("1:"&amp;LEN(metadata!B722))), 1),"0123456789abcdefghijklmnopqrstuvwxyzABCDEFGHIJKLMNOPQRSTUVWXYZ.")))))</f>
        <v>0</v>
      </c>
      <c r="V722">
        <f>AND(IF(metadata!C722="",FALSE,TRUE),exact(metadata!C722,"UBERON:genitourinary"))</f>
        <v>0</v>
      </c>
      <c r="W722">
        <f>AND(IF(metadata!D722="",FALSE,TRUE),exact(metadata!D722,"UBERON:urine"))</f>
        <v>0</v>
      </c>
      <c r="X722">
        <f>AND(IF(metadata!E722="",FALSE,TRUE),exact(metadata!E722,"UBERON:kidney"))</f>
        <v>0</v>
      </c>
      <c r="Y722">
        <f>AND(IF(metadata!F722="",FALSE,TRUE),exact(metadata!F722,"animal corpus"))</f>
        <v>0</v>
      </c>
      <c r="Z722">
        <f>AND(IF(metadata!G722="",FALSE,TRUE),exact(metadata!G722,"urine"))</f>
        <v>0</v>
      </c>
      <c r="AA722">
        <f>AND(IF(metadata!H722="",FALSE,TRUE),exact(metadata!H722,"urine"))</f>
        <v>0</v>
      </c>
      <c r="AB722">
        <f>AND(IF(metadata!I722="",FALSE,TRUE),exact(metadata!I722,"urine metagenome"))</f>
        <v>0</v>
      </c>
      <c r="AC722">
        <f>AND(IF(metadata!J722="",FALSE,TRUE),exact(metadata!J722,"1346744"))</f>
        <v>0</v>
      </c>
    </row>
    <row r="723" spans="1:29">
      <c r="A723" s="4">
        <f>IF(B723=" "," ",HYPERLINK(CONCATENATE("#metadata!",ADDRESS(INDEX($P$2:$P$1001,MATCH(ROWS($N$2:N723),$N$2:$N$1001,0),0),1)),INDEX($S$2:$S$1001,MATCH(ROWS($N$2:N723),$N$2:$N$1001,0),0)))</f>
        <v>0</v>
      </c>
      <c r="B723" s="3">
        <f>IF(OR(INDEX($O$2:$O$1001,MATCH(ROWS($N$2:N723),$N$2:$N$1001,0),1)&gt;=100000,INDEX($U$1005:$AC$1005,1,MATCH(COLUMNS($U$1006:U1006),$U$1006:$AC$1006,0))&gt;=100000), " ",IF(INDEX($U$2:$AC$1001,MATCH(ROWS($N$2:N723),$N$2:$N$1001,0),MATCH(COLUMNS($U$1006:U1006),$U$1006:$AC$1006,0)), HYPERLINK("#",""), HYPERLINK(CONCATENATE("#metadata!", ADDRESS(INDEX($P$2:$P$1001,MATCH(ROWS($N$2:N723),$N$2:$N$1001,0),0), INDEX($U$1004:$AC$1004,1,MATCH(COLUMNS($U$1006:U1006),$U$1006:$AC$1006,0)))),"Fix")))</f>
        <v>0</v>
      </c>
      <c r="C723" s="3">
        <f>IF(OR(INDEX($O$2:$O$1001,MATCH(ROWS($N$2:N723),$N$2:$N$1001,0),1)&gt;=100000,INDEX($U$1005:$AC$1005,1,MATCH(COLUMNS($U$1006:V1006),$U$1006:$AC$1006,0))&gt;=100000), " ",IF(INDEX($U$2:$AC$1001,MATCH(ROWS($N$2:N723),$N$2:$N$1001,0),MATCH(COLUMNS($U$1006:V1006),$U$1006:$AC$1006,0)), HYPERLINK("#",""), HYPERLINK(CONCATENATE("#metadata!", ADDRESS(INDEX($P$2:$P$1001,MATCH(ROWS($N$2:N723),$N$2:$N$1001,0),0), INDEX($U$1004:$AC$1004,1,MATCH(COLUMNS($U$1006:V1006),$U$1006:$AC$1006,0)))),"Fix")))</f>
        <v>0</v>
      </c>
      <c r="D723" s="3">
        <f>IF(OR(INDEX($O$2:$O$1001,MATCH(ROWS($N$2:N723),$N$2:$N$1001,0),1)&gt;=100000,INDEX($U$1005:$AC$1005,1,MATCH(COLUMNS($U$1006:W1006),$U$1006:$AC$1006,0))&gt;=100000), " ",IF(INDEX($U$2:$AC$1001,MATCH(ROWS($N$2:N723),$N$2:$N$1001,0),MATCH(COLUMNS($U$1006:W1006),$U$1006:$AC$1006,0)), HYPERLINK("#",""), HYPERLINK(CONCATENATE("#metadata!", ADDRESS(INDEX($P$2:$P$1001,MATCH(ROWS($N$2:N723),$N$2:$N$1001,0),0), INDEX($U$1004:$AC$1004,1,MATCH(COLUMNS($U$1006:W1006),$U$1006:$AC$1006,0)))),"Fix")))</f>
        <v>0</v>
      </c>
      <c r="E723" s="3">
        <f>IF(OR(INDEX($O$2:$O$1001,MATCH(ROWS($N$2:N723),$N$2:$N$1001,0),1)&gt;=100000,INDEX($U$1005:$AC$1005,1,MATCH(COLUMNS($U$1006:X1006),$U$1006:$AC$1006,0))&gt;=100000), " ",IF(INDEX($U$2:$AC$1001,MATCH(ROWS($N$2:N723),$N$2:$N$1001,0),MATCH(COLUMNS($U$1006:X1006),$U$1006:$AC$1006,0)), HYPERLINK("#",""), HYPERLINK(CONCATENATE("#metadata!", ADDRESS(INDEX($P$2:$P$1001,MATCH(ROWS($N$2:N723),$N$2:$N$1001,0),0), INDEX($U$1004:$AC$1004,1,MATCH(COLUMNS($U$1006:X1006),$U$1006:$AC$1006,0)))),"Fix")))</f>
        <v>0</v>
      </c>
      <c r="F723" s="3">
        <f>IF(OR(INDEX($O$2:$O$1001,MATCH(ROWS($N$2:N723),$N$2:$N$1001,0),1)&gt;=100000,INDEX($U$1005:$AC$1005,1,MATCH(COLUMNS($U$1006:Y1006),$U$1006:$AC$1006,0))&gt;=100000), " ",IF(INDEX($U$2:$AC$1001,MATCH(ROWS($N$2:N723),$N$2:$N$1001,0),MATCH(COLUMNS($U$1006:Y1006),$U$1006:$AC$1006,0)), HYPERLINK("#",""), HYPERLINK(CONCATENATE("#metadata!", ADDRESS(INDEX($P$2:$P$1001,MATCH(ROWS($N$2:N723),$N$2:$N$1001,0),0), INDEX($U$1004:$AC$1004,1,MATCH(COLUMNS($U$1006:Y1006),$U$1006:$AC$1006,0)))),"Fix")))</f>
        <v>0</v>
      </c>
      <c r="G723" s="3">
        <f>IF(OR(INDEX($O$2:$O$1001,MATCH(ROWS($N$2:N723),$N$2:$N$1001,0),1)&gt;=100000,INDEX($U$1005:$AC$1005,1,MATCH(COLUMNS($U$1006:Z1006),$U$1006:$AC$1006,0))&gt;=100000), " ",IF(INDEX($U$2:$AC$1001,MATCH(ROWS($N$2:N723),$N$2:$N$1001,0),MATCH(COLUMNS($U$1006:Z1006),$U$1006:$AC$1006,0)), HYPERLINK("#",""), HYPERLINK(CONCATENATE("#metadata!", ADDRESS(INDEX($P$2:$P$1001,MATCH(ROWS($N$2:N723),$N$2:$N$1001,0),0), INDEX($U$1004:$AC$1004,1,MATCH(COLUMNS($U$1006:Z1006),$U$1006:$AC$1006,0)))),"Fix")))</f>
        <v>0</v>
      </c>
      <c r="H723" s="3">
        <f>IF(OR(INDEX($O$2:$O$1001,MATCH(ROWS($N$2:N723),$N$2:$N$1001,0),1)&gt;=100000,INDEX($U$1005:$AC$1005,1,MATCH(COLUMNS($U$1006:AA1006),$U$1006:$AC$1006,0))&gt;=100000), " ",IF(INDEX($U$2:$AC$1001,MATCH(ROWS($N$2:N723),$N$2:$N$1001,0),MATCH(COLUMNS($U$1006:AA1006),$U$1006:$AC$1006,0)), HYPERLINK("#",""), HYPERLINK(CONCATENATE("#metadata!", ADDRESS(INDEX($P$2:$P$1001,MATCH(ROWS($N$2:N723),$N$2:$N$1001,0),0), INDEX($U$1004:$AC$1004,1,MATCH(COLUMNS($U$1006:AA1006),$U$1006:$AC$1006,0)))),"Fix")))</f>
        <v>0</v>
      </c>
      <c r="I723" s="3">
        <f>IF(OR(INDEX($O$2:$O$1001,MATCH(ROWS($N$2:N723),$N$2:$N$1001,0),1)&gt;=100000,INDEX($U$1005:$AC$1005,1,MATCH(COLUMNS($U$1006:AB1006),$U$1006:$AC$1006,0))&gt;=100000), " ",IF(INDEX($U$2:$AC$1001,MATCH(ROWS($N$2:N723),$N$2:$N$1001,0),MATCH(COLUMNS($U$1006:AB1006),$U$1006:$AC$1006,0)), HYPERLINK("#",""), HYPERLINK(CONCATENATE("#metadata!", ADDRESS(INDEX($P$2:$P$1001,MATCH(ROWS($N$2:N723),$N$2:$N$1001,0),0), INDEX($U$1004:$AC$1004,1,MATCH(COLUMNS($U$1006:AB1006),$U$1006:$AC$1006,0)))),"Fix")))</f>
        <v>0</v>
      </c>
      <c r="J723" s="3">
        <f>IF(OR(INDEX($O$2:$O$1001,MATCH(ROWS($N$2:N723),$N$2:$N$1001,0),1)&gt;=100000,INDEX($U$1005:$AC$1005,1,MATCH(COLUMNS($U$1006:AC1006),$U$1006:$AC$1006,0))&gt;=100000), " ",IF(INDEX($U$2:$AC$1001,MATCH(ROWS($N$2:N723),$N$2:$N$1001,0),MATCH(COLUMNS($U$1006:AC1006),$U$1006:$AC$1006,0)), HYPERLINK("#",""), HYPERLINK(CONCATENATE("#metadata!", ADDRESS(INDEX($P$2:$P$1001,MATCH(ROWS($N$2:N723),$N$2:$N$1001,0),0), INDEX($U$1004:$AC$1004,1,MATCH(COLUMNS($U$1006:AC1006),$U$1006:$AC$1006,0)))),"Fix")))</f>
        <v>0</v>
      </c>
      <c r="N723">
        <v>0</v>
      </c>
      <c r="O723">
        <v>0</v>
      </c>
      <c r="P723">
        <v>0</v>
      </c>
      <c r="Q723">
        <f>IF(R723,TRUE,AND(U723:AC723))</f>
        <v>0</v>
      </c>
      <c r="R723">
        <f>COUNTBLANK(metadata!B723:J723)=COLUMNS(metadata!B723:J723)</f>
        <v>0</v>
      </c>
      <c r="S723">
        <v>0</v>
      </c>
      <c r="U723">
        <f>AND(IF(metadata!B723="",FALSE,TRUE),COUNTIF(metadata!B:B, metadata!B723) = 1,NOT(ISERROR(SUMPRODUCT(SEARCH(MID(metadata!B723,ROW(INDIRECT("1:"&amp;LEN(metadata!B723))), 1),"0123456789abcdefghijklmnopqrstuvwxyzABCDEFGHIJKLMNOPQRSTUVWXYZ.")))))</f>
        <v>0</v>
      </c>
      <c r="V723">
        <f>AND(IF(metadata!C723="",FALSE,TRUE),exact(metadata!C723,"UBERON:genitourinary"))</f>
        <v>0</v>
      </c>
      <c r="W723">
        <f>AND(IF(metadata!D723="",FALSE,TRUE),exact(metadata!D723,"UBERON:urine"))</f>
        <v>0</v>
      </c>
      <c r="X723">
        <f>AND(IF(metadata!E723="",FALSE,TRUE),exact(metadata!E723,"UBERON:kidney"))</f>
        <v>0</v>
      </c>
      <c r="Y723">
        <f>AND(IF(metadata!F723="",FALSE,TRUE),exact(metadata!F723,"animal corpus"))</f>
        <v>0</v>
      </c>
      <c r="Z723">
        <f>AND(IF(metadata!G723="",FALSE,TRUE),exact(metadata!G723,"urine"))</f>
        <v>0</v>
      </c>
      <c r="AA723">
        <f>AND(IF(metadata!H723="",FALSE,TRUE),exact(metadata!H723,"urine"))</f>
        <v>0</v>
      </c>
      <c r="AB723">
        <f>AND(IF(metadata!I723="",FALSE,TRUE),exact(metadata!I723,"urine metagenome"))</f>
        <v>0</v>
      </c>
      <c r="AC723">
        <f>AND(IF(metadata!J723="",FALSE,TRUE),exact(metadata!J723,"1346744"))</f>
        <v>0</v>
      </c>
    </row>
    <row r="724" spans="1:29">
      <c r="A724" s="4">
        <f>IF(B724=" "," ",HYPERLINK(CONCATENATE("#metadata!",ADDRESS(INDEX($P$2:$P$1001,MATCH(ROWS($N$2:N724),$N$2:$N$1001,0),0),1)),INDEX($S$2:$S$1001,MATCH(ROWS($N$2:N724),$N$2:$N$1001,0),0)))</f>
        <v>0</v>
      </c>
      <c r="B724" s="3">
        <f>IF(OR(INDEX($O$2:$O$1001,MATCH(ROWS($N$2:N724),$N$2:$N$1001,0),1)&gt;=100000,INDEX($U$1005:$AC$1005,1,MATCH(COLUMNS($U$1006:U1006),$U$1006:$AC$1006,0))&gt;=100000), " ",IF(INDEX($U$2:$AC$1001,MATCH(ROWS($N$2:N724),$N$2:$N$1001,0),MATCH(COLUMNS($U$1006:U1006),$U$1006:$AC$1006,0)), HYPERLINK("#",""), HYPERLINK(CONCATENATE("#metadata!", ADDRESS(INDEX($P$2:$P$1001,MATCH(ROWS($N$2:N724),$N$2:$N$1001,0),0), INDEX($U$1004:$AC$1004,1,MATCH(COLUMNS($U$1006:U1006),$U$1006:$AC$1006,0)))),"Fix")))</f>
        <v>0</v>
      </c>
      <c r="C724" s="3">
        <f>IF(OR(INDEX($O$2:$O$1001,MATCH(ROWS($N$2:N724),$N$2:$N$1001,0),1)&gt;=100000,INDEX($U$1005:$AC$1005,1,MATCH(COLUMNS($U$1006:V1006),$U$1006:$AC$1006,0))&gt;=100000), " ",IF(INDEX($U$2:$AC$1001,MATCH(ROWS($N$2:N724),$N$2:$N$1001,0),MATCH(COLUMNS($U$1006:V1006),$U$1006:$AC$1006,0)), HYPERLINK("#",""), HYPERLINK(CONCATENATE("#metadata!", ADDRESS(INDEX($P$2:$P$1001,MATCH(ROWS($N$2:N724),$N$2:$N$1001,0),0), INDEX($U$1004:$AC$1004,1,MATCH(COLUMNS($U$1006:V1006),$U$1006:$AC$1006,0)))),"Fix")))</f>
        <v>0</v>
      </c>
      <c r="D724" s="3">
        <f>IF(OR(INDEX($O$2:$O$1001,MATCH(ROWS($N$2:N724),$N$2:$N$1001,0),1)&gt;=100000,INDEX($U$1005:$AC$1005,1,MATCH(COLUMNS($U$1006:W1006),$U$1006:$AC$1006,0))&gt;=100000), " ",IF(INDEX($U$2:$AC$1001,MATCH(ROWS($N$2:N724),$N$2:$N$1001,0),MATCH(COLUMNS($U$1006:W1006),$U$1006:$AC$1006,0)), HYPERLINK("#",""), HYPERLINK(CONCATENATE("#metadata!", ADDRESS(INDEX($P$2:$P$1001,MATCH(ROWS($N$2:N724),$N$2:$N$1001,0),0), INDEX($U$1004:$AC$1004,1,MATCH(COLUMNS($U$1006:W1006),$U$1006:$AC$1006,0)))),"Fix")))</f>
        <v>0</v>
      </c>
      <c r="E724" s="3">
        <f>IF(OR(INDEX($O$2:$O$1001,MATCH(ROWS($N$2:N724),$N$2:$N$1001,0),1)&gt;=100000,INDEX($U$1005:$AC$1005,1,MATCH(COLUMNS($U$1006:X1006),$U$1006:$AC$1006,0))&gt;=100000), " ",IF(INDEX($U$2:$AC$1001,MATCH(ROWS($N$2:N724),$N$2:$N$1001,0),MATCH(COLUMNS($U$1006:X1006),$U$1006:$AC$1006,0)), HYPERLINK("#",""), HYPERLINK(CONCATENATE("#metadata!", ADDRESS(INDEX($P$2:$P$1001,MATCH(ROWS($N$2:N724),$N$2:$N$1001,0),0), INDEX($U$1004:$AC$1004,1,MATCH(COLUMNS($U$1006:X1006),$U$1006:$AC$1006,0)))),"Fix")))</f>
        <v>0</v>
      </c>
      <c r="F724" s="3">
        <f>IF(OR(INDEX($O$2:$O$1001,MATCH(ROWS($N$2:N724),$N$2:$N$1001,0),1)&gt;=100000,INDEX($U$1005:$AC$1005,1,MATCH(COLUMNS($U$1006:Y1006),$U$1006:$AC$1006,0))&gt;=100000), " ",IF(INDEX($U$2:$AC$1001,MATCH(ROWS($N$2:N724),$N$2:$N$1001,0),MATCH(COLUMNS($U$1006:Y1006),$U$1006:$AC$1006,0)), HYPERLINK("#",""), HYPERLINK(CONCATENATE("#metadata!", ADDRESS(INDEX($P$2:$P$1001,MATCH(ROWS($N$2:N724),$N$2:$N$1001,0),0), INDEX($U$1004:$AC$1004,1,MATCH(COLUMNS($U$1006:Y1006),$U$1006:$AC$1006,0)))),"Fix")))</f>
        <v>0</v>
      </c>
      <c r="G724" s="3">
        <f>IF(OR(INDEX($O$2:$O$1001,MATCH(ROWS($N$2:N724),$N$2:$N$1001,0),1)&gt;=100000,INDEX($U$1005:$AC$1005,1,MATCH(COLUMNS($U$1006:Z1006),$U$1006:$AC$1006,0))&gt;=100000), " ",IF(INDEX($U$2:$AC$1001,MATCH(ROWS($N$2:N724),$N$2:$N$1001,0),MATCH(COLUMNS($U$1006:Z1006),$U$1006:$AC$1006,0)), HYPERLINK("#",""), HYPERLINK(CONCATENATE("#metadata!", ADDRESS(INDEX($P$2:$P$1001,MATCH(ROWS($N$2:N724),$N$2:$N$1001,0),0), INDEX($U$1004:$AC$1004,1,MATCH(COLUMNS($U$1006:Z1006),$U$1006:$AC$1006,0)))),"Fix")))</f>
        <v>0</v>
      </c>
      <c r="H724" s="3">
        <f>IF(OR(INDEX($O$2:$O$1001,MATCH(ROWS($N$2:N724),$N$2:$N$1001,0),1)&gt;=100000,INDEX($U$1005:$AC$1005,1,MATCH(COLUMNS($U$1006:AA1006),$U$1006:$AC$1006,0))&gt;=100000), " ",IF(INDEX($U$2:$AC$1001,MATCH(ROWS($N$2:N724),$N$2:$N$1001,0),MATCH(COLUMNS($U$1006:AA1006),$U$1006:$AC$1006,0)), HYPERLINK("#",""), HYPERLINK(CONCATENATE("#metadata!", ADDRESS(INDEX($P$2:$P$1001,MATCH(ROWS($N$2:N724),$N$2:$N$1001,0),0), INDEX($U$1004:$AC$1004,1,MATCH(COLUMNS($U$1006:AA1006),$U$1006:$AC$1006,0)))),"Fix")))</f>
        <v>0</v>
      </c>
      <c r="I724" s="3">
        <f>IF(OR(INDEX($O$2:$O$1001,MATCH(ROWS($N$2:N724),$N$2:$N$1001,0),1)&gt;=100000,INDEX($U$1005:$AC$1005,1,MATCH(COLUMNS($U$1006:AB1006),$U$1006:$AC$1006,0))&gt;=100000), " ",IF(INDEX($U$2:$AC$1001,MATCH(ROWS($N$2:N724),$N$2:$N$1001,0),MATCH(COLUMNS($U$1006:AB1006),$U$1006:$AC$1006,0)), HYPERLINK("#",""), HYPERLINK(CONCATENATE("#metadata!", ADDRESS(INDEX($P$2:$P$1001,MATCH(ROWS($N$2:N724),$N$2:$N$1001,0),0), INDEX($U$1004:$AC$1004,1,MATCH(COLUMNS($U$1006:AB1006),$U$1006:$AC$1006,0)))),"Fix")))</f>
        <v>0</v>
      </c>
      <c r="J724" s="3">
        <f>IF(OR(INDEX($O$2:$O$1001,MATCH(ROWS($N$2:N724),$N$2:$N$1001,0),1)&gt;=100000,INDEX($U$1005:$AC$1005,1,MATCH(COLUMNS($U$1006:AC1006),$U$1006:$AC$1006,0))&gt;=100000), " ",IF(INDEX($U$2:$AC$1001,MATCH(ROWS($N$2:N724),$N$2:$N$1001,0),MATCH(COLUMNS($U$1006:AC1006),$U$1006:$AC$1006,0)), HYPERLINK("#",""), HYPERLINK(CONCATENATE("#metadata!", ADDRESS(INDEX($P$2:$P$1001,MATCH(ROWS($N$2:N724),$N$2:$N$1001,0),0), INDEX($U$1004:$AC$1004,1,MATCH(COLUMNS($U$1006:AC1006),$U$1006:$AC$1006,0)))),"Fix")))</f>
        <v>0</v>
      </c>
      <c r="N724">
        <v>0</v>
      </c>
      <c r="O724">
        <v>0</v>
      </c>
      <c r="P724">
        <v>0</v>
      </c>
      <c r="Q724">
        <f>IF(R724,TRUE,AND(U724:AC724))</f>
        <v>0</v>
      </c>
      <c r="R724">
        <f>COUNTBLANK(metadata!B724:J724)=COLUMNS(metadata!B724:J724)</f>
        <v>0</v>
      </c>
      <c r="S724">
        <v>0</v>
      </c>
      <c r="U724">
        <f>AND(IF(metadata!B724="",FALSE,TRUE),COUNTIF(metadata!B:B, metadata!B724) = 1,NOT(ISERROR(SUMPRODUCT(SEARCH(MID(metadata!B724,ROW(INDIRECT("1:"&amp;LEN(metadata!B724))), 1),"0123456789abcdefghijklmnopqrstuvwxyzABCDEFGHIJKLMNOPQRSTUVWXYZ.")))))</f>
        <v>0</v>
      </c>
      <c r="V724">
        <f>AND(IF(metadata!C724="",FALSE,TRUE),exact(metadata!C724,"UBERON:genitourinary"))</f>
        <v>0</v>
      </c>
      <c r="W724">
        <f>AND(IF(metadata!D724="",FALSE,TRUE),exact(metadata!D724,"UBERON:urine"))</f>
        <v>0</v>
      </c>
      <c r="X724">
        <f>AND(IF(metadata!E724="",FALSE,TRUE),exact(metadata!E724,"UBERON:kidney"))</f>
        <v>0</v>
      </c>
      <c r="Y724">
        <f>AND(IF(metadata!F724="",FALSE,TRUE),exact(metadata!F724,"animal corpus"))</f>
        <v>0</v>
      </c>
      <c r="Z724">
        <f>AND(IF(metadata!G724="",FALSE,TRUE),exact(metadata!G724,"urine"))</f>
        <v>0</v>
      </c>
      <c r="AA724">
        <f>AND(IF(metadata!H724="",FALSE,TRUE),exact(metadata!H724,"urine"))</f>
        <v>0</v>
      </c>
      <c r="AB724">
        <f>AND(IF(metadata!I724="",FALSE,TRUE),exact(metadata!I724,"urine metagenome"))</f>
        <v>0</v>
      </c>
      <c r="AC724">
        <f>AND(IF(metadata!J724="",FALSE,TRUE),exact(metadata!J724,"1346744"))</f>
        <v>0</v>
      </c>
    </row>
    <row r="725" spans="1:29">
      <c r="A725" s="4">
        <f>IF(B725=" "," ",HYPERLINK(CONCATENATE("#metadata!",ADDRESS(INDEX($P$2:$P$1001,MATCH(ROWS($N$2:N725),$N$2:$N$1001,0),0),1)),INDEX($S$2:$S$1001,MATCH(ROWS($N$2:N725),$N$2:$N$1001,0),0)))</f>
        <v>0</v>
      </c>
      <c r="B725" s="3">
        <f>IF(OR(INDEX($O$2:$O$1001,MATCH(ROWS($N$2:N725),$N$2:$N$1001,0),1)&gt;=100000,INDEX($U$1005:$AC$1005,1,MATCH(COLUMNS($U$1006:U1006),$U$1006:$AC$1006,0))&gt;=100000), " ",IF(INDEX($U$2:$AC$1001,MATCH(ROWS($N$2:N725),$N$2:$N$1001,0),MATCH(COLUMNS($U$1006:U1006),$U$1006:$AC$1006,0)), HYPERLINK("#",""), HYPERLINK(CONCATENATE("#metadata!", ADDRESS(INDEX($P$2:$P$1001,MATCH(ROWS($N$2:N725),$N$2:$N$1001,0),0), INDEX($U$1004:$AC$1004,1,MATCH(COLUMNS($U$1006:U1006),$U$1006:$AC$1006,0)))),"Fix")))</f>
        <v>0</v>
      </c>
      <c r="C725" s="3">
        <f>IF(OR(INDEX($O$2:$O$1001,MATCH(ROWS($N$2:N725),$N$2:$N$1001,0),1)&gt;=100000,INDEX($U$1005:$AC$1005,1,MATCH(COLUMNS($U$1006:V1006),$U$1006:$AC$1006,0))&gt;=100000), " ",IF(INDEX($U$2:$AC$1001,MATCH(ROWS($N$2:N725),$N$2:$N$1001,0),MATCH(COLUMNS($U$1006:V1006),$U$1006:$AC$1006,0)), HYPERLINK("#",""), HYPERLINK(CONCATENATE("#metadata!", ADDRESS(INDEX($P$2:$P$1001,MATCH(ROWS($N$2:N725),$N$2:$N$1001,0),0), INDEX($U$1004:$AC$1004,1,MATCH(COLUMNS($U$1006:V1006),$U$1006:$AC$1006,0)))),"Fix")))</f>
        <v>0</v>
      </c>
      <c r="D725" s="3">
        <f>IF(OR(INDEX($O$2:$O$1001,MATCH(ROWS($N$2:N725),$N$2:$N$1001,0),1)&gt;=100000,INDEX($U$1005:$AC$1005,1,MATCH(COLUMNS($U$1006:W1006),$U$1006:$AC$1006,0))&gt;=100000), " ",IF(INDEX($U$2:$AC$1001,MATCH(ROWS($N$2:N725),$N$2:$N$1001,0),MATCH(COLUMNS($U$1006:W1006),$U$1006:$AC$1006,0)), HYPERLINK("#",""), HYPERLINK(CONCATENATE("#metadata!", ADDRESS(INDEX($P$2:$P$1001,MATCH(ROWS($N$2:N725),$N$2:$N$1001,0),0), INDEX($U$1004:$AC$1004,1,MATCH(COLUMNS($U$1006:W1006),$U$1006:$AC$1006,0)))),"Fix")))</f>
        <v>0</v>
      </c>
      <c r="E725" s="3">
        <f>IF(OR(INDEX($O$2:$O$1001,MATCH(ROWS($N$2:N725),$N$2:$N$1001,0),1)&gt;=100000,INDEX($U$1005:$AC$1005,1,MATCH(COLUMNS($U$1006:X1006),$U$1006:$AC$1006,0))&gt;=100000), " ",IF(INDEX($U$2:$AC$1001,MATCH(ROWS($N$2:N725),$N$2:$N$1001,0),MATCH(COLUMNS($U$1006:X1006),$U$1006:$AC$1006,0)), HYPERLINK("#",""), HYPERLINK(CONCATENATE("#metadata!", ADDRESS(INDEX($P$2:$P$1001,MATCH(ROWS($N$2:N725),$N$2:$N$1001,0),0), INDEX($U$1004:$AC$1004,1,MATCH(COLUMNS($U$1006:X1006),$U$1006:$AC$1006,0)))),"Fix")))</f>
        <v>0</v>
      </c>
      <c r="F725" s="3">
        <f>IF(OR(INDEX($O$2:$O$1001,MATCH(ROWS($N$2:N725),$N$2:$N$1001,0),1)&gt;=100000,INDEX($U$1005:$AC$1005,1,MATCH(COLUMNS($U$1006:Y1006),$U$1006:$AC$1006,0))&gt;=100000), " ",IF(INDEX($U$2:$AC$1001,MATCH(ROWS($N$2:N725),$N$2:$N$1001,0),MATCH(COLUMNS($U$1006:Y1006),$U$1006:$AC$1006,0)), HYPERLINK("#",""), HYPERLINK(CONCATENATE("#metadata!", ADDRESS(INDEX($P$2:$P$1001,MATCH(ROWS($N$2:N725),$N$2:$N$1001,0),0), INDEX($U$1004:$AC$1004,1,MATCH(COLUMNS($U$1006:Y1006),$U$1006:$AC$1006,0)))),"Fix")))</f>
        <v>0</v>
      </c>
      <c r="G725" s="3">
        <f>IF(OR(INDEX($O$2:$O$1001,MATCH(ROWS($N$2:N725),$N$2:$N$1001,0),1)&gt;=100000,INDEX($U$1005:$AC$1005,1,MATCH(COLUMNS($U$1006:Z1006),$U$1006:$AC$1006,0))&gt;=100000), " ",IF(INDEX($U$2:$AC$1001,MATCH(ROWS($N$2:N725),$N$2:$N$1001,0),MATCH(COLUMNS($U$1006:Z1006),$U$1006:$AC$1006,0)), HYPERLINK("#",""), HYPERLINK(CONCATENATE("#metadata!", ADDRESS(INDEX($P$2:$P$1001,MATCH(ROWS($N$2:N725),$N$2:$N$1001,0),0), INDEX($U$1004:$AC$1004,1,MATCH(COLUMNS($U$1006:Z1006),$U$1006:$AC$1006,0)))),"Fix")))</f>
        <v>0</v>
      </c>
      <c r="H725" s="3">
        <f>IF(OR(INDEX($O$2:$O$1001,MATCH(ROWS($N$2:N725),$N$2:$N$1001,0),1)&gt;=100000,INDEX($U$1005:$AC$1005,1,MATCH(COLUMNS($U$1006:AA1006),$U$1006:$AC$1006,0))&gt;=100000), " ",IF(INDEX($U$2:$AC$1001,MATCH(ROWS($N$2:N725),$N$2:$N$1001,0),MATCH(COLUMNS($U$1006:AA1006),$U$1006:$AC$1006,0)), HYPERLINK("#",""), HYPERLINK(CONCATENATE("#metadata!", ADDRESS(INDEX($P$2:$P$1001,MATCH(ROWS($N$2:N725),$N$2:$N$1001,0),0), INDEX($U$1004:$AC$1004,1,MATCH(COLUMNS($U$1006:AA1006),$U$1006:$AC$1006,0)))),"Fix")))</f>
        <v>0</v>
      </c>
      <c r="I725" s="3">
        <f>IF(OR(INDEX($O$2:$O$1001,MATCH(ROWS($N$2:N725),$N$2:$N$1001,0),1)&gt;=100000,INDEX($U$1005:$AC$1005,1,MATCH(COLUMNS($U$1006:AB1006),$U$1006:$AC$1006,0))&gt;=100000), " ",IF(INDEX($U$2:$AC$1001,MATCH(ROWS($N$2:N725),$N$2:$N$1001,0),MATCH(COLUMNS($U$1006:AB1006),$U$1006:$AC$1006,0)), HYPERLINK("#",""), HYPERLINK(CONCATENATE("#metadata!", ADDRESS(INDEX($P$2:$P$1001,MATCH(ROWS($N$2:N725),$N$2:$N$1001,0),0), INDEX($U$1004:$AC$1004,1,MATCH(COLUMNS($U$1006:AB1006),$U$1006:$AC$1006,0)))),"Fix")))</f>
        <v>0</v>
      </c>
      <c r="J725" s="3">
        <f>IF(OR(INDEX($O$2:$O$1001,MATCH(ROWS($N$2:N725),$N$2:$N$1001,0),1)&gt;=100000,INDEX($U$1005:$AC$1005,1,MATCH(COLUMNS($U$1006:AC1006),$U$1006:$AC$1006,0))&gt;=100000), " ",IF(INDEX($U$2:$AC$1001,MATCH(ROWS($N$2:N725),$N$2:$N$1001,0),MATCH(COLUMNS($U$1006:AC1006),$U$1006:$AC$1006,0)), HYPERLINK("#",""), HYPERLINK(CONCATENATE("#metadata!", ADDRESS(INDEX($P$2:$P$1001,MATCH(ROWS($N$2:N725),$N$2:$N$1001,0),0), INDEX($U$1004:$AC$1004,1,MATCH(COLUMNS($U$1006:AC1006),$U$1006:$AC$1006,0)))),"Fix")))</f>
        <v>0</v>
      </c>
      <c r="N725">
        <v>0</v>
      </c>
      <c r="O725">
        <v>0</v>
      </c>
      <c r="P725">
        <v>0</v>
      </c>
      <c r="Q725">
        <f>IF(R725,TRUE,AND(U725:AC725))</f>
        <v>0</v>
      </c>
      <c r="R725">
        <f>COUNTBLANK(metadata!B725:J725)=COLUMNS(metadata!B725:J725)</f>
        <v>0</v>
      </c>
      <c r="S725">
        <v>0</v>
      </c>
      <c r="U725">
        <f>AND(IF(metadata!B725="",FALSE,TRUE),COUNTIF(metadata!B:B, metadata!B725) = 1,NOT(ISERROR(SUMPRODUCT(SEARCH(MID(metadata!B725,ROW(INDIRECT("1:"&amp;LEN(metadata!B725))), 1),"0123456789abcdefghijklmnopqrstuvwxyzABCDEFGHIJKLMNOPQRSTUVWXYZ.")))))</f>
        <v>0</v>
      </c>
      <c r="V725">
        <f>AND(IF(metadata!C725="",FALSE,TRUE),exact(metadata!C725,"UBERON:genitourinary"))</f>
        <v>0</v>
      </c>
      <c r="W725">
        <f>AND(IF(metadata!D725="",FALSE,TRUE),exact(metadata!D725,"UBERON:urine"))</f>
        <v>0</v>
      </c>
      <c r="X725">
        <f>AND(IF(metadata!E725="",FALSE,TRUE),exact(metadata!E725,"UBERON:kidney"))</f>
        <v>0</v>
      </c>
      <c r="Y725">
        <f>AND(IF(metadata!F725="",FALSE,TRUE),exact(metadata!F725,"animal corpus"))</f>
        <v>0</v>
      </c>
      <c r="Z725">
        <f>AND(IF(metadata!G725="",FALSE,TRUE),exact(metadata!G725,"urine"))</f>
        <v>0</v>
      </c>
      <c r="AA725">
        <f>AND(IF(metadata!H725="",FALSE,TRUE),exact(metadata!H725,"urine"))</f>
        <v>0</v>
      </c>
      <c r="AB725">
        <f>AND(IF(metadata!I725="",FALSE,TRUE),exact(metadata!I725,"urine metagenome"))</f>
        <v>0</v>
      </c>
      <c r="AC725">
        <f>AND(IF(metadata!J725="",FALSE,TRUE),exact(metadata!J725,"1346744"))</f>
        <v>0</v>
      </c>
    </row>
    <row r="726" spans="1:29">
      <c r="A726" s="4">
        <f>IF(B726=" "," ",HYPERLINK(CONCATENATE("#metadata!",ADDRESS(INDEX($P$2:$P$1001,MATCH(ROWS($N$2:N726),$N$2:$N$1001,0),0),1)),INDEX($S$2:$S$1001,MATCH(ROWS($N$2:N726),$N$2:$N$1001,0),0)))</f>
        <v>0</v>
      </c>
      <c r="B726" s="3">
        <f>IF(OR(INDEX($O$2:$O$1001,MATCH(ROWS($N$2:N726),$N$2:$N$1001,0),1)&gt;=100000,INDEX($U$1005:$AC$1005,1,MATCH(COLUMNS($U$1006:U1006),$U$1006:$AC$1006,0))&gt;=100000), " ",IF(INDEX($U$2:$AC$1001,MATCH(ROWS($N$2:N726),$N$2:$N$1001,0),MATCH(COLUMNS($U$1006:U1006),$U$1006:$AC$1006,0)), HYPERLINK("#",""), HYPERLINK(CONCATENATE("#metadata!", ADDRESS(INDEX($P$2:$P$1001,MATCH(ROWS($N$2:N726),$N$2:$N$1001,0),0), INDEX($U$1004:$AC$1004,1,MATCH(COLUMNS($U$1006:U1006),$U$1006:$AC$1006,0)))),"Fix")))</f>
        <v>0</v>
      </c>
      <c r="C726" s="3">
        <f>IF(OR(INDEX($O$2:$O$1001,MATCH(ROWS($N$2:N726),$N$2:$N$1001,0),1)&gt;=100000,INDEX($U$1005:$AC$1005,1,MATCH(COLUMNS($U$1006:V1006),$U$1006:$AC$1006,0))&gt;=100000), " ",IF(INDEX($U$2:$AC$1001,MATCH(ROWS($N$2:N726),$N$2:$N$1001,0),MATCH(COLUMNS($U$1006:V1006),$U$1006:$AC$1006,0)), HYPERLINK("#",""), HYPERLINK(CONCATENATE("#metadata!", ADDRESS(INDEX($P$2:$P$1001,MATCH(ROWS($N$2:N726),$N$2:$N$1001,0),0), INDEX($U$1004:$AC$1004,1,MATCH(COLUMNS($U$1006:V1006),$U$1006:$AC$1006,0)))),"Fix")))</f>
        <v>0</v>
      </c>
      <c r="D726" s="3">
        <f>IF(OR(INDEX($O$2:$O$1001,MATCH(ROWS($N$2:N726),$N$2:$N$1001,0),1)&gt;=100000,INDEX($U$1005:$AC$1005,1,MATCH(COLUMNS($U$1006:W1006),$U$1006:$AC$1006,0))&gt;=100000), " ",IF(INDEX($U$2:$AC$1001,MATCH(ROWS($N$2:N726),$N$2:$N$1001,0),MATCH(COLUMNS($U$1006:W1006),$U$1006:$AC$1006,0)), HYPERLINK("#",""), HYPERLINK(CONCATENATE("#metadata!", ADDRESS(INDEX($P$2:$P$1001,MATCH(ROWS($N$2:N726),$N$2:$N$1001,0),0), INDEX($U$1004:$AC$1004,1,MATCH(COLUMNS($U$1006:W1006),$U$1006:$AC$1006,0)))),"Fix")))</f>
        <v>0</v>
      </c>
      <c r="E726" s="3">
        <f>IF(OR(INDEX($O$2:$O$1001,MATCH(ROWS($N$2:N726),$N$2:$N$1001,0),1)&gt;=100000,INDEX($U$1005:$AC$1005,1,MATCH(COLUMNS($U$1006:X1006),$U$1006:$AC$1006,0))&gt;=100000), " ",IF(INDEX($U$2:$AC$1001,MATCH(ROWS($N$2:N726),$N$2:$N$1001,0),MATCH(COLUMNS($U$1006:X1006),$U$1006:$AC$1006,0)), HYPERLINK("#",""), HYPERLINK(CONCATENATE("#metadata!", ADDRESS(INDEX($P$2:$P$1001,MATCH(ROWS($N$2:N726),$N$2:$N$1001,0),0), INDEX($U$1004:$AC$1004,1,MATCH(COLUMNS($U$1006:X1006),$U$1006:$AC$1006,0)))),"Fix")))</f>
        <v>0</v>
      </c>
      <c r="F726" s="3">
        <f>IF(OR(INDEX($O$2:$O$1001,MATCH(ROWS($N$2:N726),$N$2:$N$1001,0),1)&gt;=100000,INDEX($U$1005:$AC$1005,1,MATCH(COLUMNS($U$1006:Y1006),$U$1006:$AC$1006,0))&gt;=100000), " ",IF(INDEX($U$2:$AC$1001,MATCH(ROWS($N$2:N726),$N$2:$N$1001,0),MATCH(COLUMNS($U$1006:Y1006),$U$1006:$AC$1006,0)), HYPERLINK("#",""), HYPERLINK(CONCATENATE("#metadata!", ADDRESS(INDEX($P$2:$P$1001,MATCH(ROWS($N$2:N726),$N$2:$N$1001,0),0), INDEX($U$1004:$AC$1004,1,MATCH(COLUMNS($U$1006:Y1006),$U$1006:$AC$1006,0)))),"Fix")))</f>
        <v>0</v>
      </c>
      <c r="G726" s="3">
        <f>IF(OR(INDEX($O$2:$O$1001,MATCH(ROWS($N$2:N726),$N$2:$N$1001,0),1)&gt;=100000,INDEX($U$1005:$AC$1005,1,MATCH(COLUMNS($U$1006:Z1006),$U$1006:$AC$1006,0))&gt;=100000), " ",IF(INDEX($U$2:$AC$1001,MATCH(ROWS($N$2:N726),$N$2:$N$1001,0),MATCH(COLUMNS($U$1006:Z1006),$U$1006:$AC$1006,0)), HYPERLINK("#",""), HYPERLINK(CONCATENATE("#metadata!", ADDRESS(INDEX($P$2:$P$1001,MATCH(ROWS($N$2:N726),$N$2:$N$1001,0),0), INDEX($U$1004:$AC$1004,1,MATCH(COLUMNS($U$1006:Z1006),$U$1006:$AC$1006,0)))),"Fix")))</f>
        <v>0</v>
      </c>
      <c r="H726" s="3">
        <f>IF(OR(INDEX($O$2:$O$1001,MATCH(ROWS($N$2:N726),$N$2:$N$1001,0),1)&gt;=100000,INDEX($U$1005:$AC$1005,1,MATCH(COLUMNS($U$1006:AA1006),$U$1006:$AC$1006,0))&gt;=100000), " ",IF(INDEX($U$2:$AC$1001,MATCH(ROWS($N$2:N726),$N$2:$N$1001,0),MATCH(COLUMNS($U$1006:AA1006),$U$1006:$AC$1006,0)), HYPERLINK("#",""), HYPERLINK(CONCATENATE("#metadata!", ADDRESS(INDEX($P$2:$P$1001,MATCH(ROWS($N$2:N726),$N$2:$N$1001,0),0), INDEX($U$1004:$AC$1004,1,MATCH(COLUMNS($U$1006:AA1006),$U$1006:$AC$1006,0)))),"Fix")))</f>
        <v>0</v>
      </c>
      <c r="I726" s="3">
        <f>IF(OR(INDEX($O$2:$O$1001,MATCH(ROWS($N$2:N726),$N$2:$N$1001,0),1)&gt;=100000,INDEX($U$1005:$AC$1005,1,MATCH(COLUMNS($U$1006:AB1006),$U$1006:$AC$1006,0))&gt;=100000), " ",IF(INDEX($U$2:$AC$1001,MATCH(ROWS($N$2:N726),$N$2:$N$1001,0),MATCH(COLUMNS($U$1006:AB1006),$U$1006:$AC$1006,0)), HYPERLINK("#",""), HYPERLINK(CONCATENATE("#metadata!", ADDRESS(INDEX($P$2:$P$1001,MATCH(ROWS($N$2:N726),$N$2:$N$1001,0),0), INDEX($U$1004:$AC$1004,1,MATCH(COLUMNS($U$1006:AB1006),$U$1006:$AC$1006,0)))),"Fix")))</f>
        <v>0</v>
      </c>
      <c r="J726" s="3">
        <f>IF(OR(INDEX($O$2:$O$1001,MATCH(ROWS($N$2:N726),$N$2:$N$1001,0),1)&gt;=100000,INDEX($U$1005:$AC$1005,1,MATCH(COLUMNS($U$1006:AC1006),$U$1006:$AC$1006,0))&gt;=100000), " ",IF(INDEX($U$2:$AC$1001,MATCH(ROWS($N$2:N726),$N$2:$N$1001,0),MATCH(COLUMNS($U$1006:AC1006),$U$1006:$AC$1006,0)), HYPERLINK("#",""), HYPERLINK(CONCATENATE("#metadata!", ADDRESS(INDEX($P$2:$P$1001,MATCH(ROWS($N$2:N726),$N$2:$N$1001,0),0), INDEX($U$1004:$AC$1004,1,MATCH(COLUMNS($U$1006:AC1006),$U$1006:$AC$1006,0)))),"Fix")))</f>
        <v>0</v>
      </c>
      <c r="N726">
        <v>0</v>
      </c>
      <c r="O726">
        <v>0</v>
      </c>
      <c r="P726">
        <v>0</v>
      </c>
      <c r="Q726">
        <f>IF(R726,TRUE,AND(U726:AC726))</f>
        <v>0</v>
      </c>
      <c r="R726">
        <f>COUNTBLANK(metadata!B726:J726)=COLUMNS(metadata!B726:J726)</f>
        <v>0</v>
      </c>
      <c r="S726">
        <v>0</v>
      </c>
      <c r="U726">
        <f>AND(IF(metadata!B726="",FALSE,TRUE),COUNTIF(metadata!B:B, metadata!B726) = 1,NOT(ISERROR(SUMPRODUCT(SEARCH(MID(metadata!B726,ROW(INDIRECT("1:"&amp;LEN(metadata!B726))), 1),"0123456789abcdefghijklmnopqrstuvwxyzABCDEFGHIJKLMNOPQRSTUVWXYZ.")))))</f>
        <v>0</v>
      </c>
      <c r="V726">
        <f>AND(IF(metadata!C726="",FALSE,TRUE),exact(metadata!C726,"UBERON:genitourinary"))</f>
        <v>0</v>
      </c>
      <c r="W726">
        <f>AND(IF(metadata!D726="",FALSE,TRUE),exact(metadata!D726,"UBERON:urine"))</f>
        <v>0</v>
      </c>
      <c r="X726">
        <f>AND(IF(metadata!E726="",FALSE,TRUE),exact(metadata!E726,"UBERON:kidney"))</f>
        <v>0</v>
      </c>
      <c r="Y726">
        <f>AND(IF(metadata!F726="",FALSE,TRUE),exact(metadata!F726,"animal corpus"))</f>
        <v>0</v>
      </c>
      <c r="Z726">
        <f>AND(IF(metadata!G726="",FALSE,TRUE),exact(metadata!G726,"urine"))</f>
        <v>0</v>
      </c>
      <c r="AA726">
        <f>AND(IF(metadata!H726="",FALSE,TRUE),exact(metadata!H726,"urine"))</f>
        <v>0</v>
      </c>
      <c r="AB726">
        <f>AND(IF(metadata!I726="",FALSE,TRUE),exact(metadata!I726,"urine metagenome"))</f>
        <v>0</v>
      </c>
      <c r="AC726">
        <f>AND(IF(metadata!J726="",FALSE,TRUE),exact(metadata!J726,"1346744"))</f>
        <v>0</v>
      </c>
    </row>
    <row r="727" spans="1:29">
      <c r="A727" s="4">
        <f>IF(B727=" "," ",HYPERLINK(CONCATENATE("#metadata!",ADDRESS(INDEX($P$2:$P$1001,MATCH(ROWS($N$2:N727),$N$2:$N$1001,0),0),1)),INDEX($S$2:$S$1001,MATCH(ROWS($N$2:N727),$N$2:$N$1001,0),0)))</f>
        <v>0</v>
      </c>
      <c r="B727" s="3">
        <f>IF(OR(INDEX($O$2:$O$1001,MATCH(ROWS($N$2:N727),$N$2:$N$1001,0),1)&gt;=100000,INDEX($U$1005:$AC$1005,1,MATCH(COLUMNS($U$1006:U1006),$U$1006:$AC$1006,0))&gt;=100000), " ",IF(INDEX($U$2:$AC$1001,MATCH(ROWS($N$2:N727),$N$2:$N$1001,0),MATCH(COLUMNS($U$1006:U1006),$U$1006:$AC$1006,0)), HYPERLINK("#",""), HYPERLINK(CONCATENATE("#metadata!", ADDRESS(INDEX($P$2:$P$1001,MATCH(ROWS($N$2:N727),$N$2:$N$1001,0),0), INDEX($U$1004:$AC$1004,1,MATCH(COLUMNS($U$1006:U1006),$U$1006:$AC$1006,0)))),"Fix")))</f>
        <v>0</v>
      </c>
      <c r="C727" s="3">
        <f>IF(OR(INDEX($O$2:$O$1001,MATCH(ROWS($N$2:N727),$N$2:$N$1001,0),1)&gt;=100000,INDEX($U$1005:$AC$1005,1,MATCH(COLUMNS($U$1006:V1006),$U$1006:$AC$1006,0))&gt;=100000), " ",IF(INDEX($U$2:$AC$1001,MATCH(ROWS($N$2:N727),$N$2:$N$1001,0),MATCH(COLUMNS($U$1006:V1006),$U$1006:$AC$1006,0)), HYPERLINK("#",""), HYPERLINK(CONCATENATE("#metadata!", ADDRESS(INDEX($P$2:$P$1001,MATCH(ROWS($N$2:N727),$N$2:$N$1001,0),0), INDEX($U$1004:$AC$1004,1,MATCH(COLUMNS($U$1006:V1006),$U$1006:$AC$1006,0)))),"Fix")))</f>
        <v>0</v>
      </c>
      <c r="D727" s="3">
        <f>IF(OR(INDEX($O$2:$O$1001,MATCH(ROWS($N$2:N727),$N$2:$N$1001,0),1)&gt;=100000,INDEX($U$1005:$AC$1005,1,MATCH(COLUMNS($U$1006:W1006),$U$1006:$AC$1006,0))&gt;=100000), " ",IF(INDEX($U$2:$AC$1001,MATCH(ROWS($N$2:N727),$N$2:$N$1001,0),MATCH(COLUMNS($U$1006:W1006),$U$1006:$AC$1006,0)), HYPERLINK("#",""), HYPERLINK(CONCATENATE("#metadata!", ADDRESS(INDEX($P$2:$P$1001,MATCH(ROWS($N$2:N727),$N$2:$N$1001,0),0), INDEX($U$1004:$AC$1004,1,MATCH(COLUMNS($U$1006:W1006),$U$1006:$AC$1006,0)))),"Fix")))</f>
        <v>0</v>
      </c>
      <c r="E727" s="3">
        <f>IF(OR(INDEX($O$2:$O$1001,MATCH(ROWS($N$2:N727),$N$2:$N$1001,0),1)&gt;=100000,INDEX($U$1005:$AC$1005,1,MATCH(COLUMNS($U$1006:X1006),$U$1006:$AC$1006,0))&gt;=100000), " ",IF(INDEX($U$2:$AC$1001,MATCH(ROWS($N$2:N727),$N$2:$N$1001,0),MATCH(COLUMNS($U$1006:X1006),$U$1006:$AC$1006,0)), HYPERLINK("#",""), HYPERLINK(CONCATENATE("#metadata!", ADDRESS(INDEX($P$2:$P$1001,MATCH(ROWS($N$2:N727),$N$2:$N$1001,0),0), INDEX($U$1004:$AC$1004,1,MATCH(COLUMNS($U$1006:X1006),$U$1006:$AC$1006,0)))),"Fix")))</f>
        <v>0</v>
      </c>
      <c r="F727" s="3">
        <f>IF(OR(INDEX($O$2:$O$1001,MATCH(ROWS($N$2:N727),$N$2:$N$1001,0),1)&gt;=100000,INDEX($U$1005:$AC$1005,1,MATCH(COLUMNS($U$1006:Y1006),$U$1006:$AC$1006,0))&gt;=100000), " ",IF(INDEX($U$2:$AC$1001,MATCH(ROWS($N$2:N727),$N$2:$N$1001,0),MATCH(COLUMNS($U$1006:Y1006),$U$1006:$AC$1006,0)), HYPERLINK("#",""), HYPERLINK(CONCATENATE("#metadata!", ADDRESS(INDEX($P$2:$P$1001,MATCH(ROWS($N$2:N727),$N$2:$N$1001,0),0), INDEX($U$1004:$AC$1004,1,MATCH(COLUMNS($U$1006:Y1006),$U$1006:$AC$1006,0)))),"Fix")))</f>
        <v>0</v>
      </c>
      <c r="G727" s="3">
        <f>IF(OR(INDEX($O$2:$O$1001,MATCH(ROWS($N$2:N727),$N$2:$N$1001,0),1)&gt;=100000,INDEX($U$1005:$AC$1005,1,MATCH(COLUMNS($U$1006:Z1006),$U$1006:$AC$1006,0))&gt;=100000), " ",IF(INDEX($U$2:$AC$1001,MATCH(ROWS($N$2:N727),$N$2:$N$1001,0),MATCH(COLUMNS($U$1006:Z1006),$U$1006:$AC$1006,0)), HYPERLINK("#",""), HYPERLINK(CONCATENATE("#metadata!", ADDRESS(INDEX($P$2:$P$1001,MATCH(ROWS($N$2:N727),$N$2:$N$1001,0),0), INDEX($U$1004:$AC$1004,1,MATCH(COLUMNS($U$1006:Z1006),$U$1006:$AC$1006,0)))),"Fix")))</f>
        <v>0</v>
      </c>
      <c r="H727" s="3">
        <f>IF(OR(INDEX($O$2:$O$1001,MATCH(ROWS($N$2:N727),$N$2:$N$1001,0),1)&gt;=100000,INDEX($U$1005:$AC$1005,1,MATCH(COLUMNS($U$1006:AA1006),$U$1006:$AC$1006,0))&gt;=100000), " ",IF(INDEX($U$2:$AC$1001,MATCH(ROWS($N$2:N727),$N$2:$N$1001,0),MATCH(COLUMNS($U$1006:AA1006),$U$1006:$AC$1006,0)), HYPERLINK("#",""), HYPERLINK(CONCATENATE("#metadata!", ADDRESS(INDEX($P$2:$P$1001,MATCH(ROWS($N$2:N727),$N$2:$N$1001,0),0), INDEX($U$1004:$AC$1004,1,MATCH(COLUMNS($U$1006:AA1006),$U$1006:$AC$1006,0)))),"Fix")))</f>
        <v>0</v>
      </c>
      <c r="I727" s="3">
        <f>IF(OR(INDEX($O$2:$O$1001,MATCH(ROWS($N$2:N727),$N$2:$N$1001,0),1)&gt;=100000,INDEX($U$1005:$AC$1005,1,MATCH(COLUMNS($U$1006:AB1006),$U$1006:$AC$1006,0))&gt;=100000), " ",IF(INDEX($U$2:$AC$1001,MATCH(ROWS($N$2:N727),$N$2:$N$1001,0),MATCH(COLUMNS($U$1006:AB1006),$U$1006:$AC$1006,0)), HYPERLINK("#",""), HYPERLINK(CONCATENATE("#metadata!", ADDRESS(INDEX($P$2:$P$1001,MATCH(ROWS($N$2:N727),$N$2:$N$1001,0),0), INDEX($U$1004:$AC$1004,1,MATCH(COLUMNS($U$1006:AB1006),$U$1006:$AC$1006,0)))),"Fix")))</f>
        <v>0</v>
      </c>
      <c r="J727" s="3">
        <f>IF(OR(INDEX($O$2:$O$1001,MATCH(ROWS($N$2:N727),$N$2:$N$1001,0),1)&gt;=100000,INDEX($U$1005:$AC$1005,1,MATCH(COLUMNS($U$1006:AC1006),$U$1006:$AC$1006,0))&gt;=100000), " ",IF(INDEX($U$2:$AC$1001,MATCH(ROWS($N$2:N727),$N$2:$N$1001,0),MATCH(COLUMNS($U$1006:AC1006),$U$1006:$AC$1006,0)), HYPERLINK("#",""), HYPERLINK(CONCATENATE("#metadata!", ADDRESS(INDEX($P$2:$P$1001,MATCH(ROWS($N$2:N727),$N$2:$N$1001,0),0), INDEX($U$1004:$AC$1004,1,MATCH(COLUMNS($U$1006:AC1006),$U$1006:$AC$1006,0)))),"Fix")))</f>
        <v>0</v>
      </c>
      <c r="N727">
        <v>0</v>
      </c>
      <c r="O727">
        <v>0</v>
      </c>
      <c r="P727">
        <v>0</v>
      </c>
      <c r="Q727">
        <f>IF(R727,TRUE,AND(U727:AC727))</f>
        <v>0</v>
      </c>
      <c r="R727">
        <f>COUNTBLANK(metadata!B727:J727)=COLUMNS(metadata!B727:J727)</f>
        <v>0</v>
      </c>
      <c r="S727">
        <v>0</v>
      </c>
      <c r="U727">
        <f>AND(IF(metadata!B727="",FALSE,TRUE),COUNTIF(metadata!B:B, metadata!B727) = 1,NOT(ISERROR(SUMPRODUCT(SEARCH(MID(metadata!B727,ROW(INDIRECT("1:"&amp;LEN(metadata!B727))), 1),"0123456789abcdefghijklmnopqrstuvwxyzABCDEFGHIJKLMNOPQRSTUVWXYZ.")))))</f>
        <v>0</v>
      </c>
      <c r="V727">
        <f>AND(IF(metadata!C727="",FALSE,TRUE),exact(metadata!C727,"UBERON:genitourinary"))</f>
        <v>0</v>
      </c>
      <c r="W727">
        <f>AND(IF(metadata!D727="",FALSE,TRUE),exact(metadata!D727,"UBERON:urine"))</f>
        <v>0</v>
      </c>
      <c r="X727">
        <f>AND(IF(metadata!E727="",FALSE,TRUE),exact(metadata!E727,"UBERON:kidney"))</f>
        <v>0</v>
      </c>
      <c r="Y727">
        <f>AND(IF(metadata!F727="",FALSE,TRUE),exact(metadata!F727,"animal corpus"))</f>
        <v>0</v>
      </c>
      <c r="Z727">
        <f>AND(IF(metadata!G727="",FALSE,TRUE),exact(metadata!G727,"urine"))</f>
        <v>0</v>
      </c>
      <c r="AA727">
        <f>AND(IF(metadata!H727="",FALSE,TRUE),exact(metadata!H727,"urine"))</f>
        <v>0</v>
      </c>
      <c r="AB727">
        <f>AND(IF(metadata!I727="",FALSE,TRUE),exact(metadata!I727,"urine metagenome"))</f>
        <v>0</v>
      </c>
      <c r="AC727">
        <f>AND(IF(metadata!J727="",FALSE,TRUE),exact(metadata!J727,"1346744"))</f>
        <v>0</v>
      </c>
    </row>
    <row r="728" spans="1:29">
      <c r="A728" s="4">
        <f>IF(B728=" "," ",HYPERLINK(CONCATENATE("#metadata!",ADDRESS(INDEX($P$2:$P$1001,MATCH(ROWS($N$2:N728),$N$2:$N$1001,0),0),1)),INDEX($S$2:$S$1001,MATCH(ROWS($N$2:N728),$N$2:$N$1001,0),0)))</f>
        <v>0</v>
      </c>
      <c r="B728" s="3">
        <f>IF(OR(INDEX($O$2:$O$1001,MATCH(ROWS($N$2:N728),$N$2:$N$1001,0),1)&gt;=100000,INDEX($U$1005:$AC$1005,1,MATCH(COLUMNS($U$1006:U1006),$U$1006:$AC$1006,0))&gt;=100000), " ",IF(INDEX($U$2:$AC$1001,MATCH(ROWS($N$2:N728),$N$2:$N$1001,0),MATCH(COLUMNS($U$1006:U1006),$U$1006:$AC$1006,0)), HYPERLINK("#",""), HYPERLINK(CONCATENATE("#metadata!", ADDRESS(INDEX($P$2:$P$1001,MATCH(ROWS($N$2:N728),$N$2:$N$1001,0),0), INDEX($U$1004:$AC$1004,1,MATCH(COLUMNS($U$1006:U1006),$U$1006:$AC$1006,0)))),"Fix")))</f>
        <v>0</v>
      </c>
      <c r="C728" s="3">
        <f>IF(OR(INDEX($O$2:$O$1001,MATCH(ROWS($N$2:N728),$N$2:$N$1001,0),1)&gt;=100000,INDEX($U$1005:$AC$1005,1,MATCH(COLUMNS($U$1006:V1006),$U$1006:$AC$1006,0))&gt;=100000), " ",IF(INDEX($U$2:$AC$1001,MATCH(ROWS($N$2:N728),$N$2:$N$1001,0),MATCH(COLUMNS($U$1006:V1006),$U$1006:$AC$1006,0)), HYPERLINK("#",""), HYPERLINK(CONCATENATE("#metadata!", ADDRESS(INDEX($P$2:$P$1001,MATCH(ROWS($N$2:N728),$N$2:$N$1001,0),0), INDEX($U$1004:$AC$1004,1,MATCH(COLUMNS($U$1006:V1006),$U$1006:$AC$1006,0)))),"Fix")))</f>
        <v>0</v>
      </c>
      <c r="D728" s="3">
        <f>IF(OR(INDEX($O$2:$O$1001,MATCH(ROWS($N$2:N728),$N$2:$N$1001,0),1)&gt;=100000,INDEX($U$1005:$AC$1005,1,MATCH(COLUMNS($U$1006:W1006),$U$1006:$AC$1006,0))&gt;=100000), " ",IF(INDEX($U$2:$AC$1001,MATCH(ROWS($N$2:N728),$N$2:$N$1001,0),MATCH(COLUMNS($U$1006:W1006),$U$1006:$AC$1006,0)), HYPERLINK("#",""), HYPERLINK(CONCATENATE("#metadata!", ADDRESS(INDEX($P$2:$P$1001,MATCH(ROWS($N$2:N728),$N$2:$N$1001,0),0), INDEX($U$1004:$AC$1004,1,MATCH(COLUMNS($U$1006:W1006),$U$1006:$AC$1006,0)))),"Fix")))</f>
        <v>0</v>
      </c>
      <c r="E728" s="3">
        <f>IF(OR(INDEX($O$2:$O$1001,MATCH(ROWS($N$2:N728),$N$2:$N$1001,0),1)&gt;=100000,INDEX($U$1005:$AC$1005,1,MATCH(COLUMNS($U$1006:X1006),$U$1006:$AC$1006,0))&gt;=100000), " ",IF(INDEX($U$2:$AC$1001,MATCH(ROWS($N$2:N728),$N$2:$N$1001,0),MATCH(COLUMNS($U$1006:X1006),$U$1006:$AC$1006,0)), HYPERLINK("#",""), HYPERLINK(CONCATENATE("#metadata!", ADDRESS(INDEX($P$2:$P$1001,MATCH(ROWS($N$2:N728),$N$2:$N$1001,0),0), INDEX($U$1004:$AC$1004,1,MATCH(COLUMNS($U$1006:X1006),$U$1006:$AC$1006,0)))),"Fix")))</f>
        <v>0</v>
      </c>
      <c r="F728" s="3">
        <f>IF(OR(INDEX($O$2:$O$1001,MATCH(ROWS($N$2:N728),$N$2:$N$1001,0),1)&gt;=100000,INDEX($U$1005:$AC$1005,1,MATCH(COLUMNS($U$1006:Y1006),$U$1006:$AC$1006,0))&gt;=100000), " ",IF(INDEX($U$2:$AC$1001,MATCH(ROWS($N$2:N728),$N$2:$N$1001,0),MATCH(COLUMNS($U$1006:Y1006),$U$1006:$AC$1006,0)), HYPERLINK("#",""), HYPERLINK(CONCATENATE("#metadata!", ADDRESS(INDEX($P$2:$P$1001,MATCH(ROWS($N$2:N728),$N$2:$N$1001,0),0), INDEX($U$1004:$AC$1004,1,MATCH(COLUMNS($U$1006:Y1006),$U$1006:$AC$1006,0)))),"Fix")))</f>
        <v>0</v>
      </c>
      <c r="G728" s="3">
        <f>IF(OR(INDEX($O$2:$O$1001,MATCH(ROWS($N$2:N728),$N$2:$N$1001,0),1)&gt;=100000,INDEX($U$1005:$AC$1005,1,MATCH(COLUMNS($U$1006:Z1006),$U$1006:$AC$1006,0))&gt;=100000), " ",IF(INDEX($U$2:$AC$1001,MATCH(ROWS($N$2:N728),$N$2:$N$1001,0),MATCH(COLUMNS($U$1006:Z1006),$U$1006:$AC$1006,0)), HYPERLINK("#",""), HYPERLINK(CONCATENATE("#metadata!", ADDRESS(INDEX($P$2:$P$1001,MATCH(ROWS($N$2:N728),$N$2:$N$1001,0),0), INDEX($U$1004:$AC$1004,1,MATCH(COLUMNS($U$1006:Z1006),$U$1006:$AC$1006,0)))),"Fix")))</f>
        <v>0</v>
      </c>
      <c r="H728" s="3">
        <f>IF(OR(INDEX($O$2:$O$1001,MATCH(ROWS($N$2:N728),$N$2:$N$1001,0),1)&gt;=100000,INDEX($U$1005:$AC$1005,1,MATCH(COLUMNS($U$1006:AA1006),$U$1006:$AC$1006,0))&gt;=100000), " ",IF(INDEX($U$2:$AC$1001,MATCH(ROWS($N$2:N728),$N$2:$N$1001,0),MATCH(COLUMNS($U$1006:AA1006),$U$1006:$AC$1006,0)), HYPERLINK("#",""), HYPERLINK(CONCATENATE("#metadata!", ADDRESS(INDEX($P$2:$P$1001,MATCH(ROWS($N$2:N728),$N$2:$N$1001,0),0), INDEX($U$1004:$AC$1004,1,MATCH(COLUMNS($U$1006:AA1006),$U$1006:$AC$1006,0)))),"Fix")))</f>
        <v>0</v>
      </c>
      <c r="I728" s="3">
        <f>IF(OR(INDEX($O$2:$O$1001,MATCH(ROWS($N$2:N728),$N$2:$N$1001,0),1)&gt;=100000,INDEX($U$1005:$AC$1005,1,MATCH(COLUMNS($U$1006:AB1006),$U$1006:$AC$1006,0))&gt;=100000), " ",IF(INDEX($U$2:$AC$1001,MATCH(ROWS($N$2:N728),$N$2:$N$1001,0),MATCH(COLUMNS($U$1006:AB1006),$U$1006:$AC$1006,0)), HYPERLINK("#",""), HYPERLINK(CONCATENATE("#metadata!", ADDRESS(INDEX($P$2:$P$1001,MATCH(ROWS($N$2:N728),$N$2:$N$1001,0),0), INDEX($U$1004:$AC$1004,1,MATCH(COLUMNS($U$1006:AB1006),$U$1006:$AC$1006,0)))),"Fix")))</f>
        <v>0</v>
      </c>
      <c r="J728" s="3">
        <f>IF(OR(INDEX($O$2:$O$1001,MATCH(ROWS($N$2:N728),$N$2:$N$1001,0),1)&gt;=100000,INDEX($U$1005:$AC$1005,1,MATCH(COLUMNS($U$1006:AC1006),$U$1006:$AC$1006,0))&gt;=100000), " ",IF(INDEX($U$2:$AC$1001,MATCH(ROWS($N$2:N728),$N$2:$N$1001,0),MATCH(COLUMNS($U$1006:AC1006),$U$1006:$AC$1006,0)), HYPERLINK("#",""), HYPERLINK(CONCATENATE("#metadata!", ADDRESS(INDEX($P$2:$P$1001,MATCH(ROWS($N$2:N728),$N$2:$N$1001,0),0), INDEX($U$1004:$AC$1004,1,MATCH(COLUMNS($U$1006:AC1006),$U$1006:$AC$1006,0)))),"Fix")))</f>
        <v>0</v>
      </c>
      <c r="N728">
        <v>0</v>
      </c>
      <c r="O728">
        <v>0</v>
      </c>
      <c r="P728">
        <v>0</v>
      </c>
      <c r="Q728">
        <f>IF(R728,TRUE,AND(U728:AC728))</f>
        <v>0</v>
      </c>
      <c r="R728">
        <f>COUNTBLANK(metadata!B728:J728)=COLUMNS(metadata!B728:J728)</f>
        <v>0</v>
      </c>
      <c r="S728">
        <v>0</v>
      </c>
      <c r="U728">
        <f>AND(IF(metadata!B728="",FALSE,TRUE),COUNTIF(metadata!B:B, metadata!B728) = 1,NOT(ISERROR(SUMPRODUCT(SEARCH(MID(metadata!B728,ROW(INDIRECT("1:"&amp;LEN(metadata!B728))), 1),"0123456789abcdefghijklmnopqrstuvwxyzABCDEFGHIJKLMNOPQRSTUVWXYZ.")))))</f>
        <v>0</v>
      </c>
      <c r="V728">
        <f>AND(IF(metadata!C728="",FALSE,TRUE),exact(metadata!C728,"UBERON:genitourinary"))</f>
        <v>0</v>
      </c>
      <c r="W728">
        <f>AND(IF(metadata!D728="",FALSE,TRUE),exact(metadata!D728,"UBERON:urine"))</f>
        <v>0</v>
      </c>
      <c r="X728">
        <f>AND(IF(metadata!E728="",FALSE,TRUE),exact(metadata!E728,"UBERON:kidney"))</f>
        <v>0</v>
      </c>
      <c r="Y728">
        <f>AND(IF(metadata!F728="",FALSE,TRUE),exact(metadata!F728,"animal corpus"))</f>
        <v>0</v>
      </c>
      <c r="Z728">
        <f>AND(IF(metadata!G728="",FALSE,TRUE),exact(metadata!G728,"urine"))</f>
        <v>0</v>
      </c>
      <c r="AA728">
        <f>AND(IF(metadata!H728="",FALSE,TRUE),exact(metadata!H728,"urine"))</f>
        <v>0</v>
      </c>
      <c r="AB728">
        <f>AND(IF(metadata!I728="",FALSE,TRUE),exact(metadata!I728,"urine metagenome"))</f>
        <v>0</v>
      </c>
      <c r="AC728">
        <f>AND(IF(metadata!J728="",FALSE,TRUE),exact(metadata!J728,"1346744"))</f>
        <v>0</v>
      </c>
    </row>
    <row r="729" spans="1:29">
      <c r="A729" s="4">
        <f>IF(B729=" "," ",HYPERLINK(CONCATENATE("#metadata!",ADDRESS(INDEX($P$2:$P$1001,MATCH(ROWS($N$2:N729),$N$2:$N$1001,0),0),1)),INDEX($S$2:$S$1001,MATCH(ROWS($N$2:N729),$N$2:$N$1001,0),0)))</f>
        <v>0</v>
      </c>
      <c r="B729" s="3">
        <f>IF(OR(INDEX($O$2:$O$1001,MATCH(ROWS($N$2:N729),$N$2:$N$1001,0),1)&gt;=100000,INDEX($U$1005:$AC$1005,1,MATCH(COLUMNS($U$1006:U1006),$U$1006:$AC$1006,0))&gt;=100000), " ",IF(INDEX($U$2:$AC$1001,MATCH(ROWS($N$2:N729),$N$2:$N$1001,0),MATCH(COLUMNS($U$1006:U1006),$U$1006:$AC$1006,0)), HYPERLINK("#",""), HYPERLINK(CONCATENATE("#metadata!", ADDRESS(INDEX($P$2:$P$1001,MATCH(ROWS($N$2:N729),$N$2:$N$1001,0),0), INDEX($U$1004:$AC$1004,1,MATCH(COLUMNS($U$1006:U1006),$U$1006:$AC$1006,0)))),"Fix")))</f>
        <v>0</v>
      </c>
      <c r="C729" s="3">
        <f>IF(OR(INDEX($O$2:$O$1001,MATCH(ROWS($N$2:N729),$N$2:$N$1001,0),1)&gt;=100000,INDEX($U$1005:$AC$1005,1,MATCH(COLUMNS($U$1006:V1006),$U$1006:$AC$1006,0))&gt;=100000), " ",IF(INDEX($U$2:$AC$1001,MATCH(ROWS($N$2:N729),$N$2:$N$1001,0),MATCH(COLUMNS($U$1006:V1006),$U$1006:$AC$1006,0)), HYPERLINK("#",""), HYPERLINK(CONCATENATE("#metadata!", ADDRESS(INDEX($P$2:$P$1001,MATCH(ROWS($N$2:N729),$N$2:$N$1001,0),0), INDEX($U$1004:$AC$1004,1,MATCH(COLUMNS($U$1006:V1006),$U$1006:$AC$1006,0)))),"Fix")))</f>
        <v>0</v>
      </c>
      <c r="D729" s="3">
        <f>IF(OR(INDEX($O$2:$O$1001,MATCH(ROWS($N$2:N729),$N$2:$N$1001,0),1)&gt;=100000,INDEX($U$1005:$AC$1005,1,MATCH(COLUMNS($U$1006:W1006),$U$1006:$AC$1006,0))&gt;=100000), " ",IF(INDEX($U$2:$AC$1001,MATCH(ROWS($N$2:N729),$N$2:$N$1001,0),MATCH(COLUMNS($U$1006:W1006),$U$1006:$AC$1006,0)), HYPERLINK("#",""), HYPERLINK(CONCATENATE("#metadata!", ADDRESS(INDEX($P$2:$P$1001,MATCH(ROWS($N$2:N729),$N$2:$N$1001,0),0), INDEX($U$1004:$AC$1004,1,MATCH(COLUMNS($U$1006:W1006),$U$1006:$AC$1006,0)))),"Fix")))</f>
        <v>0</v>
      </c>
      <c r="E729" s="3">
        <f>IF(OR(INDEX($O$2:$O$1001,MATCH(ROWS($N$2:N729),$N$2:$N$1001,0),1)&gt;=100000,INDEX($U$1005:$AC$1005,1,MATCH(COLUMNS($U$1006:X1006),$U$1006:$AC$1006,0))&gt;=100000), " ",IF(INDEX($U$2:$AC$1001,MATCH(ROWS($N$2:N729),$N$2:$N$1001,0),MATCH(COLUMNS($U$1006:X1006),$U$1006:$AC$1006,0)), HYPERLINK("#",""), HYPERLINK(CONCATENATE("#metadata!", ADDRESS(INDEX($P$2:$P$1001,MATCH(ROWS($N$2:N729),$N$2:$N$1001,0),0), INDEX($U$1004:$AC$1004,1,MATCH(COLUMNS($U$1006:X1006),$U$1006:$AC$1006,0)))),"Fix")))</f>
        <v>0</v>
      </c>
      <c r="F729" s="3">
        <f>IF(OR(INDEX($O$2:$O$1001,MATCH(ROWS($N$2:N729),$N$2:$N$1001,0),1)&gt;=100000,INDEX($U$1005:$AC$1005,1,MATCH(COLUMNS($U$1006:Y1006),$U$1006:$AC$1006,0))&gt;=100000), " ",IF(INDEX($U$2:$AC$1001,MATCH(ROWS($N$2:N729),$N$2:$N$1001,0),MATCH(COLUMNS($U$1006:Y1006),$U$1006:$AC$1006,0)), HYPERLINK("#",""), HYPERLINK(CONCATENATE("#metadata!", ADDRESS(INDEX($P$2:$P$1001,MATCH(ROWS($N$2:N729),$N$2:$N$1001,0),0), INDEX($U$1004:$AC$1004,1,MATCH(COLUMNS($U$1006:Y1006),$U$1006:$AC$1006,0)))),"Fix")))</f>
        <v>0</v>
      </c>
      <c r="G729" s="3">
        <f>IF(OR(INDEX($O$2:$O$1001,MATCH(ROWS($N$2:N729),$N$2:$N$1001,0),1)&gt;=100000,INDEX($U$1005:$AC$1005,1,MATCH(COLUMNS($U$1006:Z1006),$U$1006:$AC$1006,0))&gt;=100000), " ",IF(INDEX($U$2:$AC$1001,MATCH(ROWS($N$2:N729),$N$2:$N$1001,0),MATCH(COLUMNS($U$1006:Z1006),$U$1006:$AC$1006,0)), HYPERLINK("#",""), HYPERLINK(CONCATENATE("#metadata!", ADDRESS(INDEX($P$2:$P$1001,MATCH(ROWS($N$2:N729),$N$2:$N$1001,0),0), INDEX($U$1004:$AC$1004,1,MATCH(COLUMNS($U$1006:Z1006),$U$1006:$AC$1006,0)))),"Fix")))</f>
        <v>0</v>
      </c>
      <c r="H729" s="3">
        <f>IF(OR(INDEX($O$2:$O$1001,MATCH(ROWS($N$2:N729),$N$2:$N$1001,0),1)&gt;=100000,INDEX($U$1005:$AC$1005,1,MATCH(COLUMNS($U$1006:AA1006),$U$1006:$AC$1006,0))&gt;=100000), " ",IF(INDEX($U$2:$AC$1001,MATCH(ROWS($N$2:N729),$N$2:$N$1001,0),MATCH(COLUMNS($U$1006:AA1006),$U$1006:$AC$1006,0)), HYPERLINK("#",""), HYPERLINK(CONCATENATE("#metadata!", ADDRESS(INDEX($P$2:$P$1001,MATCH(ROWS($N$2:N729),$N$2:$N$1001,0),0), INDEX($U$1004:$AC$1004,1,MATCH(COLUMNS($U$1006:AA1006),$U$1006:$AC$1006,0)))),"Fix")))</f>
        <v>0</v>
      </c>
      <c r="I729" s="3">
        <f>IF(OR(INDEX($O$2:$O$1001,MATCH(ROWS($N$2:N729),$N$2:$N$1001,0),1)&gt;=100000,INDEX($U$1005:$AC$1005,1,MATCH(COLUMNS($U$1006:AB1006),$U$1006:$AC$1006,0))&gt;=100000), " ",IF(INDEX($U$2:$AC$1001,MATCH(ROWS($N$2:N729),$N$2:$N$1001,0),MATCH(COLUMNS($U$1006:AB1006),$U$1006:$AC$1006,0)), HYPERLINK("#",""), HYPERLINK(CONCATENATE("#metadata!", ADDRESS(INDEX($P$2:$P$1001,MATCH(ROWS($N$2:N729),$N$2:$N$1001,0),0), INDEX($U$1004:$AC$1004,1,MATCH(COLUMNS($U$1006:AB1006),$U$1006:$AC$1006,0)))),"Fix")))</f>
        <v>0</v>
      </c>
      <c r="J729" s="3">
        <f>IF(OR(INDEX($O$2:$O$1001,MATCH(ROWS($N$2:N729),$N$2:$N$1001,0),1)&gt;=100000,INDEX($U$1005:$AC$1005,1,MATCH(COLUMNS($U$1006:AC1006),$U$1006:$AC$1006,0))&gt;=100000), " ",IF(INDEX($U$2:$AC$1001,MATCH(ROWS($N$2:N729),$N$2:$N$1001,0),MATCH(COLUMNS($U$1006:AC1006),$U$1006:$AC$1006,0)), HYPERLINK("#",""), HYPERLINK(CONCATENATE("#metadata!", ADDRESS(INDEX($P$2:$P$1001,MATCH(ROWS($N$2:N729),$N$2:$N$1001,0),0), INDEX($U$1004:$AC$1004,1,MATCH(COLUMNS($U$1006:AC1006),$U$1006:$AC$1006,0)))),"Fix")))</f>
        <v>0</v>
      </c>
      <c r="N729">
        <v>0</v>
      </c>
      <c r="O729">
        <v>0</v>
      </c>
      <c r="P729">
        <v>0</v>
      </c>
      <c r="Q729">
        <f>IF(R729,TRUE,AND(U729:AC729))</f>
        <v>0</v>
      </c>
      <c r="R729">
        <f>COUNTBLANK(metadata!B729:J729)=COLUMNS(metadata!B729:J729)</f>
        <v>0</v>
      </c>
      <c r="S729">
        <v>0</v>
      </c>
      <c r="U729">
        <f>AND(IF(metadata!B729="",FALSE,TRUE),COUNTIF(metadata!B:B, metadata!B729) = 1,NOT(ISERROR(SUMPRODUCT(SEARCH(MID(metadata!B729,ROW(INDIRECT("1:"&amp;LEN(metadata!B729))), 1),"0123456789abcdefghijklmnopqrstuvwxyzABCDEFGHIJKLMNOPQRSTUVWXYZ.")))))</f>
        <v>0</v>
      </c>
      <c r="V729">
        <f>AND(IF(metadata!C729="",FALSE,TRUE),exact(metadata!C729,"UBERON:genitourinary"))</f>
        <v>0</v>
      </c>
      <c r="W729">
        <f>AND(IF(metadata!D729="",FALSE,TRUE),exact(metadata!D729,"UBERON:urine"))</f>
        <v>0</v>
      </c>
      <c r="X729">
        <f>AND(IF(metadata!E729="",FALSE,TRUE),exact(metadata!E729,"UBERON:kidney"))</f>
        <v>0</v>
      </c>
      <c r="Y729">
        <f>AND(IF(metadata!F729="",FALSE,TRUE),exact(metadata!F729,"animal corpus"))</f>
        <v>0</v>
      </c>
      <c r="Z729">
        <f>AND(IF(metadata!G729="",FALSE,TRUE),exact(metadata!G729,"urine"))</f>
        <v>0</v>
      </c>
      <c r="AA729">
        <f>AND(IF(metadata!H729="",FALSE,TRUE),exact(metadata!H729,"urine"))</f>
        <v>0</v>
      </c>
      <c r="AB729">
        <f>AND(IF(metadata!I729="",FALSE,TRUE),exact(metadata!I729,"urine metagenome"))</f>
        <v>0</v>
      </c>
      <c r="AC729">
        <f>AND(IF(metadata!J729="",FALSE,TRUE),exact(metadata!J729,"1346744"))</f>
        <v>0</v>
      </c>
    </row>
    <row r="730" spans="1:29">
      <c r="A730" s="4">
        <f>IF(B730=" "," ",HYPERLINK(CONCATENATE("#metadata!",ADDRESS(INDEX($P$2:$P$1001,MATCH(ROWS($N$2:N730),$N$2:$N$1001,0),0),1)),INDEX($S$2:$S$1001,MATCH(ROWS($N$2:N730),$N$2:$N$1001,0),0)))</f>
        <v>0</v>
      </c>
      <c r="B730" s="3">
        <f>IF(OR(INDEX($O$2:$O$1001,MATCH(ROWS($N$2:N730),$N$2:$N$1001,0),1)&gt;=100000,INDEX($U$1005:$AC$1005,1,MATCH(COLUMNS($U$1006:U1006),$U$1006:$AC$1006,0))&gt;=100000), " ",IF(INDEX($U$2:$AC$1001,MATCH(ROWS($N$2:N730),$N$2:$N$1001,0),MATCH(COLUMNS($U$1006:U1006),$U$1006:$AC$1006,0)), HYPERLINK("#",""), HYPERLINK(CONCATENATE("#metadata!", ADDRESS(INDEX($P$2:$P$1001,MATCH(ROWS($N$2:N730),$N$2:$N$1001,0),0), INDEX($U$1004:$AC$1004,1,MATCH(COLUMNS($U$1006:U1006),$U$1006:$AC$1006,0)))),"Fix")))</f>
        <v>0</v>
      </c>
      <c r="C730" s="3">
        <f>IF(OR(INDEX($O$2:$O$1001,MATCH(ROWS($N$2:N730),$N$2:$N$1001,0),1)&gt;=100000,INDEX($U$1005:$AC$1005,1,MATCH(COLUMNS($U$1006:V1006),$U$1006:$AC$1006,0))&gt;=100000), " ",IF(INDEX($U$2:$AC$1001,MATCH(ROWS($N$2:N730),$N$2:$N$1001,0),MATCH(COLUMNS($U$1006:V1006),$U$1006:$AC$1006,0)), HYPERLINK("#",""), HYPERLINK(CONCATENATE("#metadata!", ADDRESS(INDEX($P$2:$P$1001,MATCH(ROWS($N$2:N730),$N$2:$N$1001,0),0), INDEX($U$1004:$AC$1004,1,MATCH(COLUMNS($U$1006:V1006),$U$1006:$AC$1006,0)))),"Fix")))</f>
        <v>0</v>
      </c>
      <c r="D730" s="3">
        <f>IF(OR(INDEX($O$2:$O$1001,MATCH(ROWS($N$2:N730),$N$2:$N$1001,0),1)&gt;=100000,INDEX($U$1005:$AC$1005,1,MATCH(COLUMNS($U$1006:W1006),$U$1006:$AC$1006,0))&gt;=100000), " ",IF(INDEX($U$2:$AC$1001,MATCH(ROWS($N$2:N730),$N$2:$N$1001,0),MATCH(COLUMNS($U$1006:W1006),$U$1006:$AC$1006,0)), HYPERLINK("#",""), HYPERLINK(CONCATENATE("#metadata!", ADDRESS(INDEX($P$2:$P$1001,MATCH(ROWS($N$2:N730),$N$2:$N$1001,0),0), INDEX($U$1004:$AC$1004,1,MATCH(COLUMNS($U$1006:W1006),$U$1006:$AC$1006,0)))),"Fix")))</f>
        <v>0</v>
      </c>
      <c r="E730" s="3">
        <f>IF(OR(INDEX($O$2:$O$1001,MATCH(ROWS($N$2:N730),$N$2:$N$1001,0),1)&gt;=100000,INDEX($U$1005:$AC$1005,1,MATCH(COLUMNS($U$1006:X1006),$U$1006:$AC$1006,0))&gt;=100000), " ",IF(INDEX($U$2:$AC$1001,MATCH(ROWS($N$2:N730),$N$2:$N$1001,0),MATCH(COLUMNS($U$1006:X1006),$U$1006:$AC$1006,0)), HYPERLINK("#",""), HYPERLINK(CONCATENATE("#metadata!", ADDRESS(INDEX($P$2:$P$1001,MATCH(ROWS($N$2:N730),$N$2:$N$1001,0),0), INDEX($U$1004:$AC$1004,1,MATCH(COLUMNS($U$1006:X1006),$U$1006:$AC$1006,0)))),"Fix")))</f>
        <v>0</v>
      </c>
      <c r="F730" s="3">
        <f>IF(OR(INDEX($O$2:$O$1001,MATCH(ROWS($N$2:N730),$N$2:$N$1001,0),1)&gt;=100000,INDEX($U$1005:$AC$1005,1,MATCH(COLUMNS($U$1006:Y1006),$U$1006:$AC$1006,0))&gt;=100000), " ",IF(INDEX($U$2:$AC$1001,MATCH(ROWS($N$2:N730),$N$2:$N$1001,0),MATCH(COLUMNS($U$1006:Y1006),$U$1006:$AC$1006,0)), HYPERLINK("#",""), HYPERLINK(CONCATENATE("#metadata!", ADDRESS(INDEX($P$2:$P$1001,MATCH(ROWS($N$2:N730),$N$2:$N$1001,0),0), INDEX($U$1004:$AC$1004,1,MATCH(COLUMNS($U$1006:Y1006),$U$1006:$AC$1006,0)))),"Fix")))</f>
        <v>0</v>
      </c>
      <c r="G730" s="3">
        <f>IF(OR(INDEX($O$2:$O$1001,MATCH(ROWS($N$2:N730),$N$2:$N$1001,0),1)&gt;=100000,INDEX($U$1005:$AC$1005,1,MATCH(COLUMNS($U$1006:Z1006),$U$1006:$AC$1006,0))&gt;=100000), " ",IF(INDEX($U$2:$AC$1001,MATCH(ROWS($N$2:N730),$N$2:$N$1001,0),MATCH(COLUMNS($U$1006:Z1006),$U$1006:$AC$1006,0)), HYPERLINK("#",""), HYPERLINK(CONCATENATE("#metadata!", ADDRESS(INDEX($P$2:$P$1001,MATCH(ROWS($N$2:N730),$N$2:$N$1001,0),0), INDEX($U$1004:$AC$1004,1,MATCH(COLUMNS($U$1006:Z1006),$U$1006:$AC$1006,0)))),"Fix")))</f>
        <v>0</v>
      </c>
      <c r="H730" s="3">
        <f>IF(OR(INDEX($O$2:$O$1001,MATCH(ROWS($N$2:N730),$N$2:$N$1001,0),1)&gt;=100000,INDEX($U$1005:$AC$1005,1,MATCH(COLUMNS($U$1006:AA1006),$U$1006:$AC$1006,0))&gt;=100000), " ",IF(INDEX($U$2:$AC$1001,MATCH(ROWS($N$2:N730),$N$2:$N$1001,0),MATCH(COLUMNS($U$1006:AA1006),$U$1006:$AC$1006,0)), HYPERLINK("#",""), HYPERLINK(CONCATENATE("#metadata!", ADDRESS(INDEX($P$2:$P$1001,MATCH(ROWS($N$2:N730),$N$2:$N$1001,0),0), INDEX($U$1004:$AC$1004,1,MATCH(COLUMNS($U$1006:AA1006),$U$1006:$AC$1006,0)))),"Fix")))</f>
        <v>0</v>
      </c>
      <c r="I730" s="3">
        <f>IF(OR(INDEX($O$2:$O$1001,MATCH(ROWS($N$2:N730),$N$2:$N$1001,0),1)&gt;=100000,INDEX($U$1005:$AC$1005,1,MATCH(COLUMNS($U$1006:AB1006),$U$1006:$AC$1006,0))&gt;=100000), " ",IF(INDEX($U$2:$AC$1001,MATCH(ROWS($N$2:N730),$N$2:$N$1001,0),MATCH(COLUMNS($U$1006:AB1006),$U$1006:$AC$1006,0)), HYPERLINK("#",""), HYPERLINK(CONCATENATE("#metadata!", ADDRESS(INDEX($P$2:$P$1001,MATCH(ROWS($N$2:N730),$N$2:$N$1001,0),0), INDEX($U$1004:$AC$1004,1,MATCH(COLUMNS($U$1006:AB1006),$U$1006:$AC$1006,0)))),"Fix")))</f>
        <v>0</v>
      </c>
      <c r="J730" s="3">
        <f>IF(OR(INDEX($O$2:$O$1001,MATCH(ROWS($N$2:N730),$N$2:$N$1001,0),1)&gt;=100000,INDEX($U$1005:$AC$1005,1,MATCH(COLUMNS($U$1006:AC1006),$U$1006:$AC$1006,0))&gt;=100000), " ",IF(INDEX($U$2:$AC$1001,MATCH(ROWS($N$2:N730),$N$2:$N$1001,0),MATCH(COLUMNS($U$1006:AC1006),$U$1006:$AC$1006,0)), HYPERLINK("#",""), HYPERLINK(CONCATENATE("#metadata!", ADDRESS(INDEX($P$2:$P$1001,MATCH(ROWS($N$2:N730),$N$2:$N$1001,0),0), INDEX($U$1004:$AC$1004,1,MATCH(COLUMNS($U$1006:AC1006),$U$1006:$AC$1006,0)))),"Fix")))</f>
        <v>0</v>
      </c>
      <c r="N730">
        <v>0</v>
      </c>
      <c r="O730">
        <v>0</v>
      </c>
      <c r="P730">
        <v>0</v>
      </c>
      <c r="Q730">
        <f>IF(R730,TRUE,AND(U730:AC730))</f>
        <v>0</v>
      </c>
      <c r="R730">
        <f>COUNTBLANK(metadata!B730:J730)=COLUMNS(metadata!B730:J730)</f>
        <v>0</v>
      </c>
      <c r="S730">
        <v>0</v>
      </c>
      <c r="U730">
        <f>AND(IF(metadata!B730="",FALSE,TRUE),COUNTIF(metadata!B:B, metadata!B730) = 1,NOT(ISERROR(SUMPRODUCT(SEARCH(MID(metadata!B730,ROW(INDIRECT("1:"&amp;LEN(metadata!B730))), 1),"0123456789abcdefghijklmnopqrstuvwxyzABCDEFGHIJKLMNOPQRSTUVWXYZ.")))))</f>
        <v>0</v>
      </c>
      <c r="V730">
        <f>AND(IF(metadata!C730="",FALSE,TRUE),exact(metadata!C730,"UBERON:genitourinary"))</f>
        <v>0</v>
      </c>
      <c r="W730">
        <f>AND(IF(metadata!D730="",FALSE,TRUE),exact(metadata!D730,"UBERON:urine"))</f>
        <v>0</v>
      </c>
      <c r="X730">
        <f>AND(IF(metadata!E730="",FALSE,TRUE),exact(metadata!E730,"UBERON:kidney"))</f>
        <v>0</v>
      </c>
      <c r="Y730">
        <f>AND(IF(metadata!F730="",FALSE,TRUE),exact(metadata!F730,"animal corpus"))</f>
        <v>0</v>
      </c>
      <c r="Z730">
        <f>AND(IF(metadata!G730="",FALSE,TRUE),exact(metadata!G730,"urine"))</f>
        <v>0</v>
      </c>
      <c r="AA730">
        <f>AND(IF(metadata!H730="",FALSE,TRUE),exact(metadata!H730,"urine"))</f>
        <v>0</v>
      </c>
      <c r="AB730">
        <f>AND(IF(metadata!I730="",FALSE,TRUE),exact(metadata!I730,"urine metagenome"))</f>
        <v>0</v>
      </c>
      <c r="AC730">
        <f>AND(IF(metadata!J730="",FALSE,TRUE),exact(metadata!J730,"1346744"))</f>
        <v>0</v>
      </c>
    </row>
    <row r="731" spans="1:29">
      <c r="A731" s="4">
        <f>IF(B731=" "," ",HYPERLINK(CONCATENATE("#metadata!",ADDRESS(INDEX($P$2:$P$1001,MATCH(ROWS($N$2:N731),$N$2:$N$1001,0),0),1)),INDEX($S$2:$S$1001,MATCH(ROWS($N$2:N731),$N$2:$N$1001,0),0)))</f>
        <v>0</v>
      </c>
      <c r="B731" s="3">
        <f>IF(OR(INDEX($O$2:$O$1001,MATCH(ROWS($N$2:N731),$N$2:$N$1001,0),1)&gt;=100000,INDEX($U$1005:$AC$1005,1,MATCH(COLUMNS($U$1006:U1006),$U$1006:$AC$1006,0))&gt;=100000), " ",IF(INDEX($U$2:$AC$1001,MATCH(ROWS($N$2:N731),$N$2:$N$1001,0),MATCH(COLUMNS($U$1006:U1006),$U$1006:$AC$1006,0)), HYPERLINK("#",""), HYPERLINK(CONCATENATE("#metadata!", ADDRESS(INDEX($P$2:$P$1001,MATCH(ROWS($N$2:N731),$N$2:$N$1001,0),0), INDEX($U$1004:$AC$1004,1,MATCH(COLUMNS($U$1006:U1006),$U$1006:$AC$1006,0)))),"Fix")))</f>
        <v>0</v>
      </c>
      <c r="C731" s="3">
        <f>IF(OR(INDEX($O$2:$O$1001,MATCH(ROWS($N$2:N731),$N$2:$N$1001,0),1)&gt;=100000,INDEX($U$1005:$AC$1005,1,MATCH(COLUMNS($U$1006:V1006),$U$1006:$AC$1006,0))&gt;=100000), " ",IF(INDEX($U$2:$AC$1001,MATCH(ROWS($N$2:N731),$N$2:$N$1001,0),MATCH(COLUMNS($U$1006:V1006),$U$1006:$AC$1006,0)), HYPERLINK("#",""), HYPERLINK(CONCATENATE("#metadata!", ADDRESS(INDEX($P$2:$P$1001,MATCH(ROWS($N$2:N731),$N$2:$N$1001,0),0), INDEX($U$1004:$AC$1004,1,MATCH(COLUMNS($U$1006:V1006),$U$1006:$AC$1006,0)))),"Fix")))</f>
        <v>0</v>
      </c>
      <c r="D731" s="3">
        <f>IF(OR(INDEX($O$2:$O$1001,MATCH(ROWS($N$2:N731),$N$2:$N$1001,0),1)&gt;=100000,INDEX($U$1005:$AC$1005,1,MATCH(COLUMNS($U$1006:W1006),$U$1006:$AC$1006,0))&gt;=100000), " ",IF(INDEX($U$2:$AC$1001,MATCH(ROWS($N$2:N731),$N$2:$N$1001,0),MATCH(COLUMNS($U$1006:W1006),$U$1006:$AC$1006,0)), HYPERLINK("#",""), HYPERLINK(CONCATENATE("#metadata!", ADDRESS(INDEX($P$2:$P$1001,MATCH(ROWS($N$2:N731),$N$2:$N$1001,0),0), INDEX($U$1004:$AC$1004,1,MATCH(COLUMNS($U$1006:W1006),$U$1006:$AC$1006,0)))),"Fix")))</f>
        <v>0</v>
      </c>
      <c r="E731" s="3">
        <f>IF(OR(INDEX($O$2:$O$1001,MATCH(ROWS($N$2:N731),$N$2:$N$1001,0),1)&gt;=100000,INDEX($U$1005:$AC$1005,1,MATCH(COLUMNS($U$1006:X1006),$U$1006:$AC$1006,0))&gt;=100000), " ",IF(INDEX($U$2:$AC$1001,MATCH(ROWS($N$2:N731),$N$2:$N$1001,0),MATCH(COLUMNS($U$1006:X1006),$U$1006:$AC$1006,0)), HYPERLINK("#",""), HYPERLINK(CONCATENATE("#metadata!", ADDRESS(INDEX($P$2:$P$1001,MATCH(ROWS($N$2:N731),$N$2:$N$1001,0),0), INDEX($U$1004:$AC$1004,1,MATCH(COLUMNS($U$1006:X1006),$U$1006:$AC$1006,0)))),"Fix")))</f>
        <v>0</v>
      </c>
      <c r="F731" s="3">
        <f>IF(OR(INDEX($O$2:$O$1001,MATCH(ROWS($N$2:N731),$N$2:$N$1001,0),1)&gt;=100000,INDEX($U$1005:$AC$1005,1,MATCH(COLUMNS($U$1006:Y1006),$U$1006:$AC$1006,0))&gt;=100000), " ",IF(INDEX($U$2:$AC$1001,MATCH(ROWS($N$2:N731),$N$2:$N$1001,0),MATCH(COLUMNS($U$1006:Y1006),$U$1006:$AC$1006,0)), HYPERLINK("#",""), HYPERLINK(CONCATENATE("#metadata!", ADDRESS(INDEX($P$2:$P$1001,MATCH(ROWS($N$2:N731),$N$2:$N$1001,0),0), INDEX($U$1004:$AC$1004,1,MATCH(COLUMNS($U$1006:Y1006),$U$1006:$AC$1006,0)))),"Fix")))</f>
        <v>0</v>
      </c>
      <c r="G731" s="3">
        <f>IF(OR(INDEX($O$2:$O$1001,MATCH(ROWS($N$2:N731),$N$2:$N$1001,0),1)&gt;=100000,INDEX($U$1005:$AC$1005,1,MATCH(COLUMNS($U$1006:Z1006),$U$1006:$AC$1006,0))&gt;=100000), " ",IF(INDEX($U$2:$AC$1001,MATCH(ROWS($N$2:N731),$N$2:$N$1001,0),MATCH(COLUMNS($U$1006:Z1006),$U$1006:$AC$1006,0)), HYPERLINK("#",""), HYPERLINK(CONCATENATE("#metadata!", ADDRESS(INDEX($P$2:$P$1001,MATCH(ROWS($N$2:N731),$N$2:$N$1001,0),0), INDEX($U$1004:$AC$1004,1,MATCH(COLUMNS($U$1006:Z1006),$U$1006:$AC$1006,0)))),"Fix")))</f>
        <v>0</v>
      </c>
      <c r="H731" s="3">
        <f>IF(OR(INDEX($O$2:$O$1001,MATCH(ROWS($N$2:N731),$N$2:$N$1001,0),1)&gt;=100000,INDEX($U$1005:$AC$1005,1,MATCH(COLUMNS($U$1006:AA1006),$U$1006:$AC$1006,0))&gt;=100000), " ",IF(INDEX($U$2:$AC$1001,MATCH(ROWS($N$2:N731),$N$2:$N$1001,0),MATCH(COLUMNS($U$1006:AA1006),$U$1006:$AC$1006,0)), HYPERLINK("#",""), HYPERLINK(CONCATENATE("#metadata!", ADDRESS(INDEX($P$2:$P$1001,MATCH(ROWS($N$2:N731),$N$2:$N$1001,0),0), INDEX($U$1004:$AC$1004,1,MATCH(COLUMNS($U$1006:AA1006),$U$1006:$AC$1006,0)))),"Fix")))</f>
        <v>0</v>
      </c>
      <c r="I731" s="3">
        <f>IF(OR(INDEX($O$2:$O$1001,MATCH(ROWS($N$2:N731),$N$2:$N$1001,0),1)&gt;=100000,INDEX($U$1005:$AC$1005,1,MATCH(COLUMNS($U$1006:AB1006),$U$1006:$AC$1006,0))&gt;=100000), " ",IF(INDEX($U$2:$AC$1001,MATCH(ROWS($N$2:N731),$N$2:$N$1001,0),MATCH(COLUMNS($U$1006:AB1006),$U$1006:$AC$1006,0)), HYPERLINK("#",""), HYPERLINK(CONCATENATE("#metadata!", ADDRESS(INDEX($P$2:$P$1001,MATCH(ROWS($N$2:N731),$N$2:$N$1001,0),0), INDEX($U$1004:$AC$1004,1,MATCH(COLUMNS($U$1006:AB1006),$U$1006:$AC$1006,0)))),"Fix")))</f>
        <v>0</v>
      </c>
      <c r="J731" s="3">
        <f>IF(OR(INDEX($O$2:$O$1001,MATCH(ROWS($N$2:N731),$N$2:$N$1001,0),1)&gt;=100000,INDEX($U$1005:$AC$1005,1,MATCH(COLUMNS($U$1006:AC1006),$U$1006:$AC$1006,0))&gt;=100000), " ",IF(INDEX($U$2:$AC$1001,MATCH(ROWS($N$2:N731),$N$2:$N$1001,0),MATCH(COLUMNS($U$1006:AC1006),$U$1006:$AC$1006,0)), HYPERLINK("#",""), HYPERLINK(CONCATENATE("#metadata!", ADDRESS(INDEX($P$2:$P$1001,MATCH(ROWS($N$2:N731),$N$2:$N$1001,0),0), INDEX($U$1004:$AC$1004,1,MATCH(COLUMNS($U$1006:AC1006),$U$1006:$AC$1006,0)))),"Fix")))</f>
        <v>0</v>
      </c>
      <c r="N731">
        <v>0</v>
      </c>
      <c r="O731">
        <v>0</v>
      </c>
      <c r="P731">
        <v>0</v>
      </c>
      <c r="Q731">
        <f>IF(R731,TRUE,AND(U731:AC731))</f>
        <v>0</v>
      </c>
      <c r="R731">
        <f>COUNTBLANK(metadata!B731:J731)=COLUMNS(metadata!B731:J731)</f>
        <v>0</v>
      </c>
      <c r="S731">
        <v>0</v>
      </c>
      <c r="U731">
        <f>AND(IF(metadata!B731="",FALSE,TRUE),COUNTIF(metadata!B:B, metadata!B731) = 1,NOT(ISERROR(SUMPRODUCT(SEARCH(MID(metadata!B731,ROW(INDIRECT("1:"&amp;LEN(metadata!B731))), 1),"0123456789abcdefghijklmnopqrstuvwxyzABCDEFGHIJKLMNOPQRSTUVWXYZ.")))))</f>
        <v>0</v>
      </c>
      <c r="V731">
        <f>AND(IF(metadata!C731="",FALSE,TRUE),exact(metadata!C731,"UBERON:genitourinary"))</f>
        <v>0</v>
      </c>
      <c r="W731">
        <f>AND(IF(metadata!D731="",FALSE,TRUE),exact(metadata!D731,"UBERON:urine"))</f>
        <v>0</v>
      </c>
      <c r="X731">
        <f>AND(IF(metadata!E731="",FALSE,TRUE),exact(metadata!E731,"UBERON:kidney"))</f>
        <v>0</v>
      </c>
      <c r="Y731">
        <f>AND(IF(metadata!F731="",FALSE,TRUE),exact(metadata!F731,"animal corpus"))</f>
        <v>0</v>
      </c>
      <c r="Z731">
        <f>AND(IF(metadata!G731="",FALSE,TRUE),exact(metadata!G731,"urine"))</f>
        <v>0</v>
      </c>
      <c r="AA731">
        <f>AND(IF(metadata!H731="",FALSE,TRUE),exact(metadata!H731,"urine"))</f>
        <v>0</v>
      </c>
      <c r="AB731">
        <f>AND(IF(metadata!I731="",FALSE,TRUE),exact(metadata!I731,"urine metagenome"))</f>
        <v>0</v>
      </c>
      <c r="AC731">
        <f>AND(IF(metadata!J731="",FALSE,TRUE),exact(metadata!J731,"1346744"))</f>
        <v>0</v>
      </c>
    </row>
    <row r="732" spans="1:29">
      <c r="A732" s="4">
        <f>IF(B732=" "," ",HYPERLINK(CONCATENATE("#metadata!",ADDRESS(INDEX($P$2:$P$1001,MATCH(ROWS($N$2:N732),$N$2:$N$1001,0),0),1)),INDEX($S$2:$S$1001,MATCH(ROWS($N$2:N732),$N$2:$N$1001,0),0)))</f>
        <v>0</v>
      </c>
      <c r="B732" s="3">
        <f>IF(OR(INDEX($O$2:$O$1001,MATCH(ROWS($N$2:N732),$N$2:$N$1001,0),1)&gt;=100000,INDEX($U$1005:$AC$1005,1,MATCH(COLUMNS($U$1006:U1006),$U$1006:$AC$1006,0))&gt;=100000), " ",IF(INDEX($U$2:$AC$1001,MATCH(ROWS($N$2:N732),$N$2:$N$1001,0),MATCH(COLUMNS($U$1006:U1006),$U$1006:$AC$1006,0)), HYPERLINK("#",""), HYPERLINK(CONCATENATE("#metadata!", ADDRESS(INDEX($P$2:$P$1001,MATCH(ROWS($N$2:N732),$N$2:$N$1001,0),0), INDEX($U$1004:$AC$1004,1,MATCH(COLUMNS($U$1006:U1006),$U$1006:$AC$1006,0)))),"Fix")))</f>
        <v>0</v>
      </c>
      <c r="C732" s="3">
        <f>IF(OR(INDEX($O$2:$O$1001,MATCH(ROWS($N$2:N732),$N$2:$N$1001,0),1)&gt;=100000,INDEX($U$1005:$AC$1005,1,MATCH(COLUMNS($U$1006:V1006),$U$1006:$AC$1006,0))&gt;=100000), " ",IF(INDEX($U$2:$AC$1001,MATCH(ROWS($N$2:N732),$N$2:$N$1001,0),MATCH(COLUMNS($U$1006:V1006),$U$1006:$AC$1006,0)), HYPERLINK("#",""), HYPERLINK(CONCATENATE("#metadata!", ADDRESS(INDEX($P$2:$P$1001,MATCH(ROWS($N$2:N732),$N$2:$N$1001,0),0), INDEX($U$1004:$AC$1004,1,MATCH(COLUMNS($U$1006:V1006),$U$1006:$AC$1006,0)))),"Fix")))</f>
        <v>0</v>
      </c>
      <c r="D732" s="3">
        <f>IF(OR(INDEX($O$2:$O$1001,MATCH(ROWS($N$2:N732),$N$2:$N$1001,0),1)&gt;=100000,INDEX($U$1005:$AC$1005,1,MATCH(COLUMNS($U$1006:W1006),$U$1006:$AC$1006,0))&gt;=100000), " ",IF(INDEX($U$2:$AC$1001,MATCH(ROWS($N$2:N732),$N$2:$N$1001,0),MATCH(COLUMNS($U$1006:W1006),$U$1006:$AC$1006,0)), HYPERLINK("#",""), HYPERLINK(CONCATENATE("#metadata!", ADDRESS(INDEX($P$2:$P$1001,MATCH(ROWS($N$2:N732),$N$2:$N$1001,0),0), INDEX($U$1004:$AC$1004,1,MATCH(COLUMNS($U$1006:W1006),$U$1006:$AC$1006,0)))),"Fix")))</f>
        <v>0</v>
      </c>
      <c r="E732" s="3">
        <f>IF(OR(INDEX($O$2:$O$1001,MATCH(ROWS($N$2:N732),$N$2:$N$1001,0),1)&gt;=100000,INDEX($U$1005:$AC$1005,1,MATCH(COLUMNS($U$1006:X1006),$U$1006:$AC$1006,0))&gt;=100000), " ",IF(INDEX($U$2:$AC$1001,MATCH(ROWS($N$2:N732),$N$2:$N$1001,0),MATCH(COLUMNS($U$1006:X1006),$U$1006:$AC$1006,0)), HYPERLINK("#",""), HYPERLINK(CONCATENATE("#metadata!", ADDRESS(INDEX($P$2:$P$1001,MATCH(ROWS($N$2:N732),$N$2:$N$1001,0),0), INDEX($U$1004:$AC$1004,1,MATCH(COLUMNS($U$1006:X1006),$U$1006:$AC$1006,0)))),"Fix")))</f>
        <v>0</v>
      </c>
      <c r="F732" s="3">
        <f>IF(OR(INDEX($O$2:$O$1001,MATCH(ROWS($N$2:N732),$N$2:$N$1001,0),1)&gt;=100000,INDEX($U$1005:$AC$1005,1,MATCH(COLUMNS($U$1006:Y1006),$U$1006:$AC$1006,0))&gt;=100000), " ",IF(INDEX($U$2:$AC$1001,MATCH(ROWS($N$2:N732),$N$2:$N$1001,0),MATCH(COLUMNS($U$1006:Y1006),$U$1006:$AC$1006,0)), HYPERLINK("#",""), HYPERLINK(CONCATENATE("#metadata!", ADDRESS(INDEX($P$2:$P$1001,MATCH(ROWS($N$2:N732),$N$2:$N$1001,0),0), INDEX($U$1004:$AC$1004,1,MATCH(COLUMNS($U$1006:Y1006),$U$1006:$AC$1006,0)))),"Fix")))</f>
        <v>0</v>
      </c>
      <c r="G732" s="3">
        <f>IF(OR(INDEX($O$2:$O$1001,MATCH(ROWS($N$2:N732),$N$2:$N$1001,0),1)&gt;=100000,INDEX($U$1005:$AC$1005,1,MATCH(COLUMNS($U$1006:Z1006),$U$1006:$AC$1006,0))&gt;=100000), " ",IF(INDEX($U$2:$AC$1001,MATCH(ROWS($N$2:N732),$N$2:$N$1001,0),MATCH(COLUMNS($U$1006:Z1006),$U$1006:$AC$1006,0)), HYPERLINK("#",""), HYPERLINK(CONCATENATE("#metadata!", ADDRESS(INDEX($P$2:$P$1001,MATCH(ROWS($N$2:N732),$N$2:$N$1001,0),0), INDEX($U$1004:$AC$1004,1,MATCH(COLUMNS($U$1006:Z1006),$U$1006:$AC$1006,0)))),"Fix")))</f>
        <v>0</v>
      </c>
      <c r="H732" s="3">
        <f>IF(OR(INDEX($O$2:$O$1001,MATCH(ROWS($N$2:N732),$N$2:$N$1001,0),1)&gt;=100000,INDEX($U$1005:$AC$1005,1,MATCH(COLUMNS($U$1006:AA1006),$U$1006:$AC$1006,0))&gt;=100000), " ",IF(INDEX($U$2:$AC$1001,MATCH(ROWS($N$2:N732),$N$2:$N$1001,0),MATCH(COLUMNS($U$1006:AA1006),$U$1006:$AC$1006,0)), HYPERLINK("#",""), HYPERLINK(CONCATENATE("#metadata!", ADDRESS(INDEX($P$2:$P$1001,MATCH(ROWS($N$2:N732),$N$2:$N$1001,0),0), INDEX($U$1004:$AC$1004,1,MATCH(COLUMNS($U$1006:AA1006),$U$1006:$AC$1006,0)))),"Fix")))</f>
        <v>0</v>
      </c>
      <c r="I732" s="3">
        <f>IF(OR(INDEX($O$2:$O$1001,MATCH(ROWS($N$2:N732),$N$2:$N$1001,0),1)&gt;=100000,INDEX($U$1005:$AC$1005,1,MATCH(COLUMNS($U$1006:AB1006),$U$1006:$AC$1006,0))&gt;=100000), " ",IF(INDEX($U$2:$AC$1001,MATCH(ROWS($N$2:N732),$N$2:$N$1001,0),MATCH(COLUMNS($U$1006:AB1006),$U$1006:$AC$1006,0)), HYPERLINK("#",""), HYPERLINK(CONCATENATE("#metadata!", ADDRESS(INDEX($P$2:$P$1001,MATCH(ROWS($N$2:N732),$N$2:$N$1001,0),0), INDEX($U$1004:$AC$1004,1,MATCH(COLUMNS($U$1006:AB1006),$U$1006:$AC$1006,0)))),"Fix")))</f>
        <v>0</v>
      </c>
      <c r="J732" s="3">
        <f>IF(OR(INDEX($O$2:$O$1001,MATCH(ROWS($N$2:N732),$N$2:$N$1001,0),1)&gt;=100000,INDEX($U$1005:$AC$1005,1,MATCH(COLUMNS($U$1006:AC1006),$U$1006:$AC$1006,0))&gt;=100000), " ",IF(INDEX($U$2:$AC$1001,MATCH(ROWS($N$2:N732),$N$2:$N$1001,0),MATCH(COLUMNS($U$1006:AC1006),$U$1006:$AC$1006,0)), HYPERLINK("#",""), HYPERLINK(CONCATENATE("#metadata!", ADDRESS(INDEX($P$2:$P$1001,MATCH(ROWS($N$2:N732),$N$2:$N$1001,0),0), INDEX($U$1004:$AC$1004,1,MATCH(COLUMNS($U$1006:AC1006),$U$1006:$AC$1006,0)))),"Fix")))</f>
        <v>0</v>
      </c>
      <c r="N732">
        <v>0</v>
      </c>
      <c r="O732">
        <v>0</v>
      </c>
      <c r="P732">
        <v>0</v>
      </c>
      <c r="Q732">
        <f>IF(R732,TRUE,AND(U732:AC732))</f>
        <v>0</v>
      </c>
      <c r="R732">
        <f>COUNTBLANK(metadata!B732:J732)=COLUMNS(metadata!B732:J732)</f>
        <v>0</v>
      </c>
      <c r="S732">
        <v>0</v>
      </c>
      <c r="U732">
        <f>AND(IF(metadata!B732="",FALSE,TRUE),COUNTIF(metadata!B:B, metadata!B732) = 1,NOT(ISERROR(SUMPRODUCT(SEARCH(MID(metadata!B732,ROW(INDIRECT("1:"&amp;LEN(metadata!B732))), 1),"0123456789abcdefghijklmnopqrstuvwxyzABCDEFGHIJKLMNOPQRSTUVWXYZ.")))))</f>
        <v>0</v>
      </c>
      <c r="V732">
        <f>AND(IF(metadata!C732="",FALSE,TRUE),exact(metadata!C732,"UBERON:genitourinary"))</f>
        <v>0</v>
      </c>
      <c r="W732">
        <f>AND(IF(metadata!D732="",FALSE,TRUE),exact(metadata!D732,"UBERON:urine"))</f>
        <v>0</v>
      </c>
      <c r="X732">
        <f>AND(IF(metadata!E732="",FALSE,TRUE),exact(metadata!E732,"UBERON:kidney"))</f>
        <v>0</v>
      </c>
      <c r="Y732">
        <f>AND(IF(metadata!F732="",FALSE,TRUE),exact(metadata!F732,"animal corpus"))</f>
        <v>0</v>
      </c>
      <c r="Z732">
        <f>AND(IF(metadata!G732="",FALSE,TRUE),exact(metadata!G732,"urine"))</f>
        <v>0</v>
      </c>
      <c r="AA732">
        <f>AND(IF(metadata!H732="",FALSE,TRUE),exact(metadata!H732,"urine"))</f>
        <v>0</v>
      </c>
      <c r="AB732">
        <f>AND(IF(metadata!I732="",FALSE,TRUE),exact(metadata!I732,"urine metagenome"))</f>
        <v>0</v>
      </c>
      <c r="AC732">
        <f>AND(IF(metadata!J732="",FALSE,TRUE),exact(metadata!J732,"1346744"))</f>
        <v>0</v>
      </c>
    </row>
    <row r="733" spans="1:29">
      <c r="A733" s="4">
        <f>IF(B733=" "," ",HYPERLINK(CONCATENATE("#metadata!",ADDRESS(INDEX($P$2:$P$1001,MATCH(ROWS($N$2:N733),$N$2:$N$1001,0),0),1)),INDEX($S$2:$S$1001,MATCH(ROWS($N$2:N733),$N$2:$N$1001,0),0)))</f>
        <v>0</v>
      </c>
      <c r="B733" s="3">
        <f>IF(OR(INDEX($O$2:$O$1001,MATCH(ROWS($N$2:N733),$N$2:$N$1001,0),1)&gt;=100000,INDEX($U$1005:$AC$1005,1,MATCH(COLUMNS($U$1006:U1006),$U$1006:$AC$1006,0))&gt;=100000), " ",IF(INDEX($U$2:$AC$1001,MATCH(ROWS($N$2:N733),$N$2:$N$1001,0),MATCH(COLUMNS($U$1006:U1006),$U$1006:$AC$1006,0)), HYPERLINK("#",""), HYPERLINK(CONCATENATE("#metadata!", ADDRESS(INDEX($P$2:$P$1001,MATCH(ROWS($N$2:N733),$N$2:$N$1001,0),0), INDEX($U$1004:$AC$1004,1,MATCH(COLUMNS($U$1006:U1006),$U$1006:$AC$1006,0)))),"Fix")))</f>
        <v>0</v>
      </c>
      <c r="C733" s="3">
        <f>IF(OR(INDEX($O$2:$O$1001,MATCH(ROWS($N$2:N733),$N$2:$N$1001,0),1)&gt;=100000,INDEX($U$1005:$AC$1005,1,MATCH(COLUMNS($U$1006:V1006),$U$1006:$AC$1006,0))&gt;=100000), " ",IF(INDEX($U$2:$AC$1001,MATCH(ROWS($N$2:N733),$N$2:$N$1001,0),MATCH(COLUMNS($U$1006:V1006),$U$1006:$AC$1006,0)), HYPERLINK("#",""), HYPERLINK(CONCATENATE("#metadata!", ADDRESS(INDEX($P$2:$P$1001,MATCH(ROWS($N$2:N733),$N$2:$N$1001,0),0), INDEX($U$1004:$AC$1004,1,MATCH(COLUMNS($U$1006:V1006),$U$1006:$AC$1006,0)))),"Fix")))</f>
        <v>0</v>
      </c>
      <c r="D733" s="3">
        <f>IF(OR(INDEX($O$2:$O$1001,MATCH(ROWS($N$2:N733),$N$2:$N$1001,0),1)&gt;=100000,INDEX($U$1005:$AC$1005,1,MATCH(COLUMNS($U$1006:W1006),$U$1006:$AC$1006,0))&gt;=100000), " ",IF(INDEX($U$2:$AC$1001,MATCH(ROWS($N$2:N733),$N$2:$N$1001,0),MATCH(COLUMNS($U$1006:W1006),$U$1006:$AC$1006,0)), HYPERLINK("#",""), HYPERLINK(CONCATENATE("#metadata!", ADDRESS(INDEX($P$2:$P$1001,MATCH(ROWS($N$2:N733),$N$2:$N$1001,0),0), INDEX($U$1004:$AC$1004,1,MATCH(COLUMNS($U$1006:W1006),$U$1006:$AC$1006,0)))),"Fix")))</f>
        <v>0</v>
      </c>
      <c r="E733" s="3">
        <f>IF(OR(INDEX($O$2:$O$1001,MATCH(ROWS($N$2:N733),$N$2:$N$1001,0),1)&gt;=100000,INDEX($U$1005:$AC$1005,1,MATCH(COLUMNS($U$1006:X1006),$U$1006:$AC$1006,0))&gt;=100000), " ",IF(INDEX($U$2:$AC$1001,MATCH(ROWS($N$2:N733),$N$2:$N$1001,0),MATCH(COLUMNS($U$1006:X1006),$U$1006:$AC$1006,0)), HYPERLINK("#",""), HYPERLINK(CONCATENATE("#metadata!", ADDRESS(INDEX($P$2:$P$1001,MATCH(ROWS($N$2:N733),$N$2:$N$1001,0),0), INDEX($U$1004:$AC$1004,1,MATCH(COLUMNS($U$1006:X1006),$U$1006:$AC$1006,0)))),"Fix")))</f>
        <v>0</v>
      </c>
      <c r="F733" s="3">
        <f>IF(OR(INDEX($O$2:$O$1001,MATCH(ROWS($N$2:N733),$N$2:$N$1001,0),1)&gt;=100000,INDEX($U$1005:$AC$1005,1,MATCH(COLUMNS($U$1006:Y1006),$U$1006:$AC$1006,0))&gt;=100000), " ",IF(INDEX($U$2:$AC$1001,MATCH(ROWS($N$2:N733),$N$2:$N$1001,0),MATCH(COLUMNS($U$1006:Y1006),$U$1006:$AC$1006,0)), HYPERLINK("#",""), HYPERLINK(CONCATENATE("#metadata!", ADDRESS(INDEX($P$2:$P$1001,MATCH(ROWS($N$2:N733),$N$2:$N$1001,0),0), INDEX($U$1004:$AC$1004,1,MATCH(COLUMNS($U$1006:Y1006),$U$1006:$AC$1006,0)))),"Fix")))</f>
        <v>0</v>
      </c>
      <c r="G733" s="3">
        <f>IF(OR(INDEX($O$2:$O$1001,MATCH(ROWS($N$2:N733),$N$2:$N$1001,0),1)&gt;=100000,INDEX($U$1005:$AC$1005,1,MATCH(COLUMNS($U$1006:Z1006),$U$1006:$AC$1006,0))&gt;=100000), " ",IF(INDEX($U$2:$AC$1001,MATCH(ROWS($N$2:N733),$N$2:$N$1001,0),MATCH(COLUMNS($U$1006:Z1006),$U$1006:$AC$1006,0)), HYPERLINK("#",""), HYPERLINK(CONCATENATE("#metadata!", ADDRESS(INDEX($P$2:$P$1001,MATCH(ROWS($N$2:N733),$N$2:$N$1001,0),0), INDEX($U$1004:$AC$1004,1,MATCH(COLUMNS($U$1006:Z1006),$U$1006:$AC$1006,0)))),"Fix")))</f>
        <v>0</v>
      </c>
      <c r="H733" s="3">
        <f>IF(OR(INDEX($O$2:$O$1001,MATCH(ROWS($N$2:N733),$N$2:$N$1001,0),1)&gt;=100000,INDEX($U$1005:$AC$1005,1,MATCH(COLUMNS($U$1006:AA1006),$U$1006:$AC$1006,0))&gt;=100000), " ",IF(INDEX($U$2:$AC$1001,MATCH(ROWS($N$2:N733),$N$2:$N$1001,0),MATCH(COLUMNS($U$1006:AA1006),$U$1006:$AC$1006,0)), HYPERLINK("#",""), HYPERLINK(CONCATENATE("#metadata!", ADDRESS(INDEX($P$2:$P$1001,MATCH(ROWS($N$2:N733),$N$2:$N$1001,0),0), INDEX($U$1004:$AC$1004,1,MATCH(COLUMNS($U$1006:AA1006),$U$1006:$AC$1006,0)))),"Fix")))</f>
        <v>0</v>
      </c>
      <c r="I733" s="3">
        <f>IF(OR(INDEX($O$2:$O$1001,MATCH(ROWS($N$2:N733),$N$2:$N$1001,0),1)&gt;=100000,INDEX($U$1005:$AC$1005,1,MATCH(COLUMNS($U$1006:AB1006),$U$1006:$AC$1006,0))&gt;=100000), " ",IF(INDEX($U$2:$AC$1001,MATCH(ROWS($N$2:N733),$N$2:$N$1001,0),MATCH(COLUMNS($U$1006:AB1006),$U$1006:$AC$1006,0)), HYPERLINK("#",""), HYPERLINK(CONCATENATE("#metadata!", ADDRESS(INDEX($P$2:$P$1001,MATCH(ROWS($N$2:N733),$N$2:$N$1001,0),0), INDEX($U$1004:$AC$1004,1,MATCH(COLUMNS($U$1006:AB1006),$U$1006:$AC$1006,0)))),"Fix")))</f>
        <v>0</v>
      </c>
      <c r="J733" s="3">
        <f>IF(OR(INDEX($O$2:$O$1001,MATCH(ROWS($N$2:N733),$N$2:$N$1001,0),1)&gt;=100000,INDEX($U$1005:$AC$1005,1,MATCH(COLUMNS($U$1006:AC1006),$U$1006:$AC$1006,0))&gt;=100000), " ",IF(INDEX($U$2:$AC$1001,MATCH(ROWS($N$2:N733),$N$2:$N$1001,0),MATCH(COLUMNS($U$1006:AC1006),$U$1006:$AC$1006,0)), HYPERLINK("#",""), HYPERLINK(CONCATENATE("#metadata!", ADDRESS(INDEX($P$2:$P$1001,MATCH(ROWS($N$2:N733),$N$2:$N$1001,0),0), INDEX($U$1004:$AC$1004,1,MATCH(COLUMNS($U$1006:AC1006),$U$1006:$AC$1006,0)))),"Fix")))</f>
        <v>0</v>
      </c>
      <c r="N733">
        <v>0</v>
      </c>
      <c r="O733">
        <v>0</v>
      </c>
      <c r="P733">
        <v>0</v>
      </c>
      <c r="Q733">
        <f>IF(R733,TRUE,AND(U733:AC733))</f>
        <v>0</v>
      </c>
      <c r="R733">
        <f>COUNTBLANK(metadata!B733:J733)=COLUMNS(metadata!B733:J733)</f>
        <v>0</v>
      </c>
      <c r="S733">
        <v>0</v>
      </c>
      <c r="U733">
        <f>AND(IF(metadata!B733="",FALSE,TRUE),COUNTIF(metadata!B:B, metadata!B733) = 1,NOT(ISERROR(SUMPRODUCT(SEARCH(MID(metadata!B733,ROW(INDIRECT("1:"&amp;LEN(metadata!B733))), 1),"0123456789abcdefghijklmnopqrstuvwxyzABCDEFGHIJKLMNOPQRSTUVWXYZ.")))))</f>
        <v>0</v>
      </c>
      <c r="V733">
        <f>AND(IF(metadata!C733="",FALSE,TRUE),exact(metadata!C733,"UBERON:genitourinary"))</f>
        <v>0</v>
      </c>
      <c r="W733">
        <f>AND(IF(metadata!D733="",FALSE,TRUE),exact(metadata!D733,"UBERON:urine"))</f>
        <v>0</v>
      </c>
      <c r="X733">
        <f>AND(IF(metadata!E733="",FALSE,TRUE),exact(metadata!E733,"UBERON:kidney"))</f>
        <v>0</v>
      </c>
      <c r="Y733">
        <f>AND(IF(metadata!F733="",FALSE,TRUE),exact(metadata!F733,"animal corpus"))</f>
        <v>0</v>
      </c>
      <c r="Z733">
        <f>AND(IF(metadata!G733="",FALSE,TRUE),exact(metadata!G733,"urine"))</f>
        <v>0</v>
      </c>
      <c r="AA733">
        <f>AND(IF(metadata!H733="",FALSE,TRUE),exact(metadata!H733,"urine"))</f>
        <v>0</v>
      </c>
      <c r="AB733">
        <f>AND(IF(metadata!I733="",FALSE,TRUE),exact(metadata!I733,"urine metagenome"))</f>
        <v>0</v>
      </c>
      <c r="AC733">
        <f>AND(IF(metadata!J733="",FALSE,TRUE),exact(metadata!J733,"1346744"))</f>
        <v>0</v>
      </c>
    </row>
    <row r="734" spans="1:29">
      <c r="A734" s="4">
        <f>IF(B734=" "," ",HYPERLINK(CONCATENATE("#metadata!",ADDRESS(INDEX($P$2:$P$1001,MATCH(ROWS($N$2:N734),$N$2:$N$1001,0),0),1)),INDEX($S$2:$S$1001,MATCH(ROWS($N$2:N734),$N$2:$N$1001,0),0)))</f>
        <v>0</v>
      </c>
      <c r="B734" s="3">
        <f>IF(OR(INDEX($O$2:$O$1001,MATCH(ROWS($N$2:N734),$N$2:$N$1001,0),1)&gt;=100000,INDEX($U$1005:$AC$1005,1,MATCH(COLUMNS($U$1006:U1006),$U$1006:$AC$1006,0))&gt;=100000), " ",IF(INDEX($U$2:$AC$1001,MATCH(ROWS($N$2:N734),$N$2:$N$1001,0),MATCH(COLUMNS($U$1006:U1006),$U$1006:$AC$1006,0)), HYPERLINK("#",""), HYPERLINK(CONCATENATE("#metadata!", ADDRESS(INDEX($P$2:$P$1001,MATCH(ROWS($N$2:N734),$N$2:$N$1001,0),0), INDEX($U$1004:$AC$1004,1,MATCH(COLUMNS($U$1006:U1006),$U$1006:$AC$1006,0)))),"Fix")))</f>
        <v>0</v>
      </c>
      <c r="C734" s="3">
        <f>IF(OR(INDEX($O$2:$O$1001,MATCH(ROWS($N$2:N734),$N$2:$N$1001,0),1)&gt;=100000,INDEX($U$1005:$AC$1005,1,MATCH(COLUMNS($U$1006:V1006),$U$1006:$AC$1006,0))&gt;=100000), " ",IF(INDEX($U$2:$AC$1001,MATCH(ROWS($N$2:N734),$N$2:$N$1001,0),MATCH(COLUMNS($U$1006:V1006),$U$1006:$AC$1006,0)), HYPERLINK("#",""), HYPERLINK(CONCATENATE("#metadata!", ADDRESS(INDEX($P$2:$P$1001,MATCH(ROWS($N$2:N734),$N$2:$N$1001,0),0), INDEX($U$1004:$AC$1004,1,MATCH(COLUMNS($U$1006:V1006),$U$1006:$AC$1006,0)))),"Fix")))</f>
        <v>0</v>
      </c>
      <c r="D734" s="3">
        <f>IF(OR(INDEX($O$2:$O$1001,MATCH(ROWS($N$2:N734),$N$2:$N$1001,0),1)&gt;=100000,INDEX($U$1005:$AC$1005,1,MATCH(COLUMNS($U$1006:W1006),$U$1006:$AC$1006,0))&gt;=100000), " ",IF(INDEX($U$2:$AC$1001,MATCH(ROWS($N$2:N734),$N$2:$N$1001,0),MATCH(COLUMNS($U$1006:W1006),$U$1006:$AC$1006,0)), HYPERLINK("#",""), HYPERLINK(CONCATENATE("#metadata!", ADDRESS(INDEX($P$2:$P$1001,MATCH(ROWS($N$2:N734),$N$2:$N$1001,0),0), INDEX($U$1004:$AC$1004,1,MATCH(COLUMNS($U$1006:W1006),$U$1006:$AC$1006,0)))),"Fix")))</f>
        <v>0</v>
      </c>
      <c r="E734" s="3">
        <f>IF(OR(INDEX($O$2:$O$1001,MATCH(ROWS($N$2:N734),$N$2:$N$1001,0),1)&gt;=100000,INDEX($U$1005:$AC$1005,1,MATCH(COLUMNS($U$1006:X1006),$U$1006:$AC$1006,0))&gt;=100000), " ",IF(INDEX($U$2:$AC$1001,MATCH(ROWS($N$2:N734),$N$2:$N$1001,0),MATCH(COLUMNS($U$1006:X1006),$U$1006:$AC$1006,0)), HYPERLINK("#",""), HYPERLINK(CONCATENATE("#metadata!", ADDRESS(INDEX($P$2:$P$1001,MATCH(ROWS($N$2:N734),$N$2:$N$1001,0),0), INDEX($U$1004:$AC$1004,1,MATCH(COLUMNS($U$1006:X1006),$U$1006:$AC$1006,0)))),"Fix")))</f>
        <v>0</v>
      </c>
      <c r="F734" s="3">
        <f>IF(OR(INDEX($O$2:$O$1001,MATCH(ROWS($N$2:N734),$N$2:$N$1001,0),1)&gt;=100000,INDEX($U$1005:$AC$1005,1,MATCH(COLUMNS($U$1006:Y1006),$U$1006:$AC$1006,0))&gt;=100000), " ",IF(INDEX($U$2:$AC$1001,MATCH(ROWS($N$2:N734),$N$2:$N$1001,0),MATCH(COLUMNS($U$1006:Y1006),$U$1006:$AC$1006,0)), HYPERLINK("#",""), HYPERLINK(CONCATENATE("#metadata!", ADDRESS(INDEX($P$2:$P$1001,MATCH(ROWS($N$2:N734),$N$2:$N$1001,0),0), INDEX($U$1004:$AC$1004,1,MATCH(COLUMNS($U$1006:Y1006),$U$1006:$AC$1006,0)))),"Fix")))</f>
        <v>0</v>
      </c>
      <c r="G734" s="3">
        <f>IF(OR(INDEX($O$2:$O$1001,MATCH(ROWS($N$2:N734),$N$2:$N$1001,0),1)&gt;=100000,INDEX($U$1005:$AC$1005,1,MATCH(COLUMNS($U$1006:Z1006),$U$1006:$AC$1006,0))&gt;=100000), " ",IF(INDEX($U$2:$AC$1001,MATCH(ROWS($N$2:N734),$N$2:$N$1001,0),MATCH(COLUMNS($U$1006:Z1006),$U$1006:$AC$1006,0)), HYPERLINK("#",""), HYPERLINK(CONCATENATE("#metadata!", ADDRESS(INDEX($P$2:$P$1001,MATCH(ROWS($N$2:N734),$N$2:$N$1001,0),0), INDEX($U$1004:$AC$1004,1,MATCH(COLUMNS($U$1006:Z1006),$U$1006:$AC$1006,0)))),"Fix")))</f>
        <v>0</v>
      </c>
      <c r="H734" s="3">
        <f>IF(OR(INDEX($O$2:$O$1001,MATCH(ROWS($N$2:N734),$N$2:$N$1001,0),1)&gt;=100000,INDEX($U$1005:$AC$1005,1,MATCH(COLUMNS($U$1006:AA1006),$U$1006:$AC$1006,0))&gt;=100000), " ",IF(INDEX($U$2:$AC$1001,MATCH(ROWS($N$2:N734),$N$2:$N$1001,0),MATCH(COLUMNS($U$1006:AA1006),$U$1006:$AC$1006,0)), HYPERLINK("#",""), HYPERLINK(CONCATENATE("#metadata!", ADDRESS(INDEX($P$2:$P$1001,MATCH(ROWS($N$2:N734),$N$2:$N$1001,0),0), INDEX($U$1004:$AC$1004,1,MATCH(COLUMNS($U$1006:AA1006),$U$1006:$AC$1006,0)))),"Fix")))</f>
        <v>0</v>
      </c>
      <c r="I734" s="3">
        <f>IF(OR(INDEX($O$2:$O$1001,MATCH(ROWS($N$2:N734),$N$2:$N$1001,0),1)&gt;=100000,INDEX($U$1005:$AC$1005,1,MATCH(COLUMNS($U$1006:AB1006),$U$1006:$AC$1006,0))&gt;=100000), " ",IF(INDEX($U$2:$AC$1001,MATCH(ROWS($N$2:N734),$N$2:$N$1001,0),MATCH(COLUMNS($U$1006:AB1006),$U$1006:$AC$1006,0)), HYPERLINK("#",""), HYPERLINK(CONCATENATE("#metadata!", ADDRESS(INDEX($P$2:$P$1001,MATCH(ROWS($N$2:N734),$N$2:$N$1001,0),0), INDEX($U$1004:$AC$1004,1,MATCH(COLUMNS($U$1006:AB1006),$U$1006:$AC$1006,0)))),"Fix")))</f>
        <v>0</v>
      </c>
      <c r="J734" s="3">
        <f>IF(OR(INDEX($O$2:$O$1001,MATCH(ROWS($N$2:N734),$N$2:$N$1001,0),1)&gt;=100000,INDEX($U$1005:$AC$1005,1,MATCH(COLUMNS($U$1006:AC1006),$U$1006:$AC$1006,0))&gt;=100000), " ",IF(INDEX($U$2:$AC$1001,MATCH(ROWS($N$2:N734),$N$2:$N$1001,0),MATCH(COLUMNS($U$1006:AC1006),$U$1006:$AC$1006,0)), HYPERLINK("#",""), HYPERLINK(CONCATENATE("#metadata!", ADDRESS(INDEX($P$2:$P$1001,MATCH(ROWS($N$2:N734),$N$2:$N$1001,0),0), INDEX($U$1004:$AC$1004,1,MATCH(COLUMNS($U$1006:AC1006),$U$1006:$AC$1006,0)))),"Fix")))</f>
        <v>0</v>
      </c>
      <c r="N734">
        <v>0</v>
      </c>
      <c r="O734">
        <v>0</v>
      </c>
      <c r="P734">
        <v>0</v>
      </c>
      <c r="Q734">
        <f>IF(R734,TRUE,AND(U734:AC734))</f>
        <v>0</v>
      </c>
      <c r="R734">
        <f>COUNTBLANK(metadata!B734:J734)=COLUMNS(metadata!B734:J734)</f>
        <v>0</v>
      </c>
      <c r="S734">
        <v>0</v>
      </c>
      <c r="U734">
        <f>AND(IF(metadata!B734="",FALSE,TRUE),COUNTIF(metadata!B:B, metadata!B734) = 1,NOT(ISERROR(SUMPRODUCT(SEARCH(MID(metadata!B734,ROW(INDIRECT("1:"&amp;LEN(metadata!B734))), 1),"0123456789abcdefghijklmnopqrstuvwxyzABCDEFGHIJKLMNOPQRSTUVWXYZ.")))))</f>
        <v>0</v>
      </c>
      <c r="V734">
        <f>AND(IF(metadata!C734="",FALSE,TRUE),exact(metadata!C734,"UBERON:genitourinary"))</f>
        <v>0</v>
      </c>
      <c r="W734">
        <f>AND(IF(metadata!D734="",FALSE,TRUE),exact(metadata!D734,"UBERON:urine"))</f>
        <v>0</v>
      </c>
      <c r="X734">
        <f>AND(IF(metadata!E734="",FALSE,TRUE),exact(metadata!E734,"UBERON:kidney"))</f>
        <v>0</v>
      </c>
      <c r="Y734">
        <f>AND(IF(metadata!F734="",FALSE,TRUE),exact(metadata!F734,"animal corpus"))</f>
        <v>0</v>
      </c>
      <c r="Z734">
        <f>AND(IF(metadata!G734="",FALSE,TRUE),exact(metadata!G734,"urine"))</f>
        <v>0</v>
      </c>
      <c r="AA734">
        <f>AND(IF(metadata!H734="",FALSE,TRUE),exact(metadata!H734,"urine"))</f>
        <v>0</v>
      </c>
      <c r="AB734">
        <f>AND(IF(metadata!I734="",FALSE,TRUE),exact(metadata!I734,"urine metagenome"))</f>
        <v>0</v>
      </c>
      <c r="AC734">
        <f>AND(IF(metadata!J734="",FALSE,TRUE),exact(metadata!J734,"1346744"))</f>
        <v>0</v>
      </c>
    </row>
    <row r="735" spans="1:29">
      <c r="A735" s="4">
        <f>IF(B735=" "," ",HYPERLINK(CONCATENATE("#metadata!",ADDRESS(INDEX($P$2:$P$1001,MATCH(ROWS($N$2:N735),$N$2:$N$1001,0),0),1)),INDEX($S$2:$S$1001,MATCH(ROWS($N$2:N735),$N$2:$N$1001,0),0)))</f>
        <v>0</v>
      </c>
      <c r="B735" s="3">
        <f>IF(OR(INDEX($O$2:$O$1001,MATCH(ROWS($N$2:N735),$N$2:$N$1001,0),1)&gt;=100000,INDEX($U$1005:$AC$1005,1,MATCH(COLUMNS($U$1006:U1006),$U$1006:$AC$1006,0))&gt;=100000), " ",IF(INDEX($U$2:$AC$1001,MATCH(ROWS($N$2:N735),$N$2:$N$1001,0),MATCH(COLUMNS($U$1006:U1006),$U$1006:$AC$1006,0)), HYPERLINK("#",""), HYPERLINK(CONCATENATE("#metadata!", ADDRESS(INDEX($P$2:$P$1001,MATCH(ROWS($N$2:N735),$N$2:$N$1001,0),0), INDEX($U$1004:$AC$1004,1,MATCH(COLUMNS($U$1006:U1006),$U$1006:$AC$1006,0)))),"Fix")))</f>
        <v>0</v>
      </c>
      <c r="C735" s="3">
        <f>IF(OR(INDEX($O$2:$O$1001,MATCH(ROWS($N$2:N735),$N$2:$N$1001,0),1)&gt;=100000,INDEX($U$1005:$AC$1005,1,MATCH(COLUMNS($U$1006:V1006),$U$1006:$AC$1006,0))&gt;=100000), " ",IF(INDEX($U$2:$AC$1001,MATCH(ROWS($N$2:N735),$N$2:$N$1001,0),MATCH(COLUMNS($U$1006:V1006),$U$1006:$AC$1006,0)), HYPERLINK("#",""), HYPERLINK(CONCATENATE("#metadata!", ADDRESS(INDEX($P$2:$P$1001,MATCH(ROWS($N$2:N735),$N$2:$N$1001,0),0), INDEX($U$1004:$AC$1004,1,MATCH(COLUMNS($U$1006:V1006),$U$1006:$AC$1006,0)))),"Fix")))</f>
        <v>0</v>
      </c>
      <c r="D735" s="3">
        <f>IF(OR(INDEX($O$2:$O$1001,MATCH(ROWS($N$2:N735),$N$2:$N$1001,0),1)&gt;=100000,INDEX($U$1005:$AC$1005,1,MATCH(COLUMNS($U$1006:W1006),$U$1006:$AC$1006,0))&gt;=100000), " ",IF(INDEX($U$2:$AC$1001,MATCH(ROWS($N$2:N735),$N$2:$N$1001,0),MATCH(COLUMNS($U$1006:W1006),$U$1006:$AC$1006,0)), HYPERLINK("#",""), HYPERLINK(CONCATENATE("#metadata!", ADDRESS(INDEX($P$2:$P$1001,MATCH(ROWS($N$2:N735),$N$2:$N$1001,0),0), INDEX($U$1004:$AC$1004,1,MATCH(COLUMNS($U$1006:W1006),$U$1006:$AC$1006,0)))),"Fix")))</f>
        <v>0</v>
      </c>
      <c r="E735" s="3">
        <f>IF(OR(INDEX($O$2:$O$1001,MATCH(ROWS($N$2:N735),$N$2:$N$1001,0),1)&gt;=100000,INDEX($U$1005:$AC$1005,1,MATCH(COLUMNS($U$1006:X1006),$U$1006:$AC$1006,0))&gt;=100000), " ",IF(INDEX($U$2:$AC$1001,MATCH(ROWS($N$2:N735),$N$2:$N$1001,0),MATCH(COLUMNS($U$1006:X1006),$U$1006:$AC$1006,0)), HYPERLINK("#",""), HYPERLINK(CONCATENATE("#metadata!", ADDRESS(INDEX($P$2:$P$1001,MATCH(ROWS($N$2:N735),$N$2:$N$1001,0),0), INDEX($U$1004:$AC$1004,1,MATCH(COLUMNS($U$1006:X1006),$U$1006:$AC$1006,0)))),"Fix")))</f>
        <v>0</v>
      </c>
      <c r="F735" s="3">
        <f>IF(OR(INDEX($O$2:$O$1001,MATCH(ROWS($N$2:N735),$N$2:$N$1001,0),1)&gt;=100000,INDEX($U$1005:$AC$1005,1,MATCH(COLUMNS($U$1006:Y1006),$U$1006:$AC$1006,0))&gt;=100000), " ",IF(INDEX($U$2:$AC$1001,MATCH(ROWS($N$2:N735),$N$2:$N$1001,0),MATCH(COLUMNS($U$1006:Y1006),$U$1006:$AC$1006,0)), HYPERLINK("#",""), HYPERLINK(CONCATENATE("#metadata!", ADDRESS(INDEX($P$2:$P$1001,MATCH(ROWS($N$2:N735),$N$2:$N$1001,0),0), INDEX($U$1004:$AC$1004,1,MATCH(COLUMNS($U$1006:Y1006),$U$1006:$AC$1006,0)))),"Fix")))</f>
        <v>0</v>
      </c>
      <c r="G735" s="3">
        <f>IF(OR(INDEX($O$2:$O$1001,MATCH(ROWS($N$2:N735),$N$2:$N$1001,0),1)&gt;=100000,INDEX($U$1005:$AC$1005,1,MATCH(COLUMNS($U$1006:Z1006),$U$1006:$AC$1006,0))&gt;=100000), " ",IF(INDEX($U$2:$AC$1001,MATCH(ROWS($N$2:N735),$N$2:$N$1001,0),MATCH(COLUMNS($U$1006:Z1006),$U$1006:$AC$1006,0)), HYPERLINK("#",""), HYPERLINK(CONCATENATE("#metadata!", ADDRESS(INDEX($P$2:$P$1001,MATCH(ROWS($N$2:N735),$N$2:$N$1001,0),0), INDEX($U$1004:$AC$1004,1,MATCH(COLUMNS($U$1006:Z1006),$U$1006:$AC$1006,0)))),"Fix")))</f>
        <v>0</v>
      </c>
      <c r="H735" s="3">
        <f>IF(OR(INDEX($O$2:$O$1001,MATCH(ROWS($N$2:N735),$N$2:$N$1001,0),1)&gt;=100000,INDEX($U$1005:$AC$1005,1,MATCH(COLUMNS($U$1006:AA1006),$U$1006:$AC$1006,0))&gt;=100000), " ",IF(INDEX($U$2:$AC$1001,MATCH(ROWS($N$2:N735),$N$2:$N$1001,0),MATCH(COLUMNS($U$1006:AA1006),$U$1006:$AC$1006,0)), HYPERLINK("#",""), HYPERLINK(CONCATENATE("#metadata!", ADDRESS(INDEX($P$2:$P$1001,MATCH(ROWS($N$2:N735),$N$2:$N$1001,0),0), INDEX($U$1004:$AC$1004,1,MATCH(COLUMNS($U$1006:AA1006),$U$1006:$AC$1006,0)))),"Fix")))</f>
        <v>0</v>
      </c>
      <c r="I735" s="3">
        <f>IF(OR(INDEX($O$2:$O$1001,MATCH(ROWS($N$2:N735),$N$2:$N$1001,0),1)&gt;=100000,INDEX($U$1005:$AC$1005,1,MATCH(COLUMNS($U$1006:AB1006),$U$1006:$AC$1006,0))&gt;=100000), " ",IF(INDEX($U$2:$AC$1001,MATCH(ROWS($N$2:N735),$N$2:$N$1001,0),MATCH(COLUMNS($U$1006:AB1006),$U$1006:$AC$1006,0)), HYPERLINK("#",""), HYPERLINK(CONCATENATE("#metadata!", ADDRESS(INDEX($P$2:$P$1001,MATCH(ROWS($N$2:N735),$N$2:$N$1001,0),0), INDEX($U$1004:$AC$1004,1,MATCH(COLUMNS($U$1006:AB1006),$U$1006:$AC$1006,0)))),"Fix")))</f>
        <v>0</v>
      </c>
      <c r="J735" s="3">
        <f>IF(OR(INDEX($O$2:$O$1001,MATCH(ROWS($N$2:N735),$N$2:$N$1001,0),1)&gt;=100000,INDEX($U$1005:$AC$1005,1,MATCH(COLUMNS($U$1006:AC1006),$U$1006:$AC$1006,0))&gt;=100000), " ",IF(INDEX($U$2:$AC$1001,MATCH(ROWS($N$2:N735),$N$2:$N$1001,0),MATCH(COLUMNS($U$1006:AC1006),$U$1006:$AC$1006,0)), HYPERLINK("#",""), HYPERLINK(CONCATENATE("#metadata!", ADDRESS(INDEX($P$2:$P$1001,MATCH(ROWS($N$2:N735),$N$2:$N$1001,0),0), INDEX($U$1004:$AC$1004,1,MATCH(COLUMNS($U$1006:AC1006),$U$1006:$AC$1006,0)))),"Fix")))</f>
        <v>0</v>
      </c>
      <c r="N735">
        <v>0</v>
      </c>
      <c r="O735">
        <v>0</v>
      </c>
      <c r="P735">
        <v>0</v>
      </c>
      <c r="Q735">
        <f>IF(R735,TRUE,AND(U735:AC735))</f>
        <v>0</v>
      </c>
      <c r="R735">
        <f>COUNTBLANK(metadata!B735:J735)=COLUMNS(metadata!B735:J735)</f>
        <v>0</v>
      </c>
      <c r="S735">
        <v>0</v>
      </c>
      <c r="U735">
        <f>AND(IF(metadata!B735="",FALSE,TRUE),COUNTIF(metadata!B:B, metadata!B735) = 1,NOT(ISERROR(SUMPRODUCT(SEARCH(MID(metadata!B735,ROW(INDIRECT("1:"&amp;LEN(metadata!B735))), 1),"0123456789abcdefghijklmnopqrstuvwxyzABCDEFGHIJKLMNOPQRSTUVWXYZ.")))))</f>
        <v>0</v>
      </c>
      <c r="V735">
        <f>AND(IF(metadata!C735="",FALSE,TRUE),exact(metadata!C735,"UBERON:genitourinary"))</f>
        <v>0</v>
      </c>
      <c r="W735">
        <f>AND(IF(metadata!D735="",FALSE,TRUE),exact(metadata!D735,"UBERON:urine"))</f>
        <v>0</v>
      </c>
      <c r="X735">
        <f>AND(IF(metadata!E735="",FALSE,TRUE),exact(metadata!E735,"UBERON:kidney"))</f>
        <v>0</v>
      </c>
      <c r="Y735">
        <f>AND(IF(metadata!F735="",FALSE,TRUE),exact(metadata!F735,"animal corpus"))</f>
        <v>0</v>
      </c>
      <c r="Z735">
        <f>AND(IF(metadata!G735="",FALSE,TRUE),exact(metadata!G735,"urine"))</f>
        <v>0</v>
      </c>
      <c r="AA735">
        <f>AND(IF(metadata!H735="",FALSE,TRUE),exact(metadata!H735,"urine"))</f>
        <v>0</v>
      </c>
      <c r="AB735">
        <f>AND(IF(metadata!I735="",FALSE,TRUE),exact(metadata!I735,"urine metagenome"))</f>
        <v>0</v>
      </c>
      <c r="AC735">
        <f>AND(IF(metadata!J735="",FALSE,TRUE),exact(metadata!J735,"1346744"))</f>
        <v>0</v>
      </c>
    </row>
    <row r="736" spans="1:29">
      <c r="A736" s="4">
        <f>IF(B736=" "," ",HYPERLINK(CONCATENATE("#metadata!",ADDRESS(INDEX($P$2:$P$1001,MATCH(ROWS($N$2:N736),$N$2:$N$1001,0),0),1)),INDEX($S$2:$S$1001,MATCH(ROWS($N$2:N736),$N$2:$N$1001,0),0)))</f>
        <v>0</v>
      </c>
      <c r="B736" s="3">
        <f>IF(OR(INDEX($O$2:$O$1001,MATCH(ROWS($N$2:N736),$N$2:$N$1001,0),1)&gt;=100000,INDEX($U$1005:$AC$1005,1,MATCH(COLUMNS($U$1006:U1006),$U$1006:$AC$1006,0))&gt;=100000), " ",IF(INDEX($U$2:$AC$1001,MATCH(ROWS($N$2:N736),$N$2:$N$1001,0),MATCH(COLUMNS($U$1006:U1006),$U$1006:$AC$1006,0)), HYPERLINK("#",""), HYPERLINK(CONCATENATE("#metadata!", ADDRESS(INDEX($P$2:$P$1001,MATCH(ROWS($N$2:N736),$N$2:$N$1001,0),0), INDEX($U$1004:$AC$1004,1,MATCH(COLUMNS($U$1006:U1006),$U$1006:$AC$1006,0)))),"Fix")))</f>
        <v>0</v>
      </c>
      <c r="C736" s="3">
        <f>IF(OR(INDEX($O$2:$O$1001,MATCH(ROWS($N$2:N736),$N$2:$N$1001,0),1)&gt;=100000,INDEX($U$1005:$AC$1005,1,MATCH(COLUMNS($U$1006:V1006),$U$1006:$AC$1006,0))&gt;=100000), " ",IF(INDEX($U$2:$AC$1001,MATCH(ROWS($N$2:N736),$N$2:$N$1001,0),MATCH(COLUMNS($U$1006:V1006),$U$1006:$AC$1006,0)), HYPERLINK("#",""), HYPERLINK(CONCATENATE("#metadata!", ADDRESS(INDEX($P$2:$P$1001,MATCH(ROWS($N$2:N736),$N$2:$N$1001,0),0), INDEX($U$1004:$AC$1004,1,MATCH(COLUMNS($U$1006:V1006),$U$1006:$AC$1006,0)))),"Fix")))</f>
        <v>0</v>
      </c>
      <c r="D736" s="3">
        <f>IF(OR(INDEX($O$2:$O$1001,MATCH(ROWS($N$2:N736),$N$2:$N$1001,0),1)&gt;=100000,INDEX($U$1005:$AC$1005,1,MATCH(COLUMNS($U$1006:W1006),$U$1006:$AC$1006,0))&gt;=100000), " ",IF(INDEX($U$2:$AC$1001,MATCH(ROWS($N$2:N736),$N$2:$N$1001,0),MATCH(COLUMNS($U$1006:W1006),$U$1006:$AC$1006,0)), HYPERLINK("#",""), HYPERLINK(CONCATENATE("#metadata!", ADDRESS(INDEX($P$2:$P$1001,MATCH(ROWS($N$2:N736),$N$2:$N$1001,0),0), INDEX($U$1004:$AC$1004,1,MATCH(COLUMNS($U$1006:W1006),$U$1006:$AC$1006,0)))),"Fix")))</f>
        <v>0</v>
      </c>
      <c r="E736" s="3">
        <f>IF(OR(INDEX($O$2:$O$1001,MATCH(ROWS($N$2:N736),$N$2:$N$1001,0),1)&gt;=100000,INDEX($U$1005:$AC$1005,1,MATCH(COLUMNS($U$1006:X1006),$U$1006:$AC$1006,0))&gt;=100000), " ",IF(INDEX($U$2:$AC$1001,MATCH(ROWS($N$2:N736),$N$2:$N$1001,0),MATCH(COLUMNS($U$1006:X1006),$U$1006:$AC$1006,0)), HYPERLINK("#",""), HYPERLINK(CONCATENATE("#metadata!", ADDRESS(INDEX($P$2:$P$1001,MATCH(ROWS($N$2:N736),$N$2:$N$1001,0),0), INDEX($U$1004:$AC$1004,1,MATCH(COLUMNS($U$1006:X1006),$U$1006:$AC$1006,0)))),"Fix")))</f>
        <v>0</v>
      </c>
      <c r="F736" s="3">
        <f>IF(OR(INDEX($O$2:$O$1001,MATCH(ROWS($N$2:N736),$N$2:$N$1001,0),1)&gt;=100000,INDEX($U$1005:$AC$1005,1,MATCH(COLUMNS($U$1006:Y1006),$U$1006:$AC$1006,0))&gt;=100000), " ",IF(INDEX($U$2:$AC$1001,MATCH(ROWS($N$2:N736),$N$2:$N$1001,0),MATCH(COLUMNS($U$1006:Y1006),$U$1006:$AC$1006,0)), HYPERLINK("#",""), HYPERLINK(CONCATENATE("#metadata!", ADDRESS(INDEX($P$2:$P$1001,MATCH(ROWS($N$2:N736),$N$2:$N$1001,0),0), INDEX($U$1004:$AC$1004,1,MATCH(COLUMNS($U$1006:Y1006),$U$1006:$AC$1006,0)))),"Fix")))</f>
        <v>0</v>
      </c>
      <c r="G736" s="3">
        <f>IF(OR(INDEX($O$2:$O$1001,MATCH(ROWS($N$2:N736),$N$2:$N$1001,0),1)&gt;=100000,INDEX($U$1005:$AC$1005,1,MATCH(COLUMNS($U$1006:Z1006),$U$1006:$AC$1006,0))&gt;=100000), " ",IF(INDEX($U$2:$AC$1001,MATCH(ROWS($N$2:N736),$N$2:$N$1001,0),MATCH(COLUMNS($U$1006:Z1006),$U$1006:$AC$1006,0)), HYPERLINK("#",""), HYPERLINK(CONCATENATE("#metadata!", ADDRESS(INDEX($P$2:$P$1001,MATCH(ROWS($N$2:N736),$N$2:$N$1001,0),0), INDEX($U$1004:$AC$1004,1,MATCH(COLUMNS($U$1006:Z1006),$U$1006:$AC$1006,0)))),"Fix")))</f>
        <v>0</v>
      </c>
      <c r="H736" s="3">
        <f>IF(OR(INDEX($O$2:$O$1001,MATCH(ROWS($N$2:N736),$N$2:$N$1001,0),1)&gt;=100000,INDEX($U$1005:$AC$1005,1,MATCH(COLUMNS($U$1006:AA1006),$U$1006:$AC$1006,0))&gt;=100000), " ",IF(INDEX($U$2:$AC$1001,MATCH(ROWS($N$2:N736),$N$2:$N$1001,0),MATCH(COLUMNS($U$1006:AA1006),$U$1006:$AC$1006,0)), HYPERLINK("#",""), HYPERLINK(CONCATENATE("#metadata!", ADDRESS(INDEX($P$2:$P$1001,MATCH(ROWS($N$2:N736),$N$2:$N$1001,0),0), INDEX($U$1004:$AC$1004,1,MATCH(COLUMNS($U$1006:AA1006),$U$1006:$AC$1006,0)))),"Fix")))</f>
        <v>0</v>
      </c>
      <c r="I736" s="3">
        <f>IF(OR(INDEX($O$2:$O$1001,MATCH(ROWS($N$2:N736),$N$2:$N$1001,0),1)&gt;=100000,INDEX($U$1005:$AC$1005,1,MATCH(COLUMNS($U$1006:AB1006),$U$1006:$AC$1006,0))&gt;=100000), " ",IF(INDEX($U$2:$AC$1001,MATCH(ROWS($N$2:N736),$N$2:$N$1001,0),MATCH(COLUMNS($U$1006:AB1006),$U$1006:$AC$1006,0)), HYPERLINK("#",""), HYPERLINK(CONCATENATE("#metadata!", ADDRESS(INDEX($P$2:$P$1001,MATCH(ROWS($N$2:N736),$N$2:$N$1001,0),0), INDEX($U$1004:$AC$1004,1,MATCH(COLUMNS($U$1006:AB1006),$U$1006:$AC$1006,0)))),"Fix")))</f>
        <v>0</v>
      </c>
      <c r="J736" s="3">
        <f>IF(OR(INDEX($O$2:$O$1001,MATCH(ROWS($N$2:N736),$N$2:$N$1001,0),1)&gt;=100000,INDEX($U$1005:$AC$1005,1,MATCH(COLUMNS($U$1006:AC1006),$U$1006:$AC$1006,0))&gt;=100000), " ",IF(INDEX($U$2:$AC$1001,MATCH(ROWS($N$2:N736),$N$2:$N$1001,0),MATCH(COLUMNS($U$1006:AC1006),$U$1006:$AC$1006,0)), HYPERLINK("#",""), HYPERLINK(CONCATENATE("#metadata!", ADDRESS(INDEX($P$2:$P$1001,MATCH(ROWS($N$2:N736),$N$2:$N$1001,0),0), INDEX($U$1004:$AC$1004,1,MATCH(COLUMNS($U$1006:AC1006),$U$1006:$AC$1006,0)))),"Fix")))</f>
        <v>0</v>
      </c>
      <c r="N736">
        <v>0</v>
      </c>
      <c r="O736">
        <v>0</v>
      </c>
      <c r="P736">
        <v>0</v>
      </c>
      <c r="Q736">
        <f>IF(R736,TRUE,AND(U736:AC736))</f>
        <v>0</v>
      </c>
      <c r="R736">
        <f>COUNTBLANK(metadata!B736:J736)=COLUMNS(metadata!B736:J736)</f>
        <v>0</v>
      </c>
      <c r="S736">
        <v>0</v>
      </c>
      <c r="U736">
        <f>AND(IF(metadata!B736="",FALSE,TRUE),COUNTIF(metadata!B:B, metadata!B736) = 1,NOT(ISERROR(SUMPRODUCT(SEARCH(MID(metadata!B736,ROW(INDIRECT("1:"&amp;LEN(metadata!B736))), 1),"0123456789abcdefghijklmnopqrstuvwxyzABCDEFGHIJKLMNOPQRSTUVWXYZ.")))))</f>
        <v>0</v>
      </c>
      <c r="V736">
        <f>AND(IF(metadata!C736="",FALSE,TRUE),exact(metadata!C736,"UBERON:genitourinary"))</f>
        <v>0</v>
      </c>
      <c r="W736">
        <f>AND(IF(metadata!D736="",FALSE,TRUE),exact(metadata!D736,"UBERON:urine"))</f>
        <v>0</v>
      </c>
      <c r="X736">
        <f>AND(IF(metadata!E736="",FALSE,TRUE),exact(metadata!E736,"UBERON:kidney"))</f>
        <v>0</v>
      </c>
      <c r="Y736">
        <f>AND(IF(metadata!F736="",FALSE,TRUE),exact(metadata!F736,"animal corpus"))</f>
        <v>0</v>
      </c>
      <c r="Z736">
        <f>AND(IF(metadata!G736="",FALSE,TRUE),exact(metadata!G736,"urine"))</f>
        <v>0</v>
      </c>
      <c r="AA736">
        <f>AND(IF(metadata!H736="",FALSE,TRUE),exact(metadata!H736,"urine"))</f>
        <v>0</v>
      </c>
      <c r="AB736">
        <f>AND(IF(metadata!I736="",FALSE,TRUE),exact(metadata!I736,"urine metagenome"))</f>
        <v>0</v>
      </c>
      <c r="AC736">
        <f>AND(IF(metadata!J736="",FALSE,TRUE),exact(metadata!J736,"1346744"))</f>
        <v>0</v>
      </c>
    </row>
    <row r="737" spans="1:29">
      <c r="A737" s="4">
        <f>IF(B737=" "," ",HYPERLINK(CONCATENATE("#metadata!",ADDRESS(INDEX($P$2:$P$1001,MATCH(ROWS($N$2:N737),$N$2:$N$1001,0),0),1)),INDEX($S$2:$S$1001,MATCH(ROWS($N$2:N737),$N$2:$N$1001,0),0)))</f>
        <v>0</v>
      </c>
      <c r="B737" s="3">
        <f>IF(OR(INDEX($O$2:$O$1001,MATCH(ROWS($N$2:N737),$N$2:$N$1001,0),1)&gt;=100000,INDEX($U$1005:$AC$1005,1,MATCH(COLUMNS($U$1006:U1006),$U$1006:$AC$1006,0))&gt;=100000), " ",IF(INDEX($U$2:$AC$1001,MATCH(ROWS($N$2:N737),$N$2:$N$1001,0),MATCH(COLUMNS($U$1006:U1006),$U$1006:$AC$1006,0)), HYPERLINK("#",""), HYPERLINK(CONCATENATE("#metadata!", ADDRESS(INDEX($P$2:$P$1001,MATCH(ROWS($N$2:N737),$N$2:$N$1001,0),0), INDEX($U$1004:$AC$1004,1,MATCH(COLUMNS($U$1006:U1006),$U$1006:$AC$1006,0)))),"Fix")))</f>
        <v>0</v>
      </c>
      <c r="C737" s="3">
        <f>IF(OR(INDEX($O$2:$O$1001,MATCH(ROWS($N$2:N737),$N$2:$N$1001,0),1)&gt;=100000,INDEX($U$1005:$AC$1005,1,MATCH(COLUMNS($U$1006:V1006),$U$1006:$AC$1006,0))&gt;=100000), " ",IF(INDEX($U$2:$AC$1001,MATCH(ROWS($N$2:N737),$N$2:$N$1001,0),MATCH(COLUMNS($U$1006:V1006),$U$1006:$AC$1006,0)), HYPERLINK("#",""), HYPERLINK(CONCATENATE("#metadata!", ADDRESS(INDEX($P$2:$P$1001,MATCH(ROWS($N$2:N737),$N$2:$N$1001,0),0), INDEX($U$1004:$AC$1004,1,MATCH(COLUMNS($U$1006:V1006),$U$1006:$AC$1006,0)))),"Fix")))</f>
        <v>0</v>
      </c>
      <c r="D737" s="3">
        <f>IF(OR(INDEX($O$2:$O$1001,MATCH(ROWS($N$2:N737),$N$2:$N$1001,0),1)&gt;=100000,INDEX($U$1005:$AC$1005,1,MATCH(COLUMNS($U$1006:W1006),$U$1006:$AC$1006,0))&gt;=100000), " ",IF(INDEX($U$2:$AC$1001,MATCH(ROWS($N$2:N737),$N$2:$N$1001,0),MATCH(COLUMNS($U$1006:W1006),$U$1006:$AC$1006,0)), HYPERLINK("#",""), HYPERLINK(CONCATENATE("#metadata!", ADDRESS(INDEX($P$2:$P$1001,MATCH(ROWS($N$2:N737),$N$2:$N$1001,0),0), INDEX($U$1004:$AC$1004,1,MATCH(COLUMNS($U$1006:W1006),$U$1006:$AC$1006,0)))),"Fix")))</f>
        <v>0</v>
      </c>
      <c r="E737" s="3">
        <f>IF(OR(INDEX($O$2:$O$1001,MATCH(ROWS($N$2:N737),$N$2:$N$1001,0),1)&gt;=100000,INDEX($U$1005:$AC$1005,1,MATCH(COLUMNS($U$1006:X1006),$U$1006:$AC$1006,0))&gt;=100000), " ",IF(INDEX($U$2:$AC$1001,MATCH(ROWS($N$2:N737),$N$2:$N$1001,0),MATCH(COLUMNS($U$1006:X1006),$U$1006:$AC$1006,0)), HYPERLINK("#",""), HYPERLINK(CONCATENATE("#metadata!", ADDRESS(INDEX($P$2:$P$1001,MATCH(ROWS($N$2:N737),$N$2:$N$1001,0),0), INDEX($U$1004:$AC$1004,1,MATCH(COLUMNS($U$1006:X1006),$U$1006:$AC$1006,0)))),"Fix")))</f>
        <v>0</v>
      </c>
      <c r="F737" s="3">
        <f>IF(OR(INDEX($O$2:$O$1001,MATCH(ROWS($N$2:N737),$N$2:$N$1001,0),1)&gt;=100000,INDEX($U$1005:$AC$1005,1,MATCH(COLUMNS($U$1006:Y1006),$U$1006:$AC$1006,0))&gt;=100000), " ",IF(INDEX($U$2:$AC$1001,MATCH(ROWS($N$2:N737),$N$2:$N$1001,0),MATCH(COLUMNS($U$1006:Y1006),$U$1006:$AC$1006,0)), HYPERLINK("#",""), HYPERLINK(CONCATENATE("#metadata!", ADDRESS(INDEX($P$2:$P$1001,MATCH(ROWS($N$2:N737),$N$2:$N$1001,0),0), INDEX($U$1004:$AC$1004,1,MATCH(COLUMNS($U$1006:Y1006),$U$1006:$AC$1006,0)))),"Fix")))</f>
        <v>0</v>
      </c>
      <c r="G737" s="3">
        <f>IF(OR(INDEX($O$2:$O$1001,MATCH(ROWS($N$2:N737),$N$2:$N$1001,0),1)&gt;=100000,INDEX($U$1005:$AC$1005,1,MATCH(COLUMNS($U$1006:Z1006),$U$1006:$AC$1006,0))&gt;=100000), " ",IF(INDEX($U$2:$AC$1001,MATCH(ROWS($N$2:N737),$N$2:$N$1001,0),MATCH(COLUMNS($U$1006:Z1006),$U$1006:$AC$1006,0)), HYPERLINK("#",""), HYPERLINK(CONCATENATE("#metadata!", ADDRESS(INDEX($P$2:$P$1001,MATCH(ROWS($N$2:N737),$N$2:$N$1001,0),0), INDEX($U$1004:$AC$1004,1,MATCH(COLUMNS($U$1006:Z1006),$U$1006:$AC$1006,0)))),"Fix")))</f>
        <v>0</v>
      </c>
      <c r="H737" s="3">
        <f>IF(OR(INDEX($O$2:$O$1001,MATCH(ROWS($N$2:N737),$N$2:$N$1001,0),1)&gt;=100000,INDEX($U$1005:$AC$1005,1,MATCH(COLUMNS($U$1006:AA1006),$U$1006:$AC$1006,0))&gt;=100000), " ",IF(INDEX($U$2:$AC$1001,MATCH(ROWS($N$2:N737),$N$2:$N$1001,0),MATCH(COLUMNS($U$1006:AA1006),$U$1006:$AC$1006,0)), HYPERLINK("#",""), HYPERLINK(CONCATENATE("#metadata!", ADDRESS(INDEX($P$2:$P$1001,MATCH(ROWS($N$2:N737),$N$2:$N$1001,0),0), INDEX($U$1004:$AC$1004,1,MATCH(COLUMNS($U$1006:AA1006),$U$1006:$AC$1006,0)))),"Fix")))</f>
        <v>0</v>
      </c>
      <c r="I737" s="3">
        <f>IF(OR(INDEX($O$2:$O$1001,MATCH(ROWS($N$2:N737),$N$2:$N$1001,0),1)&gt;=100000,INDEX($U$1005:$AC$1005,1,MATCH(COLUMNS($U$1006:AB1006),$U$1006:$AC$1006,0))&gt;=100000), " ",IF(INDEX($U$2:$AC$1001,MATCH(ROWS($N$2:N737),$N$2:$N$1001,0),MATCH(COLUMNS($U$1006:AB1006),$U$1006:$AC$1006,0)), HYPERLINK("#",""), HYPERLINK(CONCATENATE("#metadata!", ADDRESS(INDEX($P$2:$P$1001,MATCH(ROWS($N$2:N737),$N$2:$N$1001,0),0), INDEX($U$1004:$AC$1004,1,MATCH(COLUMNS($U$1006:AB1006),$U$1006:$AC$1006,0)))),"Fix")))</f>
        <v>0</v>
      </c>
      <c r="J737" s="3">
        <f>IF(OR(INDEX($O$2:$O$1001,MATCH(ROWS($N$2:N737),$N$2:$N$1001,0),1)&gt;=100000,INDEX($U$1005:$AC$1005,1,MATCH(COLUMNS($U$1006:AC1006),$U$1006:$AC$1006,0))&gt;=100000), " ",IF(INDEX($U$2:$AC$1001,MATCH(ROWS($N$2:N737),$N$2:$N$1001,0),MATCH(COLUMNS($U$1006:AC1006),$U$1006:$AC$1006,0)), HYPERLINK("#",""), HYPERLINK(CONCATENATE("#metadata!", ADDRESS(INDEX($P$2:$P$1001,MATCH(ROWS($N$2:N737),$N$2:$N$1001,0),0), INDEX($U$1004:$AC$1004,1,MATCH(COLUMNS($U$1006:AC1006),$U$1006:$AC$1006,0)))),"Fix")))</f>
        <v>0</v>
      </c>
      <c r="N737">
        <v>0</v>
      </c>
      <c r="O737">
        <v>0</v>
      </c>
      <c r="P737">
        <v>0</v>
      </c>
      <c r="Q737">
        <f>IF(R737,TRUE,AND(U737:AC737))</f>
        <v>0</v>
      </c>
      <c r="R737">
        <f>COUNTBLANK(metadata!B737:J737)=COLUMNS(metadata!B737:J737)</f>
        <v>0</v>
      </c>
      <c r="S737">
        <v>0</v>
      </c>
      <c r="U737">
        <f>AND(IF(metadata!B737="",FALSE,TRUE),COUNTIF(metadata!B:B, metadata!B737) = 1,NOT(ISERROR(SUMPRODUCT(SEARCH(MID(metadata!B737,ROW(INDIRECT("1:"&amp;LEN(metadata!B737))), 1),"0123456789abcdefghijklmnopqrstuvwxyzABCDEFGHIJKLMNOPQRSTUVWXYZ.")))))</f>
        <v>0</v>
      </c>
      <c r="V737">
        <f>AND(IF(metadata!C737="",FALSE,TRUE),exact(metadata!C737,"UBERON:genitourinary"))</f>
        <v>0</v>
      </c>
      <c r="W737">
        <f>AND(IF(metadata!D737="",FALSE,TRUE),exact(metadata!D737,"UBERON:urine"))</f>
        <v>0</v>
      </c>
      <c r="X737">
        <f>AND(IF(metadata!E737="",FALSE,TRUE),exact(metadata!E737,"UBERON:kidney"))</f>
        <v>0</v>
      </c>
      <c r="Y737">
        <f>AND(IF(metadata!F737="",FALSE,TRUE),exact(metadata!F737,"animal corpus"))</f>
        <v>0</v>
      </c>
      <c r="Z737">
        <f>AND(IF(metadata!G737="",FALSE,TRUE),exact(metadata!G737,"urine"))</f>
        <v>0</v>
      </c>
      <c r="AA737">
        <f>AND(IF(metadata!H737="",FALSE,TRUE),exact(metadata!H737,"urine"))</f>
        <v>0</v>
      </c>
      <c r="AB737">
        <f>AND(IF(metadata!I737="",FALSE,TRUE),exact(metadata!I737,"urine metagenome"))</f>
        <v>0</v>
      </c>
      <c r="AC737">
        <f>AND(IF(metadata!J737="",FALSE,TRUE),exact(metadata!J737,"1346744"))</f>
        <v>0</v>
      </c>
    </row>
    <row r="738" spans="1:29">
      <c r="A738" s="4">
        <f>IF(B738=" "," ",HYPERLINK(CONCATENATE("#metadata!",ADDRESS(INDEX($P$2:$P$1001,MATCH(ROWS($N$2:N738),$N$2:$N$1001,0),0),1)),INDEX($S$2:$S$1001,MATCH(ROWS($N$2:N738),$N$2:$N$1001,0),0)))</f>
        <v>0</v>
      </c>
      <c r="B738" s="3">
        <f>IF(OR(INDEX($O$2:$O$1001,MATCH(ROWS($N$2:N738),$N$2:$N$1001,0),1)&gt;=100000,INDEX($U$1005:$AC$1005,1,MATCH(COLUMNS($U$1006:U1006),$U$1006:$AC$1006,0))&gt;=100000), " ",IF(INDEX($U$2:$AC$1001,MATCH(ROWS($N$2:N738),$N$2:$N$1001,0),MATCH(COLUMNS($U$1006:U1006),$U$1006:$AC$1006,0)), HYPERLINK("#",""), HYPERLINK(CONCATENATE("#metadata!", ADDRESS(INDEX($P$2:$P$1001,MATCH(ROWS($N$2:N738),$N$2:$N$1001,0),0), INDEX($U$1004:$AC$1004,1,MATCH(COLUMNS($U$1006:U1006),$U$1006:$AC$1006,0)))),"Fix")))</f>
        <v>0</v>
      </c>
      <c r="C738" s="3">
        <f>IF(OR(INDEX($O$2:$O$1001,MATCH(ROWS($N$2:N738),$N$2:$N$1001,0),1)&gt;=100000,INDEX($U$1005:$AC$1005,1,MATCH(COLUMNS($U$1006:V1006),$U$1006:$AC$1006,0))&gt;=100000), " ",IF(INDEX($U$2:$AC$1001,MATCH(ROWS($N$2:N738),$N$2:$N$1001,0),MATCH(COLUMNS($U$1006:V1006),$U$1006:$AC$1006,0)), HYPERLINK("#",""), HYPERLINK(CONCATENATE("#metadata!", ADDRESS(INDEX($P$2:$P$1001,MATCH(ROWS($N$2:N738),$N$2:$N$1001,0),0), INDEX($U$1004:$AC$1004,1,MATCH(COLUMNS($U$1006:V1006),$U$1006:$AC$1006,0)))),"Fix")))</f>
        <v>0</v>
      </c>
      <c r="D738" s="3">
        <f>IF(OR(INDEX($O$2:$O$1001,MATCH(ROWS($N$2:N738),$N$2:$N$1001,0),1)&gt;=100000,INDEX($U$1005:$AC$1005,1,MATCH(COLUMNS($U$1006:W1006),$U$1006:$AC$1006,0))&gt;=100000), " ",IF(INDEX($U$2:$AC$1001,MATCH(ROWS($N$2:N738),$N$2:$N$1001,0),MATCH(COLUMNS($U$1006:W1006),$U$1006:$AC$1006,0)), HYPERLINK("#",""), HYPERLINK(CONCATENATE("#metadata!", ADDRESS(INDEX($P$2:$P$1001,MATCH(ROWS($N$2:N738),$N$2:$N$1001,0),0), INDEX($U$1004:$AC$1004,1,MATCH(COLUMNS($U$1006:W1006),$U$1006:$AC$1006,0)))),"Fix")))</f>
        <v>0</v>
      </c>
      <c r="E738" s="3">
        <f>IF(OR(INDEX($O$2:$O$1001,MATCH(ROWS($N$2:N738),$N$2:$N$1001,0),1)&gt;=100000,INDEX($U$1005:$AC$1005,1,MATCH(COLUMNS($U$1006:X1006),$U$1006:$AC$1006,0))&gt;=100000), " ",IF(INDEX($U$2:$AC$1001,MATCH(ROWS($N$2:N738),$N$2:$N$1001,0),MATCH(COLUMNS($U$1006:X1006),$U$1006:$AC$1006,0)), HYPERLINK("#",""), HYPERLINK(CONCATENATE("#metadata!", ADDRESS(INDEX($P$2:$P$1001,MATCH(ROWS($N$2:N738),$N$2:$N$1001,0),0), INDEX($U$1004:$AC$1004,1,MATCH(COLUMNS($U$1006:X1006),$U$1006:$AC$1006,0)))),"Fix")))</f>
        <v>0</v>
      </c>
      <c r="F738" s="3">
        <f>IF(OR(INDEX($O$2:$O$1001,MATCH(ROWS($N$2:N738),$N$2:$N$1001,0),1)&gt;=100000,INDEX($U$1005:$AC$1005,1,MATCH(COLUMNS($U$1006:Y1006),$U$1006:$AC$1006,0))&gt;=100000), " ",IF(INDEX($U$2:$AC$1001,MATCH(ROWS($N$2:N738),$N$2:$N$1001,0),MATCH(COLUMNS($U$1006:Y1006),$U$1006:$AC$1006,0)), HYPERLINK("#",""), HYPERLINK(CONCATENATE("#metadata!", ADDRESS(INDEX($P$2:$P$1001,MATCH(ROWS($N$2:N738),$N$2:$N$1001,0),0), INDEX($U$1004:$AC$1004,1,MATCH(COLUMNS($U$1006:Y1006),$U$1006:$AC$1006,0)))),"Fix")))</f>
        <v>0</v>
      </c>
      <c r="G738" s="3">
        <f>IF(OR(INDEX($O$2:$O$1001,MATCH(ROWS($N$2:N738),$N$2:$N$1001,0),1)&gt;=100000,INDEX($U$1005:$AC$1005,1,MATCH(COLUMNS($U$1006:Z1006),$U$1006:$AC$1006,0))&gt;=100000), " ",IF(INDEX($U$2:$AC$1001,MATCH(ROWS($N$2:N738),$N$2:$N$1001,0),MATCH(COLUMNS($U$1006:Z1006),$U$1006:$AC$1006,0)), HYPERLINK("#",""), HYPERLINK(CONCATENATE("#metadata!", ADDRESS(INDEX($P$2:$P$1001,MATCH(ROWS($N$2:N738),$N$2:$N$1001,0),0), INDEX($U$1004:$AC$1004,1,MATCH(COLUMNS($U$1006:Z1006),$U$1006:$AC$1006,0)))),"Fix")))</f>
        <v>0</v>
      </c>
      <c r="H738" s="3">
        <f>IF(OR(INDEX($O$2:$O$1001,MATCH(ROWS($N$2:N738),$N$2:$N$1001,0),1)&gt;=100000,INDEX($U$1005:$AC$1005,1,MATCH(COLUMNS($U$1006:AA1006),$U$1006:$AC$1006,0))&gt;=100000), " ",IF(INDEX($U$2:$AC$1001,MATCH(ROWS($N$2:N738),$N$2:$N$1001,0),MATCH(COLUMNS($U$1006:AA1006),$U$1006:$AC$1006,0)), HYPERLINK("#",""), HYPERLINK(CONCATENATE("#metadata!", ADDRESS(INDEX($P$2:$P$1001,MATCH(ROWS($N$2:N738),$N$2:$N$1001,0),0), INDEX($U$1004:$AC$1004,1,MATCH(COLUMNS($U$1006:AA1006),$U$1006:$AC$1006,0)))),"Fix")))</f>
        <v>0</v>
      </c>
      <c r="I738" s="3">
        <f>IF(OR(INDEX($O$2:$O$1001,MATCH(ROWS($N$2:N738),$N$2:$N$1001,0),1)&gt;=100000,INDEX($U$1005:$AC$1005,1,MATCH(COLUMNS($U$1006:AB1006),$U$1006:$AC$1006,0))&gt;=100000), " ",IF(INDEX($U$2:$AC$1001,MATCH(ROWS($N$2:N738),$N$2:$N$1001,0),MATCH(COLUMNS($U$1006:AB1006),$U$1006:$AC$1006,0)), HYPERLINK("#",""), HYPERLINK(CONCATENATE("#metadata!", ADDRESS(INDEX($P$2:$P$1001,MATCH(ROWS($N$2:N738),$N$2:$N$1001,0),0), INDEX($U$1004:$AC$1004,1,MATCH(COLUMNS($U$1006:AB1006),$U$1006:$AC$1006,0)))),"Fix")))</f>
        <v>0</v>
      </c>
      <c r="J738" s="3">
        <f>IF(OR(INDEX($O$2:$O$1001,MATCH(ROWS($N$2:N738),$N$2:$N$1001,0),1)&gt;=100000,INDEX($U$1005:$AC$1005,1,MATCH(COLUMNS($U$1006:AC1006),$U$1006:$AC$1006,0))&gt;=100000), " ",IF(INDEX($U$2:$AC$1001,MATCH(ROWS($N$2:N738),$N$2:$N$1001,0),MATCH(COLUMNS($U$1006:AC1006),$U$1006:$AC$1006,0)), HYPERLINK("#",""), HYPERLINK(CONCATENATE("#metadata!", ADDRESS(INDEX($P$2:$P$1001,MATCH(ROWS($N$2:N738),$N$2:$N$1001,0),0), INDEX($U$1004:$AC$1004,1,MATCH(COLUMNS($U$1006:AC1006),$U$1006:$AC$1006,0)))),"Fix")))</f>
        <v>0</v>
      </c>
      <c r="N738">
        <v>0</v>
      </c>
      <c r="O738">
        <v>0</v>
      </c>
      <c r="P738">
        <v>0</v>
      </c>
      <c r="Q738">
        <f>IF(R738,TRUE,AND(U738:AC738))</f>
        <v>0</v>
      </c>
      <c r="R738">
        <f>COUNTBLANK(metadata!B738:J738)=COLUMNS(metadata!B738:J738)</f>
        <v>0</v>
      </c>
      <c r="S738">
        <v>0</v>
      </c>
      <c r="U738">
        <f>AND(IF(metadata!B738="",FALSE,TRUE),COUNTIF(metadata!B:B, metadata!B738) = 1,NOT(ISERROR(SUMPRODUCT(SEARCH(MID(metadata!B738,ROW(INDIRECT("1:"&amp;LEN(metadata!B738))), 1),"0123456789abcdefghijklmnopqrstuvwxyzABCDEFGHIJKLMNOPQRSTUVWXYZ.")))))</f>
        <v>0</v>
      </c>
      <c r="V738">
        <f>AND(IF(metadata!C738="",FALSE,TRUE),exact(metadata!C738,"UBERON:genitourinary"))</f>
        <v>0</v>
      </c>
      <c r="W738">
        <f>AND(IF(metadata!D738="",FALSE,TRUE),exact(metadata!D738,"UBERON:urine"))</f>
        <v>0</v>
      </c>
      <c r="X738">
        <f>AND(IF(metadata!E738="",FALSE,TRUE),exact(metadata!E738,"UBERON:kidney"))</f>
        <v>0</v>
      </c>
      <c r="Y738">
        <f>AND(IF(metadata!F738="",FALSE,TRUE),exact(metadata!F738,"animal corpus"))</f>
        <v>0</v>
      </c>
      <c r="Z738">
        <f>AND(IF(metadata!G738="",FALSE,TRUE),exact(metadata!G738,"urine"))</f>
        <v>0</v>
      </c>
      <c r="AA738">
        <f>AND(IF(metadata!H738="",FALSE,TRUE),exact(metadata!H738,"urine"))</f>
        <v>0</v>
      </c>
      <c r="AB738">
        <f>AND(IF(metadata!I738="",FALSE,TRUE),exact(metadata!I738,"urine metagenome"))</f>
        <v>0</v>
      </c>
      <c r="AC738">
        <f>AND(IF(metadata!J738="",FALSE,TRUE),exact(metadata!J738,"1346744"))</f>
        <v>0</v>
      </c>
    </row>
    <row r="739" spans="1:29">
      <c r="A739" s="4">
        <f>IF(B739=" "," ",HYPERLINK(CONCATENATE("#metadata!",ADDRESS(INDEX($P$2:$P$1001,MATCH(ROWS($N$2:N739),$N$2:$N$1001,0),0),1)),INDEX($S$2:$S$1001,MATCH(ROWS($N$2:N739),$N$2:$N$1001,0),0)))</f>
        <v>0</v>
      </c>
      <c r="B739" s="3">
        <f>IF(OR(INDEX($O$2:$O$1001,MATCH(ROWS($N$2:N739),$N$2:$N$1001,0),1)&gt;=100000,INDEX($U$1005:$AC$1005,1,MATCH(COLUMNS($U$1006:U1006),$U$1006:$AC$1006,0))&gt;=100000), " ",IF(INDEX($U$2:$AC$1001,MATCH(ROWS($N$2:N739),$N$2:$N$1001,0),MATCH(COLUMNS($U$1006:U1006),$U$1006:$AC$1006,0)), HYPERLINK("#",""), HYPERLINK(CONCATENATE("#metadata!", ADDRESS(INDEX($P$2:$P$1001,MATCH(ROWS($N$2:N739),$N$2:$N$1001,0),0), INDEX($U$1004:$AC$1004,1,MATCH(COLUMNS($U$1006:U1006),$U$1006:$AC$1006,0)))),"Fix")))</f>
        <v>0</v>
      </c>
      <c r="C739" s="3">
        <f>IF(OR(INDEX($O$2:$O$1001,MATCH(ROWS($N$2:N739),$N$2:$N$1001,0),1)&gt;=100000,INDEX($U$1005:$AC$1005,1,MATCH(COLUMNS($U$1006:V1006),$U$1006:$AC$1006,0))&gt;=100000), " ",IF(INDEX($U$2:$AC$1001,MATCH(ROWS($N$2:N739),$N$2:$N$1001,0),MATCH(COLUMNS($U$1006:V1006),$U$1006:$AC$1006,0)), HYPERLINK("#",""), HYPERLINK(CONCATENATE("#metadata!", ADDRESS(INDEX($P$2:$P$1001,MATCH(ROWS($N$2:N739),$N$2:$N$1001,0),0), INDEX($U$1004:$AC$1004,1,MATCH(COLUMNS($U$1006:V1006),$U$1006:$AC$1006,0)))),"Fix")))</f>
        <v>0</v>
      </c>
      <c r="D739" s="3">
        <f>IF(OR(INDEX($O$2:$O$1001,MATCH(ROWS($N$2:N739),$N$2:$N$1001,0),1)&gt;=100000,INDEX($U$1005:$AC$1005,1,MATCH(COLUMNS($U$1006:W1006),$U$1006:$AC$1006,0))&gt;=100000), " ",IF(INDEX($U$2:$AC$1001,MATCH(ROWS($N$2:N739),$N$2:$N$1001,0),MATCH(COLUMNS($U$1006:W1006),$U$1006:$AC$1006,0)), HYPERLINK("#",""), HYPERLINK(CONCATENATE("#metadata!", ADDRESS(INDEX($P$2:$P$1001,MATCH(ROWS($N$2:N739),$N$2:$N$1001,0),0), INDEX($U$1004:$AC$1004,1,MATCH(COLUMNS($U$1006:W1006),$U$1006:$AC$1006,0)))),"Fix")))</f>
        <v>0</v>
      </c>
      <c r="E739" s="3">
        <f>IF(OR(INDEX($O$2:$O$1001,MATCH(ROWS($N$2:N739),$N$2:$N$1001,0),1)&gt;=100000,INDEX($U$1005:$AC$1005,1,MATCH(COLUMNS($U$1006:X1006),$U$1006:$AC$1006,0))&gt;=100000), " ",IF(INDEX($U$2:$AC$1001,MATCH(ROWS($N$2:N739),$N$2:$N$1001,0),MATCH(COLUMNS($U$1006:X1006),$U$1006:$AC$1006,0)), HYPERLINK("#",""), HYPERLINK(CONCATENATE("#metadata!", ADDRESS(INDEX($P$2:$P$1001,MATCH(ROWS($N$2:N739),$N$2:$N$1001,0),0), INDEX($U$1004:$AC$1004,1,MATCH(COLUMNS($U$1006:X1006),$U$1006:$AC$1006,0)))),"Fix")))</f>
        <v>0</v>
      </c>
      <c r="F739" s="3">
        <f>IF(OR(INDEX($O$2:$O$1001,MATCH(ROWS($N$2:N739),$N$2:$N$1001,0),1)&gt;=100000,INDEX($U$1005:$AC$1005,1,MATCH(COLUMNS($U$1006:Y1006),$U$1006:$AC$1006,0))&gt;=100000), " ",IF(INDEX($U$2:$AC$1001,MATCH(ROWS($N$2:N739),$N$2:$N$1001,0),MATCH(COLUMNS($U$1006:Y1006),$U$1006:$AC$1006,0)), HYPERLINK("#",""), HYPERLINK(CONCATENATE("#metadata!", ADDRESS(INDEX($P$2:$P$1001,MATCH(ROWS($N$2:N739),$N$2:$N$1001,0),0), INDEX($U$1004:$AC$1004,1,MATCH(COLUMNS($U$1006:Y1006),$U$1006:$AC$1006,0)))),"Fix")))</f>
        <v>0</v>
      </c>
      <c r="G739" s="3">
        <f>IF(OR(INDEX($O$2:$O$1001,MATCH(ROWS($N$2:N739),$N$2:$N$1001,0),1)&gt;=100000,INDEX($U$1005:$AC$1005,1,MATCH(COLUMNS($U$1006:Z1006),$U$1006:$AC$1006,0))&gt;=100000), " ",IF(INDEX($U$2:$AC$1001,MATCH(ROWS($N$2:N739),$N$2:$N$1001,0),MATCH(COLUMNS($U$1006:Z1006),$U$1006:$AC$1006,0)), HYPERLINK("#",""), HYPERLINK(CONCATENATE("#metadata!", ADDRESS(INDEX($P$2:$P$1001,MATCH(ROWS($N$2:N739),$N$2:$N$1001,0),0), INDEX($U$1004:$AC$1004,1,MATCH(COLUMNS($U$1006:Z1006),$U$1006:$AC$1006,0)))),"Fix")))</f>
        <v>0</v>
      </c>
      <c r="H739" s="3">
        <f>IF(OR(INDEX($O$2:$O$1001,MATCH(ROWS($N$2:N739),$N$2:$N$1001,0),1)&gt;=100000,INDEX($U$1005:$AC$1005,1,MATCH(COLUMNS($U$1006:AA1006),$U$1006:$AC$1006,0))&gt;=100000), " ",IF(INDEX($U$2:$AC$1001,MATCH(ROWS($N$2:N739),$N$2:$N$1001,0),MATCH(COLUMNS($U$1006:AA1006),$U$1006:$AC$1006,0)), HYPERLINK("#",""), HYPERLINK(CONCATENATE("#metadata!", ADDRESS(INDEX($P$2:$P$1001,MATCH(ROWS($N$2:N739),$N$2:$N$1001,0),0), INDEX($U$1004:$AC$1004,1,MATCH(COLUMNS($U$1006:AA1006),$U$1006:$AC$1006,0)))),"Fix")))</f>
        <v>0</v>
      </c>
      <c r="I739" s="3">
        <f>IF(OR(INDEX($O$2:$O$1001,MATCH(ROWS($N$2:N739),$N$2:$N$1001,0),1)&gt;=100000,INDEX($U$1005:$AC$1005,1,MATCH(COLUMNS($U$1006:AB1006),$U$1006:$AC$1006,0))&gt;=100000), " ",IF(INDEX($U$2:$AC$1001,MATCH(ROWS($N$2:N739),$N$2:$N$1001,0),MATCH(COLUMNS($U$1006:AB1006),$U$1006:$AC$1006,0)), HYPERLINK("#",""), HYPERLINK(CONCATENATE("#metadata!", ADDRESS(INDEX($P$2:$P$1001,MATCH(ROWS($N$2:N739),$N$2:$N$1001,0),0), INDEX($U$1004:$AC$1004,1,MATCH(COLUMNS($U$1006:AB1006),$U$1006:$AC$1006,0)))),"Fix")))</f>
        <v>0</v>
      </c>
      <c r="J739" s="3">
        <f>IF(OR(INDEX($O$2:$O$1001,MATCH(ROWS($N$2:N739),$N$2:$N$1001,0),1)&gt;=100000,INDEX($U$1005:$AC$1005,1,MATCH(COLUMNS($U$1006:AC1006),$U$1006:$AC$1006,0))&gt;=100000), " ",IF(INDEX($U$2:$AC$1001,MATCH(ROWS($N$2:N739),$N$2:$N$1001,0),MATCH(COLUMNS($U$1006:AC1006),$U$1006:$AC$1006,0)), HYPERLINK("#",""), HYPERLINK(CONCATENATE("#metadata!", ADDRESS(INDEX($P$2:$P$1001,MATCH(ROWS($N$2:N739),$N$2:$N$1001,0),0), INDEX($U$1004:$AC$1004,1,MATCH(COLUMNS($U$1006:AC1006),$U$1006:$AC$1006,0)))),"Fix")))</f>
        <v>0</v>
      </c>
      <c r="N739">
        <v>0</v>
      </c>
      <c r="O739">
        <v>0</v>
      </c>
      <c r="P739">
        <v>0</v>
      </c>
      <c r="Q739">
        <f>IF(R739,TRUE,AND(U739:AC739))</f>
        <v>0</v>
      </c>
      <c r="R739">
        <f>COUNTBLANK(metadata!B739:J739)=COLUMNS(metadata!B739:J739)</f>
        <v>0</v>
      </c>
      <c r="S739">
        <v>0</v>
      </c>
      <c r="U739">
        <f>AND(IF(metadata!B739="",FALSE,TRUE),COUNTIF(metadata!B:B, metadata!B739) = 1,NOT(ISERROR(SUMPRODUCT(SEARCH(MID(metadata!B739,ROW(INDIRECT("1:"&amp;LEN(metadata!B739))), 1),"0123456789abcdefghijklmnopqrstuvwxyzABCDEFGHIJKLMNOPQRSTUVWXYZ.")))))</f>
        <v>0</v>
      </c>
      <c r="V739">
        <f>AND(IF(metadata!C739="",FALSE,TRUE),exact(metadata!C739,"UBERON:genitourinary"))</f>
        <v>0</v>
      </c>
      <c r="W739">
        <f>AND(IF(metadata!D739="",FALSE,TRUE),exact(metadata!D739,"UBERON:urine"))</f>
        <v>0</v>
      </c>
      <c r="X739">
        <f>AND(IF(metadata!E739="",FALSE,TRUE),exact(metadata!E739,"UBERON:kidney"))</f>
        <v>0</v>
      </c>
      <c r="Y739">
        <f>AND(IF(metadata!F739="",FALSE,TRUE),exact(metadata!F739,"animal corpus"))</f>
        <v>0</v>
      </c>
      <c r="Z739">
        <f>AND(IF(metadata!G739="",FALSE,TRUE),exact(metadata!G739,"urine"))</f>
        <v>0</v>
      </c>
      <c r="AA739">
        <f>AND(IF(metadata!H739="",FALSE,TRUE),exact(metadata!H739,"urine"))</f>
        <v>0</v>
      </c>
      <c r="AB739">
        <f>AND(IF(metadata!I739="",FALSE,TRUE),exact(metadata!I739,"urine metagenome"))</f>
        <v>0</v>
      </c>
      <c r="AC739">
        <f>AND(IF(metadata!J739="",FALSE,TRUE),exact(metadata!J739,"1346744"))</f>
        <v>0</v>
      </c>
    </row>
    <row r="740" spans="1:29">
      <c r="A740" s="4">
        <f>IF(B740=" "," ",HYPERLINK(CONCATENATE("#metadata!",ADDRESS(INDEX($P$2:$P$1001,MATCH(ROWS($N$2:N740),$N$2:$N$1001,0),0),1)),INDEX($S$2:$S$1001,MATCH(ROWS($N$2:N740),$N$2:$N$1001,0),0)))</f>
        <v>0</v>
      </c>
      <c r="B740" s="3">
        <f>IF(OR(INDEX($O$2:$O$1001,MATCH(ROWS($N$2:N740),$N$2:$N$1001,0),1)&gt;=100000,INDEX($U$1005:$AC$1005,1,MATCH(COLUMNS($U$1006:U1006),$U$1006:$AC$1006,0))&gt;=100000), " ",IF(INDEX($U$2:$AC$1001,MATCH(ROWS($N$2:N740),$N$2:$N$1001,0),MATCH(COLUMNS($U$1006:U1006),$U$1006:$AC$1006,0)), HYPERLINK("#",""), HYPERLINK(CONCATENATE("#metadata!", ADDRESS(INDEX($P$2:$P$1001,MATCH(ROWS($N$2:N740),$N$2:$N$1001,0),0), INDEX($U$1004:$AC$1004,1,MATCH(COLUMNS($U$1006:U1006),$U$1006:$AC$1006,0)))),"Fix")))</f>
        <v>0</v>
      </c>
      <c r="C740" s="3">
        <f>IF(OR(INDEX($O$2:$O$1001,MATCH(ROWS($N$2:N740),$N$2:$N$1001,0),1)&gt;=100000,INDEX($U$1005:$AC$1005,1,MATCH(COLUMNS($U$1006:V1006),$U$1006:$AC$1006,0))&gt;=100000), " ",IF(INDEX($U$2:$AC$1001,MATCH(ROWS($N$2:N740),$N$2:$N$1001,0),MATCH(COLUMNS($U$1006:V1006),$U$1006:$AC$1006,0)), HYPERLINK("#",""), HYPERLINK(CONCATENATE("#metadata!", ADDRESS(INDEX($P$2:$P$1001,MATCH(ROWS($N$2:N740),$N$2:$N$1001,0),0), INDEX($U$1004:$AC$1004,1,MATCH(COLUMNS($U$1006:V1006),$U$1006:$AC$1006,0)))),"Fix")))</f>
        <v>0</v>
      </c>
      <c r="D740" s="3">
        <f>IF(OR(INDEX($O$2:$O$1001,MATCH(ROWS($N$2:N740),$N$2:$N$1001,0),1)&gt;=100000,INDEX($U$1005:$AC$1005,1,MATCH(COLUMNS($U$1006:W1006),$U$1006:$AC$1006,0))&gt;=100000), " ",IF(INDEX($U$2:$AC$1001,MATCH(ROWS($N$2:N740),$N$2:$N$1001,0),MATCH(COLUMNS($U$1006:W1006),$U$1006:$AC$1006,0)), HYPERLINK("#",""), HYPERLINK(CONCATENATE("#metadata!", ADDRESS(INDEX($P$2:$P$1001,MATCH(ROWS($N$2:N740),$N$2:$N$1001,0),0), INDEX($U$1004:$AC$1004,1,MATCH(COLUMNS($U$1006:W1006),$U$1006:$AC$1006,0)))),"Fix")))</f>
        <v>0</v>
      </c>
      <c r="E740" s="3">
        <f>IF(OR(INDEX($O$2:$O$1001,MATCH(ROWS($N$2:N740),$N$2:$N$1001,0),1)&gt;=100000,INDEX($U$1005:$AC$1005,1,MATCH(COLUMNS($U$1006:X1006),$U$1006:$AC$1006,0))&gt;=100000), " ",IF(INDEX($U$2:$AC$1001,MATCH(ROWS($N$2:N740),$N$2:$N$1001,0),MATCH(COLUMNS($U$1006:X1006),$U$1006:$AC$1006,0)), HYPERLINK("#",""), HYPERLINK(CONCATENATE("#metadata!", ADDRESS(INDEX($P$2:$P$1001,MATCH(ROWS($N$2:N740),$N$2:$N$1001,0),0), INDEX($U$1004:$AC$1004,1,MATCH(COLUMNS($U$1006:X1006),$U$1006:$AC$1006,0)))),"Fix")))</f>
        <v>0</v>
      </c>
      <c r="F740" s="3">
        <f>IF(OR(INDEX($O$2:$O$1001,MATCH(ROWS($N$2:N740),$N$2:$N$1001,0),1)&gt;=100000,INDEX($U$1005:$AC$1005,1,MATCH(COLUMNS($U$1006:Y1006),$U$1006:$AC$1006,0))&gt;=100000), " ",IF(INDEX($U$2:$AC$1001,MATCH(ROWS($N$2:N740),$N$2:$N$1001,0),MATCH(COLUMNS($U$1006:Y1006),$U$1006:$AC$1006,0)), HYPERLINK("#",""), HYPERLINK(CONCATENATE("#metadata!", ADDRESS(INDEX($P$2:$P$1001,MATCH(ROWS($N$2:N740),$N$2:$N$1001,0),0), INDEX($U$1004:$AC$1004,1,MATCH(COLUMNS($U$1006:Y1006),$U$1006:$AC$1006,0)))),"Fix")))</f>
        <v>0</v>
      </c>
      <c r="G740" s="3">
        <f>IF(OR(INDEX($O$2:$O$1001,MATCH(ROWS($N$2:N740),$N$2:$N$1001,0),1)&gt;=100000,INDEX($U$1005:$AC$1005,1,MATCH(COLUMNS($U$1006:Z1006),$U$1006:$AC$1006,0))&gt;=100000), " ",IF(INDEX($U$2:$AC$1001,MATCH(ROWS($N$2:N740),$N$2:$N$1001,0),MATCH(COLUMNS($U$1006:Z1006),$U$1006:$AC$1006,0)), HYPERLINK("#",""), HYPERLINK(CONCATENATE("#metadata!", ADDRESS(INDEX($P$2:$P$1001,MATCH(ROWS($N$2:N740),$N$2:$N$1001,0),0), INDEX($U$1004:$AC$1004,1,MATCH(COLUMNS($U$1006:Z1006),$U$1006:$AC$1006,0)))),"Fix")))</f>
        <v>0</v>
      </c>
      <c r="H740" s="3">
        <f>IF(OR(INDEX($O$2:$O$1001,MATCH(ROWS($N$2:N740),$N$2:$N$1001,0),1)&gt;=100000,INDEX($U$1005:$AC$1005,1,MATCH(COLUMNS($U$1006:AA1006),$U$1006:$AC$1006,0))&gt;=100000), " ",IF(INDEX($U$2:$AC$1001,MATCH(ROWS($N$2:N740),$N$2:$N$1001,0),MATCH(COLUMNS($U$1006:AA1006),$U$1006:$AC$1006,0)), HYPERLINK("#",""), HYPERLINK(CONCATENATE("#metadata!", ADDRESS(INDEX($P$2:$P$1001,MATCH(ROWS($N$2:N740),$N$2:$N$1001,0),0), INDEX($U$1004:$AC$1004,1,MATCH(COLUMNS($U$1006:AA1006),$U$1006:$AC$1006,0)))),"Fix")))</f>
        <v>0</v>
      </c>
      <c r="I740" s="3">
        <f>IF(OR(INDEX($O$2:$O$1001,MATCH(ROWS($N$2:N740),$N$2:$N$1001,0),1)&gt;=100000,INDEX($U$1005:$AC$1005,1,MATCH(COLUMNS($U$1006:AB1006),$U$1006:$AC$1006,0))&gt;=100000), " ",IF(INDEX($U$2:$AC$1001,MATCH(ROWS($N$2:N740),$N$2:$N$1001,0),MATCH(COLUMNS($U$1006:AB1006),$U$1006:$AC$1006,0)), HYPERLINK("#",""), HYPERLINK(CONCATENATE("#metadata!", ADDRESS(INDEX($P$2:$P$1001,MATCH(ROWS($N$2:N740),$N$2:$N$1001,0),0), INDEX($U$1004:$AC$1004,1,MATCH(COLUMNS($U$1006:AB1006),$U$1006:$AC$1006,0)))),"Fix")))</f>
        <v>0</v>
      </c>
      <c r="J740" s="3">
        <f>IF(OR(INDEX($O$2:$O$1001,MATCH(ROWS($N$2:N740),$N$2:$N$1001,0),1)&gt;=100000,INDEX($U$1005:$AC$1005,1,MATCH(COLUMNS($U$1006:AC1006),$U$1006:$AC$1006,0))&gt;=100000), " ",IF(INDEX($U$2:$AC$1001,MATCH(ROWS($N$2:N740),$N$2:$N$1001,0),MATCH(COLUMNS($U$1006:AC1006),$U$1006:$AC$1006,0)), HYPERLINK("#",""), HYPERLINK(CONCATENATE("#metadata!", ADDRESS(INDEX($P$2:$P$1001,MATCH(ROWS($N$2:N740),$N$2:$N$1001,0),0), INDEX($U$1004:$AC$1004,1,MATCH(COLUMNS($U$1006:AC1006),$U$1006:$AC$1006,0)))),"Fix")))</f>
        <v>0</v>
      </c>
      <c r="N740">
        <v>0</v>
      </c>
      <c r="O740">
        <v>0</v>
      </c>
      <c r="P740">
        <v>0</v>
      </c>
      <c r="Q740">
        <f>IF(R740,TRUE,AND(U740:AC740))</f>
        <v>0</v>
      </c>
      <c r="R740">
        <f>COUNTBLANK(metadata!B740:J740)=COLUMNS(metadata!B740:J740)</f>
        <v>0</v>
      </c>
      <c r="S740">
        <v>0</v>
      </c>
      <c r="U740">
        <f>AND(IF(metadata!B740="",FALSE,TRUE),COUNTIF(metadata!B:B, metadata!B740) = 1,NOT(ISERROR(SUMPRODUCT(SEARCH(MID(metadata!B740,ROW(INDIRECT("1:"&amp;LEN(metadata!B740))), 1),"0123456789abcdefghijklmnopqrstuvwxyzABCDEFGHIJKLMNOPQRSTUVWXYZ.")))))</f>
        <v>0</v>
      </c>
      <c r="V740">
        <f>AND(IF(metadata!C740="",FALSE,TRUE),exact(metadata!C740,"UBERON:genitourinary"))</f>
        <v>0</v>
      </c>
      <c r="W740">
        <f>AND(IF(metadata!D740="",FALSE,TRUE),exact(metadata!D740,"UBERON:urine"))</f>
        <v>0</v>
      </c>
      <c r="X740">
        <f>AND(IF(metadata!E740="",FALSE,TRUE),exact(metadata!E740,"UBERON:kidney"))</f>
        <v>0</v>
      </c>
      <c r="Y740">
        <f>AND(IF(metadata!F740="",FALSE,TRUE),exact(metadata!F740,"animal corpus"))</f>
        <v>0</v>
      </c>
      <c r="Z740">
        <f>AND(IF(metadata!G740="",FALSE,TRUE),exact(metadata!G740,"urine"))</f>
        <v>0</v>
      </c>
      <c r="AA740">
        <f>AND(IF(metadata!H740="",FALSE,TRUE),exact(metadata!H740,"urine"))</f>
        <v>0</v>
      </c>
      <c r="AB740">
        <f>AND(IF(metadata!I740="",FALSE,TRUE),exact(metadata!I740,"urine metagenome"))</f>
        <v>0</v>
      </c>
      <c r="AC740">
        <f>AND(IF(metadata!J740="",FALSE,TRUE),exact(metadata!J740,"1346744"))</f>
        <v>0</v>
      </c>
    </row>
    <row r="741" spans="1:29">
      <c r="A741" s="4">
        <f>IF(B741=" "," ",HYPERLINK(CONCATENATE("#metadata!",ADDRESS(INDEX($P$2:$P$1001,MATCH(ROWS($N$2:N741),$N$2:$N$1001,0),0),1)),INDEX($S$2:$S$1001,MATCH(ROWS($N$2:N741),$N$2:$N$1001,0),0)))</f>
        <v>0</v>
      </c>
      <c r="B741" s="3">
        <f>IF(OR(INDEX($O$2:$O$1001,MATCH(ROWS($N$2:N741),$N$2:$N$1001,0),1)&gt;=100000,INDEX($U$1005:$AC$1005,1,MATCH(COLUMNS($U$1006:U1006),$U$1006:$AC$1006,0))&gt;=100000), " ",IF(INDEX($U$2:$AC$1001,MATCH(ROWS($N$2:N741),$N$2:$N$1001,0),MATCH(COLUMNS($U$1006:U1006),$U$1006:$AC$1006,0)), HYPERLINK("#",""), HYPERLINK(CONCATENATE("#metadata!", ADDRESS(INDEX($P$2:$P$1001,MATCH(ROWS($N$2:N741),$N$2:$N$1001,0),0), INDEX($U$1004:$AC$1004,1,MATCH(COLUMNS($U$1006:U1006),$U$1006:$AC$1006,0)))),"Fix")))</f>
        <v>0</v>
      </c>
      <c r="C741" s="3">
        <f>IF(OR(INDEX($O$2:$O$1001,MATCH(ROWS($N$2:N741),$N$2:$N$1001,0),1)&gt;=100000,INDEX($U$1005:$AC$1005,1,MATCH(COLUMNS($U$1006:V1006),$U$1006:$AC$1006,0))&gt;=100000), " ",IF(INDEX($U$2:$AC$1001,MATCH(ROWS($N$2:N741),$N$2:$N$1001,0),MATCH(COLUMNS($U$1006:V1006),$U$1006:$AC$1006,0)), HYPERLINK("#",""), HYPERLINK(CONCATENATE("#metadata!", ADDRESS(INDEX($P$2:$P$1001,MATCH(ROWS($N$2:N741),$N$2:$N$1001,0),0), INDEX($U$1004:$AC$1004,1,MATCH(COLUMNS($U$1006:V1006),$U$1006:$AC$1006,0)))),"Fix")))</f>
        <v>0</v>
      </c>
      <c r="D741" s="3">
        <f>IF(OR(INDEX($O$2:$O$1001,MATCH(ROWS($N$2:N741),$N$2:$N$1001,0),1)&gt;=100000,INDEX($U$1005:$AC$1005,1,MATCH(COLUMNS($U$1006:W1006),$U$1006:$AC$1006,0))&gt;=100000), " ",IF(INDEX($U$2:$AC$1001,MATCH(ROWS($N$2:N741),$N$2:$N$1001,0),MATCH(COLUMNS($U$1006:W1006),$U$1006:$AC$1006,0)), HYPERLINK("#",""), HYPERLINK(CONCATENATE("#metadata!", ADDRESS(INDEX($P$2:$P$1001,MATCH(ROWS($N$2:N741),$N$2:$N$1001,0),0), INDEX($U$1004:$AC$1004,1,MATCH(COLUMNS($U$1006:W1006),$U$1006:$AC$1006,0)))),"Fix")))</f>
        <v>0</v>
      </c>
      <c r="E741" s="3">
        <f>IF(OR(INDEX($O$2:$O$1001,MATCH(ROWS($N$2:N741),$N$2:$N$1001,0),1)&gt;=100000,INDEX($U$1005:$AC$1005,1,MATCH(COLUMNS($U$1006:X1006),$U$1006:$AC$1006,0))&gt;=100000), " ",IF(INDEX($U$2:$AC$1001,MATCH(ROWS($N$2:N741),$N$2:$N$1001,0),MATCH(COLUMNS($U$1006:X1006),$U$1006:$AC$1006,0)), HYPERLINK("#",""), HYPERLINK(CONCATENATE("#metadata!", ADDRESS(INDEX($P$2:$P$1001,MATCH(ROWS($N$2:N741),$N$2:$N$1001,0),0), INDEX($U$1004:$AC$1004,1,MATCH(COLUMNS($U$1006:X1006),$U$1006:$AC$1006,0)))),"Fix")))</f>
        <v>0</v>
      </c>
      <c r="F741" s="3">
        <f>IF(OR(INDEX($O$2:$O$1001,MATCH(ROWS($N$2:N741),$N$2:$N$1001,0),1)&gt;=100000,INDEX($U$1005:$AC$1005,1,MATCH(COLUMNS($U$1006:Y1006),$U$1006:$AC$1006,0))&gt;=100000), " ",IF(INDEX($U$2:$AC$1001,MATCH(ROWS($N$2:N741),$N$2:$N$1001,0),MATCH(COLUMNS($U$1006:Y1006),$U$1006:$AC$1006,0)), HYPERLINK("#",""), HYPERLINK(CONCATENATE("#metadata!", ADDRESS(INDEX($P$2:$P$1001,MATCH(ROWS($N$2:N741),$N$2:$N$1001,0),0), INDEX($U$1004:$AC$1004,1,MATCH(COLUMNS($U$1006:Y1006),$U$1006:$AC$1006,0)))),"Fix")))</f>
        <v>0</v>
      </c>
      <c r="G741" s="3">
        <f>IF(OR(INDEX($O$2:$O$1001,MATCH(ROWS($N$2:N741),$N$2:$N$1001,0),1)&gt;=100000,INDEX($U$1005:$AC$1005,1,MATCH(COLUMNS($U$1006:Z1006),$U$1006:$AC$1006,0))&gt;=100000), " ",IF(INDEX($U$2:$AC$1001,MATCH(ROWS($N$2:N741),$N$2:$N$1001,0),MATCH(COLUMNS($U$1006:Z1006),$U$1006:$AC$1006,0)), HYPERLINK("#",""), HYPERLINK(CONCATENATE("#metadata!", ADDRESS(INDEX($P$2:$P$1001,MATCH(ROWS($N$2:N741),$N$2:$N$1001,0),0), INDEX($U$1004:$AC$1004,1,MATCH(COLUMNS($U$1006:Z1006),$U$1006:$AC$1006,0)))),"Fix")))</f>
        <v>0</v>
      </c>
      <c r="H741" s="3">
        <f>IF(OR(INDEX($O$2:$O$1001,MATCH(ROWS($N$2:N741),$N$2:$N$1001,0),1)&gt;=100000,INDEX($U$1005:$AC$1005,1,MATCH(COLUMNS($U$1006:AA1006),$U$1006:$AC$1006,0))&gt;=100000), " ",IF(INDEX($U$2:$AC$1001,MATCH(ROWS($N$2:N741),$N$2:$N$1001,0),MATCH(COLUMNS($U$1006:AA1006),$U$1006:$AC$1006,0)), HYPERLINK("#",""), HYPERLINK(CONCATENATE("#metadata!", ADDRESS(INDEX($P$2:$P$1001,MATCH(ROWS($N$2:N741),$N$2:$N$1001,0),0), INDEX($U$1004:$AC$1004,1,MATCH(COLUMNS($U$1006:AA1006),$U$1006:$AC$1006,0)))),"Fix")))</f>
        <v>0</v>
      </c>
      <c r="I741" s="3">
        <f>IF(OR(INDEX($O$2:$O$1001,MATCH(ROWS($N$2:N741),$N$2:$N$1001,0),1)&gt;=100000,INDEX($U$1005:$AC$1005,1,MATCH(COLUMNS($U$1006:AB1006),$U$1006:$AC$1006,0))&gt;=100000), " ",IF(INDEX($U$2:$AC$1001,MATCH(ROWS($N$2:N741),$N$2:$N$1001,0),MATCH(COLUMNS($U$1006:AB1006),$U$1006:$AC$1006,0)), HYPERLINK("#",""), HYPERLINK(CONCATENATE("#metadata!", ADDRESS(INDEX($P$2:$P$1001,MATCH(ROWS($N$2:N741),$N$2:$N$1001,0),0), INDEX($U$1004:$AC$1004,1,MATCH(COLUMNS($U$1006:AB1006),$U$1006:$AC$1006,0)))),"Fix")))</f>
        <v>0</v>
      </c>
      <c r="J741" s="3">
        <f>IF(OR(INDEX($O$2:$O$1001,MATCH(ROWS($N$2:N741),$N$2:$N$1001,0),1)&gt;=100000,INDEX($U$1005:$AC$1005,1,MATCH(COLUMNS($U$1006:AC1006),$U$1006:$AC$1006,0))&gt;=100000), " ",IF(INDEX($U$2:$AC$1001,MATCH(ROWS($N$2:N741),$N$2:$N$1001,0),MATCH(COLUMNS($U$1006:AC1006),$U$1006:$AC$1006,0)), HYPERLINK("#",""), HYPERLINK(CONCATENATE("#metadata!", ADDRESS(INDEX($P$2:$P$1001,MATCH(ROWS($N$2:N741),$N$2:$N$1001,0),0), INDEX($U$1004:$AC$1004,1,MATCH(COLUMNS($U$1006:AC1006),$U$1006:$AC$1006,0)))),"Fix")))</f>
        <v>0</v>
      </c>
      <c r="N741">
        <v>0</v>
      </c>
      <c r="O741">
        <v>0</v>
      </c>
      <c r="P741">
        <v>0</v>
      </c>
      <c r="Q741">
        <f>IF(R741,TRUE,AND(U741:AC741))</f>
        <v>0</v>
      </c>
      <c r="R741">
        <f>COUNTBLANK(metadata!B741:J741)=COLUMNS(metadata!B741:J741)</f>
        <v>0</v>
      </c>
      <c r="S741">
        <v>0</v>
      </c>
      <c r="U741">
        <f>AND(IF(metadata!B741="",FALSE,TRUE),COUNTIF(metadata!B:B, metadata!B741) = 1,NOT(ISERROR(SUMPRODUCT(SEARCH(MID(metadata!B741,ROW(INDIRECT("1:"&amp;LEN(metadata!B741))), 1),"0123456789abcdefghijklmnopqrstuvwxyzABCDEFGHIJKLMNOPQRSTUVWXYZ.")))))</f>
        <v>0</v>
      </c>
      <c r="V741">
        <f>AND(IF(metadata!C741="",FALSE,TRUE),exact(metadata!C741,"UBERON:genitourinary"))</f>
        <v>0</v>
      </c>
      <c r="W741">
        <f>AND(IF(metadata!D741="",FALSE,TRUE),exact(metadata!D741,"UBERON:urine"))</f>
        <v>0</v>
      </c>
      <c r="X741">
        <f>AND(IF(metadata!E741="",FALSE,TRUE),exact(metadata!E741,"UBERON:kidney"))</f>
        <v>0</v>
      </c>
      <c r="Y741">
        <f>AND(IF(metadata!F741="",FALSE,TRUE),exact(metadata!F741,"animal corpus"))</f>
        <v>0</v>
      </c>
      <c r="Z741">
        <f>AND(IF(metadata!G741="",FALSE,TRUE),exact(metadata!G741,"urine"))</f>
        <v>0</v>
      </c>
      <c r="AA741">
        <f>AND(IF(metadata!H741="",FALSE,TRUE),exact(metadata!H741,"urine"))</f>
        <v>0</v>
      </c>
      <c r="AB741">
        <f>AND(IF(metadata!I741="",FALSE,TRUE),exact(metadata!I741,"urine metagenome"))</f>
        <v>0</v>
      </c>
      <c r="AC741">
        <f>AND(IF(metadata!J741="",FALSE,TRUE),exact(metadata!J741,"1346744"))</f>
        <v>0</v>
      </c>
    </row>
    <row r="742" spans="1:29">
      <c r="A742" s="4">
        <f>IF(B742=" "," ",HYPERLINK(CONCATENATE("#metadata!",ADDRESS(INDEX($P$2:$P$1001,MATCH(ROWS($N$2:N742),$N$2:$N$1001,0),0),1)),INDEX($S$2:$S$1001,MATCH(ROWS($N$2:N742),$N$2:$N$1001,0),0)))</f>
        <v>0</v>
      </c>
      <c r="B742" s="3">
        <f>IF(OR(INDEX($O$2:$O$1001,MATCH(ROWS($N$2:N742),$N$2:$N$1001,0),1)&gt;=100000,INDEX($U$1005:$AC$1005,1,MATCH(COLUMNS($U$1006:U1006),$U$1006:$AC$1006,0))&gt;=100000), " ",IF(INDEX($U$2:$AC$1001,MATCH(ROWS($N$2:N742),$N$2:$N$1001,0),MATCH(COLUMNS($U$1006:U1006),$U$1006:$AC$1006,0)), HYPERLINK("#",""), HYPERLINK(CONCATENATE("#metadata!", ADDRESS(INDEX($P$2:$P$1001,MATCH(ROWS($N$2:N742),$N$2:$N$1001,0),0), INDEX($U$1004:$AC$1004,1,MATCH(COLUMNS($U$1006:U1006),$U$1006:$AC$1006,0)))),"Fix")))</f>
        <v>0</v>
      </c>
      <c r="C742" s="3">
        <f>IF(OR(INDEX($O$2:$O$1001,MATCH(ROWS($N$2:N742),$N$2:$N$1001,0),1)&gt;=100000,INDEX($U$1005:$AC$1005,1,MATCH(COLUMNS($U$1006:V1006),$U$1006:$AC$1006,0))&gt;=100000), " ",IF(INDEX($U$2:$AC$1001,MATCH(ROWS($N$2:N742),$N$2:$N$1001,0),MATCH(COLUMNS($U$1006:V1006),$U$1006:$AC$1006,0)), HYPERLINK("#",""), HYPERLINK(CONCATENATE("#metadata!", ADDRESS(INDEX($P$2:$P$1001,MATCH(ROWS($N$2:N742),$N$2:$N$1001,0),0), INDEX($U$1004:$AC$1004,1,MATCH(COLUMNS($U$1006:V1006),$U$1006:$AC$1006,0)))),"Fix")))</f>
        <v>0</v>
      </c>
      <c r="D742" s="3">
        <f>IF(OR(INDEX($O$2:$O$1001,MATCH(ROWS($N$2:N742),$N$2:$N$1001,0),1)&gt;=100000,INDEX($U$1005:$AC$1005,1,MATCH(COLUMNS($U$1006:W1006),$U$1006:$AC$1006,0))&gt;=100000), " ",IF(INDEX($U$2:$AC$1001,MATCH(ROWS($N$2:N742),$N$2:$N$1001,0),MATCH(COLUMNS($U$1006:W1006),$U$1006:$AC$1006,0)), HYPERLINK("#",""), HYPERLINK(CONCATENATE("#metadata!", ADDRESS(INDEX($P$2:$P$1001,MATCH(ROWS($N$2:N742),$N$2:$N$1001,0),0), INDEX($U$1004:$AC$1004,1,MATCH(COLUMNS($U$1006:W1006),$U$1006:$AC$1006,0)))),"Fix")))</f>
        <v>0</v>
      </c>
      <c r="E742" s="3">
        <f>IF(OR(INDEX($O$2:$O$1001,MATCH(ROWS($N$2:N742),$N$2:$N$1001,0),1)&gt;=100000,INDEX($U$1005:$AC$1005,1,MATCH(COLUMNS($U$1006:X1006),$U$1006:$AC$1006,0))&gt;=100000), " ",IF(INDEX($U$2:$AC$1001,MATCH(ROWS($N$2:N742),$N$2:$N$1001,0),MATCH(COLUMNS($U$1006:X1006),$U$1006:$AC$1006,0)), HYPERLINK("#",""), HYPERLINK(CONCATENATE("#metadata!", ADDRESS(INDEX($P$2:$P$1001,MATCH(ROWS($N$2:N742),$N$2:$N$1001,0),0), INDEX($U$1004:$AC$1004,1,MATCH(COLUMNS($U$1006:X1006),$U$1006:$AC$1006,0)))),"Fix")))</f>
        <v>0</v>
      </c>
      <c r="F742" s="3">
        <f>IF(OR(INDEX($O$2:$O$1001,MATCH(ROWS($N$2:N742),$N$2:$N$1001,0),1)&gt;=100000,INDEX($U$1005:$AC$1005,1,MATCH(COLUMNS($U$1006:Y1006),$U$1006:$AC$1006,0))&gt;=100000), " ",IF(INDEX($U$2:$AC$1001,MATCH(ROWS($N$2:N742),$N$2:$N$1001,0),MATCH(COLUMNS($U$1006:Y1006),$U$1006:$AC$1006,0)), HYPERLINK("#",""), HYPERLINK(CONCATENATE("#metadata!", ADDRESS(INDEX($P$2:$P$1001,MATCH(ROWS($N$2:N742),$N$2:$N$1001,0),0), INDEX($U$1004:$AC$1004,1,MATCH(COLUMNS($U$1006:Y1006),$U$1006:$AC$1006,0)))),"Fix")))</f>
        <v>0</v>
      </c>
      <c r="G742" s="3">
        <f>IF(OR(INDEX($O$2:$O$1001,MATCH(ROWS($N$2:N742),$N$2:$N$1001,0),1)&gt;=100000,INDEX($U$1005:$AC$1005,1,MATCH(COLUMNS($U$1006:Z1006),$U$1006:$AC$1006,0))&gt;=100000), " ",IF(INDEX($U$2:$AC$1001,MATCH(ROWS($N$2:N742),$N$2:$N$1001,0),MATCH(COLUMNS($U$1006:Z1006),$U$1006:$AC$1006,0)), HYPERLINK("#",""), HYPERLINK(CONCATENATE("#metadata!", ADDRESS(INDEX($P$2:$P$1001,MATCH(ROWS($N$2:N742),$N$2:$N$1001,0),0), INDEX($U$1004:$AC$1004,1,MATCH(COLUMNS($U$1006:Z1006),$U$1006:$AC$1006,0)))),"Fix")))</f>
        <v>0</v>
      </c>
      <c r="H742" s="3">
        <f>IF(OR(INDEX($O$2:$O$1001,MATCH(ROWS($N$2:N742),$N$2:$N$1001,0),1)&gt;=100000,INDEX($U$1005:$AC$1005,1,MATCH(COLUMNS($U$1006:AA1006),$U$1006:$AC$1006,0))&gt;=100000), " ",IF(INDEX($U$2:$AC$1001,MATCH(ROWS($N$2:N742),$N$2:$N$1001,0),MATCH(COLUMNS($U$1006:AA1006),$U$1006:$AC$1006,0)), HYPERLINK("#",""), HYPERLINK(CONCATENATE("#metadata!", ADDRESS(INDEX($P$2:$P$1001,MATCH(ROWS($N$2:N742),$N$2:$N$1001,0),0), INDEX($U$1004:$AC$1004,1,MATCH(COLUMNS($U$1006:AA1006),$U$1006:$AC$1006,0)))),"Fix")))</f>
        <v>0</v>
      </c>
      <c r="I742" s="3">
        <f>IF(OR(INDEX($O$2:$O$1001,MATCH(ROWS($N$2:N742),$N$2:$N$1001,0),1)&gt;=100000,INDEX($U$1005:$AC$1005,1,MATCH(COLUMNS($U$1006:AB1006),$U$1006:$AC$1006,0))&gt;=100000), " ",IF(INDEX($U$2:$AC$1001,MATCH(ROWS($N$2:N742),$N$2:$N$1001,0),MATCH(COLUMNS($U$1006:AB1006),$U$1006:$AC$1006,0)), HYPERLINK("#",""), HYPERLINK(CONCATENATE("#metadata!", ADDRESS(INDEX($P$2:$P$1001,MATCH(ROWS($N$2:N742),$N$2:$N$1001,0),0), INDEX($U$1004:$AC$1004,1,MATCH(COLUMNS($U$1006:AB1006),$U$1006:$AC$1006,0)))),"Fix")))</f>
        <v>0</v>
      </c>
      <c r="J742" s="3">
        <f>IF(OR(INDEX($O$2:$O$1001,MATCH(ROWS($N$2:N742),$N$2:$N$1001,0),1)&gt;=100000,INDEX($U$1005:$AC$1005,1,MATCH(COLUMNS($U$1006:AC1006),$U$1006:$AC$1006,0))&gt;=100000), " ",IF(INDEX($U$2:$AC$1001,MATCH(ROWS($N$2:N742),$N$2:$N$1001,0),MATCH(COLUMNS($U$1006:AC1006),$U$1006:$AC$1006,0)), HYPERLINK("#",""), HYPERLINK(CONCATENATE("#metadata!", ADDRESS(INDEX($P$2:$P$1001,MATCH(ROWS($N$2:N742),$N$2:$N$1001,0),0), INDEX($U$1004:$AC$1004,1,MATCH(COLUMNS($U$1006:AC1006),$U$1006:$AC$1006,0)))),"Fix")))</f>
        <v>0</v>
      </c>
      <c r="N742">
        <v>0</v>
      </c>
      <c r="O742">
        <v>0</v>
      </c>
      <c r="P742">
        <v>0</v>
      </c>
      <c r="Q742">
        <f>IF(R742,TRUE,AND(U742:AC742))</f>
        <v>0</v>
      </c>
      <c r="R742">
        <f>COUNTBLANK(metadata!B742:J742)=COLUMNS(metadata!B742:J742)</f>
        <v>0</v>
      </c>
      <c r="S742">
        <v>0</v>
      </c>
      <c r="U742">
        <f>AND(IF(metadata!B742="",FALSE,TRUE),COUNTIF(metadata!B:B, metadata!B742) = 1,NOT(ISERROR(SUMPRODUCT(SEARCH(MID(metadata!B742,ROW(INDIRECT("1:"&amp;LEN(metadata!B742))), 1),"0123456789abcdefghijklmnopqrstuvwxyzABCDEFGHIJKLMNOPQRSTUVWXYZ.")))))</f>
        <v>0</v>
      </c>
      <c r="V742">
        <f>AND(IF(metadata!C742="",FALSE,TRUE),exact(metadata!C742,"UBERON:genitourinary"))</f>
        <v>0</v>
      </c>
      <c r="W742">
        <f>AND(IF(metadata!D742="",FALSE,TRUE),exact(metadata!D742,"UBERON:urine"))</f>
        <v>0</v>
      </c>
      <c r="X742">
        <f>AND(IF(metadata!E742="",FALSE,TRUE),exact(metadata!E742,"UBERON:kidney"))</f>
        <v>0</v>
      </c>
      <c r="Y742">
        <f>AND(IF(metadata!F742="",FALSE,TRUE),exact(metadata!F742,"animal corpus"))</f>
        <v>0</v>
      </c>
      <c r="Z742">
        <f>AND(IF(metadata!G742="",FALSE,TRUE),exact(metadata!G742,"urine"))</f>
        <v>0</v>
      </c>
      <c r="AA742">
        <f>AND(IF(metadata!H742="",FALSE,TRUE),exact(metadata!H742,"urine"))</f>
        <v>0</v>
      </c>
      <c r="AB742">
        <f>AND(IF(metadata!I742="",FALSE,TRUE),exact(metadata!I742,"urine metagenome"))</f>
        <v>0</v>
      </c>
      <c r="AC742">
        <f>AND(IF(metadata!J742="",FALSE,TRUE),exact(metadata!J742,"1346744"))</f>
        <v>0</v>
      </c>
    </row>
    <row r="743" spans="1:29">
      <c r="A743" s="4">
        <f>IF(B743=" "," ",HYPERLINK(CONCATENATE("#metadata!",ADDRESS(INDEX($P$2:$P$1001,MATCH(ROWS($N$2:N743),$N$2:$N$1001,0),0),1)),INDEX($S$2:$S$1001,MATCH(ROWS($N$2:N743),$N$2:$N$1001,0),0)))</f>
        <v>0</v>
      </c>
      <c r="B743" s="3">
        <f>IF(OR(INDEX($O$2:$O$1001,MATCH(ROWS($N$2:N743),$N$2:$N$1001,0),1)&gt;=100000,INDEX($U$1005:$AC$1005,1,MATCH(COLUMNS($U$1006:U1006),$U$1006:$AC$1006,0))&gt;=100000), " ",IF(INDEX($U$2:$AC$1001,MATCH(ROWS($N$2:N743),$N$2:$N$1001,0),MATCH(COLUMNS($U$1006:U1006),$U$1006:$AC$1006,0)), HYPERLINK("#",""), HYPERLINK(CONCATENATE("#metadata!", ADDRESS(INDEX($P$2:$P$1001,MATCH(ROWS($N$2:N743),$N$2:$N$1001,0),0), INDEX($U$1004:$AC$1004,1,MATCH(COLUMNS($U$1006:U1006),$U$1006:$AC$1006,0)))),"Fix")))</f>
        <v>0</v>
      </c>
      <c r="C743" s="3">
        <f>IF(OR(INDEX($O$2:$O$1001,MATCH(ROWS($N$2:N743),$N$2:$N$1001,0),1)&gt;=100000,INDEX($U$1005:$AC$1005,1,MATCH(COLUMNS($U$1006:V1006),$U$1006:$AC$1006,0))&gt;=100000), " ",IF(INDEX($U$2:$AC$1001,MATCH(ROWS($N$2:N743),$N$2:$N$1001,0),MATCH(COLUMNS($U$1006:V1006),$U$1006:$AC$1006,0)), HYPERLINK("#",""), HYPERLINK(CONCATENATE("#metadata!", ADDRESS(INDEX($P$2:$P$1001,MATCH(ROWS($N$2:N743),$N$2:$N$1001,0),0), INDEX($U$1004:$AC$1004,1,MATCH(COLUMNS($U$1006:V1006),$U$1006:$AC$1006,0)))),"Fix")))</f>
        <v>0</v>
      </c>
      <c r="D743" s="3">
        <f>IF(OR(INDEX($O$2:$O$1001,MATCH(ROWS($N$2:N743),$N$2:$N$1001,0),1)&gt;=100000,INDEX($U$1005:$AC$1005,1,MATCH(COLUMNS($U$1006:W1006),$U$1006:$AC$1006,0))&gt;=100000), " ",IF(INDEX($U$2:$AC$1001,MATCH(ROWS($N$2:N743),$N$2:$N$1001,0),MATCH(COLUMNS($U$1006:W1006),$U$1006:$AC$1006,0)), HYPERLINK("#",""), HYPERLINK(CONCATENATE("#metadata!", ADDRESS(INDEX($P$2:$P$1001,MATCH(ROWS($N$2:N743),$N$2:$N$1001,0),0), INDEX($U$1004:$AC$1004,1,MATCH(COLUMNS($U$1006:W1006),$U$1006:$AC$1006,0)))),"Fix")))</f>
        <v>0</v>
      </c>
      <c r="E743" s="3">
        <f>IF(OR(INDEX($O$2:$O$1001,MATCH(ROWS($N$2:N743),$N$2:$N$1001,0),1)&gt;=100000,INDEX($U$1005:$AC$1005,1,MATCH(COLUMNS($U$1006:X1006),$U$1006:$AC$1006,0))&gt;=100000), " ",IF(INDEX($U$2:$AC$1001,MATCH(ROWS($N$2:N743),$N$2:$N$1001,0),MATCH(COLUMNS($U$1006:X1006),$U$1006:$AC$1006,0)), HYPERLINK("#",""), HYPERLINK(CONCATENATE("#metadata!", ADDRESS(INDEX($P$2:$P$1001,MATCH(ROWS($N$2:N743),$N$2:$N$1001,0),0), INDEX($U$1004:$AC$1004,1,MATCH(COLUMNS($U$1006:X1006),$U$1006:$AC$1006,0)))),"Fix")))</f>
        <v>0</v>
      </c>
      <c r="F743" s="3">
        <f>IF(OR(INDEX($O$2:$O$1001,MATCH(ROWS($N$2:N743),$N$2:$N$1001,0),1)&gt;=100000,INDEX($U$1005:$AC$1005,1,MATCH(COLUMNS($U$1006:Y1006),$U$1006:$AC$1006,0))&gt;=100000), " ",IF(INDEX($U$2:$AC$1001,MATCH(ROWS($N$2:N743),$N$2:$N$1001,0),MATCH(COLUMNS($U$1006:Y1006),$U$1006:$AC$1006,0)), HYPERLINK("#",""), HYPERLINK(CONCATENATE("#metadata!", ADDRESS(INDEX($P$2:$P$1001,MATCH(ROWS($N$2:N743),$N$2:$N$1001,0),0), INDEX($U$1004:$AC$1004,1,MATCH(COLUMNS($U$1006:Y1006),$U$1006:$AC$1006,0)))),"Fix")))</f>
        <v>0</v>
      </c>
      <c r="G743" s="3">
        <f>IF(OR(INDEX($O$2:$O$1001,MATCH(ROWS($N$2:N743),$N$2:$N$1001,0),1)&gt;=100000,INDEX($U$1005:$AC$1005,1,MATCH(COLUMNS($U$1006:Z1006),$U$1006:$AC$1006,0))&gt;=100000), " ",IF(INDEX($U$2:$AC$1001,MATCH(ROWS($N$2:N743),$N$2:$N$1001,0),MATCH(COLUMNS($U$1006:Z1006),$U$1006:$AC$1006,0)), HYPERLINK("#",""), HYPERLINK(CONCATENATE("#metadata!", ADDRESS(INDEX($P$2:$P$1001,MATCH(ROWS($N$2:N743),$N$2:$N$1001,0),0), INDEX($U$1004:$AC$1004,1,MATCH(COLUMNS($U$1006:Z1006),$U$1006:$AC$1006,0)))),"Fix")))</f>
        <v>0</v>
      </c>
      <c r="H743" s="3">
        <f>IF(OR(INDEX($O$2:$O$1001,MATCH(ROWS($N$2:N743),$N$2:$N$1001,0),1)&gt;=100000,INDEX($U$1005:$AC$1005,1,MATCH(COLUMNS($U$1006:AA1006),$U$1006:$AC$1006,0))&gt;=100000), " ",IF(INDEX($U$2:$AC$1001,MATCH(ROWS($N$2:N743),$N$2:$N$1001,0),MATCH(COLUMNS($U$1006:AA1006),$U$1006:$AC$1006,0)), HYPERLINK("#",""), HYPERLINK(CONCATENATE("#metadata!", ADDRESS(INDEX($P$2:$P$1001,MATCH(ROWS($N$2:N743),$N$2:$N$1001,0),0), INDEX($U$1004:$AC$1004,1,MATCH(COLUMNS($U$1006:AA1006),$U$1006:$AC$1006,0)))),"Fix")))</f>
        <v>0</v>
      </c>
      <c r="I743" s="3">
        <f>IF(OR(INDEX($O$2:$O$1001,MATCH(ROWS($N$2:N743),$N$2:$N$1001,0),1)&gt;=100000,INDEX($U$1005:$AC$1005,1,MATCH(COLUMNS($U$1006:AB1006),$U$1006:$AC$1006,0))&gt;=100000), " ",IF(INDEX($U$2:$AC$1001,MATCH(ROWS($N$2:N743),$N$2:$N$1001,0),MATCH(COLUMNS($U$1006:AB1006),$U$1006:$AC$1006,0)), HYPERLINK("#",""), HYPERLINK(CONCATENATE("#metadata!", ADDRESS(INDEX($P$2:$P$1001,MATCH(ROWS($N$2:N743),$N$2:$N$1001,0),0), INDEX($U$1004:$AC$1004,1,MATCH(COLUMNS($U$1006:AB1006),$U$1006:$AC$1006,0)))),"Fix")))</f>
        <v>0</v>
      </c>
      <c r="J743" s="3">
        <f>IF(OR(INDEX($O$2:$O$1001,MATCH(ROWS($N$2:N743),$N$2:$N$1001,0),1)&gt;=100000,INDEX($U$1005:$AC$1005,1,MATCH(COLUMNS($U$1006:AC1006),$U$1006:$AC$1006,0))&gt;=100000), " ",IF(INDEX($U$2:$AC$1001,MATCH(ROWS($N$2:N743),$N$2:$N$1001,0),MATCH(COLUMNS($U$1006:AC1006),$U$1006:$AC$1006,0)), HYPERLINK("#",""), HYPERLINK(CONCATENATE("#metadata!", ADDRESS(INDEX($P$2:$P$1001,MATCH(ROWS($N$2:N743),$N$2:$N$1001,0),0), INDEX($U$1004:$AC$1004,1,MATCH(COLUMNS($U$1006:AC1006),$U$1006:$AC$1006,0)))),"Fix")))</f>
        <v>0</v>
      </c>
      <c r="N743">
        <v>0</v>
      </c>
      <c r="O743">
        <v>0</v>
      </c>
      <c r="P743">
        <v>0</v>
      </c>
      <c r="Q743">
        <f>IF(R743,TRUE,AND(U743:AC743))</f>
        <v>0</v>
      </c>
      <c r="R743">
        <f>COUNTBLANK(metadata!B743:J743)=COLUMNS(metadata!B743:J743)</f>
        <v>0</v>
      </c>
      <c r="S743">
        <v>0</v>
      </c>
      <c r="U743">
        <f>AND(IF(metadata!B743="",FALSE,TRUE),COUNTIF(metadata!B:B, metadata!B743) = 1,NOT(ISERROR(SUMPRODUCT(SEARCH(MID(metadata!B743,ROW(INDIRECT("1:"&amp;LEN(metadata!B743))), 1),"0123456789abcdefghijklmnopqrstuvwxyzABCDEFGHIJKLMNOPQRSTUVWXYZ.")))))</f>
        <v>0</v>
      </c>
      <c r="V743">
        <f>AND(IF(metadata!C743="",FALSE,TRUE),exact(metadata!C743,"UBERON:genitourinary"))</f>
        <v>0</v>
      </c>
      <c r="W743">
        <f>AND(IF(metadata!D743="",FALSE,TRUE),exact(metadata!D743,"UBERON:urine"))</f>
        <v>0</v>
      </c>
      <c r="X743">
        <f>AND(IF(metadata!E743="",FALSE,TRUE),exact(metadata!E743,"UBERON:kidney"))</f>
        <v>0</v>
      </c>
      <c r="Y743">
        <f>AND(IF(metadata!F743="",FALSE,TRUE),exact(metadata!F743,"animal corpus"))</f>
        <v>0</v>
      </c>
      <c r="Z743">
        <f>AND(IF(metadata!G743="",FALSE,TRUE),exact(metadata!G743,"urine"))</f>
        <v>0</v>
      </c>
      <c r="AA743">
        <f>AND(IF(metadata!H743="",FALSE,TRUE),exact(metadata!H743,"urine"))</f>
        <v>0</v>
      </c>
      <c r="AB743">
        <f>AND(IF(metadata!I743="",FALSE,TRUE),exact(metadata!I743,"urine metagenome"))</f>
        <v>0</v>
      </c>
      <c r="AC743">
        <f>AND(IF(metadata!J743="",FALSE,TRUE),exact(metadata!J743,"1346744"))</f>
        <v>0</v>
      </c>
    </row>
    <row r="744" spans="1:29">
      <c r="A744" s="4">
        <f>IF(B744=" "," ",HYPERLINK(CONCATENATE("#metadata!",ADDRESS(INDEX($P$2:$P$1001,MATCH(ROWS($N$2:N744),$N$2:$N$1001,0),0),1)),INDEX($S$2:$S$1001,MATCH(ROWS($N$2:N744),$N$2:$N$1001,0),0)))</f>
        <v>0</v>
      </c>
      <c r="B744" s="3">
        <f>IF(OR(INDEX($O$2:$O$1001,MATCH(ROWS($N$2:N744),$N$2:$N$1001,0),1)&gt;=100000,INDEX($U$1005:$AC$1005,1,MATCH(COLUMNS($U$1006:U1006),$U$1006:$AC$1006,0))&gt;=100000), " ",IF(INDEX($U$2:$AC$1001,MATCH(ROWS($N$2:N744),$N$2:$N$1001,0),MATCH(COLUMNS($U$1006:U1006),$U$1006:$AC$1006,0)), HYPERLINK("#",""), HYPERLINK(CONCATENATE("#metadata!", ADDRESS(INDEX($P$2:$P$1001,MATCH(ROWS($N$2:N744),$N$2:$N$1001,0),0), INDEX($U$1004:$AC$1004,1,MATCH(COLUMNS($U$1006:U1006),$U$1006:$AC$1006,0)))),"Fix")))</f>
        <v>0</v>
      </c>
      <c r="C744" s="3">
        <f>IF(OR(INDEX($O$2:$O$1001,MATCH(ROWS($N$2:N744),$N$2:$N$1001,0),1)&gt;=100000,INDEX($U$1005:$AC$1005,1,MATCH(COLUMNS($U$1006:V1006),$U$1006:$AC$1006,0))&gt;=100000), " ",IF(INDEX($U$2:$AC$1001,MATCH(ROWS($N$2:N744),$N$2:$N$1001,0),MATCH(COLUMNS($U$1006:V1006),$U$1006:$AC$1006,0)), HYPERLINK("#",""), HYPERLINK(CONCATENATE("#metadata!", ADDRESS(INDEX($P$2:$P$1001,MATCH(ROWS($N$2:N744),$N$2:$N$1001,0),0), INDEX($U$1004:$AC$1004,1,MATCH(COLUMNS($U$1006:V1006),$U$1006:$AC$1006,0)))),"Fix")))</f>
        <v>0</v>
      </c>
      <c r="D744" s="3">
        <f>IF(OR(INDEX($O$2:$O$1001,MATCH(ROWS($N$2:N744),$N$2:$N$1001,0),1)&gt;=100000,INDEX($U$1005:$AC$1005,1,MATCH(COLUMNS($U$1006:W1006),$U$1006:$AC$1006,0))&gt;=100000), " ",IF(INDEX($U$2:$AC$1001,MATCH(ROWS($N$2:N744),$N$2:$N$1001,0),MATCH(COLUMNS($U$1006:W1006),$U$1006:$AC$1006,0)), HYPERLINK("#",""), HYPERLINK(CONCATENATE("#metadata!", ADDRESS(INDEX($P$2:$P$1001,MATCH(ROWS($N$2:N744),$N$2:$N$1001,0),0), INDEX($U$1004:$AC$1004,1,MATCH(COLUMNS($U$1006:W1006),$U$1006:$AC$1006,0)))),"Fix")))</f>
        <v>0</v>
      </c>
      <c r="E744" s="3">
        <f>IF(OR(INDEX($O$2:$O$1001,MATCH(ROWS($N$2:N744),$N$2:$N$1001,0),1)&gt;=100000,INDEX($U$1005:$AC$1005,1,MATCH(COLUMNS($U$1006:X1006),$U$1006:$AC$1006,0))&gt;=100000), " ",IF(INDEX($U$2:$AC$1001,MATCH(ROWS($N$2:N744),$N$2:$N$1001,0),MATCH(COLUMNS($U$1006:X1006),$U$1006:$AC$1006,0)), HYPERLINK("#",""), HYPERLINK(CONCATENATE("#metadata!", ADDRESS(INDEX($P$2:$P$1001,MATCH(ROWS($N$2:N744),$N$2:$N$1001,0),0), INDEX($U$1004:$AC$1004,1,MATCH(COLUMNS($U$1006:X1006),$U$1006:$AC$1006,0)))),"Fix")))</f>
        <v>0</v>
      </c>
      <c r="F744" s="3">
        <f>IF(OR(INDEX($O$2:$O$1001,MATCH(ROWS($N$2:N744),$N$2:$N$1001,0),1)&gt;=100000,INDEX($U$1005:$AC$1005,1,MATCH(COLUMNS($U$1006:Y1006),$U$1006:$AC$1006,0))&gt;=100000), " ",IF(INDEX($U$2:$AC$1001,MATCH(ROWS($N$2:N744),$N$2:$N$1001,0),MATCH(COLUMNS($U$1006:Y1006),$U$1006:$AC$1006,0)), HYPERLINK("#",""), HYPERLINK(CONCATENATE("#metadata!", ADDRESS(INDEX($P$2:$P$1001,MATCH(ROWS($N$2:N744),$N$2:$N$1001,0),0), INDEX($U$1004:$AC$1004,1,MATCH(COLUMNS($U$1006:Y1006),$U$1006:$AC$1006,0)))),"Fix")))</f>
        <v>0</v>
      </c>
      <c r="G744" s="3">
        <f>IF(OR(INDEX($O$2:$O$1001,MATCH(ROWS($N$2:N744),$N$2:$N$1001,0),1)&gt;=100000,INDEX($U$1005:$AC$1005,1,MATCH(COLUMNS($U$1006:Z1006),$U$1006:$AC$1006,0))&gt;=100000), " ",IF(INDEX($U$2:$AC$1001,MATCH(ROWS($N$2:N744),$N$2:$N$1001,0),MATCH(COLUMNS($U$1006:Z1006),$U$1006:$AC$1006,0)), HYPERLINK("#",""), HYPERLINK(CONCATENATE("#metadata!", ADDRESS(INDEX($P$2:$P$1001,MATCH(ROWS($N$2:N744),$N$2:$N$1001,0),0), INDEX($U$1004:$AC$1004,1,MATCH(COLUMNS($U$1006:Z1006),$U$1006:$AC$1006,0)))),"Fix")))</f>
        <v>0</v>
      </c>
      <c r="H744" s="3">
        <f>IF(OR(INDEX($O$2:$O$1001,MATCH(ROWS($N$2:N744),$N$2:$N$1001,0),1)&gt;=100000,INDEX($U$1005:$AC$1005,1,MATCH(COLUMNS($U$1006:AA1006),$U$1006:$AC$1006,0))&gt;=100000), " ",IF(INDEX($U$2:$AC$1001,MATCH(ROWS($N$2:N744),$N$2:$N$1001,0),MATCH(COLUMNS($U$1006:AA1006),$U$1006:$AC$1006,0)), HYPERLINK("#",""), HYPERLINK(CONCATENATE("#metadata!", ADDRESS(INDEX($P$2:$P$1001,MATCH(ROWS($N$2:N744),$N$2:$N$1001,0),0), INDEX($U$1004:$AC$1004,1,MATCH(COLUMNS($U$1006:AA1006),$U$1006:$AC$1006,0)))),"Fix")))</f>
        <v>0</v>
      </c>
      <c r="I744" s="3">
        <f>IF(OR(INDEX($O$2:$O$1001,MATCH(ROWS($N$2:N744),$N$2:$N$1001,0),1)&gt;=100000,INDEX($U$1005:$AC$1005,1,MATCH(COLUMNS($U$1006:AB1006),$U$1006:$AC$1006,0))&gt;=100000), " ",IF(INDEX($U$2:$AC$1001,MATCH(ROWS($N$2:N744),$N$2:$N$1001,0),MATCH(COLUMNS($U$1006:AB1006),$U$1006:$AC$1006,0)), HYPERLINK("#",""), HYPERLINK(CONCATENATE("#metadata!", ADDRESS(INDEX($P$2:$P$1001,MATCH(ROWS($N$2:N744),$N$2:$N$1001,0),0), INDEX($U$1004:$AC$1004,1,MATCH(COLUMNS($U$1006:AB1006),$U$1006:$AC$1006,0)))),"Fix")))</f>
        <v>0</v>
      </c>
      <c r="J744" s="3">
        <f>IF(OR(INDEX($O$2:$O$1001,MATCH(ROWS($N$2:N744),$N$2:$N$1001,0),1)&gt;=100000,INDEX($U$1005:$AC$1005,1,MATCH(COLUMNS($U$1006:AC1006),$U$1006:$AC$1006,0))&gt;=100000), " ",IF(INDEX($U$2:$AC$1001,MATCH(ROWS($N$2:N744),$N$2:$N$1001,0),MATCH(COLUMNS($U$1006:AC1006),$U$1006:$AC$1006,0)), HYPERLINK("#",""), HYPERLINK(CONCATENATE("#metadata!", ADDRESS(INDEX($P$2:$P$1001,MATCH(ROWS($N$2:N744),$N$2:$N$1001,0),0), INDEX($U$1004:$AC$1004,1,MATCH(COLUMNS($U$1006:AC1006),$U$1006:$AC$1006,0)))),"Fix")))</f>
        <v>0</v>
      </c>
      <c r="N744">
        <v>0</v>
      </c>
      <c r="O744">
        <v>0</v>
      </c>
      <c r="P744">
        <v>0</v>
      </c>
      <c r="Q744">
        <f>IF(R744,TRUE,AND(U744:AC744))</f>
        <v>0</v>
      </c>
      <c r="R744">
        <f>COUNTBLANK(metadata!B744:J744)=COLUMNS(metadata!B744:J744)</f>
        <v>0</v>
      </c>
      <c r="S744">
        <v>0</v>
      </c>
      <c r="U744">
        <f>AND(IF(metadata!B744="",FALSE,TRUE),COUNTIF(metadata!B:B, metadata!B744) = 1,NOT(ISERROR(SUMPRODUCT(SEARCH(MID(metadata!B744,ROW(INDIRECT("1:"&amp;LEN(metadata!B744))), 1),"0123456789abcdefghijklmnopqrstuvwxyzABCDEFGHIJKLMNOPQRSTUVWXYZ.")))))</f>
        <v>0</v>
      </c>
      <c r="V744">
        <f>AND(IF(metadata!C744="",FALSE,TRUE),exact(metadata!C744,"UBERON:genitourinary"))</f>
        <v>0</v>
      </c>
      <c r="W744">
        <f>AND(IF(metadata!D744="",FALSE,TRUE),exact(metadata!D744,"UBERON:urine"))</f>
        <v>0</v>
      </c>
      <c r="X744">
        <f>AND(IF(metadata!E744="",FALSE,TRUE),exact(metadata!E744,"UBERON:kidney"))</f>
        <v>0</v>
      </c>
      <c r="Y744">
        <f>AND(IF(metadata!F744="",FALSE,TRUE),exact(metadata!F744,"animal corpus"))</f>
        <v>0</v>
      </c>
      <c r="Z744">
        <f>AND(IF(metadata!G744="",FALSE,TRUE),exact(metadata!G744,"urine"))</f>
        <v>0</v>
      </c>
      <c r="AA744">
        <f>AND(IF(metadata!H744="",FALSE,TRUE),exact(metadata!H744,"urine"))</f>
        <v>0</v>
      </c>
      <c r="AB744">
        <f>AND(IF(metadata!I744="",FALSE,TRUE),exact(metadata!I744,"urine metagenome"))</f>
        <v>0</v>
      </c>
      <c r="AC744">
        <f>AND(IF(metadata!J744="",FALSE,TRUE),exact(metadata!J744,"1346744"))</f>
        <v>0</v>
      </c>
    </row>
    <row r="745" spans="1:29">
      <c r="A745" s="4">
        <f>IF(B745=" "," ",HYPERLINK(CONCATENATE("#metadata!",ADDRESS(INDEX($P$2:$P$1001,MATCH(ROWS($N$2:N745),$N$2:$N$1001,0),0),1)),INDEX($S$2:$S$1001,MATCH(ROWS($N$2:N745),$N$2:$N$1001,0),0)))</f>
        <v>0</v>
      </c>
      <c r="B745" s="3">
        <f>IF(OR(INDEX($O$2:$O$1001,MATCH(ROWS($N$2:N745),$N$2:$N$1001,0),1)&gt;=100000,INDEX($U$1005:$AC$1005,1,MATCH(COLUMNS($U$1006:U1006),$U$1006:$AC$1006,0))&gt;=100000), " ",IF(INDEX($U$2:$AC$1001,MATCH(ROWS($N$2:N745),$N$2:$N$1001,0),MATCH(COLUMNS($U$1006:U1006),$U$1006:$AC$1006,0)), HYPERLINK("#",""), HYPERLINK(CONCATENATE("#metadata!", ADDRESS(INDEX($P$2:$P$1001,MATCH(ROWS($N$2:N745),$N$2:$N$1001,0),0), INDEX($U$1004:$AC$1004,1,MATCH(COLUMNS($U$1006:U1006),$U$1006:$AC$1006,0)))),"Fix")))</f>
        <v>0</v>
      </c>
      <c r="C745" s="3">
        <f>IF(OR(INDEX($O$2:$O$1001,MATCH(ROWS($N$2:N745),$N$2:$N$1001,0),1)&gt;=100000,INDEX($U$1005:$AC$1005,1,MATCH(COLUMNS($U$1006:V1006),$U$1006:$AC$1006,0))&gt;=100000), " ",IF(INDEX($U$2:$AC$1001,MATCH(ROWS($N$2:N745),$N$2:$N$1001,0),MATCH(COLUMNS($U$1006:V1006),$U$1006:$AC$1006,0)), HYPERLINK("#",""), HYPERLINK(CONCATENATE("#metadata!", ADDRESS(INDEX($P$2:$P$1001,MATCH(ROWS($N$2:N745),$N$2:$N$1001,0),0), INDEX($U$1004:$AC$1004,1,MATCH(COLUMNS($U$1006:V1006),$U$1006:$AC$1006,0)))),"Fix")))</f>
        <v>0</v>
      </c>
      <c r="D745" s="3">
        <f>IF(OR(INDEX($O$2:$O$1001,MATCH(ROWS($N$2:N745),$N$2:$N$1001,0),1)&gt;=100000,INDEX($U$1005:$AC$1005,1,MATCH(COLUMNS($U$1006:W1006),$U$1006:$AC$1006,0))&gt;=100000), " ",IF(INDEX($U$2:$AC$1001,MATCH(ROWS($N$2:N745),$N$2:$N$1001,0),MATCH(COLUMNS($U$1006:W1006),$U$1006:$AC$1006,0)), HYPERLINK("#",""), HYPERLINK(CONCATENATE("#metadata!", ADDRESS(INDEX($P$2:$P$1001,MATCH(ROWS($N$2:N745),$N$2:$N$1001,0),0), INDEX($U$1004:$AC$1004,1,MATCH(COLUMNS($U$1006:W1006),$U$1006:$AC$1006,0)))),"Fix")))</f>
        <v>0</v>
      </c>
      <c r="E745" s="3">
        <f>IF(OR(INDEX($O$2:$O$1001,MATCH(ROWS($N$2:N745),$N$2:$N$1001,0),1)&gt;=100000,INDEX($U$1005:$AC$1005,1,MATCH(COLUMNS($U$1006:X1006),$U$1006:$AC$1006,0))&gt;=100000), " ",IF(INDEX($U$2:$AC$1001,MATCH(ROWS($N$2:N745),$N$2:$N$1001,0),MATCH(COLUMNS($U$1006:X1006),$U$1006:$AC$1006,0)), HYPERLINK("#",""), HYPERLINK(CONCATENATE("#metadata!", ADDRESS(INDEX($P$2:$P$1001,MATCH(ROWS($N$2:N745),$N$2:$N$1001,0),0), INDEX($U$1004:$AC$1004,1,MATCH(COLUMNS($U$1006:X1006),$U$1006:$AC$1006,0)))),"Fix")))</f>
        <v>0</v>
      </c>
      <c r="F745" s="3">
        <f>IF(OR(INDEX($O$2:$O$1001,MATCH(ROWS($N$2:N745),$N$2:$N$1001,0),1)&gt;=100000,INDEX($U$1005:$AC$1005,1,MATCH(COLUMNS($U$1006:Y1006),$U$1006:$AC$1006,0))&gt;=100000), " ",IF(INDEX($U$2:$AC$1001,MATCH(ROWS($N$2:N745),$N$2:$N$1001,0),MATCH(COLUMNS($U$1006:Y1006),$U$1006:$AC$1006,0)), HYPERLINK("#",""), HYPERLINK(CONCATENATE("#metadata!", ADDRESS(INDEX($P$2:$P$1001,MATCH(ROWS($N$2:N745),$N$2:$N$1001,0),0), INDEX($U$1004:$AC$1004,1,MATCH(COLUMNS($U$1006:Y1006),$U$1006:$AC$1006,0)))),"Fix")))</f>
        <v>0</v>
      </c>
      <c r="G745" s="3">
        <f>IF(OR(INDEX($O$2:$O$1001,MATCH(ROWS($N$2:N745),$N$2:$N$1001,0),1)&gt;=100000,INDEX($U$1005:$AC$1005,1,MATCH(COLUMNS($U$1006:Z1006),$U$1006:$AC$1006,0))&gt;=100000), " ",IF(INDEX($U$2:$AC$1001,MATCH(ROWS($N$2:N745),$N$2:$N$1001,0),MATCH(COLUMNS($U$1006:Z1006),$U$1006:$AC$1006,0)), HYPERLINK("#",""), HYPERLINK(CONCATENATE("#metadata!", ADDRESS(INDEX($P$2:$P$1001,MATCH(ROWS($N$2:N745),$N$2:$N$1001,0),0), INDEX($U$1004:$AC$1004,1,MATCH(COLUMNS($U$1006:Z1006),$U$1006:$AC$1006,0)))),"Fix")))</f>
        <v>0</v>
      </c>
      <c r="H745" s="3">
        <f>IF(OR(INDEX($O$2:$O$1001,MATCH(ROWS($N$2:N745),$N$2:$N$1001,0),1)&gt;=100000,INDEX($U$1005:$AC$1005,1,MATCH(COLUMNS($U$1006:AA1006),$U$1006:$AC$1006,0))&gt;=100000), " ",IF(INDEX($U$2:$AC$1001,MATCH(ROWS($N$2:N745),$N$2:$N$1001,0),MATCH(COLUMNS($U$1006:AA1006),$U$1006:$AC$1006,0)), HYPERLINK("#",""), HYPERLINK(CONCATENATE("#metadata!", ADDRESS(INDEX($P$2:$P$1001,MATCH(ROWS($N$2:N745),$N$2:$N$1001,0),0), INDEX($U$1004:$AC$1004,1,MATCH(COLUMNS($U$1006:AA1006),$U$1006:$AC$1006,0)))),"Fix")))</f>
        <v>0</v>
      </c>
      <c r="I745" s="3">
        <f>IF(OR(INDEX($O$2:$O$1001,MATCH(ROWS($N$2:N745),$N$2:$N$1001,0),1)&gt;=100000,INDEX($U$1005:$AC$1005,1,MATCH(COLUMNS($U$1006:AB1006),$U$1006:$AC$1006,0))&gt;=100000), " ",IF(INDEX($U$2:$AC$1001,MATCH(ROWS($N$2:N745),$N$2:$N$1001,0),MATCH(COLUMNS($U$1006:AB1006),$U$1006:$AC$1006,0)), HYPERLINK("#",""), HYPERLINK(CONCATENATE("#metadata!", ADDRESS(INDEX($P$2:$P$1001,MATCH(ROWS($N$2:N745),$N$2:$N$1001,0),0), INDEX($U$1004:$AC$1004,1,MATCH(COLUMNS($U$1006:AB1006),$U$1006:$AC$1006,0)))),"Fix")))</f>
        <v>0</v>
      </c>
      <c r="J745" s="3">
        <f>IF(OR(INDEX($O$2:$O$1001,MATCH(ROWS($N$2:N745),$N$2:$N$1001,0),1)&gt;=100000,INDEX($U$1005:$AC$1005,1,MATCH(COLUMNS($U$1006:AC1006),$U$1006:$AC$1006,0))&gt;=100000), " ",IF(INDEX($U$2:$AC$1001,MATCH(ROWS($N$2:N745),$N$2:$N$1001,0),MATCH(COLUMNS($U$1006:AC1006),$U$1006:$AC$1006,0)), HYPERLINK("#",""), HYPERLINK(CONCATENATE("#metadata!", ADDRESS(INDEX($P$2:$P$1001,MATCH(ROWS($N$2:N745),$N$2:$N$1001,0),0), INDEX($U$1004:$AC$1004,1,MATCH(COLUMNS($U$1006:AC1006),$U$1006:$AC$1006,0)))),"Fix")))</f>
        <v>0</v>
      </c>
      <c r="N745">
        <v>0</v>
      </c>
      <c r="O745">
        <v>0</v>
      </c>
      <c r="P745">
        <v>0</v>
      </c>
      <c r="Q745">
        <f>IF(R745,TRUE,AND(U745:AC745))</f>
        <v>0</v>
      </c>
      <c r="R745">
        <f>COUNTBLANK(metadata!B745:J745)=COLUMNS(metadata!B745:J745)</f>
        <v>0</v>
      </c>
      <c r="S745">
        <v>0</v>
      </c>
      <c r="U745">
        <f>AND(IF(metadata!B745="",FALSE,TRUE),COUNTIF(metadata!B:B, metadata!B745) = 1,NOT(ISERROR(SUMPRODUCT(SEARCH(MID(metadata!B745,ROW(INDIRECT("1:"&amp;LEN(metadata!B745))), 1),"0123456789abcdefghijklmnopqrstuvwxyzABCDEFGHIJKLMNOPQRSTUVWXYZ.")))))</f>
        <v>0</v>
      </c>
      <c r="V745">
        <f>AND(IF(metadata!C745="",FALSE,TRUE),exact(metadata!C745,"UBERON:genitourinary"))</f>
        <v>0</v>
      </c>
      <c r="W745">
        <f>AND(IF(metadata!D745="",FALSE,TRUE),exact(metadata!D745,"UBERON:urine"))</f>
        <v>0</v>
      </c>
      <c r="X745">
        <f>AND(IF(metadata!E745="",FALSE,TRUE),exact(metadata!E745,"UBERON:kidney"))</f>
        <v>0</v>
      </c>
      <c r="Y745">
        <f>AND(IF(metadata!F745="",FALSE,TRUE),exact(metadata!F745,"animal corpus"))</f>
        <v>0</v>
      </c>
      <c r="Z745">
        <f>AND(IF(metadata!G745="",FALSE,TRUE),exact(metadata!G745,"urine"))</f>
        <v>0</v>
      </c>
      <c r="AA745">
        <f>AND(IF(metadata!H745="",FALSE,TRUE),exact(metadata!H745,"urine"))</f>
        <v>0</v>
      </c>
      <c r="AB745">
        <f>AND(IF(metadata!I745="",FALSE,TRUE),exact(metadata!I745,"urine metagenome"))</f>
        <v>0</v>
      </c>
      <c r="AC745">
        <f>AND(IF(metadata!J745="",FALSE,TRUE),exact(metadata!J745,"1346744"))</f>
        <v>0</v>
      </c>
    </row>
    <row r="746" spans="1:29">
      <c r="A746" s="4">
        <f>IF(B746=" "," ",HYPERLINK(CONCATENATE("#metadata!",ADDRESS(INDEX($P$2:$P$1001,MATCH(ROWS($N$2:N746),$N$2:$N$1001,0),0),1)),INDEX($S$2:$S$1001,MATCH(ROWS($N$2:N746),$N$2:$N$1001,0),0)))</f>
        <v>0</v>
      </c>
      <c r="B746" s="3">
        <f>IF(OR(INDEX($O$2:$O$1001,MATCH(ROWS($N$2:N746),$N$2:$N$1001,0),1)&gt;=100000,INDEX($U$1005:$AC$1005,1,MATCH(COLUMNS($U$1006:U1006),$U$1006:$AC$1006,0))&gt;=100000), " ",IF(INDEX($U$2:$AC$1001,MATCH(ROWS($N$2:N746),$N$2:$N$1001,0),MATCH(COLUMNS($U$1006:U1006),$U$1006:$AC$1006,0)), HYPERLINK("#",""), HYPERLINK(CONCATENATE("#metadata!", ADDRESS(INDEX($P$2:$P$1001,MATCH(ROWS($N$2:N746),$N$2:$N$1001,0),0), INDEX($U$1004:$AC$1004,1,MATCH(COLUMNS($U$1006:U1006),$U$1006:$AC$1006,0)))),"Fix")))</f>
        <v>0</v>
      </c>
      <c r="C746" s="3">
        <f>IF(OR(INDEX($O$2:$O$1001,MATCH(ROWS($N$2:N746),$N$2:$N$1001,0),1)&gt;=100000,INDEX($U$1005:$AC$1005,1,MATCH(COLUMNS($U$1006:V1006),$U$1006:$AC$1006,0))&gt;=100000), " ",IF(INDEX($U$2:$AC$1001,MATCH(ROWS($N$2:N746),$N$2:$N$1001,0),MATCH(COLUMNS($U$1006:V1006),$U$1006:$AC$1006,0)), HYPERLINK("#",""), HYPERLINK(CONCATENATE("#metadata!", ADDRESS(INDEX($P$2:$P$1001,MATCH(ROWS($N$2:N746),$N$2:$N$1001,0),0), INDEX($U$1004:$AC$1004,1,MATCH(COLUMNS($U$1006:V1006),$U$1006:$AC$1006,0)))),"Fix")))</f>
        <v>0</v>
      </c>
      <c r="D746" s="3">
        <f>IF(OR(INDEX($O$2:$O$1001,MATCH(ROWS($N$2:N746),$N$2:$N$1001,0),1)&gt;=100000,INDEX($U$1005:$AC$1005,1,MATCH(COLUMNS($U$1006:W1006),$U$1006:$AC$1006,0))&gt;=100000), " ",IF(INDEX($U$2:$AC$1001,MATCH(ROWS($N$2:N746),$N$2:$N$1001,0),MATCH(COLUMNS($U$1006:W1006),$U$1006:$AC$1006,0)), HYPERLINK("#",""), HYPERLINK(CONCATENATE("#metadata!", ADDRESS(INDEX($P$2:$P$1001,MATCH(ROWS($N$2:N746),$N$2:$N$1001,0),0), INDEX($U$1004:$AC$1004,1,MATCH(COLUMNS($U$1006:W1006),$U$1006:$AC$1006,0)))),"Fix")))</f>
        <v>0</v>
      </c>
      <c r="E746" s="3">
        <f>IF(OR(INDEX($O$2:$O$1001,MATCH(ROWS($N$2:N746),$N$2:$N$1001,0),1)&gt;=100000,INDEX($U$1005:$AC$1005,1,MATCH(COLUMNS($U$1006:X1006),$U$1006:$AC$1006,0))&gt;=100000), " ",IF(INDEX($U$2:$AC$1001,MATCH(ROWS($N$2:N746),$N$2:$N$1001,0),MATCH(COLUMNS($U$1006:X1006),$U$1006:$AC$1006,0)), HYPERLINK("#",""), HYPERLINK(CONCATENATE("#metadata!", ADDRESS(INDEX($P$2:$P$1001,MATCH(ROWS($N$2:N746),$N$2:$N$1001,0),0), INDEX($U$1004:$AC$1004,1,MATCH(COLUMNS($U$1006:X1006),$U$1006:$AC$1006,0)))),"Fix")))</f>
        <v>0</v>
      </c>
      <c r="F746" s="3">
        <f>IF(OR(INDEX($O$2:$O$1001,MATCH(ROWS($N$2:N746),$N$2:$N$1001,0),1)&gt;=100000,INDEX($U$1005:$AC$1005,1,MATCH(COLUMNS($U$1006:Y1006),$U$1006:$AC$1006,0))&gt;=100000), " ",IF(INDEX($U$2:$AC$1001,MATCH(ROWS($N$2:N746),$N$2:$N$1001,0),MATCH(COLUMNS($U$1006:Y1006),$U$1006:$AC$1006,0)), HYPERLINK("#",""), HYPERLINK(CONCATENATE("#metadata!", ADDRESS(INDEX($P$2:$P$1001,MATCH(ROWS($N$2:N746),$N$2:$N$1001,0),0), INDEX($U$1004:$AC$1004,1,MATCH(COLUMNS($U$1006:Y1006),$U$1006:$AC$1006,0)))),"Fix")))</f>
        <v>0</v>
      </c>
      <c r="G746" s="3">
        <f>IF(OR(INDEX($O$2:$O$1001,MATCH(ROWS($N$2:N746),$N$2:$N$1001,0),1)&gt;=100000,INDEX($U$1005:$AC$1005,1,MATCH(COLUMNS($U$1006:Z1006),$U$1006:$AC$1006,0))&gt;=100000), " ",IF(INDEX($U$2:$AC$1001,MATCH(ROWS($N$2:N746),$N$2:$N$1001,0),MATCH(COLUMNS($U$1006:Z1006),$U$1006:$AC$1006,0)), HYPERLINK("#",""), HYPERLINK(CONCATENATE("#metadata!", ADDRESS(INDEX($P$2:$P$1001,MATCH(ROWS($N$2:N746),$N$2:$N$1001,0),0), INDEX($U$1004:$AC$1004,1,MATCH(COLUMNS($U$1006:Z1006),$U$1006:$AC$1006,0)))),"Fix")))</f>
        <v>0</v>
      </c>
      <c r="H746" s="3">
        <f>IF(OR(INDEX($O$2:$O$1001,MATCH(ROWS($N$2:N746),$N$2:$N$1001,0),1)&gt;=100000,INDEX($U$1005:$AC$1005,1,MATCH(COLUMNS($U$1006:AA1006),$U$1006:$AC$1006,0))&gt;=100000), " ",IF(INDEX($U$2:$AC$1001,MATCH(ROWS($N$2:N746),$N$2:$N$1001,0),MATCH(COLUMNS($U$1006:AA1006),$U$1006:$AC$1006,0)), HYPERLINK("#",""), HYPERLINK(CONCATENATE("#metadata!", ADDRESS(INDEX($P$2:$P$1001,MATCH(ROWS($N$2:N746),$N$2:$N$1001,0),0), INDEX($U$1004:$AC$1004,1,MATCH(COLUMNS($U$1006:AA1006),$U$1006:$AC$1006,0)))),"Fix")))</f>
        <v>0</v>
      </c>
      <c r="I746" s="3">
        <f>IF(OR(INDEX($O$2:$O$1001,MATCH(ROWS($N$2:N746),$N$2:$N$1001,0),1)&gt;=100000,INDEX($U$1005:$AC$1005,1,MATCH(COLUMNS($U$1006:AB1006),$U$1006:$AC$1006,0))&gt;=100000), " ",IF(INDEX($U$2:$AC$1001,MATCH(ROWS($N$2:N746),$N$2:$N$1001,0),MATCH(COLUMNS($U$1006:AB1006),$U$1006:$AC$1006,0)), HYPERLINK("#",""), HYPERLINK(CONCATENATE("#metadata!", ADDRESS(INDEX($P$2:$P$1001,MATCH(ROWS($N$2:N746),$N$2:$N$1001,0),0), INDEX($U$1004:$AC$1004,1,MATCH(COLUMNS($U$1006:AB1006),$U$1006:$AC$1006,0)))),"Fix")))</f>
        <v>0</v>
      </c>
      <c r="J746" s="3">
        <f>IF(OR(INDEX($O$2:$O$1001,MATCH(ROWS($N$2:N746),$N$2:$N$1001,0),1)&gt;=100000,INDEX($U$1005:$AC$1005,1,MATCH(COLUMNS($U$1006:AC1006),$U$1006:$AC$1006,0))&gt;=100000), " ",IF(INDEX($U$2:$AC$1001,MATCH(ROWS($N$2:N746),$N$2:$N$1001,0),MATCH(COLUMNS($U$1006:AC1006),$U$1006:$AC$1006,0)), HYPERLINK("#",""), HYPERLINK(CONCATENATE("#metadata!", ADDRESS(INDEX($P$2:$P$1001,MATCH(ROWS($N$2:N746),$N$2:$N$1001,0),0), INDEX($U$1004:$AC$1004,1,MATCH(COLUMNS($U$1006:AC1006),$U$1006:$AC$1006,0)))),"Fix")))</f>
        <v>0</v>
      </c>
      <c r="N746">
        <v>0</v>
      </c>
      <c r="O746">
        <v>0</v>
      </c>
      <c r="P746">
        <v>0</v>
      </c>
      <c r="Q746">
        <f>IF(R746,TRUE,AND(U746:AC746))</f>
        <v>0</v>
      </c>
      <c r="R746">
        <f>COUNTBLANK(metadata!B746:J746)=COLUMNS(metadata!B746:J746)</f>
        <v>0</v>
      </c>
      <c r="S746">
        <v>0</v>
      </c>
      <c r="U746">
        <f>AND(IF(metadata!B746="",FALSE,TRUE),COUNTIF(metadata!B:B, metadata!B746) = 1,NOT(ISERROR(SUMPRODUCT(SEARCH(MID(metadata!B746,ROW(INDIRECT("1:"&amp;LEN(metadata!B746))), 1),"0123456789abcdefghijklmnopqrstuvwxyzABCDEFGHIJKLMNOPQRSTUVWXYZ.")))))</f>
        <v>0</v>
      </c>
      <c r="V746">
        <f>AND(IF(metadata!C746="",FALSE,TRUE),exact(metadata!C746,"UBERON:genitourinary"))</f>
        <v>0</v>
      </c>
      <c r="W746">
        <f>AND(IF(metadata!D746="",FALSE,TRUE),exact(metadata!D746,"UBERON:urine"))</f>
        <v>0</v>
      </c>
      <c r="X746">
        <f>AND(IF(metadata!E746="",FALSE,TRUE),exact(metadata!E746,"UBERON:kidney"))</f>
        <v>0</v>
      </c>
      <c r="Y746">
        <f>AND(IF(metadata!F746="",FALSE,TRUE),exact(metadata!F746,"animal corpus"))</f>
        <v>0</v>
      </c>
      <c r="Z746">
        <f>AND(IF(metadata!G746="",FALSE,TRUE),exact(metadata!G746,"urine"))</f>
        <v>0</v>
      </c>
      <c r="AA746">
        <f>AND(IF(metadata!H746="",FALSE,TRUE),exact(metadata!H746,"urine"))</f>
        <v>0</v>
      </c>
      <c r="AB746">
        <f>AND(IF(metadata!I746="",FALSE,TRUE),exact(metadata!I746,"urine metagenome"))</f>
        <v>0</v>
      </c>
      <c r="AC746">
        <f>AND(IF(metadata!J746="",FALSE,TRUE),exact(metadata!J746,"1346744"))</f>
        <v>0</v>
      </c>
    </row>
    <row r="747" spans="1:29">
      <c r="A747" s="4">
        <f>IF(B747=" "," ",HYPERLINK(CONCATENATE("#metadata!",ADDRESS(INDEX($P$2:$P$1001,MATCH(ROWS($N$2:N747),$N$2:$N$1001,0),0),1)),INDEX($S$2:$S$1001,MATCH(ROWS($N$2:N747),$N$2:$N$1001,0),0)))</f>
        <v>0</v>
      </c>
      <c r="B747" s="3">
        <f>IF(OR(INDEX($O$2:$O$1001,MATCH(ROWS($N$2:N747),$N$2:$N$1001,0),1)&gt;=100000,INDEX($U$1005:$AC$1005,1,MATCH(COLUMNS($U$1006:U1006),$U$1006:$AC$1006,0))&gt;=100000), " ",IF(INDEX($U$2:$AC$1001,MATCH(ROWS($N$2:N747),$N$2:$N$1001,0),MATCH(COLUMNS($U$1006:U1006),$U$1006:$AC$1006,0)), HYPERLINK("#",""), HYPERLINK(CONCATENATE("#metadata!", ADDRESS(INDEX($P$2:$P$1001,MATCH(ROWS($N$2:N747),$N$2:$N$1001,0),0), INDEX($U$1004:$AC$1004,1,MATCH(COLUMNS($U$1006:U1006),$U$1006:$AC$1006,0)))),"Fix")))</f>
        <v>0</v>
      </c>
      <c r="C747" s="3">
        <f>IF(OR(INDEX($O$2:$O$1001,MATCH(ROWS($N$2:N747),$N$2:$N$1001,0),1)&gt;=100000,INDEX($U$1005:$AC$1005,1,MATCH(COLUMNS($U$1006:V1006),$U$1006:$AC$1006,0))&gt;=100000), " ",IF(INDEX($U$2:$AC$1001,MATCH(ROWS($N$2:N747),$N$2:$N$1001,0),MATCH(COLUMNS($U$1006:V1006),$U$1006:$AC$1006,0)), HYPERLINK("#",""), HYPERLINK(CONCATENATE("#metadata!", ADDRESS(INDEX($P$2:$P$1001,MATCH(ROWS($N$2:N747),$N$2:$N$1001,0),0), INDEX($U$1004:$AC$1004,1,MATCH(COLUMNS($U$1006:V1006),$U$1006:$AC$1006,0)))),"Fix")))</f>
        <v>0</v>
      </c>
      <c r="D747" s="3">
        <f>IF(OR(INDEX($O$2:$O$1001,MATCH(ROWS($N$2:N747),$N$2:$N$1001,0),1)&gt;=100000,INDEX($U$1005:$AC$1005,1,MATCH(COLUMNS($U$1006:W1006),$U$1006:$AC$1006,0))&gt;=100000), " ",IF(INDEX($U$2:$AC$1001,MATCH(ROWS($N$2:N747),$N$2:$N$1001,0),MATCH(COLUMNS($U$1006:W1006),$U$1006:$AC$1006,0)), HYPERLINK("#",""), HYPERLINK(CONCATENATE("#metadata!", ADDRESS(INDEX($P$2:$P$1001,MATCH(ROWS($N$2:N747),$N$2:$N$1001,0),0), INDEX($U$1004:$AC$1004,1,MATCH(COLUMNS($U$1006:W1006),$U$1006:$AC$1006,0)))),"Fix")))</f>
        <v>0</v>
      </c>
      <c r="E747" s="3">
        <f>IF(OR(INDEX($O$2:$O$1001,MATCH(ROWS($N$2:N747),$N$2:$N$1001,0),1)&gt;=100000,INDEX($U$1005:$AC$1005,1,MATCH(COLUMNS($U$1006:X1006),$U$1006:$AC$1006,0))&gt;=100000), " ",IF(INDEX($U$2:$AC$1001,MATCH(ROWS($N$2:N747),$N$2:$N$1001,0),MATCH(COLUMNS($U$1006:X1006),$U$1006:$AC$1006,0)), HYPERLINK("#",""), HYPERLINK(CONCATENATE("#metadata!", ADDRESS(INDEX($P$2:$P$1001,MATCH(ROWS($N$2:N747),$N$2:$N$1001,0),0), INDEX($U$1004:$AC$1004,1,MATCH(COLUMNS($U$1006:X1006),$U$1006:$AC$1006,0)))),"Fix")))</f>
        <v>0</v>
      </c>
      <c r="F747" s="3">
        <f>IF(OR(INDEX($O$2:$O$1001,MATCH(ROWS($N$2:N747),$N$2:$N$1001,0),1)&gt;=100000,INDEX($U$1005:$AC$1005,1,MATCH(COLUMNS($U$1006:Y1006),$U$1006:$AC$1006,0))&gt;=100000), " ",IF(INDEX($U$2:$AC$1001,MATCH(ROWS($N$2:N747),$N$2:$N$1001,0),MATCH(COLUMNS($U$1006:Y1006),$U$1006:$AC$1006,0)), HYPERLINK("#",""), HYPERLINK(CONCATENATE("#metadata!", ADDRESS(INDEX($P$2:$P$1001,MATCH(ROWS($N$2:N747),$N$2:$N$1001,0),0), INDEX($U$1004:$AC$1004,1,MATCH(COLUMNS($U$1006:Y1006),$U$1006:$AC$1006,0)))),"Fix")))</f>
        <v>0</v>
      </c>
      <c r="G747" s="3">
        <f>IF(OR(INDEX($O$2:$O$1001,MATCH(ROWS($N$2:N747),$N$2:$N$1001,0),1)&gt;=100000,INDEX($U$1005:$AC$1005,1,MATCH(COLUMNS($U$1006:Z1006),$U$1006:$AC$1006,0))&gt;=100000), " ",IF(INDEX($U$2:$AC$1001,MATCH(ROWS($N$2:N747),$N$2:$N$1001,0),MATCH(COLUMNS($U$1006:Z1006),$U$1006:$AC$1006,0)), HYPERLINK("#",""), HYPERLINK(CONCATENATE("#metadata!", ADDRESS(INDEX($P$2:$P$1001,MATCH(ROWS($N$2:N747),$N$2:$N$1001,0),0), INDEX($U$1004:$AC$1004,1,MATCH(COLUMNS($U$1006:Z1006),$U$1006:$AC$1006,0)))),"Fix")))</f>
        <v>0</v>
      </c>
      <c r="H747" s="3">
        <f>IF(OR(INDEX($O$2:$O$1001,MATCH(ROWS($N$2:N747),$N$2:$N$1001,0),1)&gt;=100000,INDEX($U$1005:$AC$1005,1,MATCH(COLUMNS($U$1006:AA1006),$U$1006:$AC$1006,0))&gt;=100000), " ",IF(INDEX($U$2:$AC$1001,MATCH(ROWS($N$2:N747),$N$2:$N$1001,0),MATCH(COLUMNS($U$1006:AA1006),$U$1006:$AC$1006,0)), HYPERLINK("#",""), HYPERLINK(CONCATENATE("#metadata!", ADDRESS(INDEX($P$2:$P$1001,MATCH(ROWS($N$2:N747),$N$2:$N$1001,0),0), INDEX($U$1004:$AC$1004,1,MATCH(COLUMNS($U$1006:AA1006),$U$1006:$AC$1006,0)))),"Fix")))</f>
        <v>0</v>
      </c>
      <c r="I747" s="3">
        <f>IF(OR(INDEX($O$2:$O$1001,MATCH(ROWS($N$2:N747),$N$2:$N$1001,0),1)&gt;=100000,INDEX($U$1005:$AC$1005,1,MATCH(COLUMNS($U$1006:AB1006),$U$1006:$AC$1006,0))&gt;=100000), " ",IF(INDEX($U$2:$AC$1001,MATCH(ROWS($N$2:N747),$N$2:$N$1001,0),MATCH(COLUMNS($U$1006:AB1006),$U$1006:$AC$1006,0)), HYPERLINK("#",""), HYPERLINK(CONCATENATE("#metadata!", ADDRESS(INDEX($P$2:$P$1001,MATCH(ROWS($N$2:N747),$N$2:$N$1001,0),0), INDEX($U$1004:$AC$1004,1,MATCH(COLUMNS($U$1006:AB1006),$U$1006:$AC$1006,0)))),"Fix")))</f>
        <v>0</v>
      </c>
      <c r="J747" s="3">
        <f>IF(OR(INDEX($O$2:$O$1001,MATCH(ROWS($N$2:N747),$N$2:$N$1001,0),1)&gt;=100000,INDEX($U$1005:$AC$1005,1,MATCH(COLUMNS($U$1006:AC1006),$U$1006:$AC$1006,0))&gt;=100000), " ",IF(INDEX($U$2:$AC$1001,MATCH(ROWS($N$2:N747),$N$2:$N$1001,0),MATCH(COLUMNS($U$1006:AC1006),$U$1006:$AC$1006,0)), HYPERLINK("#",""), HYPERLINK(CONCATENATE("#metadata!", ADDRESS(INDEX($P$2:$P$1001,MATCH(ROWS($N$2:N747),$N$2:$N$1001,0),0), INDEX($U$1004:$AC$1004,1,MATCH(COLUMNS($U$1006:AC1006),$U$1006:$AC$1006,0)))),"Fix")))</f>
        <v>0</v>
      </c>
      <c r="N747">
        <v>0</v>
      </c>
      <c r="O747">
        <v>0</v>
      </c>
      <c r="P747">
        <v>0</v>
      </c>
      <c r="Q747">
        <f>IF(R747,TRUE,AND(U747:AC747))</f>
        <v>0</v>
      </c>
      <c r="R747">
        <f>COUNTBLANK(metadata!B747:J747)=COLUMNS(metadata!B747:J747)</f>
        <v>0</v>
      </c>
      <c r="S747">
        <v>0</v>
      </c>
      <c r="U747">
        <f>AND(IF(metadata!B747="",FALSE,TRUE),COUNTIF(metadata!B:B, metadata!B747) = 1,NOT(ISERROR(SUMPRODUCT(SEARCH(MID(metadata!B747,ROW(INDIRECT("1:"&amp;LEN(metadata!B747))), 1),"0123456789abcdefghijklmnopqrstuvwxyzABCDEFGHIJKLMNOPQRSTUVWXYZ.")))))</f>
        <v>0</v>
      </c>
      <c r="V747">
        <f>AND(IF(metadata!C747="",FALSE,TRUE),exact(metadata!C747,"UBERON:genitourinary"))</f>
        <v>0</v>
      </c>
      <c r="W747">
        <f>AND(IF(metadata!D747="",FALSE,TRUE),exact(metadata!D747,"UBERON:urine"))</f>
        <v>0</v>
      </c>
      <c r="X747">
        <f>AND(IF(metadata!E747="",FALSE,TRUE),exact(metadata!E747,"UBERON:kidney"))</f>
        <v>0</v>
      </c>
      <c r="Y747">
        <f>AND(IF(metadata!F747="",FALSE,TRUE),exact(metadata!F747,"animal corpus"))</f>
        <v>0</v>
      </c>
      <c r="Z747">
        <f>AND(IF(metadata!G747="",FALSE,TRUE),exact(metadata!G747,"urine"))</f>
        <v>0</v>
      </c>
      <c r="AA747">
        <f>AND(IF(metadata!H747="",FALSE,TRUE),exact(metadata!H747,"urine"))</f>
        <v>0</v>
      </c>
      <c r="AB747">
        <f>AND(IF(metadata!I747="",FALSE,TRUE),exact(metadata!I747,"urine metagenome"))</f>
        <v>0</v>
      </c>
      <c r="AC747">
        <f>AND(IF(metadata!J747="",FALSE,TRUE),exact(metadata!J747,"1346744"))</f>
        <v>0</v>
      </c>
    </row>
    <row r="748" spans="1:29">
      <c r="A748" s="4">
        <f>IF(B748=" "," ",HYPERLINK(CONCATENATE("#metadata!",ADDRESS(INDEX($P$2:$P$1001,MATCH(ROWS($N$2:N748),$N$2:$N$1001,0),0),1)),INDEX($S$2:$S$1001,MATCH(ROWS($N$2:N748),$N$2:$N$1001,0),0)))</f>
        <v>0</v>
      </c>
      <c r="B748" s="3">
        <f>IF(OR(INDEX($O$2:$O$1001,MATCH(ROWS($N$2:N748),$N$2:$N$1001,0),1)&gt;=100000,INDEX($U$1005:$AC$1005,1,MATCH(COLUMNS($U$1006:U1006),$U$1006:$AC$1006,0))&gt;=100000), " ",IF(INDEX($U$2:$AC$1001,MATCH(ROWS($N$2:N748),$N$2:$N$1001,0),MATCH(COLUMNS($U$1006:U1006),$U$1006:$AC$1006,0)), HYPERLINK("#",""), HYPERLINK(CONCATENATE("#metadata!", ADDRESS(INDEX($P$2:$P$1001,MATCH(ROWS($N$2:N748),$N$2:$N$1001,0),0), INDEX($U$1004:$AC$1004,1,MATCH(COLUMNS($U$1006:U1006),$U$1006:$AC$1006,0)))),"Fix")))</f>
        <v>0</v>
      </c>
      <c r="C748" s="3">
        <f>IF(OR(INDEX($O$2:$O$1001,MATCH(ROWS($N$2:N748),$N$2:$N$1001,0),1)&gt;=100000,INDEX($U$1005:$AC$1005,1,MATCH(COLUMNS($U$1006:V1006),$U$1006:$AC$1006,0))&gt;=100000), " ",IF(INDEX($U$2:$AC$1001,MATCH(ROWS($N$2:N748),$N$2:$N$1001,0),MATCH(COLUMNS($U$1006:V1006),$U$1006:$AC$1006,0)), HYPERLINK("#",""), HYPERLINK(CONCATENATE("#metadata!", ADDRESS(INDEX($P$2:$P$1001,MATCH(ROWS($N$2:N748),$N$2:$N$1001,0),0), INDEX($U$1004:$AC$1004,1,MATCH(COLUMNS($U$1006:V1006),$U$1006:$AC$1006,0)))),"Fix")))</f>
        <v>0</v>
      </c>
      <c r="D748" s="3">
        <f>IF(OR(INDEX($O$2:$O$1001,MATCH(ROWS($N$2:N748),$N$2:$N$1001,0),1)&gt;=100000,INDEX($U$1005:$AC$1005,1,MATCH(COLUMNS($U$1006:W1006),$U$1006:$AC$1006,0))&gt;=100000), " ",IF(INDEX($U$2:$AC$1001,MATCH(ROWS($N$2:N748),$N$2:$N$1001,0),MATCH(COLUMNS($U$1006:W1006),$U$1006:$AC$1006,0)), HYPERLINK("#",""), HYPERLINK(CONCATENATE("#metadata!", ADDRESS(INDEX($P$2:$P$1001,MATCH(ROWS($N$2:N748),$N$2:$N$1001,0),0), INDEX($U$1004:$AC$1004,1,MATCH(COLUMNS($U$1006:W1006),$U$1006:$AC$1006,0)))),"Fix")))</f>
        <v>0</v>
      </c>
      <c r="E748" s="3">
        <f>IF(OR(INDEX($O$2:$O$1001,MATCH(ROWS($N$2:N748),$N$2:$N$1001,0),1)&gt;=100000,INDEX($U$1005:$AC$1005,1,MATCH(COLUMNS($U$1006:X1006),$U$1006:$AC$1006,0))&gt;=100000), " ",IF(INDEX($U$2:$AC$1001,MATCH(ROWS($N$2:N748),$N$2:$N$1001,0),MATCH(COLUMNS($U$1006:X1006),$U$1006:$AC$1006,0)), HYPERLINK("#",""), HYPERLINK(CONCATENATE("#metadata!", ADDRESS(INDEX($P$2:$P$1001,MATCH(ROWS($N$2:N748),$N$2:$N$1001,0),0), INDEX($U$1004:$AC$1004,1,MATCH(COLUMNS($U$1006:X1006),$U$1006:$AC$1006,0)))),"Fix")))</f>
        <v>0</v>
      </c>
      <c r="F748" s="3">
        <f>IF(OR(INDEX($O$2:$O$1001,MATCH(ROWS($N$2:N748),$N$2:$N$1001,0),1)&gt;=100000,INDEX($U$1005:$AC$1005,1,MATCH(COLUMNS($U$1006:Y1006),$U$1006:$AC$1006,0))&gt;=100000), " ",IF(INDEX($U$2:$AC$1001,MATCH(ROWS($N$2:N748),$N$2:$N$1001,0),MATCH(COLUMNS($U$1006:Y1006),$U$1006:$AC$1006,0)), HYPERLINK("#",""), HYPERLINK(CONCATENATE("#metadata!", ADDRESS(INDEX($P$2:$P$1001,MATCH(ROWS($N$2:N748),$N$2:$N$1001,0),0), INDEX($U$1004:$AC$1004,1,MATCH(COLUMNS($U$1006:Y1006),$U$1006:$AC$1006,0)))),"Fix")))</f>
        <v>0</v>
      </c>
      <c r="G748" s="3">
        <f>IF(OR(INDEX($O$2:$O$1001,MATCH(ROWS($N$2:N748),$N$2:$N$1001,0),1)&gt;=100000,INDEX($U$1005:$AC$1005,1,MATCH(COLUMNS($U$1006:Z1006),$U$1006:$AC$1006,0))&gt;=100000), " ",IF(INDEX($U$2:$AC$1001,MATCH(ROWS($N$2:N748),$N$2:$N$1001,0),MATCH(COLUMNS($U$1006:Z1006),$U$1006:$AC$1006,0)), HYPERLINK("#",""), HYPERLINK(CONCATENATE("#metadata!", ADDRESS(INDEX($P$2:$P$1001,MATCH(ROWS($N$2:N748),$N$2:$N$1001,0),0), INDEX($U$1004:$AC$1004,1,MATCH(COLUMNS($U$1006:Z1006),$U$1006:$AC$1006,0)))),"Fix")))</f>
        <v>0</v>
      </c>
      <c r="H748" s="3">
        <f>IF(OR(INDEX($O$2:$O$1001,MATCH(ROWS($N$2:N748),$N$2:$N$1001,0),1)&gt;=100000,INDEX($U$1005:$AC$1005,1,MATCH(COLUMNS($U$1006:AA1006),$U$1006:$AC$1006,0))&gt;=100000), " ",IF(INDEX($U$2:$AC$1001,MATCH(ROWS($N$2:N748),$N$2:$N$1001,0),MATCH(COLUMNS($U$1006:AA1006),$U$1006:$AC$1006,0)), HYPERLINK("#",""), HYPERLINK(CONCATENATE("#metadata!", ADDRESS(INDEX($P$2:$P$1001,MATCH(ROWS($N$2:N748),$N$2:$N$1001,0),0), INDEX($U$1004:$AC$1004,1,MATCH(COLUMNS($U$1006:AA1006),$U$1006:$AC$1006,0)))),"Fix")))</f>
        <v>0</v>
      </c>
      <c r="I748" s="3">
        <f>IF(OR(INDEX($O$2:$O$1001,MATCH(ROWS($N$2:N748),$N$2:$N$1001,0),1)&gt;=100000,INDEX($U$1005:$AC$1005,1,MATCH(COLUMNS($U$1006:AB1006),$U$1006:$AC$1006,0))&gt;=100000), " ",IF(INDEX($U$2:$AC$1001,MATCH(ROWS($N$2:N748),$N$2:$N$1001,0),MATCH(COLUMNS($U$1006:AB1006),$U$1006:$AC$1006,0)), HYPERLINK("#",""), HYPERLINK(CONCATENATE("#metadata!", ADDRESS(INDEX($P$2:$P$1001,MATCH(ROWS($N$2:N748),$N$2:$N$1001,0),0), INDEX($U$1004:$AC$1004,1,MATCH(COLUMNS($U$1006:AB1006),$U$1006:$AC$1006,0)))),"Fix")))</f>
        <v>0</v>
      </c>
      <c r="J748" s="3">
        <f>IF(OR(INDEX($O$2:$O$1001,MATCH(ROWS($N$2:N748),$N$2:$N$1001,0),1)&gt;=100000,INDEX($U$1005:$AC$1005,1,MATCH(COLUMNS($U$1006:AC1006),$U$1006:$AC$1006,0))&gt;=100000), " ",IF(INDEX($U$2:$AC$1001,MATCH(ROWS($N$2:N748),$N$2:$N$1001,0),MATCH(COLUMNS($U$1006:AC1006),$U$1006:$AC$1006,0)), HYPERLINK("#",""), HYPERLINK(CONCATENATE("#metadata!", ADDRESS(INDEX($P$2:$P$1001,MATCH(ROWS($N$2:N748),$N$2:$N$1001,0),0), INDEX($U$1004:$AC$1004,1,MATCH(COLUMNS($U$1006:AC1006),$U$1006:$AC$1006,0)))),"Fix")))</f>
        <v>0</v>
      </c>
      <c r="N748">
        <v>0</v>
      </c>
      <c r="O748">
        <v>0</v>
      </c>
      <c r="P748">
        <v>0</v>
      </c>
      <c r="Q748">
        <f>IF(R748,TRUE,AND(U748:AC748))</f>
        <v>0</v>
      </c>
      <c r="R748">
        <f>COUNTBLANK(metadata!B748:J748)=COLUMNS(metadata!B748:J748)</f>
        <v>0</v>
      </c>
      <c r="S748">
        <v>0</v>
      </c>
      <c r="U748">
        <f>AND(IF(metadata!B748="",FALSE,TRUE),COUNTIF(metadata!B:B, metadata!B748) = 1,NOT(ISERROR(SUMPRODUCT(SEARCH(MID(metadata!B748,ROW(INDIRECT("1:"&amp;LEN(metadata!B748))), 1),"0123456789abcdefghijklmnopqrstuvwxyzABCDEFGHIJKLMNOPQRSTUVWXYZ.")))))</f>
        <v>0</v>
      </c>
      <c r="V748">
        <f>AND(IF(metadata!C748="",FALSE,TRUE),exact(metadata!C748,"UBERON:genitourinary"))</f>
        <v>0</v>
      </c>
      <c r="W748">
        <f>AND(IF(metadata!D748="",FALSE,TRUE),exact(metadata!D748,"UBERON:urine"))</f>
        <v>0</v>
      </c>
      <c r="X748">
        <f>AND(IF(metadata!E748="",FALSE,TRUE),exact(metadata!E748,"UBERON:kidney"))</f>
        <v>0</v>
      </c>
      <c r="Y748">
        <f>AND(IF(metadata!F748="",FALSE,TRUE),exact(metadata!F748,"animal corpus"))</f>
        <v>0</v>
      </c>
      <c r="Z748">
        <f>AND(IF(metadata!G748="",FALSE,TRUE),exact(metadata!G748,"urine"))</f>
        <v>0</v>
      </c>
      <c r="AA748">
        <f>AND(IF(metadata!H748="",FALSE,TRUE),exact(metadata!H748,"urine"))</f>
        <v>0</v>
      </c>
      <c r="AB748">
        <f>AND(IF(metadata!I748="",FALSE,TRUE),exact(metadata!I748,"urine metagenome"))</f>
        <v>0</v>
      </c>
      <c r="AC748">
        <f>AND(IF(metadata!J748="",FALSE,TRUE),exact(metadata!J748,"1346744"))</f>
        <v>0</v>
      </c>
    </row>
    <row r="749" spans="1:29">
      <c r="A749" s="4">
        <f>IF(B749=" "," ",HYPERLINK(CONCATENATE("#metadata!",ADDRESS(INDEX($P$2:$P$1001,MATCH(ROWS($N$2:N749),$N$2:$N$1001,0),0),1)),INDEX($S$2:$S$1001,MATCH(ROWS($N$2:N749),$N$2:$N$1001,0),0)))</f>
        <v>0</v>
      </c>
      <c r="B749" s="3">
        <f>IF(OR(INDEX($O$2:$O$1001,MATCH(ROWS($N$2:N749),$N$2:$N$1001,0),1)&gt;=100000,INDEX($U$1005:$AC$1005,1,MATCH(COLUMNS($U$1006:U1006),$U$1006:$AC$1006,0))&gt;=100000), " ",IF(INDEX($U$2:$AC$1001,MATCH(ROWS($N$2:N749),$N$2:$N$1001,0),MATCH(COLUMNS($U$1006:U1006),$U$1006:$AC$1006,0)), HYPERLINK("#",""), HYPERLINK(CONCATENATE("#metadata!", ADDRESS(INDEX($P$2:$P$1001,MATCH(ROWS($N$2:N749),$N$2:$N$1001,0),0), INDEX($U$1004:$AC$1004,1,MATCH(COLUMNS($U$1006:U1006),$U$1006:$AC$1006,0)))),"Fix")))</f>
        <v>0</v>
      </c>
      <c r="C749" s="3">
        <f>IF(OR(INDEX($O$2:$O$1001,MATCH(ROWS($N$2:N749),$N$2:$N$1001,0),1)&gt;=100000,INDEX($U$1005:$AC$1005,1,MATCH(COLUMNS($U$1006:V1006),$U$1006:$AC$1006,0))&gt;=100000), " ",IF(INDEX($U$2:$AC$1001,MATCH(ROWS($N$2:N749),$N$2:$N$1001,0),MATCH(COLUMNS($U$1006:V1006),$U$1006:$AC$1006,0)), HYPERLINK("#",""), HYPERLINK(CONCATENATE("#metadata!", ADDRESS(INDEX($P$2:$P$1001,MATCH(ROWS($N$2:N749),$N$2:$N$1001,0),0), INDEX($U$1004:$AC$1004,1,MATCH(COLUMNS($U$1006:V1006),$U$1006:$AC$1006,0)))),"Fix")))</f>
        <v>0</v>
      </c>
      <c r="D749" s="3">
        <f>IF(OR(INDEX($O$2:$O$1001,MATCH(ROWS($N$2:N749),$N$2:$N$1001,0),1)&gt;=100000,INDEX($U$1005:$AC$1005,1,MATCH(COLUMNS($U$1006:W1006),$U$1006:$AC$1006,0))&gt;=100000), " ",IF(INDEX($U$2:$AC$1001,MATCH(ROWS($N$2:N749),$N$2:$N$1001,0),MATCH(COLUMNS($U$1006:W1006),$U$1006:$AC$1006,0)), HYPERLINK("#",""), HYPERLINK(CONCATENATE("#metadata!", ADDRESS(INDEX($P$2:$P$1001,MATCH(ROWS($N$2:N749),$N$2:$N$1001,0),0), INDEX($U$1004:$AC$1004,1,MATCH(COLUMNS($U$1006:W1006),$U$1006:$AC$1006,0)))),"Fix")))</f>
        <v>0</v>
      </c>
      <c r="E749" s="3">
        <f>IF(OR(INDEX($O$2:$O$1001,MATCH(ROWS($N$2:N749),$N$2:$N$1001,0),1)&gt;=100000,INDEX($U$1005:$AC$1005,1,MATCH(COLUMNS($U$1006:X1006),$U$1006:$AC$1006,0))&gt;=100000), " ",IF(INDEX($U$2:$AC$1001,MATCH(ROWS($N$2:N749),$N$2:$N$1001,0),MATCH(COLUMNS($U$1006:X1006),$U$1006:$AC$1006,0)), HYPERLINK("#",""), HYPERLINK(CONCATENATE("#metadata!", ADDRESS(INDEX($P$2:$P$1001,MATCH(ROWS($N$2:N749),$N$2:$N$1001,0),0), INDEX($U$1004:$AC$1004,1,MATCH(COLUMNS($U$1006:X1006),$U$1006:$AC$1006,0)))),"Fix")))</f>
        <v>0</v>
      </c>
      <c r="F749" s="3">
        <f>IF(OR(INDEX($O$2:$O$1001,MATCH(ROWS($N$2:N749),$N$2:$N$1001,0),1)&gt;=100000,INDEX($U$1005:$AC$1005,1,MATCH(COLUMNS($U$1006:Y1006),$U$1006:$AC$1006,0))&gt;=100000), " ",IF(INDEX($U$2:$AC$1001,MATCH(ROWS($N$2:N749),$N$2:$N$1001,0),MATCH(COLUMNS($U$1006:Y1006),$U$1006:$AC$1006,0)), HYPERLINK("#",""), HYPERLINK(CONCATENATE("#metadata!", ADDRESS(INDEX($P$2:$P$1001,MATCH(ROWS($N$2:N749),$N$2:$N$1001,0),0), INDEX($U$1004:$AC$1004,1,MATCH(COLUMNS($U$1006:Y1006),$U$1006:$AC$1006,0)))),"Fix")))</f>
        <v>0</v>
      </c>
      <c r="G749" s="3">
        <f>IF(OR(INDEX($O$2:$O$1001,MATCH(ROWS($N$2:N749),$N$2:$N$1001,0),1)&gt;=100000,INDEX($U$1005:$AC$1005,1,MATCH(COLUMNS($U$1006:Z1006),$U$1006:$AC$1006,0))&gt;=100000), " ",IF(INDEX($U$2:$AC$1001,MATCH(ROWS($N$2:N749),$N$2:$N$1001,0),MATCH(COLUMNS($U$1006:Z1006),$U$1006:$AC$1006,0)), HYPERLINK("#",""), HYPERLINK(CONCATENATE("#metadata!", ADDRESS(INDEX($P$2:$P$1001,MATCH(ROWS($N$2:N749),$N$2:$N$1001,0),0), INDEX($U$1004:$AC$1004,1,MATCH(COLUMNS($U$1006:Z1006),$U$1006:$AC$1006,0)))),"Fix")))</f>
        <v>0</v>
      </c>
      <c r="H749" s="3">
        <f>IF(OR(INDEX($O$2:$O$1001,MATCH(ROWS($N$2:N749),$N$2:$N$1001,0),1)&gt;=100000,INDEX($U$1005:$AC$1005,1,MATCH(COLUMNS($U$1006:AA1006),$U$1006:$AC$1006,0))&gt;=100000), " ",IF(INDEX($U$2:$AC$1001,MATCH(ROWS($N$2:N749),$N$2:$N$1001,0),MATCH(COLUMNS($U$1006:AA1006),$U$1006:$AC$1006,0)), HYPERLINK("#",""), HYPERLINK(CONCATENATE("#metadata!", ADDRESS(INDEX($P$2:$P$1001,MATCH(ROWS($N$2:N749),$N$2:$N$1001,0),0), INDEX($U$1004:$AC$1004,1,MATCH(COLUMNS($U$1006:AA1006),$U$1006:$AC$1006,0)))),"Fix")))</f>
        <v>0</v>
      </c>
      <c r="I749" s="3">
        <f>IF(OR(INDEX($O$2:$O$1001,MATCH(ROWS($N$2:N749),$N$2:$N$1001,0),1)&gt;=100000,INDEX($U$1005:$AC$1005,1,MATCH(COLUMNS($U$1006:AB1006),$U$1006:$AC$1006,0))&gt;=100000), " ",IF(INDEX($U$2:$AC$1001,MATCH(ROWS($N$2:N749),$N$2:$N$1001,0),MATCH(COLUMNS($U$1006:AB1006),$U$1006:$AC$1006,0)), HYPERLINK("#",""), HYPERLINK(CONCATENATE("#metadata!", ADDRESS(INDEX($P$2:$P$1001,MATCH(ROWS($N$2:N749),$N$2:$N$1001,0),0), INDEX($U$1004:$AC$1004,1,MATCH(COLUMNS($U$1006:AB1006),$U$1006:$AC$1006,0)))),"Fix")))</f>
        <v>0</v>
      </c>
      <c r="J749" s="3">
        <f>IF(OR(INDEX($O$2:$O$1001,MATCH(ROWS($N$2:N749),$N$2:$N$1001,0),1)&gt;=100000,INDEX($U$1005:$AC$1005,1,MATCH(COLUMNS($U$1006:AC1006),$U$1006:$AC$1006,0))&gt;=100000), " ",IF(INDEX($U$2:$AC$1001,MATCH(ROWS($N$2:N749),$N$2:$N$1001,0),MATCH(COLUMNS($U$1006:AC1006),$U$1006:$AC$1006,0)), HYPERLINK("#",""), HYPERLINK(CONCATENATE("#metadata!", ADDRESS(INDEX($P$2:$P$1001,MATCH(ROWS($N$2:N749),$N$2:$N$1001,0),0), INDEX($U$1004:$AC$1004,1,MATCH(COLUMNS($U$1006:AC1006),$U$1006:$AC$1006,0)))),"Fix")))</f>
        <v>0</v>
      </c>
      <c r="N749">
        <v>0</v>
      </c>
      <c r="O749">
        <v>0</v>
      </c>
      <c r="P749">
        <v>0</v>
      </c>
      <c r="Q749">
        <f>IF(R749,TRUE,AND(U749:AC749))</f>
        <v>0</v>
      </c>
      <c r="R749">
        <f>COUNTBLANK(metadata!B749:J749)=COLUMNS(metadata!B749:J749)</f>
        <v>0</v>
      </c>
      <c r="S749">
        <v>0</v>
      </c>
      <c r="U749">
        <f>AND(IF(metadata!B749="",FALSE,TRUE),COUNTIF(metadata!B:B, metadata!B749) = 1,NOT(ISERROR(SUMPRODUCT(SEARCH(MID(metadata!B749,ROW(INDIRECT("1:"&amp;LEN(metadata!B749))), 1),"0123456789abcdefghijklmnopqrstuvwxyzABCDEFGHIJKLMNOPQRSTUVWXYZ.")))))</f>
        <v>0</v>
      </c>
      <c r="V749">
        <f>AND(IF(metadata!C749="",FALSE,TRUE),exact(metadata!C749,"UBERON:genitourinary"))</f>
        <v>0</v>
      </c>
      <c r="W749">
        <f>AND(IF(metadata!D749="",FALSE,TRUE),exact(metadata!D749,"UBERON:urine"))</f>
        <v>0</v>
      </c>
      <c r="X749">
        <f>AND(IF(metadata!E749="",FALSE,TRUE),exact(metadata!E749,"UBERON:kidney"))</f>
        <v>0</v>
      </c>
      <c r="Y749">
        <f>AND(IF(metadata!F749="",FALSE,TRUE),exact(metadata!F749,"animal corpus"))</f>
        <v>0</v>
      </c>
      <c r="Z749">
        <f>AND(IF(metadata!G749="",FALSE,TRUE),exact(metadata!G749,"urine"))</f>
        <v>0</v>
      </c>
      <c r="AA749">
        <f>AND(IF(metadata!H749="",FALSE,TRUE),exact(metadata!H749,"urine"))</f>
        <v>0</v>
      </c>
      <c r="AB749">
        <f>AND(IF(metadata!I749="",FALSE,TRUE),exact(metadata!I749,"urine metagenome"))</f>
        <v>0</v>
      </c>
      <c r="AC749">
        <f>AND(IF(metadata!J749="",FALSE,TRUE),exact(metadata!J749,"1346744"))</f>
        <v>0</v>
      </c>
    </row>
    <row r="750" spans="1:29">
      <c r="A750" s="4">
        <f>IF(B750=" "," ",HYPERLINK(CONCATENATE("#metadata!",ADDRESS(INDEX($P$2:$P$1001,MATCH(ROWS($N$2:N750),$N$2:$N$1001,0),0),1)),INDEX($S$2:$S$1001,MATCH(ROWS($N$2:N750),$N$2:$N$1001,0),0)))</f>
        <v>0</v>
      </c>
      <c r="B750" s="3">
        <f>IF(OR(INDEX($O$2:$O$1001,MATCH(ROWS($N$2:N750),$N$2:$N$1001,0),1)&gt;=100000,INDEX($U$1005:$AC$1005,1,MATCH(COLUMNS($U$1006:U1006),$U$1006:$AC$1006,0))&gt;=100000), " ",IF(INDEX($U$2:$AC$1001,MATCH(ROWS($N$2:N750),$N$2:$N$1001,0),MATCH(COLUMNS($U$1006:U1006),$U$1006:$AC$1006,0)), HYPERLINK("#",""), HYPERLINK(CONCATENATE("#metadata!", ADDRESS(INDEX($P$2:$P$1001,MATCH(ROWS($N$2:N750),$N$2:$N$1001,0),0), INDEX($U$1004:$AC$1004,1,MATCH(COLUMNS($U$1006:U1006),$U$1006:$AC$1006,0)))),"Fix")))</f>
        <v>0</v>
      </c>
      <c r="C750" s="3">
        <f>IF(OR(INDEX($O$2:$O$1001,MATCH(ROWS($N$2:N750),$N$2:$N$1001,0),1)&gt;=100000,INDEX($U$1005:$AC$1005,1,MATCH(COLUMNS($U$1006:V1006),$U$1006:$AC$1006,0))&gt;=100000), " ",IF(INDEX($U$2:$AC$1001,MATCH(ROWS($N$2:N750),$N$2:$N$1001,0),MATCH(COLUMNS($U$1006:V1006),$U$1006:$AC$1006,0)), HYPERLINK("#",""), HYPERLINK(CONCATENATE("#metadata!", ADDRESS(INDEX($P$2:$P$1001,MATCH(ROWS($N$2:N750),$N$2:$N$1001,0),0), INDEX($U$1004:$AC$1004,1,MATCH(COLUMNS($U$1006:V1006),$U$1006:$AC$1006,0)))),"Fix")))</f>
        <v>0</v>
      </c>
      <c r="D750" s="3">
        <f>IF(OR(INDEX($O$2:$O$1001,MATCH(ROWS($N$2:N750),$N$2:$N$1001,0),1)&gt;=100000,INDEX($U$1005:$AC$1005,1,MATCH(COLUMNS($U$1006:W1006),$U$1006:$AC$1006,0))&gt;=100000), " ",IF(INDEX($U$2:$AC$1001,MATCH(ROWS($N$2:N750),$N$2:$N$1001,0),MATCH(COLUMNS($U$1006:W1006),$U$1006:$AC$1006,0)), HYPERLINK("#",""), HYPERLINK(CONCATENATE("#metadata!", ADDRESS(INDEX($P$2:$P$1001,MATCH(ROWS($N$2:N750),$N$2:$N$1001,0),0), INDEX($U$1004:$AC$1004,1,MATCH(COLUMNS($U$1006:W1006),$U$1006:$AC$1006,0)))),"Fix")))</f>
        <v>0</v>
      </c>
      <c r="E750" s="3">
        <f>IF(OR(INDEX($O$2:$O$1001,MATCH(ROWS($N$2:N750),$N$2:$N$1001,0),1)&gt;=100000,INDEX($U$1005:$AC$1005,1,MATCH(COLUMNS($U$1006:X1006),$U$1006:$AC$1006,0))&gt;=100000), " ",IF(INDEX($U$2:$AC$1001,MATCH(ROWS($N$2:N750),$N$2:$N$1001,0),MATCH(COLUMNS($U$1006:X1006),$U$1006:$AC$1006,0)), HYPERLINK("#",""), HYPERLINK(CONCATENATE("#metadata!", ADDRESS(INDEX($P$2:$P$1001,MATCH(ROWS($N$2:N750),$N$2:$N$1001,0),0), INDEX($U$1004:$AC$1004,1,MATCH(COLUMNS($U$1006:X1006),$U$1006:$AC$1006,0)))),"Fix")))</f>
        <v>0</v>
      </c>
      <c r="F750" s="3">
        <f>IF(OR(INDEX($O$2:$O$1001,MATCH(ROWS($N$2:N750),$N$2:$N$1001,0),1)&gt;=100000,INDEX($U$1005:$AC$1005,1,MATCH(COLUMNS($U$1006:Y1006),$U$1006:$AC$1006,0))&gt;=100000), " ",IF(INDEX($U$2:$AC$1001,MATCH(ROWS($N$2:N750),$N$2:$N$1001,0),MATCH(COLUMNS($U$1006:Y1006),$U$1006:$AC$1006,0)), HYPERLINK("#",""), HYPERLINK(CONCATENATE("#metadata!", ADDRESS(INDEX($P$2:$P$1001,MATCH(ROWS($N$2:N750),$N$2:$N$1001,0),0), INDEX($U$1004:$AC$1004,1,MATCH(COLUMNS($U$1006:Y1006),$U$1006:$AC$1006,0)))),"Fix")))</f>
        <v>0</v>
      </c>
      <c r="G750" s="3">
        <f>IF(OR(INDEX($O$2:$O$1001,MATCH(ROWS($N$2:N750),$N$2:$N$1001,0),1)&gt;=100000,INDEX($U$1005:$AC$1005,1,MATCH(COLUMNS($U$1006:Z1006),$U$1006:$AC$1006,0))&gt;=100000), " ",IF(INDEX($U$2:$AC$1001,MATCH(ROWS($N$2:N750),$N$2:$N$1001,0),MATCH(COLUMNS($U$1006:Z1006),$U$1006:$AC$1006,0)), HYPERLINK("#",""), HYPERLINK(CONCATENATE("#metadata!", ADDRESS(INDEX($P$2:$P$1001,MATCH(ROWS($N$2:N750),$N$2:$N$1001,0),0), INDEX($U$1004:$AC$1004,1,MATCH(COLUMNS($U$1006:Z1006),$U$1006:$AC$1006,0)))),"Fix")))</f>
        <v>0</v>
      </c>
      <c r="H750" s="3">
        <f>IF(OR(INDEX($O$2:$O$1001,MATCH(ROWS($N$2:N750),$N$2:$N$1001,0),1)&gt;=100000,INDEX($U$1005:$AC$1005,1,MATCH(COLUMNS($U$1006:AA1006),$U$1006:$AC$1006,0))&gt;=100000), " ",IF(INDEX($U$2:$AC$1001,MATCH(ROWS($N$2:N750),$N$2:$N$1001,0),MATCH(COLUMNS($U$1006:AA1006),$U$1006:$AC$1006,0)), HYPERLINK("#",""), HYPERLINK(CONCATENATE("#metadata!", ADDRESS(INDEX($P$2:$P$1001,MATCH(ROWS($N$2:N750),$N$2:$N$1001,0),0), INDEX($U$1004:$AC$1004,1,MATCH(COLUMNS($U$1006:AA1006),$U$1006:$AC$1006,0)))),"Fix")))</f>
        <v>0</v>
      </c>
      <c r="I750" s="3">
        <f>IF(OR(INDEX($O$2:$O$1001,MATCH(ROWS($N$2:N750),$N$2:$N$1001,0),1)&gt;=100000,INDEX($U$1005:$AC$1005,1,MATCH(COLUMNS($U$1006:AB1006),$U$1006:$AC$1006,0))&gt;=100000), " ",IF(INDEX($U$2:$AC$1001,MATCH(ROWS($N$2:N750),$N$2:$N$1001,0),MATCH(COLUMNS($U$1006:AB1006),$U$1006:$AC$1006,0)), HYPERLINK("#",""), HYPERLINK(CONCATENATE("#metadata!", ADDRESS(INDEX($P$2:$P$1001,MATCH(ROWS($N$2:N750),$N$2:$N$1001,0),0), INDEX($U$1004:$AC$1004,1,MATCH(COLUMNS($U$1006:AB1006),$U$1006:$AC$1006,0)))),"Fix")))</f>
        <v>0</v>
      </c>
      <c r="J750" s="3">
        <f>IF(OR(INDEX($O$2:$O$1001,MATCH(ROWS($N$2:N750),$N$2:$N$1001,0),1)&gt;=100000,INDEX($U$1005:$AC$1005,1,MATCH(COLUMNS($U$1006:AC1006),$U$1006:$AC$1006,0))&gt;=100000), " ",IF(INDEX($U$2:$AC$1001,MATCH(ROWS($N$2:N750),$N$2:$N$1001,0),MATCH(COLUMNS($U$1006:AC1006),$U$1006:$AC$1006,0)), HYPERLINK("#",""), HYPERLINK(CONCATENATE("#metadata!", ADDRESS(INDEX($P$2:$P$1001,MATCH(ROWS($N$2:N750),$N$2:$N$1001,0),0), INDEX($U$1004:$AC$1004,1,MATCH(COLUMNS($U$1006:AC1006),$U$1006:$AC$1006,0)))),"Fix")))</f>
        <v>0</v>
      </c>
      <c r="N750">
        <v>0</v>
      </c>
      <c r="O750">
        <v>0</v>
      </c>
      <c r="P750">
        <v>0</v>
      </c>
      <c r="Q750">
        <f>IF(R750,TRUE,AND(U750:AC750))</f>
        <v>0</v>
      </c>
      <c r="R750">
        <f>COUNTBLANK(metadata!B750:J750)=COLUMNS(metadata!B750:J750)</f>
        <v>0</v>
      </c>
      <c r="S750">
        <v>0</v>
      </c>
      <c r="U750">
        <f>AND(IF(metadata!B750="",FALSE,TRUE),COUNTIF(metadata!B:B, metadata!B750) = 1,NOT(ISERROR(SUMPRODUCT(SEARCH(MID(metadata!B750,ROW(INDIRECT("1:"&amp;LEN(metadata!B750))), 1),"0123456789abcdefghijklmnopqrstuvwxyzABCDEFGHIJKLMNOPQRSTUVWXYZ.")))))</f>
        <v>0</v>
      </c>
      <c r="V750">
        <f>AND(IF(metadata!C750="",FALSE,TRUE),exact(metadata!C750,"UBERON:genitourinary"))</f>
        <v>0</v>
      </c>
      <c r="W750">
        <f>AND(IF(metadata!D750="",FALSE,TRUE),exact(metadata!D750,"UBERON:urine"))</f>
        <v>0</v>
      </c>
      <c r="X750">
        <f>AND(IF(metadata!E750="",FALSE,TRUE),exact(metadata!E750,"UBERON:kidney"))</f>
        <v>0</v>
      </c>
      <c r="Y750">
        <f>AND(IF(metadata!F750="",FALSE,TRUE),exact(metadata!F750,"animal corpus"))</f>
        <v>0</v>
      </c>
      <c r="Z750">
        <f>AND(IF(metadata!G750="",FALSE,TRUE),exact(metadata!G750,"urine"))</f>
        <v>0</v>
      </c>
      <c r="AA750">
        <f>AND(IF(metadata!H750="",FALSE,TRUE),exact(metadata!H750,"urine"))</f>
        <v>0</v>
      </c>
      <c r="AB750">
        <f>AND(IF(metadata!I750="",FALSE,TRUE),exact(metadata!I750,"urine metagenome"))</f>
        <v>0</v>
      </c>
      <c r="AC750">
        <f>AND(IF(metadata!J750="",FALSE,TRUE),exact(metadata!J750,"1346744"))</f>
        <v>0</v>
      </c>
    </row>
    <row r="751" spans="1:29">
      <c r="A751" s="4">
        <f>IF(B751=" "," ",HYPERLINK(CONCATENATE("#metadata!",ADDRESS(INDEX($P$2:$P$1001,MATCH(ROWS($N$2:N751),$N$2:$N$1001,0),0),1)),INDEX($S$2:$S$1001,MATCH(ROWS($N$2:N751),$N$2:$N$1001,0),0)))</f>
        <v>0</v>
      </c>
      <c r="B751" s="3">
        <f>IF(OR(INDEX($O$2:$O$1001,MATCH(ROWS($N$2:N751),$N$2:$N$1001,0),1)&gt;=100000,INDEX($U$1005:$AC$1005,1,MATCH(COLUMNS($U$1006:U1006),$U$1006:$AC$1006,0))&gt;=100000), " ",IF(INDEX($U$2:$AC$1001,MATCH(ROWS($N$2:N751),$N$2:$N$1001,0),MATCH(COLUMNS($U$1006:U1006),$U$1006:$AC$1006,0)), HYPERLINK("#",""), HYPERLINK(CONCATENATE("#metadata!", ADDRESS(INDEX($P$2:$P$1001,MATCH(ROWS($N$2:N751),$N$2:$N$1001,0),0), INDEX($U$1004:$AC$1004,1,MATCH(COLUMNS($U$1006:U1006),$U$1006:$AC$1006,0)))),"Fix")))</f>
        <v>0</v>
      </c>
      <c r="C751" s="3">
        <f>IF(OR(INDEX($O$2:$O$1001,MATCH(ROWS($N$2:N751),$N$2:$N$1001,0),1)&gt;=100000,INDEX($U$1005:$AC$1005,1,MATCH(COLUMNS($U$1006:V1006),$U$1006:$AC$1006,0))&gt;=100000), " ",IF(INDEX($U$2:$AC$1001,MATCH(ROWS($N$2:N751),$N$2:$N$1001,0),MATCH(COLUMNS($U$1006:V1006),$U$1006:$AC$1006,0)), HYPERLINK("#",""), HYPERLINK(CONCATENATE("#metadata!", ADDRESS(INDEX($P$2:$P$1001,MATCH(ROWS($N$2:N751),$N$2:$N$1001,0),0), INDEX($U$1004:$AC$1004,1,MATCH(COLUMNS($U$1006:V1006),$U$1006:$AC$1006,0)))),"Fix")))</f>
        <v>0</v>
      </c>
      <c r="D751" s="3">
        <f>IF(OR(INDEX($O$2:$O$1001,MATCH(ROWS($N$2:N751),$N$2:$N$1001,0),1)&gt;=100000,INDEX($U$1005:$AC$1005,1,MATCH(COLUMNS($U$1006:W1006),$U$1006:$AC$1006,0))&gt;=100000), " ",IF(INDEX($U$2:$AC$1001,MATCH(ROWS($N$2:N751),$N$2:$N$1001,0),MATCH(COLUMNS($U$1006:W1006),$U$1006:$AC$1006,0)), HYPERLINK("#",""), HYPERLINK(CONCATENATE("#metadata!", ADDRESS(INDEX($P$2:$P$1001,MATCH(ROWS($N$2:N751),$N$2:$N$1001,0),0), INDEX($U$1004:$AC$1004,1,MATCH(COLUMNS($U$1006:W1006),$U$1006:$AC$1006,0)))),"Fix")))</f>
        <v>0</v>
      </c>
      <c r="E751" s="3">
        <f>IF(OR(INDEX($O$2:$O$1001,MATCH(ROWS($N$2:N751),$N$2:$N$1001,0),1)&gt;=100000,INDEX($U$1005:$AC$1005,1,MATCH(COLUMNS($U$1006:X1006),$U$1006:$AC$1006,0))&gt;=100000), " ",IF(INDEX($U$2:$AC$1001,MATCH(ROWS($N$2:N751),$N$2:$N$1001,0),MATCH(COLUMNS($U$1006:X1006),$U$1006:$AC$1006,0)), HYPERLINK("#",""), HYPERLINK(CONCATENATE("#metadata!", ADDRESS(INDEX($P$2:$P$1001,MATCH(ROWS($N$2:N751),$N$2:$N$1001,0),0), INDEX($U$1004:$AC$1004,1,MATCH(COLUMNS($U$1006:X1006),$U$1006:$AC$1006,0)))),"Fix")))</f>
        <v>0</v>
      </c>
      <c r="F751" s="3">
        <f>IF(OR(INDEX($O$2:$O$1001,MATCH(ROWS($N$2:N751),$N$2:$N$1001,0),1)&gt;=100000,INDEX($U$1005:$AC$1005,1,MATCH(COLUMNS($U$1006:Y1006),$U$1006:$AC$1006,0))&gt;=100000), " ",IF(INDEX($U$2:$AC$1001,MATCH(ROWS($N$2:N751),$N$2:$N$1001,0),MATCH(COLUMNS($U$1006:Y1006),$U$1006:$AC$1006,0)), HYPERLINK("#",""), HYPERLINK(CONCATENATE("#metadata!", ADDRESS(INDEX($P$2:$P$1001,MATCH(ROWS($N$2:N751),$N$2:$N$1001,0),0), INDEX($U$1004:$AC$1004,1,MATCH(COLUMNS($U$1006:Y1006),$U$1006:$AC$1006,0)))),"Fix")))</f>
        <v>0</v>
      </c>
      <c r="G751" s="3">
        <f>IF(OR(INDEX($O$2:$O$1001,MATCH(ROWS($N$2:N751),$N$2:$N$1001,0),1)&gt;=100000,INDEX($U$1005:$AC$1005,1,MATCH(COLUMNS($U$1006:Z1006),$U$1006:$AC$1006,0))&gt;=100000), " ",IF(INDEX($U$2:$AC$1001,MATCH(ROWS($N$2:N751),$N$2:$N$1001,0),MATCH(COLUMNS($U$1006:Z1006),$U$1006:$AC$1006,0)), HYPERLINK("#",""), HYPERLINK(CONCATENATE("#metadata!", ADDRESS(INDEX($P$2:$P$1001,MATCH(ROWS($N$2:N751),$N$2:$N$1001,0),0), INDEX($U$1004:$AC$1004,1,MATCH(COLUMNS($U$1006:Z1006),$U$1006:$AC$1006,0)))),"Fix")))</f>
        <v>0</v>
      </c>
      <c r="H751" s="3">
        <f>IF(OR(INDEX($O$2:$O$1001,MATCH(ROWS($N$2:N751),$N$2:$N$1001,0),1)&gt;=100000,INDEX($U$1005:$AC$1005,1,MATCH(COLUMNS($U$1006:AA1006),$U$1006:$AC$1006,0))&gt;=100000), " ",IF(INDEX($U$2:$AC$1001,MATCH(ROWS($N$2:N751),$N$2:$N$1001,0),MATCH(COLUMNS($U$1006:AA1006),$U$1006:$AC$1006,0)), HYPERLINK("#",""), HYPERLINK(CONCATENATE("#metadata!", ADDRESS(INDEX($P$2:$P$1001,MATCH(ROWS($N$2:N751),$N$2:$N$1001,0),0), INDEX($U$1004:$AC$1004,1,MATCH(COLUMNS($U$1006:AA1006),$U$1006:$AC$1006,0)))),"Fix")))</f>
        <v>0</v>
      </c>
      <c r="I751" s="3">
        <f>IF(OR(INDEX($O$2:$O$1001,MATCH(ROWS($N$2:N751),$N$2:$N$1001,0),1)&gt;=100000,INDEX($U$1005:$AC$1005,1,MATCH(COLUMNS($U$1006:AB1006),$U$1006:$AC$1006,0))&gt;=100000), " ",IF(INDEX($U$2:$AC$1001,MATCH(ROWS($N$2:N751),$N$2:$N$1001,0),MATCH(COLUMNS($U$1006:AB1006),$U$1006:$AC$1006,0)), HYPERLINK("#",""), HYPERLINK(CONCATENATE("#metadata!", ADDRESS(INDEX($P$2:$P$1001,MATCH(ROWS($N$2:N751),$N$2:$N$1001,0),0), INDEX($U$1004:$AC$1004,1,MATCH(COLUMNS($U$1006:AB1006),$U$1006:$AC$1006,0)))),"Fix")))</f>
        <v>0</v>
      </c>
      <c r="J751" s="3">
        <f>IF(OR(INDEX($O$2:$O$1001,MATCH(ROWS($N$2:N751),$N$2:$N$1001,0),1)&gt;=100000,INDEX($U$1005:$AC$1005,1,MATCH(COLUMNS($U$1006:AC1006),$U$1006:$AC$1006,0))&gt;=100000), " ",IF(INDEX($U$2:$AC$1001,MATCH(ROWS($N$2:N751),$N$2:$N$1001,0),MATCH(COLUMNS($U$1006:AC1006),$U$1006:$AC$1006,0)), HYPERLINK("#",""), HYPERLINK(CONCATENATE("#metadata!", ADDRESS(INDEX($P$2:$P$1001,MATCH(ROWS($N$2:N751),$N$2:$N$1001,0),0), INDEX($U$1004:$AC$1004,1,MATCH(COLUMNS($U$1006:AC1006),$U$1006:$AC$1006,0)))),"Fix")))</f>
        <v>0</v>
      </c>
      <c r="N751">
        <v>0</v>
      </c>
      <c r="O751">
        <v>0</v>
      </c>
      <c r="P751">
        <v>0</v>
      </c>
      <c r="Q751">
        <f>IF(R751,TRUE,AND(U751:AC751))</f>
        <v>0</v>
      </c>
      <c r="R751">
        <f>COUNTBLANK(metadata!B751:J751)=COLUMNS(metadata!B751:J751)</f>
        <v>0</v>
      </c>
      <c r="S751">
        <v>0</v>
      </c>
      <c r="U751">
        <f>AND(IF(metadata!B751="",FALSE,TRUE),COUNTIF(metadata!B:B, metadata!B751) = 1,NOT(ISERROR(SUMPRODUCT(SEARCH(MID(metadata!B751,ROW(INDIRECT("1:"&amp;LEN(metadata!B751))), 1),"0123456789abcdefghijklmnopqrstuvwxyzABCDEFGHIJKLMNOPQRSTUVWXYZ.")))))</f>
        <v>0</v>
      </c>
      <c r="V751">
        <f>AND(IF(metadata!C751="",FALSE,TRUE),exact(metadata!C751,"UBERON:genitourinary"))</f>
        <v>0</v>
      </c>
      <c r="W751">
        <f>AND(IF(metadata!D751="",FALSE,TRUE),exact(metadata!D751,"UBERON:urine"))</f>
        <v>0</v>
      </c>
      <c r="X751">
        <f>AND(IF(metadata!E751="",FALSE,TRUE),exact(metadata!E751,"UBERON:kidney"))</f>
        <v>0</v>
      </c>
      <c r="Y751">
        <f>AND(IF(metadata!F751="",FALSE,TRUE),exact(metadata!F751,"animal corpus"))</f>
        <v>0</v>
      </c>
      <c r="Z751">
        <f>AND(IF(metadata!G751="",FALSE,TRUE),exact(metadata!G751,"urine"))</f>
        <v>0</v>
      </c>
      <c r="AA751">
        <f>AND(IF(metadata!H751="",FALSE,TRUE),exact(metadata!H751,"urine"))</f>
        <v>0</v>
      </c>
      <c r="AB751">
        <f>AND(IF(metadata!I751="",FALSE,TRUE),exact(metadata!I751,"urine metagenome"))</f>
        <v>0</v>
      </c>
      <c r="AC751">
        <f>AND(IF(metadata!J751="",FALSE,TRUE),exact(metadata!J751,"1346744"))</f>
        <v>0</v>
      </c>
    </row>
    <row r="752" spans="1:29">
      <c r="A752" s="4">
        <f>IF(B752=" "," ",HYPERLINK(CONCATENATE("#metadata!",ADDRESS(INDEX($P$2:$P$1001,MATCH(ROWS($N$2:N752),$N$2:$N$1001,0),0),1)),INDEX($S$2:$S$1001,MATCH(ROWS($N$2:N752),$N$2:$N$1001,0),0)))</f>
        <v>0</v>
      </c>
      <c r="B752" s="3">
        <f>IF(OR(INDEX($O$2:$O$1001,MATCH(ROWS($N$2:N752),$N$2:$N$1001,0),1)&gt;=100000,INDEX($U$1005:$AC$1005,1,MATCH(COLUMNS($U$1006:U1006),$U$1006:$AC$1006,0))&gt;=100000), " ",IF(INDEX($U$2:$AC$1001,MATCH(ROWS($N$2:N752),$N$2:$N$1001,0),MATCH(COLUMNS($U$1006:U1006),$U$1006:$AC$1006,0)), HYPERLINK("#",""), HYPERLINK(CONCATENATE("#metadata!", ADDRESS(INDEX($P$2:$P$1001,MATCH(ROWS($N$2:N752),$N$2:$N$1001,0),0), INDEX($U$1004:$AC$1004,1,MATCH(COLUMNS($U$1006:U1006),$U$1006:$AC$1006,0)))),"Fix")))</f>
        <v>0</v>
      </c>
      <c r="C752" s="3">
        <f>IF(OR(INDEX($O$2:$O$1001,MATCH(ROWS($N$2:N752),$N$2:$N$1001,0),1)&gt;=100000,INDEX($U$1005:$AC$1005,1,MATCH(COLUMNS($U$1006:V1006),$U$1006:$AC$1006,0))&gt;=100000), " ",IF(INDEX($U$2:$AC$1001,MATCH(ROWS($N$2:N752),$N$2:$N$1001,0),MATCH(COLUMNS($U$1006:V1006),$U$1006:$AC$1006,0)), HYPERLINK("#",""), HYPERLINK(CONCATENATE("#metadata!", ADDRESS(INDEX($P$2:$P$1001,MATCH(ROWS($N$2:N752),$N$2:$N$1001,0),0), INDEX($U$1004:$AC$1004,1,MATCH(COLUMNS($U$1006:V1006),$U$1006:$AC$1006,0)))),"Fix")))</f>
        <v>0</v>
      </c>
      <c r="D752" s="3">
        <f>IF(OR(INDEX($O$2:$O$1001,MATCH(ROWS($N$2:N752),$N$2:$N$1001,0),1)&gt;=100000,INDEX($U$1005:$AC$1005,1,MATCH(COLUMNS($U$1006:W1006),$U$1006:$AC$1006,0))&gt;=100000), " ",IF(INDEX($U$2:$AC$1001,MATCH(ROWS($N$2:N752),$N$2:$N$1001,0),MATCH(COLUMNS($U$1006:W1006),$U$1006:$AC$1006,0)), HYPERLINK("#",""), HYPERLINK(CONCATENATE("#metadata!", ADDRESS(INDEX($P$2:$P$1001,MATCH(ROWS($N$2:N752),$N$2:$N$1001,0),0), INDEX($U$1004:$AC$1004,1,MATCH(COLUMNS($U$1006:W1006),$U$1006:$AC$1006,0)))),"Fix")))</f>
        <v>0</v>
      </c>
      <c r="E752" s="3">
        <f>IF(OR(INDEX($O$2:$O$1001,MATCH(ROWS($N$2:N752),$N$2:$N$1001,0),1)&gt;=100000,INDEX($U$1005:$AC$1005,1,MATCH(COLUMNS($U$1006:X1006),$U$1006:$AC$1006,0))&gt;=100000), " ",IF(INDEX($U$2:$AC$1001,MATCH(ROWS($N$2:N752),$N$2:$N$1001,0),MATCH(COLUMNS($U$1006:X1006),$U$1006:$AC$1006,0)), HYPERLINK("#",""), HYPERLINK(CONCATENATE("#metadata!", ADDRESS(INDEX($P$2:$P$1001,MATCH(ROWS($N$2:N752),$N$2:$N$1001,0),0), INDEX($U$1004:$AC$1004,1,MATCH(COLUMNS($U$1006:X1006),$U$1006:$AC$1006,0)))),"Fix")))</f>
        <v>0</v>
      </c>
      <c r="F752" s="3">
        <f>IF(OR(INDEX($O$2:$O$1001,MATCH(ROWS($N$2:N752),$N$2:$N$1001,0),1)&gt;=100000,INDEX($U$1005:$AC$1005,1,MATCH(COLUMNS($U$1006:Y1006),$U$1006:$AC$1006,0))&gt;=100000), " ",IF(INDEX($U$2:$AC$1001,MATCH(ROWS($N$2:N752),$N$2:$N$1001,0),MATCH(COLUMNS($U$1006:Y1006),$U$1006:$AC$1006,0)), HYPERLINK("#",""), HYPERLINK(CONCATENATE("#metadata!", ADDRESS(INDEX($P$2:$P$1001,MATCH(ROWS($N$2:N752),$N$2:$N$1001,0),0), INDEX($U$1004:$AC$1004,1,MATCH(COLUMNS($U$1006:Y1006),$U$1006:$AC$1006,0)))),"Fix")))</f>
        <v>0</v>
      </c>
      <c r="G752" s="3">
        <f>IF(OR(INDEX($O$2:$O$1001,MATCH(ROWS($N$2:N752),$N$2:$N$1001,0),1)&gt;=100000,INDEX($U$1005:$AC$1005,1,MATCH(COLUMNS($U$1006:Z1006),$U$1006:$AC$1006,0))&gt;=100000), " ",IF(INDEX($U$2:$AC$1001,MATCH(ROWS($N$2:N752),$N$2:$N$1001,0),MATCH(COLUMNS($U$1006:Z1006),$U$1006:$AC$1006,0)), HYPERLINK("#",""), HYPERLINK(CONCATENATE("#metadata!", ADDRESS(INDEX($P$2:$P$1001,MATCH(ROWS($N$2:N752),$N$2:$N$1001,0),0), INDEX($U$1004:$AC$1004,1,MATCH(COLUMNS($U$1006:Z1006),$U$1006:$AC$1006,0)))),"Fix")))</f>
        <v>0</v>
      </c>
      <c r="H752" s="3">
        <f>IF(OR(INDEX($O$2:$O$1001,MATCH(ROWS($N$2:N752),$N$2:$N$1001,0),1)&gt;=100000,INDEX($U$1005:$AC$1005,1,MATCH(COLUMNS($U$1006:AA1006),$U$1006:$AC$1006,0))&gt;=100000), " ",IF(INDEX($U$2:$AC$1001,MATCH(ROWS($N$2:N752),$N$2:$N$1001,0),MATCH(COLUMNS($U$1006:AA1006),$U$1006:$AC$1006,0)), HYPERLINK("#",""), HYPERLINK(CONCATENATE("#metadata!", ADDRESS(INDEX($P$2:$P$1001,MATCH(ROWS($N$2:N752),$N$2:$N$1001,0),0), INDEX($U$1004:$AC$1004,1,MATCH(COLUMNS($U$1006:AA1006),$U$1006:$AC$1006,0)))),"Fix")))</f>
        <v>0</v>
      </c>
      <c r="I752" s="3">
        <f>IF(OR(INDEX($O$2:$O$1001,MATCH(ROWS($N$2:N752),$N$2:$N$1001,0),1)&gt;=100000,INDEX($U$1005:$AC$1005,1,MATCH(COLUMNS($U$1006:AB1006),$U$1006:$AC$1006,0))&gt;=100000), " ",IF(INDEX($U$2:$AC$1001,MATCH(ROWS($N$2:N752),$N$2:$N$1001,0),MATCH(COLUMNS($U$1006:AB1006),$U$1006:$AC$1006,0)), HYPERLINK("#",""), HYPERLINK(CONCATENATE("#metadata!", ADDRESS(INDEX($P$2:$P$1001,MATCH(ROWS($N$2:N752),$N$2:$N$1001,0),0), INDEX($U$1004:$AC$1004,1,MATCH(COLUMNS($U$1006:AB1006),$U$1006:$AC$1006,0)))),"Fix")))</f>
        <v>0</v>
      </c>
      <c r="J752" s="3">
        <f>IF(OR(INDEX($O$2:$O$1001,MATCH(ROWS($N$2:N752),$N$2:$N$1001,0),1)&gt;=100000,INDEX($U$1005:$AC$1005,1,MATCH(COLUMNS($U$1006:AC1006),$U$1006:$AC$1006,0))&gt;=100000), " ",IF(INDEX($U$2:$AC$1001,MATCH(ROWS($N$2:N752),$N$2:$N$1001,0),MATCH(COLUMNS($U$1006:AC1006),$U$1006:$AC$1006,0)), HYPERLINK("#",""), HYPERLINK(CONCATENATE("#metadata!", ADDRESS(INDEX($P$2:$P$1001,MATCH(ROWS($N$2:N752),$N$2:$N$1001,0),0), INDEX($U$1004:$AC$1004,1,MATCH(COLUMNS($U$1006:AC1006),$U$1006:$AC$1006,0)))),"Fix")))</f>
        <v>0</v>
      </c>
      <c r="N752">
        <v>0</v>
      </c>
      <c r="O752">
        <v>0</v>
      </c>
      <c r="P752">
        <v>0</v>
      </c>
      <c r="Q752">
        <f>IF(R752,TRUE,AND(U752:AC752))</f>
        <v>0</v>
      </c>
      <c r="R752">
        <f>COUNTBLANK(metadata!B752:J752)=COLUMNS(metadata!B752:J752)</f>
        <v>0</v>
      </c>
      <c r="S752">
        <v>0</v>
      </c>
      <c r="U752">
        <f>AND(IF(metadata!B752="",FALSE,TRUE),COUNTIF(metadata!B:B, metadata!B752) = 1,NOT(ISERROR(SUMPRODUCT(SEARCH(MID(metadata!B752,ROW(INDIRECT("1:"&amp;LEN(metadata!B752))), 1),"0123456789abcdefghijklmnopqrstuvwxyzABCDEFGHIJKLMNOPQRSTUVWXYZ.")))))</f>
        <v>0</v>
      </c>
      <c r="V752">
        <f>AND(IF(metadata!C752="",FALSE,TRUE),exact(metadata!C752,"UBERON:genitourinary"))</f>
        <v>0</v>
      </c>
      <c r="W752">
        <f>AND(IF(metadata!D752="",FALSE,TRUE),exact(metadata!D752,"UBERON:urine"))</f>
        <v>0</v>
      </c>
      <c r="X752">
        <f>AND(IF(metadata!E752="",FALSE,TRUE),exact(metadata!E752,"UBERON:kidney"))</f>
        <v>0</v>
      </c>
      <c r="Y752">
        <f>AND(IF(metadata!F752="",FALSE,TRUE),exact(metadata!F752,"animal corpus"))</f>
        <v>0</v>
      </c>
      <c r="Z752">
        <f>AND(IF(metadata!G752="",FALSE,TRUE),exact(metadata!G752,"urine"))</f>
        <v>0</v>
      </c>
      <c r="AA752">
        <f>AND(IF(metadata!H752="",FALSE,TRUE),exact(metadata!H752,"urine"))</f>
        <v>0</v>
      </c>
      <c r="AB752">
        <f>AND(IF(metadata!I752="",FALSE,TRUE),exact(metadata!I752,"urine metagenome"))</f>
        <v>0</v>
      </c>
      <c r="AC752">
        <f>AND(IF(metadata!J752="",FALSE,TRUE),exact(metadata!J752,"1346744"))</f>
        <v>0</v>
      </c>
    </row>
    <row r="753" spans="1:29">
      <c r="A753" s="4">
        <f>IF(B753=" "," ",HYPERLINK(CONCATENATE("#metadata!",ADDRESS(INDEX($P$2:$P$1001,MATCH(ROWS($N$2:N753),$N$2:$N$1001,0),0),1)),INDEX($S$2:$S$1001,MATCH(ROWS($N$2:N753),$N$2:$N$1001,0),0)))</f>
        <v>0</v>
      </c>
      <c r="B753" s="3">
        <f>IF(OR(INDEX($O$2:$O$1001,MATCH(ROWS($N$2:N753),$N$2:$N$1001,0),1)&gt;=100000,INDEX($U$1005:$AC$1005,1,MATCH(COLUMNS($U$1006:U1006),$U$1006:$AC$1006,0))&gt;=100000), " ",IF(INDEX($U$2:$AC$1001,MATCH(ROWS($N$2:N753),$N$2:$N$1001,0),MATCH(COLUMNS($U$1006:U1006),$U$1006:$AC$1006,0)), HYPERLINK("#",""), HYPERLINK(CONCATENATE("#metadata!", ADDRESS(INDEX($P$2:$P$1001,MATCH(ROWS($N$2:N753),$N$2:$N$1001,0),0), INDEX($U$1004:$AC$1004,1,MATCH(COLUMNS($U$1006:U1006),$U$1006:$AC$1006,0)))),"Fix")))</f>
        <v>0</v>
      </c>
      <c r="C753" s="3">
        <f>IF(OR(INDEX($O$2:$O$1001,MATCH(ROWS($N$2:N753),$N$2:$N$1001,0),1)&gt;=100000,INDEX($U$1005:$AC$1005,1,MATCH(COLUMNS($U$1006:V1006),$U$1006:$AC$1006,0))&gt;=100000), " ",IF(INDEX($U$2:$AC$1001,MATCH(ROWS($N$2:N753),$N$2:$N$1001,0),MATCH(COLUMNS($U$1006:V1006),$U$1006:$AC$1006,0)), HYPERLINK("#",""), HYPERLINK(CONCATENATE("#metadata!", ADDRESS(INDEX($P$2:$P$1001,MATCH(ROWS($N$2:N753),$N$2:$N$1001,0),0), INDEX($U$1004:$AC$1004,1,MATCH(COLUMNS($U$1006:V1006),$U$1006:$AC$1006,0)))),"Fix")))</f>
        <v>0</v>
      </c>
      <c r="D753" s="3">
        <f>IF(OR(INDEX($O$2:$O$1001,MATCH(ROWS($N$2:N753),$N$2:$N$1001,0),1)&gt;=100000,INDEX($U$1005:$AC$1005,1,MATCH(COLUMNS($U$1006:W1006),$U$1006:$AC$1006,0))&gt;=100000), " ",IF(INDEX($U$2:$AC$1001,MATCH(ROWS($N$2:N753),$N$2:$N$1001,0),MATCH(COLUMNS($U$1006:W1006),$U$1006:$AC$1006,0)), HYPERLINK("#",""), HYPERLINK(CONCATENATE("#metadata!", ADDRESS(INDEX($P$2:$P$1001,MATCH(ROWS($N$2:N753),$N$2:$N$1001,0),0), INDEX($U$1004:$AC$1004,1,MATCH(COLUMNS($U$1006:W1006),$U$1006:$AC$1006,0)))),"Fix")))</f>
        <v>0</v>
      </c>
      <c r="E753" s="3">
        <f>IF(OR(INDEX($O$2:$O$1001,MATCH(ROWS($N$2:N753),$N$2:$N$1001,0),1)&gt;=100000,INDEX($U$1005:$AC$1005,1,MATCH(COLUMNS($U$1006:X1006),$U$1006:$AC$1006,0))&gt;=100000), " ",IF(INDEX($U$2:$AC$1001,MATCH(ROWS($N$2:N753),$N$2:$N$1001,0),MATCH(COLUMNS($U$1006:X1006),$U$1006:$AC$1006,0)), HYPERLINK("#",""), HYPERLINK(CONCATENATE("#metadata!", ADDRESS(INDEX($P$2:$P$1001,MATCH(ROWS($N$2:N753),$N$2:$N$1001,0),0), INDEX($U$1004:$AC$1004,1,MATCH(COLUMNS($U$1006:X1006),$U$1006:$AC$1006,0)))),"Fix")))</f>
        <v>0</v>
      </c>
      <c r="F753" s="3">
        <f>IF(OR(INDEX($O$2:$O$1001,MATCH(ROWS($N$2:N753),$N$2:$N$1001,0),1)&gt;=100000,INDEX($U$1005:$AC$1005,1,MATCH(COLUMNS($U$1006:Y1006),$U$1006:$AC$1006,0))&gt;=100000), " ",IF(INDEX($U$2:$AC$1001,MATCH(ROWS($N$2:N753),$N$2:$N$1001,0),MATCH(COLUMNS($U$1006:Y1006),$U$1006:$AC$1006,0)), HYPERLINK("#",""), HYPERLINK(CONCATENATE("#metadata!", ADDRESS(INDEX($P$2:$P$1001,MATCH(ROWS($N$2:N753),$N$2:$N$1001,0),0), INDEX($U$1004:$AC$1004,1,MATCH(COLUMNS($U$1006:Y1006),$U$1006:$AC$1006,0)))),"Fix")))</f>
        <v>0</v>
      </c>
      <c r="G753" s="3">
        <f>IF(OR(INDEX($O$2:$O$1001,MATCH(ROWS($N$2:N753),$N$2:$N$1001,0),1)&gt;=100000,INDEX($U$1005:$AC$1005,1,MATCH(COLUMNS($U$1006:Z1006),$U$1006:$AC$1006,0))&gt;=100000), " ",IF(INDEX($U$2:$AC$1001,MATCH(ROWS($N$2:N753),$N$2:$N$1001,0),MATCH(COLUMNS($U$1006:Z1006),$U$1006:$AC$1006,0)), HYPERLINK("#",""), HYPERLINK(CONCATENATE("#metadata!", ADDRESS(INDEX($P$2:$P$1001,MATCH(ROWS($N$2:N753),$N$2:$N$1001,0),0), INDEX($U$1004:$AC$1004,1,MATCH(COLUMNS($U$1006:Z1006),$U$1006:$AC$1006,0)))),"Fix")))</f>
        <v>0</v>
      </c>
      <c r="H753" s="3">
        <f>IF(OR(INDEX($O$2:$O$1001,MATCH(ROWS($N$2:N753),$N$2:$N$1001,0),1)&gt;=100000,INDEX($U$1005:$AC$1005,1,MATCH(COLUMNS($U$1006:AA1006),$U$1006:$AC$1006,0))&gt;=100000), " ",IF(INDEX($U$2:$AC$1001,MATCH(ROWS($N$2:N753),$N$2:$N$1001,0),MATCH(COLUMNS($U$1006:AA1006),$U$1006:$AC$1006,0)), HYPERLINK("#",""), HYPERLINK(CONCATENATE("#metadata!", ADDRESS(INDEX($P$2:$P$1001,MATCH(ROWS($N$2:N753),$N$2:$N$1001,0),0), INDEX($U$1004:$AC$1004,1,MATCH(COLUMNS($U$1006:AA1006),$U$1006:$AC$1006,0)))),"Fix")))</f>
        <v>0</v>
      </c>
      <c r="I753" s="3">
        <f>IF(OR(INDEX($O$2:$O$1001,MATCH(ROWS($N$2:N753),$N$2:$N$1001,0),1)&gt;=100000,INDEX($U$1005:$AC$1005,1,MATCH(COLUMNS($U$1006:AB1006),$U$1006:$AC$1006,0))&gt;=100000), " ",IF(INDEX($U$2:$AC$1001,MATCH(ROWS($N$2:N753),$N$2:$N$1001,0),MATCH(COLUMNS($U$1006:AB1006),$U$1006:$AC$1006,0)), HYPERLINK("#",""), HYPERLINK(CONCATENATE("#metadata!", ADDRESS(INDEX($P$2:$P$1001,MATCH(ROWS($N$2:N753),$N$2:$N$1001,0),0), INDEX($U$1004:$AC$1004,1,MATCH(COLUMNS($U$1006:AB1006),$U$1006:$AC$1006,0)))),"Fix")))</f>
        <v>0</v>
      </c>
      <c r="J753" s="3">
        <f>IF(OR(INDEX($O$2:$O$1001,MATCH(ROWS($N$2:N753),$N$2:$N$1001,0),1)&gt;=100000,INDEX($U$1005:$AC$1005,1,MATCH(COLUMNS($U$1006:AC1006),$U$1006:$AC$1006,0))&gt;=100000), " ",IF(INDEX($U$2:$AC$1001,MATCH(ROWS($N$2:N753),$N$2:$N$1001,0),MATCH(COLUMNS($U$1006:AC1006),$U$1006:$AC$1006,0)), HYPERLINK("#",""), HYPERLINK(CONCATENATE("#metadata!", ADDRESS(INDEX($P$2:$P$1001,MATCH(ROWS($N$2:N753),$N$2:$N$1001,0),0), INDEX($U$1004:$AC$1004,1,MATCH(COLUMNS($U$1006:AC1006),$U$1006:$AC$1006,0)))),"Fix")))</f>
        <v>0</v>
      </c>
      <c r="N753">
        <v>0</v>
      </c>
      <c r="O753">
        <v>0</v>
      </c>
      <c r="P753">
        <v>0</v>
      </c>
      <c r="Q753">
        <f>IF(R753,TRUE,AND(U753:AC753))</f>
        <v>0</v>
      </c>
      <c r="R753">
        <f>COUNTBLANK(metadata!B753:J753)=COLUMNS(metadata!B753:J753)</f>
        <v>0</v>
      </c>
      <c r="S753">
        <v>0</v>
      </c>
      <c r="U753">
        <f>AND(IF(metadata!B753="",FALSE,TRUE),COUNTIF(metadata!B:B, metadata!B753) = 1,NOT(ISERROR(SUMPRODUCT(SEARCH(MID(metadata!B753,ROW(INDIRECT("1:"&amp;LEN(metadata!B753))), 1),"0123456789abcdefghijklmnopqrstuvwxyzABCDEFGHIJKLMNOPQRSTUVWXYZ.")))))</f>
        <v>0</v>
      </c>
      <c r="V753">
        <f>AND(IF(metadata!C753="",FALSE,TRUE),exact(metadata!C753,"UBERON:genitourinary"))</f>
        <v>0</v>
      </c>
      <c r="W753">
        <f>AND(IF(metadata!D753="",FALSE,TRUE),exact(metadata!D753,"UBERON:urine"))</f>
        <v>0</v>
      </c>
      <c r="X753">
        <f>AND(IF(metadata!E753="",FALSE,TRUE),exact(metadata!E753,"UBERON:kidney"))</f>
        <v>0</v>
      </c>
      <c r="Y753">
        <f>AND(IF(metadata!F753="",FALSE,TRUE),exact(metadata!F753,"animal corpus"))</f>
        <v>0</v>
      </c>
      <c r="Z753">
        <f>AND(IF(metadata!G753="",FALSE,TRUE),exact(metadata!G753,"urine"))</f>
        <v>0</v>
      </c>
      <c r="AA753">
        <f>AND(IF(metadata!H753="",FALSE,TRUE),exact(metadata!H753,"urine"))</f>
        <v>0</v>
      </c>
      <c r="AB753">
        <f>AND(IF(metadata!I753="",FALSE,TRUE),exact(metadata!I753,"urine metagenome"))</f>
        <v>0</v>
      </c>
      <c r="AC753">
        <f>AND(IF(metadata!J753="",FALSE,TRUE),exact(metadata!J753,"1346744"))</f>
        <v>0</v>
      </c>
    </row>
    <row r="754" spans="1:29">
      <c r="A754" s="4">
        <f>IF(B754=" "," ",HYPERLINK(CONCATENATE("#metadata!",ADDRESS(INDEX($P$2:$P$1001,MATCH(ROWS($N$2:N754),$N$2:$N$1001,0),0),1)),INDEX($S$2:$S$1001,MATCH(ROWS($N$2:N754),$N$2:$N$1001,0),0)))</f>
        <v>0</v>
      </c>
      <c r="B754" s="3">
        <f>IF(OR(INDEX($O$2:$O$1001,MATCH(ROWS($N$2:N754),$N$2:$N$1001,0),1)&gt;=100000,INDEX($U$1005:$AC$1005,1,MATCH(COLUMNS($U$1006:U1006),$U$1006:$AC$1006,0))&gt;=100000), " ",IF(INDEX($U$2:$AC$1001,MATCH(ROWS($N$2:N754),$N$2:$N$1001,0),MATCH(COLUMNS($U$1006:U1006),$U$1006:$AC$1006,0)), HYPERLINK("#",""), HYPERLINK(CONCATENATE("#metadata!", ADDRESS(INDEX($P$2:$P$1001,MATCH(ROWS($N$2:N754),$N$2:$N$1001,0),0), INDEX($U$1004:$AC$1004,1,MATCH(COLUMNS($U$1006:U1006),$U$1006:$AC$1006,0)))),"Fix")))</f>
        <v>0</v>
      </c>
      <c r="C754" s="3">
        <f>IF(OR(INDEX($O$2:$O$1001,MATCH(ROWS($N$2:N754),$N$2:$N$1001,0),1)&gt;=100000,INDEX($U$1005:$AC$1005,1,MATCH(COLUMNS($U$1006:V1006),$U$1006:$AC$1006,0))&gt;=100000), " ",IF(INDEX($U$2:$AC$1001,MATCH(ROWS($N$2:N754),$N$2:$N$1001,0),MATCH(COLUMNS($U$1006:V1006),$U$1006:$AC$1006,0)), HYPERLINK("#",""), HYPERLINK(CONCATENATE("#metadata!", ADDRESS(INDEX($P$2:$P$1001,MATCH(ROWS($N$2:N754),$N$2:$N$1001,0),0), INDEX($U$1004:$AC$1004,1,MATCH(COLUMNS($U$1006:V1006),$U$1006:$AC$1006,0)))),"Fix")))</f>
        <v>0</v>
      </c>
      <c r="D754" s="3">
        <f>IF(OR(INDEX($O$2:$O$1001,MATCH(ROWS($N$2:N754),$N$2:$N$1001,0),1)&gt;=100000,INDEX($U$1005:$AC$1005,1,MATCH(COLUMNS($U$1006:W1006),$U$1006:$AC$1006,0))&gt;=100000), " ",IF(INDEX($U$2:$AC$1001,MATCH(ROWS($N$2:N754),$N$2:$N$1001,0),MATCH(COLUMNS($U$1006:W1006),$U$1006:$AC$1006,0)), HYPERLINK("#",""), HYPERLINK(CONCATENATE("#metadata!", ADDRESS(INDEX($P$2:$P$1001,MATCH(ROWS($N$2:N754),$N$2:$N$1001,0),0), INDEX($U$1004:$AC$1004,1,MATCH(COLUMNS($U$1006:W1006),$U$1006:$AC$1006,0)))),"Fix")))</f>
        <v>0</v>
      </c>
      <c r="E754" s="3">
        <f>IF(OR(INDEX($O$2:$O$1001,MATCH(ROWS($N$2:N754),$N$2:$N$1001,0),1)&gt;=100000,INDEX($U$1005:$AC$1005,1,MATCH(COLUMNS($U$1006:X1006),$U$1006:$AC$1006,0))&gt;=100000), " ",IF(INDEX($U$2:$AC$1001,MATCH(ROWS($N$2:N754),$N$2:$N$1001,0),MATCH(COLUMNS($U$1006:X1006),$U$1006:$AC$1006,0)), HYPERLINK("#",""), HYPERLINK(CONCATENATE("#metadata!", ADDRESS(INDEX($P$2:$P$1001,MATCH(ROWS($N$2:N754),$N$2:$N$1001,0),0), INDEX($U$1004:$AC$1004,1,MATCH(COLUMNS($U$1006:X1006),$U$1006:$AC$1006,0)))),"Fix")))</f>
        <v>0</v>
      </c>
      <c r="F754" s="3">
        <f>IF(OR(INDEX($O$2:$O$1001,MATCH(ROWS($N$2:N754),$N$2:$N$1001,0),1)&gt;=100000,INDEX($U$1005:$AC$1005,1,MATCH(COLUMNS($U$1006:Y1006),$U$1006:$AC$1006,0))&gt;=100000), " ",IF(INDEX($U$2:$AC$1001,MATCH(ROWS($N$2:N754),$N$2:$N$1001,0),MATCH(COLUMNS($U$1006:Y1006),$U$1006:$AC$1006,0)), HYPERLINK("#",""), HYPERLINK(CONCATENATE("#metadata!", ADDRESS(INDEX($P$2:$P$1001,MATCH(ROWS($N$2:N754),$N$2:$N$1001,0),0), INDEX($U$1004:$AC$1004,1,MATCH(COLUMNS($U$1006:Y1006),$U$1006:$AC$1006,0)))),"Fix")))</f>
        <v>0</v>
      </c>
      <c r="G754" s="3">
        <f>IF(OR(INDEX($O$2:$O$1001,MATCH(ROWS($N$2:N754),$N$2:$N$1001,0),1)&gt;=100000,INDEX($U$1005:$AC$1005,1,MATCH(COLUMNS($U$1006:Z1006),$U$1006:$AC$1006,0))&gt;=100000), " ",IF(INDEX($U$2:$AC$1001,MATCH(ROWS($N$2:N754),$N$2:$N$1001,0),MATCH(COLUMNS($U$1006:Z1006),$U$1006:$AC$1006,0)), HYPERLINK("#",""), HYPERLINK(CONCATENATE("#metadata!", ADDRESS(INDEX($P$2:$P$1001,MATCH(ROWS($N$2:N754),$N$2:$N$1001,0),0), INDEX($U$1004:$AC$1004,1,MATCH(COLUMNS($U$1006:Z1006),$U$1006:$AC$1006,0)))),"Fix")))</f>
        <v>0</v>
      </c>
      <c r="H754" s="3">
        <f>IF(OR(INDEX($O$2:$O$1001,MATCH(ROWS($N$2:N754),$N$2:$N$1001,0),1)&gt;=100000,INDEX($U$1005:$AC$1005,1,MATCH(COLUMNS($U$1006:AA1006),$U$1006:$AC$1006,0))&gt;=100000), " ",IF(INDEX($U$2:$AC$1001,MATCH(ROWS($N$2:N754),$N$2:$N$1001,0),MATCH(COLUMNS($U$1006:AA1006),$U$1006:$AC$1006,0)), HYPERLINK("#",""), HYPERLINK(CONCATENATE("#metadata!", ADDRESS(INDEX($P$2:$P$1001,MATCH(ROWS($N$2:N754),$N$2:$N$1001,0),0), INDEX($U$1004:$AC$1004,1,MATCH(COLUMNS($U$1006:AA1006),$U$1006:$AC$1006,0)))),"Fix")))</f>
        <v>0</v>
      </c>
      <c r="I754" s="3">
        <f>IF(OR(INDEX($O$2:$O$1001,MATCH(ROWS($N$2:N754),$N$2:$N$1001,0),1)&gt;=100000,INDEX($U$1005:$AC$1005,1,MATCH(COLUMNS($U$1006:AB1006),$U$1006:$AC$1006,0))&gt;=100000), " ",IF(INDEX($U$2:$AC$1001,MATCH(ROWS($N$2:N754),$N$2:$N$1001,0),MATCH(COLUMNS($U$1006:AB1006),$U$1006:$AC$1006,0)), HYPERLINK("#",""), HYPERLINK(CONCATENATE("#metadata!", ADDRESS(INDEX($P$2:$P$1001,MATCH(ROWS($N$2:N754),$N$2:$N$1001,0),0), INDEX($U$1004:$AC$1004,1,MATCH(COLUMNS($U$1006:AB1006),$U$1006:$AC$1006,0)))),"Fix")))</f>
        <v>0</v>
      </c>
      <c r="J754" s="3">
        <f>IF(OR(INDEX($O$2:$O$1001,MATCH(ROWS($N$2:N754),$N$2:$N$1001,0),1)&gt;=100000,INDEX($U$1005:$AC$1005,1,MATCH(COLUMNS($U$1006:AC1006),$U$1006:$AC$1006,0))&gt;=100000), " ",IF(INDEX($U$2:$AC$1001,MATCH(ROWS($N$2:N754),$N$2:$N$1001,0),MATCH(COLUMNS($U$1006:AC1006),$U$1006:$AC$1006,0)), HYPERLINK("#",""), HYPERLINK(CONCATENATE("#metadata!", ADDRESS(INDEX($P$2:$P$1001,MATCH(ROWS($N$2:N754),$N$2:$N$1001,0),0), INDEX($U$1004:$AC$1004,1,MATCH(COLUMNS($U$1006:AC1006),$U$1006:$AC$1006,0)))),"Fix")))</f>
        <v>0</v>
      </c>
      <c r="N754">
        <v>0</v>
      </c>
      <c r="O754">
        <v>0</v>
      </c>
      <c r="P754">
        <v>0</v>
      </c>
      <c r="Q754">
        <f>IF(R754,TRUE,AND(U754:AC754))</f>
        <v>0</v>
      </c>
      <c r="R754">
        <f>COUNTBLANK(metadata!B754:J754)=COLUMNS(metadata!B754:J754)</f>
        <v>0</v>
      </c>
      <c r="S754">
        <v>0</v>
      </c>
      <c r="U754">
        <f>AND(IF(metadata!B754="",FALSE,TRUE),COUNTIF(metadata!B:B, metadata!B754) = 1,NOT(ISERROR(SUMPRODUCT(SEARCH(MID(metadata!B754,ROW(INDIRECT("1:"&amp;LEN(metadata!B754))), 1),"0123456789abcdefghijklmnopqrstuvwxyzABCDEFGHIJKLMNOPQRSTUVWXYZ.")))))</f>
        <v>0</v>
      </c>
      <c r="V754">
        <f>AND(IF(metadata!C754="",FALSE,TRUE),exact(metadata!C754,"UBERON:genitourinary"))</f>
        <v>0</v>
      </c>
      <c r="W754">
        <f>AND(IF(metadata!D754="",FALSE,TRUE),exact(metadata!D754,"UBERON:urine"))</f>
        <v>0</v>
      </c>
      <c r="X754">
        <f>AND(IF(metadata!E754="",FALSE,TRUE),exact(metadata!E754,"UBERON:kidney"))</f>
        <v>0</v>
      </c>
      <c r="Y754">
        <f>AND(IF(metadata!F754="",FALSE,TRUE),exact(metadata!F754,"animal corpus"))</f>
        <v>0</v>
      </c>
      <c r="Z754">
        <f>AND(IF(metadata!G754="",FALSE,TRUE),exact(metadata!G754,"urine"))</f>
        <v>0</v>
      </c>
      <c r="AA754">
        <f>AND(IF(metadata!H754="",FALSE,TRUE),exact(metadata!H754,"urine"))</f>
        <v>0</v>
      </c>
      <c r="AB754">
        <f>AND(IF(metadata!I754="",FALSE,TRUE),exact(metadata!I754,"urine metagenome"))</f>
        <v>0</v>
      </c>
      <c r="AC754">
        <f>AND(IF(metadata!J754="",FALSE,TRUE),exact(metadata!J754,"1346744"))</f>
        <v>0</v>
      </c>
    </row>
    <row r="755" spans="1:29">
      <c r="A755" s="4">
        <f>IF(B755=" "," ",HYPERLINK(CONCATENATE("#metadata!",ADDRESS(INDEX($P$2:$P$1001,MATCH(ROWS($N$2:N755),$N$2:$N$1001,0),0),1)),INDEX($S$2:$S$1001,MATCH(ROWS($N$2:N755),$N$2:$N$1001,0),0)))</f>
        <v>0</v>
      </c>
      <c r="B755" s="3">
        <f>IF(OR(INDEX($O$2:$O$1001,MATCH(ROWS($N$2:N755),$N$2:$N$1001,0),1)&gt;=100000,INDEX($U$1005:$AC$1005,1,MATCH(COLUMNS($U$1006:U1006),$U$1006:$AC$1006,0))&gt;=100000), " ",IF(INDEX($U$2:$AC$1001,MATCH(ROWS($N$2:N755),$N$2:$N$1001,0),MATCH(COLUMNS($U$1006:U1006),$U$1006:$AC$1006,0)), HYPERLINK("#",""), HYPERLINK(CONCATENATE("#metadata!", ADDRESS(INDEX($P$2:$P$1001,MATCH(ROWS($N$2:N755),$N$2:$N$1001,0),0), INDEX($U$1004:$AC$1004,1,MATCH(COLUMNS($U$1006:U1006),$U$1006:$AC$1006,0)))),"Fix")))</f>
        <v>0</v>
      </c>
      <c r="C755" s="3">
        <f>IF(OR(INDEX($O$2:$O$1001,MATCH(ROWS($N$2:N755),$N$2:$N$1001,0),1)&gt;=100000,INDEX($U$1005:$AC$1005,1,MATCH(COLUMNS($U$1006:V1006),$U$1006:$AC$1006,0))&gt;=100000), " ",IF(INDEX($U$2:$AC$1001,MATCH(ROWS($N$2:N755),$N$2:$N$1001,0),MATCH(COLUMNS($U$1006:V1006),$U$1006:$AC$1006,0)), HYPERLINK("#",""), HYPERLINK(CONCATENATE("#metadata!", ADDRESS(INDEX($P$2:$P$1001,MATCH(ROWS($N$2:N755),$N$2:$N$1001,0),0), INDEX($U$1004:$AC$1004,1,MATCH(COLUMNS($U$1006:V1006),$U$1006:$AC$1006,0)))),"Fix")))</f>
        <v>0</v>
      </c>
      <c r="D755" s="3">
        <f>IF(OR(INDEX($O$2:$O$1001,MATCH(ROWS($N$2:N755),$N$2:$N$1001,0),1)&gt;=100000,INDEX($U$1005:$AC$1005,1,MATCH(COLUMNS($U$1006:W1006),$U$1006:$AC$1006,0))&gt;=100000), " ",IF(INDEX($U$2:$AC$1001,MATCH(ROWS($N$2:N755),$N$2:$N$1001,0),MATCH(COLUMNS($U$1006:W1006),$U$1006:$AC$1006,0)), HYPERLINK("#",""), HYPERLINK(CONCATENATE("#metadata!", ADDRESS(INDEX($P$2:$P$1001,MATCH(ROWS($N$2:N755),$N$2:$N$1001,0),0), INDEX($U$1004:$AC$1004,1,MATCH(COLUMNS($U$1006:W1006),$U$1006:$AC$1006,0)))),"Fix")))</f>
        <v>0</v>
      </c>
      <c r="E755" s="3">
        <f>IF(OR(INDEX($O$2:$O$1001,MATCH(ROWS($N$2:N755),$N$2:$N$1001,0),1)&gt;=100000,INDEX($U$1005:$AC$1005,1,MATCH(COLUMNS($U$1006:X1006),$U$1006:$AC$1006,0))&gt;=100000), " ",IF(INDEX($U$2:$AC$1001,MATCH(ROWS($N$2:N755),$N$2:$N$1001,0),MATCH(COLUMNS($U$1006:X1006),$U$1006:$AC$1006,0)), HYPERLINK("#",""), HYPERLINK(CONCATENATE("#metadata!", ADDRESS(INDEX($P$2:$P$1001,MATCH(ROWS($N$2:N755),$N$2:$N$1001,0),0), INDEX($U$1004:$AC$1004,1,MATCH(COLUMNS($U$1006:X1006),$U$1006:$AC$1006,0)))),"Fix")))</f>
        <v>0</v>
      </c>
      <c r="F755" s="3">
        <f>IF(OR(INDEX($O$2:$O$1001,MATCH(ROWS($N$2:N755),$N$2:$N$1001,0),1)&gt;=100000,INDEX($U$1005:$AC$1005,1,MATCH(COLUMNS($U$1006:Y1006),$U$1006:$AC$1006,0))&gt;=100000), " ",IF(INDEX($U$2:$AC$1001,MATCH(ROWS($N$2:N755),$N$2:$N$1001,0),MATCH(COLUMNS($U$1006:Y1006),$U$1006:$AC$1006,0)), HYPERLINK("#",""), HYPERLINK(CONCATENATE("#metadata!", ADDRESS(INDEX($P$2:$P$1001,MATCH(ROWS($N$2:N755),$N$2:$N$1001,0),0), INDEX($U$1004:$AC$1004,1,MATCH(COLUMNS($U$1006:Y1006),$U$1006:$AC$1006,0)))),"Fix")))</f>
        <v>0</v>
      </c>
      <c r="G755" s="3">
        <f>IF(OR(INDEX($O$2:$O$1001,MATCH(ROWS($N$2:N755),$N$2:$N$1001,0),1)&gt;=100000,INDEX($U$1005:$AC$1005,1,MATCH(COLUMNS($U$1006:Z1006),$U$1006:$AC$1006,0))&gt;=100000), " ",IF(INDEX($U$2:$AC$1001,MATCH(ROWS($N$2:N755),$N$2:$N$1001,0),MATCH(COLUMNS($U$1006:Z1006),$U$1006:$AC$1006,0)), HYPERLINK("#",""), HYPERLINK(CONCATENATE("#metadata!", ADDRESS(INDEX($P$2:$P$1001,MATCH(ROWS($N$2:N755),$N$2:$N$1001,0),0), INDEX($U$1004:$AC$1004,1,MATCH(COLUMNS($U$1006:Z1006),$U$1006:$AC$1006,0)))),"Fix")))</f>
        <v>0</v>
      </c>
      <c r="H755" s="3">
        <f>IF(OR(INDEX($O$2:$O$1001,MATCH(ROWS($N$2:N755),$N$2:$N$1001,0),1)&gt;=100000,INDEX($U$1005:$AC$1005,1,MATCH(COLUMNS($U$1006:AA1006),$U$1006:$AC$1006,0))&gt;=100000), " ",IF(INDEX($U$2:$AC$1001,MATCH(ROWS($N$2:N755),$N$2:$N$1001,0),MATCH(COLUMNS($U$1006:AA1006),$U$1006:$AC$1006,0)), HYPERLINK("#",""), HYPERLINK(CONCATENATE("#metadata!", ADDRESS(INDEX($P$2:$P$1001,MATCH(ROWS($N$2:N755),$N$2:$N$1001,0),0), INDEX($U$1004:$AC$1004,1,MATCH(COLUMNS($U$1006:AA1006),$U$1006:$AC$1006,0)))),"Fix")))</f>
        <v>0</v>
      </c>
      <c r="I755" s="3">
        <f>IF(OR(INDEX($O$2:$O$1001,MATCH(ROWS($N$2:N755),$N$2:$N$1001,0),1)&gt;=100000,INDEX($U$1005:$AC$1005,1,MATCH(COLUMNS($U$1006:AB1006),$U$1006:$AC$1006,0))&gt;=100000), " ",IF(INDEX($U$2:$AC$1001,MATCH(ROWS($N$2:N755),$N$2:$N$1001,0),MATCH(COLUMNS($U$1006:AB1006),$U$1006:$AC$1006,0)), HYPERLINK("#",""), HYPERLINK(CONCATENATE("#metadata!", ADDRESS(INDEX($P$2:$P$1001,MATCH(ROWS($N$2:N755),$N$2:$N$1001,0),0), INDEX($U$1004:$AC$1004,1,MATCH(COLUMNS($U$1006:AB1006),$U$1006:$AC$1006,0)))),"Fix")))</f>
        <v>0</v>
      </c>
      <c r="J755" s="3">
        <f>IF(OR(INDEX($O$2:$O$1001,MATCH(ROWS($N$2:N755),$N$2:$N$1001,0),1)&gt;=100000,INDEX($U$1005:$AC$1005,1,MATCH(COLUMNS($U$1006:AC1006),$U$1006:$AC$1006,0))&gt;=100000), " ",IF(INDEX($U$2:$AC$1001,MATCH(ROWS($N$2:N755),$N$2:$N$1001,0),MATCH(COLUMNS($U$1006:AC1006),$U$1006:$AC$1006,0)), HYPERLINK("#",""), HYPERLINK(CONCATENATE("#metadata!", ADDRESS(INDEX($P$2:$P$1001,MATCH(ROWS($N$2:N755),$N$2:$N$1001,0),0), INDEX($U$1004:$AC$1004,1,MATCH(COLUMNS($U$1006:AC1006),$U$1006:$AC$1006,0)))),"Fix")))</f>
        <v>0</v>
      </c>
      <c r="N755">
        <v>0</v>
      </c>
      <c r="O755">
        <v>0</v>
      </c>
      <c r="P755">
        <v>0</v>
      </c>
      <c r="Q755">
        <f>IF(R755,TRUE,AND(U755:AC755))</f>
        <v>0</v>
      </c>
      <c r="R755">
        <f>COUNTBLANK(metadata!B755:J755)=COLUMNS(metadata!B755:J755)</f>
        <v>0</v>
      </c>
      <c r="S755">
        <v>0</v>
      </c>
      <c r="U755">
        <f>AND(IF(metadata!B755="",FALSE,TRUE),COUNTIF(metadata!B:B, metadata!B755) = 1,NOT(ISERROR(SUMPRODUCT(SEARCH(MID(metadata!B755,ROW(INDIRECT("1:"&amp;LEN(metadata!B755))), 1),"0123456789abcdefghijklmnopqrstuvwxyzABCDEFGHIJKLMNOPQRSTUVWXYZ.")))))</f>
        <v>0</v>
      </c>
      <c r="V755">
        <f>AND(IF(metadata!C755="",FALSE,TRUE),exact(metadata!C755,"UBERON:genitourinary"))</f>
        <v>0</v>
      </c>
      <c r="W755">
        <f>AND(IF(metadata!D755="",FALSE,TRUE),exact(metadata!D755,"UBERON:urine"))</f>
        <v>0</v>
      </c>
      <c r="X755">
        <f>AND(IF(metadata!E755="",FALSE,TRUE),exact(metadata!E755,"UBERON:kidney"))</f>
        <v>0</v>
      </c>
      <c r="Y755">
        <f>AND(IF(metadata!F755="",FALSE,TRUE),exact(metadata!F755,"animal corpus"))</f>
        <v>0</v>
      </c>
      <c r="Z755">
        <f>AND(IF(metadata!G755="",FALSE,TRUE),exact(metadata!G755,"urine"))</f>
        <v>0</v>
      </c>
      <c r="AA755">
        <f>AND(IF(metadata!H755="",FALSE,TRUE),exact(metadata!H755,"urine"))</f>
        <v>0</v>
      </c>
      <c r="AB755">
        <f>AND(IF(metadata!I755="",FALSE,TRUE),exact(metadata!I755,"urine metagenome"))</f>
        <v>0</v>
      </c>
      <c r="AC755">
        <f>AND(IF(metadata!J755="",FALSE,TRUE),exact(metadata!J755,"1346744"))</f>
        <v>0</v>
      </c>
    </row>
    <row r="756" spans="1:29">
      <c r="A756" s="4">
        <f>IF(B756=" "," ",HYPERLINK(CONCATENATE("#metadata!",ADDRESS(INDEX($P$2:$P$1001,MATCH(ROWS($N$2:N756),$N$2:$N$1001,0),0),1)),INDEX($S$2:$S$1001,MATCH(ROWS($N$2:N756),$N$2:$N$1001,0),0)))</f>
        <v>0</v>
      </c>
      <c r="B756" s="3">
        <f>IF(OR(INDEX($O$2:$O$1001,MATCH(ROWS($N$2:N756),$N$2:$N$1001,0),1)&gt;=100000,INDEX($U$1005:$AC$1005,1,MATCH(COLUMNS($U$1006:U1006),$U$1006:$AC$1006,0))&gt;=100000), " ",IF(INDEX($U$2:$AC$1001,MATCH(ROWS($N$2:N756),$N$2:$N$1001,0),MATCH(COLUMNS($U$1006:U1006),$U$1006:$AC$1006,0)), HYPERLINK("#",""), HYPERLINK(CONCATENATE("#metadata!", ADDRESS(INDEX($P$2:$P$1001,MATCH(ROWS($N$2:N756),$N$2:$N$1001,0),0), INDEX($U$1004:$AC$1004,1,MATCH(COLUMNS($U$1006:U1006),$U$1006:$AC$1006,0)))),"Fix")))</f>
        <v>0</v>
      </c>
      <c r="C756" s="3">
        <f>IF(OR(INDEX($O$2:$O$1001,MATCH(ROWS($N$2:N756),$N$2:$N$1001,0),1)&gt;=100000,INDEX($U$1005:$AC$1005,1,MATCH(COLUMNS($U$1006:V1006),$U$1006:$AC$1006,0))&gt;=100000), " ",IF(INDEX($U$2:$AC$1001,MATCH(ROWS($N$2:N756),$N$2:$N$1001,0),MATCH(COLUMNS($U$1006:V1006),$U$1006:$AC$1006,0)), HYPERLINK("#",""), HYPERLINK(CONCATENATE("#metadata!", ADDRESS(INDEX($P$2:$P$1001,MATCH(ROWS($N$2:N756),$N$2:$N$1001,0),0), INDEX($U$1004:$AC$1004,1,MATCH(COLUMNS($U$1006:V1006),$U$1006:$AC$1006,0)))),"Fix")))</f>
        <v>0</v>
      </c>
      <c r="D756" s="3">
        <f>IF(OR(INDEX($O$2:$O$1001,MATCH(ROWS($N$2:N756),$N$2:$N$1001,0),1)&gt;=100000,INDEX($U$1005:$AC$1005,1,MATCH(COLUMNS($U$1006:W1006),$U$1006:$AC$1006,0))&gt;=100000), " ",IF(INDEX($U$2:$AC$1001,MATCH(ROWS($N$2:N756),$N$2:$N$1001,0),MATCH(COLUMNS($U$1006:W1006),$U$1006:$AC$1006,0)), HYPERLINK("#",""), HYPERLINK(CONCATENATE("#metadata!", ADDRESS(INDEX($P$2:$P$1001,MATCH(ROWS($N$2:N756),$N$2:$N$1001,0),0), INDEX($U$1004:$AC$1004,1,MATCH(COLUMNS($U$1006:W1006),$U$1006:$AC$1006,0)))),"Fix")))</f>
        <v>0</v>
      </c>
      <c r="E756" s="3">
        <f>IF(OR(INDEX($O$2:$O$1001,MATCH(ROWS($N$2:N756),$N$2:$N$1001,0),1)&gt;=100000,INDEX($U$1005:$AC$1005,1,MATCH(COLUMNS($U$1006:X1006),$U$1006:$AC$1006,0))&gt;=100000), " ",IF(INDEX($U$2:$AC$1001,MATCH(ROWS($N$2:N756),$N$2:$N$1001,0),MATCH(COLUMNS($U$1006:X1006),$U$1006:$AC$1006,0)), HYPERLINK("#",""), HYPERLINK(CONCATENATE("#metadata!", ADDRESS(INDEX($P$2:$P$1001,MATCH(ROWS($N$2:N756),$N$2:$N$1001,0),0), INDEX($U$1004:$AC$1004,1,MATCH(COLUMNS($U$1006:X1006),$U$1006:$AC$1006,0)))),"Fix")))</f>
        <v>0</v>
      </c>
      <c r="F756" s="3">
        <f>IF(OR(INDEX($O$2:$O$1001,MATCH(ROWS($N$2:N756),$N$2:$N$1001,0),1)&gt;=100000,INDEX($U$1005:$AC$1005,1,MATCH(COLUMNS($U$1006:Y1006),$U$1006:$AC$1006,0))&gt;=100000), " ",IF(INDEX($U$2:$AC$1001,MATCH(ROWS($N$2:N756),$N$2:$N$1001,0),MATCH(COLUMNS($U$1006:Y1006),$U$1006:$AC$1006,0)), HYPERLINK("#",""), HYPERLINK(CONCATENATE("#metadata!", ADDRESS(INDEX($P$2:$P$1001,MATCH(ROWS($N$2:N756),$N$2:$N$1001,0),0), INDEX($U$1004:$AC$1004,1,MATCH(COLUMNS($U$1006:Y1006),$U$1006:$AC$1006,0)))),"Fix")))</f>
        <v>0</v>
      </c>
      <c r="G756" s="3">
        <f>IF(OR(INDEX($O$2:$O$1001,MATCH(ROWS($N$2:N756),$N$2:$N$1001,0),1)&gt;=100000,INDEX($U$1005:$AC$1005,1,MATCH(COLUMNS($U$1006:Z1006),$U$1006:$AC$1006,0))&gt;=100000), " ",IF(INDEX($U$2:$AC$1001,MATCH(ROWS($N$2:N756),$N$2:$N$1001,0),MATCH(COLUMNS($U$1006:Z1006),$U$1006:$AC$1006,0)), HYPERLINK("#",""), HYPERLINK(CONCATENATE("#metadata!", ADDRESS(INDEX($P$2:$P$1001,MATCH(ROWS($N$2:N756),$N$2:$N$1001,0),0), INDEX($U$1004:$AC$1004,1,MATCH(COLUMNS($U$1006:Z1006),$U$1006:$AC$1006,0)))),"Fix")))</f>
        <v>0</v>
      </c>
      <c r="H756" s="3">
        <f>IF(OR(INDEX($O$2:$O$1001,MATCH(ROWS($N$2:N756),$N$2:$N$1001,0),1)&gt;=100000,INDEX($U$1005:$AC$1005,1,MATCH(COLUMNS($U$1006:AA1006),$U$1006:$AC$1006,0))&gt;=100000), " ",IF(INDEX($U$2:$AC$1001,MATCH(ROWS($N$2:N756),$N$2:$N$1001,0),MATCH(COLUMNS($U$1006:AA1006),$U$1006:$AC$1006,0)), HYPERLINK("#",""), HYPERLINK(CONCATENATE("#metadata!", ADDRESS(INDEX($P$2:$P$1001,MATCH(ROWS($N$2:N756),$N$2:$N$1001,0),0), INDEX($U$1004:$AC$1004,1,MATCH(COLUMNS($U$1006:AA1006),$U$1006:$AC$1006,0)))),"Fix")))</f>
        <v>0</v>
      </c>
      <c r="I756" s="3">
        <f>IF(OR(INDEX($O$2:$O$1001,MATCH(ROWS($N$2:N756),$N$2:$N$1001,0),1)&gt;=100000,INDEX($U$1005:$AC$1005,1,MATCH(COLUMNS($U$1006:AB1006),$U$1006:$AC$1006,0))&gt;=100000), " ",IF(INDEX($U$2:$AC$1001,MATCH(ROWS($N$2:N756),$N$2:$N$1001,0),MATCH(COLUMNS($U$1006:AB1006),$U$1006:$AC$1006,0)), HYPERLINK("#",""), HYPERLINK(CONCATENATE("#metadata!", ADDRESS(INDEX($P$2:$P$1001,MATCH(ROWS($N$2:N756),$N$2:$N$1001,0),0), INDEX($U$1004:$AC$1004,1,MATCH(COLUMNS($U$1006:AB1006),$U$1006:$AC$1006,0)))),"Fix")))</f>
        <v>0</v>
      </c>
      <c r="J756" s="3">
        <f>IF(OR(INDEX($O$2:$O$1001,MATCH(ROWS($N$2:N756),$N$2:$N$1001,0),1)&gt;=100000,INDEX($U$1005:$AC$1005,1,MATCH(COLUMNS($U$1006:AC1006),$U$1006:$AC$1006,0))&gt;=100000), " ",IF(INDEX($U$2:$AC$1001,MATCH(ROWS($N$2:N756),$N$2:$N$1001,0),MATCH(COLUMNS($U$1006:AC1006),$U$1006:$AC$1006,0)), HYPERLINK("#",""), HYPERLINK(CONCATENATE("#metadata!", ADDRESS(INDEX($P$2:$P$1001,MATCH(ROWS($N$2:N756),$N$2:$N$1001,0),0), INDEX($U$1004:$AC$1004,1,MATCH(COLUMNS($U$1006:AC1006),$U$1006:$AC$1006,0)))),"Fix")))</f>
        <v>0</v>
      </c>
      <c r="N756">
        <v>0</v>
      </c>
      <c r="O756">
        <v>0</v>
      </c>
      <c r="P756">
        <v>0</v>
      </c>
      <c r="Q756">
        <f>IF(R756,TRUE,AND(U756:AC756))</f>
        <v>0</v>
      </c>
      <c r="R756">
        <f>COUNTBLANK(metadata!B756:J756)=COLUMNS(metadata!B756:J756)</f>
        <v>0</v>
      </c>
      <c r="S756">
        <v>0</v>
      </c>
      <c r="U756">
        <f>AND(IF(metadata!B756="",FALSE,TRUE),COUNTIF(metadata!B:B, metadata!B756) = 1,NOT(ISERROR(SUMPRODUCT(SEARCH(MID(metadata!B756,ROW(INDIRECT("1:"&amp;LEN(metadata!B756))), 1),"0123456789abcdefghijklmnopqrstuvwxyzABCDEFGHIJKLMNOPQRSTUVWXYZ.")))))</f>
        <v>0</v>
      </c>
      <c r="V756">
        <f>AND(IF(metadata!C756="",FALSE,TRUE),exact(metadata!C756,"UBERON:genitourinary"))</f>
        <v>0</v>
      </c>
      <c r="W756">
        <f>AND(IF(metadata!D756="",FALSE,TRUE),exact(metadata!D756,"UBERON:urine"))</f>
        <v>0</v>
      </c>
      <c r="X756">
        <f>AND(IF(metadata!E756="",FALSE,TRUE),exact(metadata!E756,"UBERON:kidney"))</f>
        <v>0</v>
      </c>
      <c r="Y756">
        <f>AND(IF(metadata!F756="",FALSE,TRUE),exact(metadata!F756,"animal corpus"))</f>
        <v>0</v>
      </c>
      <c r="Z756">
        <f>AND(IF(metadata!G756="",FALSE,TRUE),exact(metadata!G756,"urine"))</f>
        <v>0</v>
      </c>
      <c r="AA756">
        <f>AND(IF(metadata!H756="",FALSE,TRUE),exact(metadata!H756,"urine"))</f>
        <v>0</v>
      </c>
      <c r="AB756">
        <f>AND(IF(metadata!I756="",FALSE,TRUE),exact(metadata!I756,"urine metagenome"))</f>
        <v>0</v>
      </c>
      <c r="AC756">
        <f>AND(IF(metadata!J756="",FALSE,TRUE),exact(metadata!J756,"1346744"))</f>
        <v>0</v>
      </c>
    </row>
    <row r="757" spans="1:29">
      <c r="A757" s="4">
        <f>IF(B757=" "," ",HYPERLINK(CONCATENATE("#metadata!",ADDRESS(INDEX($P$2:$P$1001,MATCH(ROWS($N$2:N757),$N$2:$N$1001,0),0),1)),INDEX($S$2:$S$1001,MATCH(ROWS($N$2:N757),$N$2:$N$1001,0),0)))</f>
        <v>0</v>
      </c>
      <c r="B757" s="3">
        <f>IF(OR(INDEX($O$2:$O$1001,MATCH(ROWS($N$2:N757),$N$2:$N$1001,0),1)&gt;=100000,INDEX($U$1005:$AC$1005,1,MATCH(COLUMNS($U$1006:U1006),$U$1006:$AC$1006,0))&gt;=100000), " ",IF(INDEX($U$2:$AC$1001,MATCH(ROWS($N$2:N757),$N$2:$N$1001,0),MATCH(COLUMNS($U$1006:U1006),$U$1006:$AC$1006,0)), HYPERLINK("#",""), HYPERLINK(CONCATENATE("#metadata!", ADDRESS(INDEX($P$2:$P$1001,MATCH(ROWS($N$2:N757),$N$2:$N$1001,0),0), INDEX($U$1004:$AC$1004,1,MATCH(COLUMNS($U$1006:U1006),$U$1006:$AC$1006,0)))),"Fix")))</f>
        <v>0</v>
      </c>
      <c r="C757" s="3">
        <f>IF(OR(INDEX($O$2:$O$1001,MATCH(ROWS($N$2:N757),$N$2:$N$1001,0),1)&gt;=100000,INDEX($U$1005:$AC$1005,1,MATCH(COLUMNS($U$1006:V1006),$U$1006:$AC$1006,0))&gt;=100000), " ",IF(INDEX($U$2:$AC$1001,MATCH(ROWS($N$2:N757),$N$2:$N$1001,0),MATCH(COLUMNS($U$1006:V1006),$U$1006:$AC$1006,0)), HYPERLINK("#",""), HYPERLINK(CONCATENATE("#metadata!", ADDRESS(INDEX($P$2:$P$1001,MATCH(ROWS($N$2:N757),$N$2:$N$1001,0),0), INDEX($U$1004:$AC$1004,1,MATCH(COLUMNS($U$1006:V1006),$U$1006:$AC$1006,0)))),"Fix")))</f>
        <v>0</v>
      </c>
      <c r="D757" s="3">
        <f>IF(OR(INDEX($O$2:$O$1001,MATCH(ROWS($N$2:N757),$N$2:$N$1001,0),1)&gt;=100000,INDEX($U$1005:$AC$1005,1,MATCH(COLUMNS($U$1006:W1006),$U$1006:$AC$1006,0))&gt;=100000), " ",IF(INDEX($U$2:$AC$1001,MATCH(ROWS($N$2:N757),$N$2:$N$1001,0),MATCH(COLUMNS($U$1006:W1006),$U$1006:$AC$1006,0)), HYPERLINK("#",""), HYPERLINK(CONCATENATE("#metadata!", ADDRESS(INDEX($P$2:$P$1001,MATCH(ROWS($N$2:N757),$N$2:$N$1001,0),0), INDEX($U$1004:$AC$1004,1,MATCH(COLUMNS($U$1006:W1006),$U$1006:$AC$1006,0)))),"Fix")))</f>
        <v>0</v>
      </c>
      <c r="E757" s="3">
        <f>IF(OR(INDEX($O$2:$O$1001,MATCH(ROWS($N$2:N757),$N$2:$N$1001,0),1)&gt;=100000,INDEX($U$1005:$AC$1005,1,MATCH(COLUMNS($U$1006:X1006),$U$1006:$AC$1006,0))&gt;=100000), " ",IF(INDEX($U$2:$AC$1001,MATCH(ROWS($N$2:N757),$N$2:$N$1001,0),MATCH(COLUMNS($U$1006:X1006),$U$1006:$AC$1006,0)), HYPERLINK("#",""), HYPERLINK(CONCATENATE("#metadata!", ADDRESS(INDEX($P$2:$P$1001,MATCH(ROWS($N$2:N757),$N$2:$N$1001,0),0), INDEX($U$1004:$AC$1004,1,MATCH(COLUMNS($U$1006:X1006),$U$1006:$AC$1006,0)))),"Fix")))</f>
        <v>0</v>
      </c>
      <c r="F757" s="3">
        <f>IF(OR(INDEX($O$2:$O$1001,MATCH(ROWS($N$2:N757),$N$2:$N$1001,0),1)&gt;=100000,INDEX($U$1005:$AC$1005,1,MATCH(COLUMNS($U$1006:Y1006),$U$1006:$AC$1006,0))&gt;=100000), " ",IF(INDEX($U$2:$AC$1001,MATCH(ROWS($N$2:N757),$N$2:$N$1001,0),MATCH(COLUMNS($U$1006:Y1006),$U$1006:$AC$1006,0)), HYPERLINK("#",""), HYPERLINK(CONCATENATE("#metadata!", ADDRESS(INDEX($P$2:$P$1001,MATCH(ROWS($N$2:N757),$N$2:$N$1001,0),0), INDEX($U$1004:$AC$1004,1,MATCH(COLUMNS($U$1006:Y1006),$U$1006:$AC$1006,0)))),"Fix")))</f>
        <v>0</v>
      </c>
      <c r="G757" s="3">
        <f>IF(OR(INDEX($O$2:$O$1001,MATCH(ROWS($N$2:N757),$N$2:$N$1001,0),1)&gt;=100000,INDEX($U$1005:$AC$1005,1,MATCH(COLUMNS($U$1006:Z1006),$U$1006:$AC$1006,0))&gt;=100000), " ",IF(INDEX($U$2:$AC$1001,MATCH(ROWS($N$2:N757),$N$2:$N$1001,0),MATCH(COLUMNS($U$1006:Z1006),$U$1006:$AC$1006,0)), HYPERLINK("#",""), HYPERLINK(CONCATENATE("#metadata!", ADDRESS(INDEX($P$2:$P$1001,MATCH(ROWS($N$2:N757),$N$2:$N$1001,0),0), INDEX($U$1004:$AC$1004,1,MATCH(COLUMNS($U$1006:Z1006),$U$1006:$AC$1006,0)))),"Fix")))</f>
        <v>0</v>
      </c>
      <c r="H757" s="3">
        <f>IF(OR(INDEX($O$2:$O$1001,MATCH(ROWS($N$2:N757),$N$2:$N$1001,0),1)&gt;=100000,INDEX($U$1005:$AC$1005,1,MATCH(COLUMNS($U$1006:AA1006),$U$1006:$AC$1006,0))&gt;=100000), " ",IF(INDEX($U$2:$AC$1001,MATCH(ROWS($N$2:N757),$N$2:$N$1001,0),MATCH(COLUMNS($U$1006:AA1006),$U$1006:$AC$1006,0)), HYPERLINK("#",""), HYPERLINK(CONCATENATE("#metadata!", ADDRESS(INDEX($P$2:$P$1001,MATCH(ROWS($N$2:N757),$N$2:$N$1001,0),0), INDEX($U$1004:$AC$1004,1,MATCH(COLUMNS($U$1006:AA1006),$U$1006:$AC$1006,0)))),"Fix")))</f>
        <v>0</v>
      </c>
      <c r="I757" s="3">
        <f>IF(OR(INDEX($O$2:$O$1001,MATCH(ROWS($N$2:N757),$N$2:$N$1001,0),1)&gt;=100000,INDEX($U$1005:$AC$1005,1,MATCH(COLUMNS($U$1006:AB1006),$U$1006:$AC$1006,0))&gt;=100000), " ",IF(INDEX($U$2:$AC$1001,MATCH(ROWS($N$2:N757),$N$2:$N$1001,0),MATCH(COLUMNS($U$1006:AB1006),$U$1006:$AC$1006,0)), HYPERLINK("#",""), HYPERLINK(CONCATENATE("#metadata!", ADDRESS(INDEX($P$2:$P$1001,MATCH(ROWS($N$2:N757),$N$2:$N$1001,0),0), INDEX($U$1004:$AC$1004,1,MATCH(COLUMNS($U$1006:AB1006),$U$1006:$AC$1006,0)))),"Fix")))</f>
        <v>0</v>
      </c>
      <c r="J757" s="3">
        <f>IF(OR(INDEX($O$2:$O$1001,MATCH(ROWS($N$2:N757),$N$2:$N$1001,0),1)&gt;=100000,INDEX($U$1005:$AC$1005,1,MATCH(COLUMNS($U$1006:AC1006),$U$1006:$AC$1006,0))&gt;=100000), " ",IF(INDEX($U$2:$AC$1001,MATCH(ROWS($N$2:N757),$N$2:$N$1001,0),MATCH(COLUMNS($U$1006:AC1006),$U$1006:$AC$1006,0)), HYPERLINK("#",""), HYPERLINK(CONCATENATE("#metadata!", ADDRESS(INDEX($P$2:$P$1001,MATCH(ROWS($N$2:N757),$N$2:$N$1001,0),0), INDEX($U$1004:$AC$1004,1,MATCH(COLUMNS($U$1006:AC1006),$U$1006:$AC$1006,0)))),"Fix")))</f>
        <v>0</v>
      </c>
      <c r="N757">
        <v>0</v>
      </c>
      <c r="O757">
        <v>0</v>
      </c>
      <c r="P757">
        <v>0</v>
      </c>
      <c r="Q757">
        <f>IF(R757,TRUE,AND(U757:AC757))</f>
        <v>0</v>
      </c>
      <c r="R757">
        <f>COUNTBLANK(metadata!B757:J757)=COLUMNS(metadata!B757:J757)</f>
        <v>0</v>
      </c>
      <c r="S757">
        <v>0</v>
      </c>
      <c r="U757">
        <f>AND(IF(metadata!B757="",FALSE,TRUE),COUNTIF(metadata!B:B, metadata!B757) = 1,NOT(ISERROR(SUMPRODUCT(SEARCH(MID(metadata!B757,ROW(INDIRECT("1:"&amp;LEN(metadata!B757))), 1),"0123456789abcdefghijklmnopqrstuvwxyzABCDEFGHIJKLMNOPQRSTUVWXYZ.")))))</f>
        <v>0</v>
      </c>
      <c r="V757">
        <f>AND(IF(metadata!C757="",FALSE,TRUE),exact(metadata!C757,"UBERON:genitourinary"))</f>
        <v>0</v>
      </c>
      <c r="W757">
        <f>AND(IF(metadata!D757="",FALSE,TRUE),exact(metadata!D757,"UBERON:urine"))</f>
        <v>0</v>
      </c>
      <c r="X757">
        <f>AND(IF(metadata!E757="",FALSE,TRUE),exact(metadata!E757,"UBERON:kidney"))</f>
        <v>0</v>
      </c>
      <c r="Y757">
        <f>AND(IF(metadata!F757="",FALSE,TRUE),exact(metadata!F757,"animal corpus"))</f>
        <v>0</v>
      </c>
      <c r="Z757">
        <f>AND(IF(metadata!G757="",FALSE,TRUE),exact(metadata!G757,"urine"))</f>
        <v>0</v>
      </c>
      <c r="AA757">
        <f>AND(IF(metadata!H757="",FALSE,TRUE),exact(metadata!H757,"urine"))</f>
        <v>0</v>
      </c>
      <c r="AB757">
        <f>AND(IF(metadata!I757="",FALSE,TRUE),exact(metadata!I757,"urine metagenome"))</f>
        <v>0</v>
      </c>
      <c r="AC757">
        <f>AND(IF(metadata!J757="",FALSE,TRUE),exact(metadata!J757,"1346744"))</f>
        <v>0</v>
      </c>
    </row>
    <row r="758" spans="1:29">
      <c r="A758" s="4">
        <f>IF(B758=" "," ",HYPERLINK(CONCATENATE("#metadata!",ADDRESS(INDEX($P$2:$P$1001,MATCH(ROWS($N$2:N758),$N$2:$N$1001,0),0),1)),INDEX($S$2:$S$1001,MATCH(ROWS($N$2:N758),$N$2:$N$1001,0),0)))</f>
        <v>0</v>
      </c>
      <c r="B758" s="3">
        <f>IF(OR(INDEX($O$2:$O$1001,MATCH(ROWS($N$2:N758),$N$2:$N$1001,0),1)&gt;=100000,INDEX($U$1005:$AC$1005,1,MATCH(COLUMNS($U$1006:U1006),$U$1006:$AC$1006,0))&gt;=100000), " ",IF(INDEX($U$2:$AC$1001,MATCH(ROWS($N$2:N758),$N$2:$N$1001,0),MATCH(COLUMNS($U$1006:U1006),$U$1006:$AC$1006,0)), HYPERLINK("#",""), HYPERLINK(CONCATENATE("#metadata!", ADDRESS(INDEX($P$2:$P$1001,MATCH(ROWS($N$2:N758),$N$2:$N$1001,0),0), INDEX($U$1004:$AC$1004,1,MATCH(COLUMNS($U$1006:U1006),$U$1006:$AC$1006,0)))),"Fix")))</f>
        <v>0</v>
      </c>
      <c r="C758" s="3">
        <f>IF(OR(INDEX($O$2:$O$1001,MATCH(ROWS($N$2:N758),$N$2:$N$1001,0),1)&gt;=100000,INDEX($U$1005:$AC$1005,1,MATCH(COLUMNS($U$1006:V1006),$U$1006:$AC$1006,0))&gt;=100000), " ",IF(INDEX($U$2:$AC$1001,MATCH(ROWS($N$2:N758),$N$2:$N$1001,0),MATCH(COLUMNS($U$1006:V1006),$U$1006:$AC$1006,0)), HYPERLINK("#",""), HYPERLINK(CONCATENATE("#metadata!", ADDRESS(INDEX($P$2:$P$1001,MATCH(ROWS($N$2:N758),$N$2:$N$1001,0),0), INDEX($U$1004:$AC$1004,1,MATCH(COLUMNS($U$1006:V1006),$U$1006:$AC$1006,0)))),"Fix")))</f>
        <v>0</v>
      </c>
      <c r="D758" s="3">
        <f>IF(OR(INDEX($O$2:$O$1001,MATCH(ROWS($N$2:N758),$N$2:$N$1001,0),1)&gt;=100000,INDEX($U$1005:$AC$1005,1,MATCH(COLUMNS($U$1006:W1006),$U$1006:$AC$1006,0))&gt;=100000), " ",IF(INDEX($U$2:$AC$1001,MATCH(ROWS($N$2:N758),$N$2:$N$1001,0),MATCH(COLUMNS($U$1006:W1006),$U$1006:$AC$1006,0)), HYPERLINK("#",""), HYPERLINK(CONCATENATE("#metadata!", ADDRESS(INDEX($P$2:$P$1001,MATCH(ROWS($N$2:N758),$N$2:$N$1001,0),0), INDEX($U$1004:$AC$1004,1,MATCH(COLUMNS($U$1006:W1006),$U$1006:$AC$1006,0)))),"Fix")))</f>
        <v>0</v>
      </c>
      <c r="E758" s="3">
        <f>IF(OR(INDEX($O$2:$O$1001,MATCH(ROWS($N$2:N758),$N$2:$N$1001,0),1)&gt;=100000,INDEX($U$1005:$AC$1005,1,MATCH(COLUMNS($U$1006:X1006),$U$1006:$AC$1006,0))&gt;=100000), " ",IF(INDEX($U$2:$AC$1001,MATCH(ROWS($N$2:N758),$N$2:$N$1001,0),MATCH(COLUMNS($U$1006:X1006),$U$1006:$AC$1006,0)), HYPERLINK("#",""), HYPERLINK(CONCATENATE("#metadata!", ADDRESS(INDEX($P$2:$P$1001,MATCH(ROWS($N$2:N758),$N$2:$N$1001,0),0), INDEX($U$1004:$AC$1004,1,MATCH(COLUMNS($U$1006:X1006),$U$1006:$AC$1006,0)))),"Fix")))</f>
        <v>0</v>
      </c>
      <c r="F758" s="3">
        <f>IF(OR(INDEX($O$2:$O$1001,MATCH(ROWS($N$2:N758),$N$2:$N$1001,0),1)&gt;=100000,INDEX($U$1005:$AC$1005,1,MATCH(COLUMNS($U$1006:Y1006),$U$1006:$AC$1006,0))&gt;=100000), " ",IF(INDEX($U$2:$AC$1001,MATCH(ROWS($N$2:N758),$N$2:$N$1001,0),MATCH(COLUMNS($U$1006:Y1006),$U$1006:$AC$1006,0)), HYPERLINK("#",""), HYPERLINK(CONCATENATE("#metadata!", ADDRESS(INDEX($P$2:$P$1001,MATCH(ROWS($N$2:N758),$N$2:$N$1001,0),0), INDEX($U$1004:$AC$1004,1,MATCH(COLUMNS($U$1006:Y1006),$U$1006:$AC$1006,0)))),"Fix")))</f>
        <v>0</v>
      </c>
      <c r="G758" s="3">
        <f>IF(OR(INDEX($O$2:$O$1001,MATCH(ROWS($N$2:N758),$N$2:$N$1001,0),1)&gt;=100000,INDEX($U$1005:$AC$1005,1,MATCH(COLUMNS($U$1006:Z1006),$U$1006:$AC$1006,0))&gt;=100000), " ",IF(INDEX($U$2:$AC$1001,MATCH(ROWS($N$2:N758),$N$2:$N$1001,0),MATCH(COLUMNS($U$1006:Z1006),$U$1006:$AC$1006,0)), HYPERLINK("#",""), HYPERLINK(CONCATENATE("#metadata!", ADDRESS(INDEX($P$2:$P$1001,MATCH(ROWS($N$2:N758),$N$2:$N$1001,0),0), INDEX($U$1004:$AC$1004,1,MATCH(COLUMNS($U$1006:Z1006),$U$1006:$AC$1006,0)))),"Fix")))</f>
        <v>0</v>
      </c>
      <c r="H758" s="3">
        <f>IF(OR(INDEX($O$2:$O$1001,MATCH(ROWS($N$2:N758),$N$2:$N$1001,0),1)&gt;=100000,INDEX($U$1005:$AC$1005,1,MATCH(COLUMNS($U$1006:AA1006),$U$1006:$AC$1006,0))&gt;=100000), " ",IF(INDEX($U$2:$AC$1001,MATCH(ROWS($N$2:N758),$N$2:$N$1001,0),MATCH(COLUMNS($U$1006:AA1006),$U$1006:$AC$1006,0)), HYPERLINK("#",""), HYPERLINK(CONCATENATE("#metadata!", ADDRESS(INDEX($P$2:$P$1001,MATCH(ROWS($N$2:N758),$N$2:$N$1001,0),0), INDEX($U$1004:$AC$1004,1,MATCH(COLUMNS($U$1006:AA1006),$U$1006:$AC$1006,0)))),"Fix")))</f>
        <v>0</v>
      </c>
      <c r="I758" s="3">
        <f>IF(OR(INDEX($O$2:$O$1001,MATCH(ROWS($N$2:N758),$N$2:$N$1001,0),1)&gt;=100000,INDEX($U$1005:$AC$1005,1,MATCH(COLUMNS($U$1006:AB1006),$U$1006:$AC$1006,0))&gt;=100000), " ",IF(INDEX($U$2:$AC$1001,MATCH(ROWS($N$2:N758),$N$2:$N$1001,0),MATCH(COLUMNS($U$1006:AB1006),$U$1006:$AC$1006,0)), HYPERLINK("#",""), HYPERLINK(CONCATENATE("#metadata!", ADDRESS(INDEX($P$2:$P$1001,MATCH(ROWS($N$2:N758),$N$2:$N$1001,0),0), INDEX($U$1004:$AC$1004,1,MATCH(COLUMNS($U$1006:AB1006),$U$1006:$AC$1006,0)))),"Fix")))</f>
        <v>0</v>
      </c>
      <c r="J758" s="3">
        <f>IF(OR(INDEX($O$2:$O$1001,MATCH(ROWS($N$2:N758),$N$2:$N$1001,0),1)&gt;=100000,INDEX($U$1005:$AC$1005,1,MATCH(COLUMNS($U$1006:AC1006),$U$1006:$AC$1006,0))&gt;=100000), " ",IF(INDEX($U$2:$AC$1001,MATCH(ROWS($N$2:N758),$N$2:$N$1001,0),MATCH(COLUMNS($U$1006:AC1006),$U$1006:$AC$1006,0)), HYPERLINK("#",""), HYPERLINK(CONCATENATE("#metadata!", ADDRESS(INDEX($P$2:$P$1001,MATCH(ROWS($N$2:N758),$N$2:$N$1001,0),0), INDEX($U$1004:$AC$1004,1,MATCH(COLUMNS($U$1006:AC1006),$U$1006:$AC$1006,0)))),"Fix")))</f>
        <v>0</v>
      </c>
      <c r="N758">
        <v>0</v>
      </c>
      <c r="O758">
        <v>0</v>
      </c>
      <c r="P758">
        <v>0</v>
      </c>
      <c r="Q758">
        <f>IF(R758,TRUE,AND(U758:AC758))</f>
        <v>0</v>
      </c>
      <c r="R758">
        <f>COUNTBLANK(metadata!B758:J758)=COLUMNS(metadata!B758:J758)</f>
        <v>0</v>
      </c>
      <c r="S758">
        <v>0</v>
      </c>
      <c r="U758">
        <f>AND(IF(metadata!B758="",FALSE,TRUE),COUNTIF(metadata!B:B, metadata!B758) = 1,NOT(ISERROR(SUMPRODUCT(SEARCH(MID(metadata!B758,ROW(INDIRECT("1:"&amp;LEN(metadata!B758))), 1),"0123456789abcdefghijklmnopqrstuvwxyzABCDEFGHIJKLMNOPQRSTUVWXYZ.")))))</f>
        <v>0</v>
      </c>
      <c r="V758">
        <f>AND(IF(metadata!C758="",FALSE,TRUE),exact(metadata!C758,"UBERON:genitourinary"))</f>
        <v>0</v>
      </c>
      <c r="W758">
        <f>AND(IF(metadata!D758="",FALSE,TRUE),exact(metadata!D758,"UBERON:urine"))</f>
        <v>0</v>
      </c>
      <c r="X758">
        <f>AND(IF(metadata!E758="",FALSE,TRUE),exact(metadata!E758,"UBERON:kidney"))</f>
        <v>0</v>
      </c>
      <c r="Y758">
        <f>AND(IF(metadata!F758="",FALSE,TRUE),exact(metadata!F758,"animal corpus"))</f>
        <v>0</v>
      </c>
      <c r="Z758">
        <f>AND(IF(metadata!G758="",FALSE,TRUE),exact(metadata!G758,"urine"))</f>
        <v>0</v>
      </c>
      <c r="AA758">
        <f>AND(IF(metadata!H758="",FALSE,TRUE),exact(metadata!H758,"urine"))</f>
        <v>0</v>
      </c>
      <c r="AB758">
        <f>AND(IF(metadata!I758="",FALSE,TRUE),exact(metadata!I758,"urine metagenome"))</f>
        <v>0</v>
      </c>
      <c r="AC758">
        <f>AND(IF(metadata!J758="",FALSE,TRUE),exact(metadata!J758,"1346744"))</f>
        <v>0</v>
      </c>
    </row>
    <row r="759" spans="1:29">
      <c r="A759" s="4">
        <f>IF(B759=" "," ",HYPERLINK(CONCATENATE("#metadata!",ADDRESS(INDEX($P$2:$P$1001,MATCH(ROWS($N$2:N759),$N$2:$N$1001,0),0),1)),INDEX($S$2:$S$1001,MATCH(ROWS($N$2:N759),$N$2:$N$1001,0),0)))</f>
        <v>0</v>
      </c>
      <c r="B759" s="3">
        <f>IF(OR(INDEX($O$2:$O$1001,MATCH(ROWS($N$2:N759),$N$2:$N$1001,0),1)&gt;=100000,INDEX($U$1005:$AC$1005,1,MATCH(COLUMNS($U$1006:U1006),$U$1006:$AC$1006,0))&gt;=100000), " ",IF(INDEX($U$2:$AC$1001,MATCH(ROWS($N$2:N759),$N$2:$N$1001,0),MATCH(COLUMNS($U$1006:U1006),$U$1006:$AC$1006,0)), HYPERLINK("#",""), HYPERLINK(CONCATENATE("#metadata!", ADDRESS(INDEX($P$2:$P$1001,MATCH(ROWS($N$2:N759),$N$2:$N$1001,0),0), INDEX($U$1004:$AC$1004,1,MATCH(COLUMNS($U$1006:U1006),$U$1006:$AC$1006,0)))),"Fix")))</f>
        <v>0</v>
      </c>
      <c r="C759" s="3">
        <f>IF(OR(INDEX($O$2:$O$1001,MATCH(ROWS($N$2:N759),$N$2:$N$1001,0),1)&gt;=100000,INDEX($U$1005:$AC$1005,1,MATCH(COLUMNS($U$1006:V1006),$U$1006:$AC$1006,0))&gt;=100000), " ",IF(INDEX($U$2:$AC$1001,MATCH(ROWS($N$2:N759),$N$2:$N$1001,0),MATCH(COLUMNS($U$1006:V1006),$U$1006:$AC$1006,0)), HYPERLINK("#",""), HYPERLINK(CONCATENATE("#metadata!", ADDRESS(INDEX($P$2:$P$1001,MATCH(ROWS($N$2:N759),$N$2:$N$1001,0),0), INDEX($U$1004:$AC$1004,1,MATCH(COLUMNS($U$1006:V1006),$U$1006:$AC$1006,0)))),"Fix")))</f>
        <v>0</v>
      </c>
      <c r="D759" s="3">
        <f>IF(OR(INDEX($O$2:$O$1001,MATCH(ROWS($N$2:N759),$N$2:$N$1001,0),1)&gt;=100000,INDEX($U$1005:$AC$1005,1,MATCH(COLUMNS($U$1006:W1006),$U$1006:$AC$1006,0))&gt;=100000), " ",IF(INDEX($U$2:$AC$1001,MATCH(ROWS($N$2:N759),$N$2:$N$1001,0),MATCH(COLUMNS($U$1006:W1006),$U$1006:$AC$1006,0)), HYPERLINK("#",""), HYPERLINK(CONCATENATE("#metadata!", ADDRESS(INDEX($P$2:$P$1001,MATCH(ROWS($N$2:N759),$N$2:$N$1001,0),0), INDEX($U$1004:$AC$1004,1,MATCH(COLUMNS($U$1006:W1006),$U$1006:$AC$1006,0)))),"Fix")))</f>
        <v>0</v>
      </c>
      <c r="E759" s="3">
        <f>IF(OR(INDEX($O$2:$O$1001,MATCH(ROWS($N$2:N759),$N$2:$N$1001,0),1)&gt;=100000,INDEX($U$1005:$AC$1005,1,MATCH(COLUMNS($U$1006:X1006),$U$1006:$AC$1006,0))&gt;=100000), " ",IF(INDEX($U$2:$AC$1001,MATCH(ROWS($N$2:N759),$N$2:$N$1001,0),MATCH(COLUMNS($U$1006:X1006),$U$1006:$AC$1006,0)), HYPERLINK("#",""), HYPERLINK(CONCATENATE("#metadata!", ADDRESS(INDEX($P$2:$P$1001,MATCH(ROWS($N$2:N759),$N$2:$N$1001,0),0), INDEX($U$1004:$AC$1004,1,MATCH(COLUMNS($U$1006:X1006),$U$1006:$AC$1006,0)))),"Fix")))</f>
        <v>0</v>
      </c>
      <c r="F759" s="3">
        <f>IF(OR(INDEX($O$2:$O$1001,MATCH(ROWS($N$2:N759),$N$2:$N$1001,0),1)&gt;=100000,INDEX($U$1005:$AC$1005,1,MATCH(COLUMNS($U$1006:Y1006),$U$1006:$AC$1006,0))&gt;=100000), " ",IF(INDEX($U$2:$AC$1001,MATCH(ROWS($N$2:N759),$N$2:$N$1001,0),MATCH(COLUMNS($U$1006:Y1006),$U$1006:$AC$1006,0)), HYPERLINK("#",""), HYPERLINK(CONCATENATE("#metadata!", ADDRESS(INDEX($P$2:$P$1001,MATCH(ROWS($N$2:N759),$N$2:$N$1001,0),0), INDEX($U$1004:$AC$1004,1,MATCH(COLUMNS($U$1006:Y1006),$U$1006:$AC$1006,0)))),"Fix")))</f>
        <v>0</v>
      </c>
      <c r="G759" s="3">
        <f>IF(OR(INDEX($O$2:$O$1001,MATCH(ROWS($N$2:N759),$N$2:$N$1001,0),1)&gt;=100000,INDEX($U$1005:$AC$1005,1,MATCH(COLUMNS($U$1006:Z1006),$U$1006:$AC$1006,0))&gt;=100000), " ",IF(INDEX($U$2:$AC$1001,MATCH(ROWS($N$2:N759),$N$2:$N$1001,0),MATCH(COLUMNS($U$1006:Z1006),$U$1006:$AC$1006,0)), HYPERLINK("#",""), HYPERLINK(CONCATENATE("#metadata!", ADDRESS(INDEX($P$2:$P$1001,MATCH(ROWS($N$2:N759),$N$2:$N$1001,0),0), INDEX($U$1004:$AC$1004,1,MATCH(COLUMNS($U$1006:Z1006),$U$1006:$AC$1006,0)))),"Fix")))</f>
        <v>0</v>
      </c>
      <c r="H759" s="3">
        <f>IF(OR(INDEX($O$2:$O$1001,MATCH(ROWS($N$2:N759),$N$2:$N$1001,0),1)&gt;=100000,INDEX($U$1005:$AC$1005,1,MATCH(COLUMNS($U$1006:AA1006),$U$1006:$AC$1006,0))&gt;=100000), " ",IF(INDEX($U$2:$AC$1001,MATCH(ROWS($N$2:N759),$N$2:$N$1001,0),MATCH(COLUMNS($U$1006:AA1006),$U$1006:$AC$1006,0)), HYPERLINK("#",""), HYPERLINK(CONCATENATE("#metadata!", ADDRESS(INDEX($P$2:$P$1001,MATCH(ROWS($N$2:N759),$N$2:$N$1001,0),0), INDEX($U$1004:$AC$1004,1,MATCH(COLUMNS($U$1006:AA1006),$U$1006:$AC$1006,0)))),"Fix")))</f>
        <v>0</v>
      </c>
      <c r="I759" s="3">
        <f>IF(OR(INDEX($O$2:$O$1001,MATCH(ROWS($N$2:N759),$N$2:$N$1001,0),1)&gt;=100000,INDEX($U$1005:$AC$1005,1,MATCH(COLUMNS($U$1006:AB1006),$U$1006:$AC$1006,0))&gt;=100000), " ",IF(INDEX($U$2:$AC$1001,MATCH(ROWS($N$2:N759),$N$2:$N$1001,0),MATCH(COLUMNS($U$1006:AB1006),$U$1006:$AC$1006,0)), HYPERLINK("#",""), HYPERLINK(CONCATENATE("#metadata!", ADDRESS(INDEX($P$2:$P$1001,MATCH(ROWS($N$2:N759),$N$2:$N$1001,0),0), INDEX($U$1004:$AC$1004,1,MATCH(COLUMNS($U$1006:AB1006),$U$1006:$AC$1006,0)))),"Fix")))</f>
        <v>0</v>
      </c>
      <c r="J759" s="3">
        <f>IF(OR(INDEX($O$2:$O$1001,MATCH(ROWS($N$2:N759),$N$2:$N$1001,0),1)&gt;=100000,INDEX($U$1005:$AC$1005,1,MATCH(COLUMNS($U$1006:AC1006),$U$1006:$AC$1006,0))&gt;=100000), " ",IF(INDEX($U$2:$AC$1001,MATCH(ROWS($N$2:N759),$N$2:$N$1001,0),MATCH(COLUMNS($U$1006:AC1006),$U$1006:$AC$1006,0)), HYPERLINK("#",""), HYPERLINK(CONCATENATE("#metadata!", ADDRESS(INDEX($P$2:$P$1001,MATCH(ROWS($N$2:N759),$N$2:$N$1001,0),0), INDEX($U$1004:$AC$1004,1,MATCH(COLUMNS($U$1006:AC1006),$U$1006:$AC$1006,0)))),"Fix")))</f>
        <v>0</v>
      </c>
      <c r="N759">
        <v>0</v>
      </c>
      <c r="O759">
        <v>0</v>
      </c>
      <c r="P759">
        <v>0</v>
      </c>
      <c r="Q759">
        <f>IF(R759,TRUE,AND(U759:AC759))</f>
        <v>0</v>
      </c>
      <c r="R759">
        <f>COUNTBLANK(metadata!B759:J759)=COLUMNS(metadata!B759:J759)</f>
        <v>0</v>
      </c>
      <c r="S759">
        <v>0</v>
      </c>
      <c r="U759">
        <f>AND(IF(metadata!B759="",FALSE,TRUE),COUNTIF(metadata!B:B, metadata!B759) = 1,NOT(ISERROR(SUMPRODUCT(SEARCH(MID(metadata!B759,ROW(INDIRECT("1:"&amp;LEN(metadata!B759))), 1),"0123456789abcdefghijklmnopqrstuvwxyzABCDEFGHIJKLMNOPQRSTUVWXYZ.")))))</f>
        <v>0</v>
      </c>
      <c r="V759">
        <f>AND(IF(metadata!C759="",FALSE,TRUE),exact(metadata!C759,"UBERON:genitourinary"))</f>
        <v>0</v>
      </c>
      <c r="W759">
        <f>AND(IF(metadata!D759="",FALSE,TRUE),exact(metadata!D759,"UBERON:urine"))</f>
        <v>0</v>
      </c>
      <c r="X759">
        <f>AND(IF(metadata!E759="",FALSE,TRUE),exact(metadata!E759,"UBERON:kidney"))</f>
        <v>0</v>
      </c>
      <c r="Y759">
        <f>AND(IF(metadata!F759="",FALSE,TRUE),exact(metadata!F759,"animal corpus"))</f>
        <v>0</v>
      </c>
      <c r="Z759">
        <f>AND(IF(metadata!G759="",FALSE,TRUE),exact(metadata!G759,"urine"))</f>
        <v>0</v>
      </c>
      <c r="AA759">
        <f>AND(IF(metadata!H759="",FALSE,TRUE),exact(metadata!H759,"urine"))</f>
        <v>0</v>
      </c>
      <c r="AB759">
        <f>AND(IF(metadata!I759="",FALSE,TRUE),exact(metadata!I759,"urine metagenome"))</f>
        <v>0</v>
      </c>
      <c r="AC759">
        <f>AND(IF(metadata!J759="",FALSE,TRUE),exact(metadata!J759,"1346744"))</f>
        <v>0</v>
      </c>
    </row>
    <row r="760" spans="1:29">
      <c r="A760" s="4">
        <f>IF(B760=" "," ",HYPERLINK(CONCATENATE("#metadata!",ADDRESS(INDEX($P$2:$P$1001,MATCH(ROWS($N$2:N760),$N$2:$N$1001,0),0),1)),INDEX($S$2:$S$1001,MATCH(ROWS($N$2:N760),$N$2:$N$1001,0),0)))</f>
        <v>0</v>
      </c>
      <c r="B760" s="3">
        <f>IF(OR(INDEX($O$2:$O$1001,MATCH(ROWS($N$2:N760),$N$2:$N$1001,0),1)&gt;=100000,INDEX($U$1005:$AC$1005,1,MATCH(COLUMNS($U$1006:U1006),$U$1006:$AC$1006,0))&gt;=100000), " ",IF(INDEX($U$2:$AC$1001,MATCH(ROWS($N$2:N760),$N$2:$N$1001,0),MATCH(COLUMNS($U$1006:U1006),$U$1006:$AC$1006,0)), HYPERLINK("#",""), HYPERLINK(CONCATENATE("#metadata!", ADDRESS(INDEX($P$2:$P$1001,MATCH(ROWS($N$2:N760),$N$2:$N$1001,0),0), INDEX($U$1004:$AC$1004,1,MATCH(COLUMNS($U$1006:U1006),$U$1006:$AC$1006,0)))),"Fix")))</f>
        <v>0</v>
      </c>
      <c r="C760" s="3">
        <f>IF(OR(INDEX($O$2:$O$1001,MATCH(ROWS($N$2:N760),$N$2:$N$1001,0),1)&gt;=100000,INDEX($U$1005:$AC$1005,1,MATCH(COLUMNS($U$1006:V1006),$U$1006:$AC$1006,0))&gt;=100000), " ",IF(INDEX($U$2:$AC$1001,MATCH(ROWS($N$2:N760),$N$2:$N$1001,0),MATCH(COLUMNS($U$1006:V1006),$U$1006:$AC$1006,0)), HYPERLINK("#",""), HYPERLINK(CONCATENATE("#metadata!", ADDRESS(INDEX($P$2:$P$1001,MATCH(ROWS($N$2:N760),$N$2:$N$1001,0),0), INDEX($U$1004:$AC$1004,1,MATCH(COLUMNS($U$1006:V1006),$U$1006:$AC$1006,0)))),"Fix")))</f>
        <v>0</v>
      </c>
      <c r="D760" s="3">
        <f>IF(OR(INDEX($O$2:$O$1001,MATCH(ROWS($N$2:N760),$N$2:$N$1001,0),1)&gt;=100000,INDEX($U$1005:$AC$1005,1,MATCH(COLUMNS($U$1006:W1006),$U$1006:$AC$1006,0))&gt;=100000), " ",IF(INDEX($U$2:$AC$1001,MATCH(ROWS($N$2:N760),$N$2:$N$1001,0),MATCH(COLUMNS($U$1006:W1006),$U$1006:$AC$1006,0)), HYPERLINK("#",""), HYPERLINK(CONCATENATE("#metadata!", ADDRESS(INDEX($P$2:$P$1001,MATCH(ROWS($N$2:N760),$N$2:$N$1001,0),0), INDEX($U$1004:$AC$1004,1,MATCH(COLUMNS($U$1006:W1006),$U$1006:$AC$1006,0)))),"Fix")))</f>
        <v>0</v>
      </c>
      <c r="E760" s="3">
        <f>IF(OR(INDEX($O$2:$O$1001,MATCH(ROWS($N$2:N760),$N$2:$N$1001,0),1)&gt;=100000,INDEX($U$1005:$AC$1005,1,MATCH(COLUMNS($U$1006:X1006),$U$1006:$AC$1006,0))&gt;=100000), " ",IF(INDEX($U$2:$AC$1001,MATCH(ROWS($N$2:N760),$N$2:$N$1001,0),MATCH(COLUMNS($U$1006:X1006),$U$1006:$AC$1006,0)), HYPERLINK("#",""), HYPERLINK(CONCATENATE("#metadata!", ADDRESS(INDEX($P$2:$P$1001,MATCH(ROWS($N$2:N760),$N$2:$N$1001,0),0), INDEX($U$1004:$AC$1004,1,MATCH(COLUMNS($U$1006:X1006),$U$1006:$AC$1006,0)))),"Fix")))</f>
        <v>0</v>
      </c>
      <c r="F760" s="3">
        <f>IF(OR(INDEX($O$2:$O$1001,MATCH(ROWS($N$2:N760),$N$2:$N$1001,0),1)&gt;=100000,INDEX($U$1005:$AC$1005,1,MATCH(COLUMNS($U$1006:Y1006),$U$1006:$AC$1006,0))&gt;=100000), " ",IF(INDEX($U$2:$AC$1001,MATCH(ROWS($N$2:N760),$N$2:$N$1001,0),MATCH(COLUMNS($U$1006:Y1006),$U$1006:$AC$1006,0)), HYPERLINK("#",""), HYPERLINK(CONCATENATE("#metadata!", ADDRESS(INDEX($P$2:$P$1001,MATCH(ROWS($N$2:N760),$N$2:$N$1001,0),0), INDEX($U$1004:$AC$1004,1,MATCH(COLUMNS($U$1006:Y1006),$U$1006:$AC$1006,0)))),"Fix")))</f>
        <v>0</v>
      </c>
      <c r="G760" s="3">
        <f>IF(OR(INDEX($O$2:$O$1001,MATCH(ROWS($N$2:N760),$N$2:$N$1001,0),1)&gt;=100000,INDEX($U$1005:$AC$1005,1,MATCH(COLUMNS($U$1006:Z1006),$U$1006:$AC$1006,0))&gt;=100000), " ",IF(INDEX($U$2:$AC$1001,MATCH(ROWS($N$2:N760),$N$2:$N$1001,0),MATCH(COLUMNS($U$1006:Z1006),$U$1006:$AC$1006,0)), HYPERLINK("#",""), HYPERLINK(CONCATENATE("#metadata!", ADDRESS(INDEX($P$2:$P$1001,MATCH(ROWS($N$2:N760),$N$2:$N$1001,0),0), INDEX($U$1004:$AC$1004,1,MATCH(COLUMNS($U$1006:Z1006),$U$1006:$AC$1006,0)))),"Fix")))</f>
        <v>0</v>
      </c>
      <c r="H760" s="3">
        <f>IF(OR(INDEX($O$2:$O$1001,MATCH(ROWS($N$2:N760),$N$2:$N$1001,0),1)&gt;=100000,INDEX($U$1005:$AC$1005,1,MATCH(COLUMNS($U$1006:AA1006),$U$1006:$AC$1006,0))&gt;=100000), " ",IF(INDEX($U$2:$AC$1001,MATCH(ROWS($N$2:N760),$N$2:$N$1001,0),MATCH(COLUMNS($U$1006:AA1006),$U$1006:$AC$1006,0)), HYPERLINK("#",""), HYPERLINK(CONCATENATE("#metadata!", ADDRESS(INDEX($P$2:$P$1001,MATCH(ROWS($N$2:N760),$N$2:$N$1001,0),0), INDEX($U$1004:$AC$1004,1,MATCH(COLUMNS($U$1006:AA1006),$U$1006:$AC$1006,0)))),"Fix")))</f>
        <v>0</v>
      </c>
      <c r="I760" s="3">
        <f>IF(OR(INDEX($O$2:$O$1001,MATCH(ROWS($N$2:N760),$N$2:$N$1001,0),1)&gt;=100000,INDEX($U$1005:$AC$1005,1,MATCH(COLUMNS($U$1006:AB1006),$U$1006:$AC$1006,0))&gt;=100000), " ",IF(INDEX($U$2:$AC$1001,MATCH(ROWS($N$2:N760),$N$2:$N$1001,0),MATCH(COLUMNS($U$1006:AB1006),$U$1006:$AC$1006,0)), HYPERLINK("#",""), HYPERLINK(CONCATENATE("#metadata!", ADDRESS(INDEX($P$2:$P$1001,MATCH(ROWS($N$2:N760),$N$2:$N$1001,0),0), INDEX($U$1004:$AC$1004,1,MATCH(COLUMNS($U$1006:AB1006),$U$1006:$AC$1006,0)))),"Fix")))</f>
        <v>0</v>
      </c>
      <c r="J760" s="3">
        <f>IF(OR(INDEX($O$2:$O$1001,MATCH(ROWS($N$2:N760),$N$2:$N$1001,0),1)&gt;=100000,INDEX($U$1005:$AC$1005,1,MATCH(COLUMNS($U$1006:AC1006),$U$1006:$AC$1006,0))&gt;=100000), " ",IF(INDEX($U$2:$AC$1001,MATCH(ROWS($N$2:N760),$N$2:$N$1001,0),MATCH(COLUMNS($U$1006:AC1006),$U$1006:$AC$1006,0)), HYPERLINK("#",""), HYPERLINK(CONCATENATE("#metadata!", ADDRESS(INDEX($P$2:$P$1001,MATCH(ROWS($N$2:N760),$N$2:$N$1001,0),0), INDEX($U$1004:$AC$1004,1,MATCH(COLUMNS($U$1006:AC1006),$U$1006:$AC$1006,0)))),"Fix")))</f>
        <v>0</v>
      </c>
      <c r="N760">
        <v>0</v>
      </c>
      <c r="O760">
        <v>0</v>
      </c>
      <c r="P760">
        <v>0</v>
      </c>
      <c r="Q760">
        <f>IF(R760,TRUE,AND(U760:AC760))</f>
        <v>0</v>
      </c>
      <c r="R760">
        <f>COUNTBLANK(metadata!B760:J760)=COLUMNS(metadata!B760:J760)</f>
        <v>0</v>
      </c>
      <c r="S760">
        <v>0</v>
      </c>
      <c r="U760">
        <f>AND(IF(metadata!B760="",FALSE,TRUE),COUNTIF(metadata!B:B, metadata!B760) = 1,NOT(ISERROR(SUMPRODUCT(SEARCH(MID(metadata!B760,ROW(INDIRECT("1:"&amp;LEN(metadata!B760))), 1),"0123456789abcdefghijklmnopqrstuvwxyzABCDEFGHIJKLMNOPQRSTUVWXYZ.")))))</f>
        <v>0</v>
      </c>
      <c r="V760">
        <f>AND(IF(metadata!C760="",FALSE,TRUE),exact(metadata!C760,"UBERON:genitourinary"))</f>
        <v>0</v>
      </c>
      <c r="W760">
        <f>AND(IF(metadata!D760="",FALSE,TRUE),exact(metadata!D760,"UBERON:urine"))</f>
        <v>0</v>
      </c>
      <c r="X760">
        <f>AND(IF(metadata!E760="",FALSE,TRUE),exact(metadata!E760,"UBERON:kidney"))</f>
        <v>0</v>
      </c>
      <c r="Y760">
        <f>AND(IF(metadata!F760="",FALSE,TRUE),exact(metadata!F760,"animal corpus"))</f>
        <v>0</v>
      </c>
      <c r="Z760">
        <f>AND(IF(metadata!G760="",FALSE,TRUE),exact(metadata!G760,"urine"))</f>
        <v>0</v>
      </c>
      <c r="AA760">
        <f>AND(IF(metadata!H760="",FALSE,TRUE),exact(metadata!H760,"urine"))</f>
        <v>0</v>
      </c>
      <c r="AB760">
        <f>AND(IF(metadata!I760="",FALSE,TRUE),exact(metadata!I760,"urine metagenome"))</f>
        <v>0</v>
      </c>
      <c r="AC760">
        <f>AND(IF(metadata!J760="",FALSE,TRUE),exact(metadata!J760,"1346744"))</f>
        <v>0</v>
      </c>
    </row>
    <row r="761" spans="1:29">
      <c r="A761" s="4">
        <f>IF(B761=" "," ",HYPERLINK(CONCATENATE("#metadata!",ADDRESS(INDEX($P$2:$P$1001,MATCH(ROWS($N$2:N761),$N$2:$N$1001,0),0),1)),INDEX($S$2:$S$1001,MATCH(ROWS($N$2:N761),$N$2:$N$1001,0),0)))</f>
        <v>0</v>
      </c>
      <c r="B761" s="3">
        <f>IF(OR(INDEX($O$2:$O$1001,MATCH(ROWS($N$2:N761),$N$2:$N$1001,0),1)&gt;=100000,INDEX($U$1005:$AC$1005,1,MATCH(COLUMNS($U$1006:U1006),$U$1006:$AC$1006,0))&gt;=100000), " ",IF(INDEX($U$2:$AC$1001,MATCH(ROWS($N$2:N761),$N$2:$N$1001,0),MATCH(COLUMNS($U$1006:U1006),$U$1006:$AC$1006,0)), HYPERLINK("#",""), HYPERLINK(CONCATENATE("#metadata!", ADDRESS(INDEX($P$2:$P$1001,MATCH(ROWS($N$2:N761),$N$2:$N$1001,0),0), INDEX($U$1004:$AC$1004,1,MATCH(COLUMNS($U$1006:U1006),$U$1006:$AC$1006,0)))),"Fix")))</f>
        <v>0</v>
      </c>
      <c r="C761" s="3">
        <f>IF(OR(INDEX($O$2:$O$1001,MATCH(ROWS($N$2:N761),$N$2:$N$1001,0),1)&gt;=100000,INDEX($U$1005:$AC$1005,1,MATCH(COLUMNS($U$1006:V1006),$U$1006:$AC$1006,0))&gt;=100000), " ",IF(INDEX($U$2:$AC$1001,MATCH(ROWS($N$2:N761),$N$2:$N$1001,0),MATCH(COLUMNS($U$1006:V1006),$U$1006:$AC$1006,0)), HYPERLINK("#",""), HYPERLINK(CONCATENATE("#metadata!", ADDRESS(INDEX($P$2:$P$1001,MATCH(ROWS($N$2:N761),$N$2:$N$1001,0),0), INDEX($U$1004:$AC$1004,1,MATCH(COLUMNS($U$1006:V1006),$U$1006:$AC$1006,0)))),"Fix")))</f>
        <v>0</v>
      </c>
      <c r="D761" s="3">
        <f>IF(OR(INDEX($O$2:$O$1001,MATCH(ROWS($N$2:N761),$N$2:$N$1001,0),1)&gt;=100000,INDEX($U$1005:$AC$1005,1,MATCH(COLUMNS($U$1006:W1006),$U$1006:$AC$1006,0))&gt;=100000), " ",IF(INDEX($U$2:$AC$1001,MATCH(ROWS($N$2:N761),$N$2:$N$1001,0),MATCH(COLUMNS($U$1006:W1006),$U$1006:$AC$1006,0)), HYPERLINK("#",""), HYPERLINK(CONCATENATE("#metadata!", ADDRESS(INDEX($P$2:$P$1001,MATCH(ROWS($N$2:N761),$N$2:$N$1001,0),0), INDEX($U$1004:$AC$1004,1,MATCH(COLUMNS($U$1006:W1006),$U$1006:$AC$1006,0)))),"Fix")))</f>
        <v>0</v>
      </c>
      <c r="E761" s="3">
        <f>IF(OR(INDEX($O$2:$O$1001,MATCH(ROWS($N$2:N761),$N$2:$N$1001,0),1)&gt;=100000,INDEX($U$1005:$AC$1005,1,MATCH(COLUMNS($U$1006:X1006),$U$1006:$AC$1006,0))&gt;=100000), " ",IF(INDEX($U$2:$AC$1001,MATCH(ROWS($N$2:N761),$N$2:$N$1001,0),MATCH(COLUMNS($U$1006:X1006),$U$1006:$AC$1006,0)), HYPERLINK("#",""), HYPERLINK(CONCATENATE("#metadata!", ADDRESS(INDEX($P$2:$P$1001,MATCH(ROWS($N$2:N761),$N$2:$N$1001,0),0), INDEX($U$1004:$AC$1004,1,MATCH(COLUMNS($U$1006:X1006),$U$1006:$AC$1006,0)))),"Fix")))</f>
        <v>0</v>
      </c>
      <c r="F761" s="3">
        <f>IF(OR(INDEX($O$2:$O$1001,MATCH(ROWS($N$2:N761),$N$2:$N$1001,0),1)&gt;=100000,INDEX($U$1005:$AC$1005,1,MATCH(COLUMNS($U$1006:Y1006),$U$1006:$AC$1006,0))&gt;=100000), " ",IF(INDEX($U$2:$AC$1001,MATCH(ROWS($N$2:N761),$N$2:$N$1001,0),MATCH(COLUMNS($U$1006:Y1006),$U$1006:$AC$1006,0)), HYPERLINK("#",""), HYPERLINK(CONCATENATE("#metadata!", ADDRESS(INDEX($P$2:$P$1001,MATCH(ROWS($N$2:N761),$N$2:$N$1001,0),0), INDEX($U$1004:$AC$1004,1,MATCH(COLUMNS($U$1006:Y1006),$U$1006:$AC$1006,0)))),"Fix")))</f>
        <v>0</v>
      </c>
      <c r="G761" s="3">
        <f>IF(OR(INDEX($O$2:$O$1001,MATCH(ROWS($N$2:N761),$N$2:$N$1001,0),1)&gt;=100000,INDEX($U$1005:$AC$1005,1,MATCH(COLUMNS($U$1006:Z1006),$U$1006:$AC$1006,0))&gt;=100000), " ",IF(INDEX($U$2:$AC$1001,MATCH(ROWS($N$2:N761),$N$2:$N$1001,0),MATCH(COLUMNS($U$1006:Z1006),$U$1006:$AC$1006,0)), HYPERLINK("#",""), HYPERLINK(CONCATENATE("#metadata!", ADDRESS(INDEX($P$2:$P$1001,MATCH(ROWS($N$2:N761),$N$2:$N$1001,0),0), INDEX($U$1004:$AC$1004,1,MATCH(COLUMNS($U$1006:Z1006),$U$1006:$AC$1006,0)))),"Fix")))</f>
        <v>0</v>
      </c>
      <c r="H761" s="3">
        <f>IF(OR(INDEX($O$2:$O$1001,MATCH(ROWS($N$2:N761),$N$2:$N$1001,0),1)&gt;=100000,INDEX($U$1005:$AC$1005,1,MATCH(COLUMNS($U$1006:AA1006),$U$1006:$AC$1006,0))&gt;=100000), " ",IF(INDEX($U$2:$AC$1001,MATCH(ROWS($N$2:N761),$N$2:$N$1001,0),MATCH(COLUMNS($U$1006:AA1006),$U$1006:$AC$1006,0)), HYPERLINK("#",""), HYPERLINK(CONCATENATE("#metadata!", ADDRESS(INDEX($P$2:$P$1001,MATCH(ROWS($N$2:N761),$N$2:$N$1001,0),0), INDEX($U$1004:$AC$1004,1,MATCH(COLUMNS($U$1006:AA1006),$U$1006:$AC$1006,0)))),"Fix")))</f>
        <v>0</v>
      </c>
      <c r="I761" s="3">
        <f>IF(OR(INDEX($O$2:$O$1001,MATCH(ROWS($N$2:N761),$N$2:$N$1001,0),1)&gt;=100000,INDEX($U$1005:$AC$1005,1,MATCH(COLUMNS($U$1006:AB1006),$U$1006:$AC$1006,0))&gt;=100000), " ",IF(INDEX($U$2:$AC$1001,MATCH(ROWS($N$2:N761),$N$2:$N$1001,0),MATCH(COLUMNS($U$1006:AB1006),$U$1006:$AC$1006,0)), HYPERLINK("#",""), HYPERLINK(CONCATENATE("#metadata!", ADDRESS(INDEX($P$2:$P$1001,MATCH(ROWS($N$2:N761),$N$2:$N$1001,0),0), INDEX($U$1004:$AC$1004,1,MATCH(COLUMNS($U$1006:AB1006),$U$1006:$AC$1006,0)))),"Fix")))</f>
        <v>0</v>
      </c>
      <c r="J761" s="3">
        <f>IF(OR(INDEX($O$2:$O$1001,MATCH(ROWS($N$2:N761),$N$2:$N$1001,0),1)&gt;=100000,INDEX($U$1005:$AC$1005,1,MATCH(COLUMNS($U$1006:AC1006),$U$1006:$AC$1006,0))&gt;=100000), " ",IF(INDEX($U$2:$AC$1001,MATCH(ROWS($N$2:N761),$N$2:$N$1001,0),MATCH(COLUMNS($U$1006:AC1006),$U$1006:$AC$1006,0)), HYPERLINK("#",""), HYPERLINK(CONCATENATE("#metadata!", ADDRESS(INDEX($P$2:$P$1001,MATCH(ROWS($N$2:N761),$N$2:$N$1001,0),0), INDEX($U$1004:$AC$1004,1,MATCH(COLUMNS($U$1006:AC1006),$U$1006:$AC$1006,0)))),"Fix")))</f>
        <v>0</v>
      </c>
      <c r="N761">
        <v>0</v>
      </c>
      <c r="O761">
        <v>0</v>
      </c>
      <c r="P761">
        <v>0</v>
      </c>
      <c r="Q761">
        <f>IF(R761,TRUE,AND(U761:AC761))</f>
        <v>0</v>
      </c>
      <c r="R761">
        <f>COUNTBLANK(metadata!B761:J761)=COLUMNS(metadata!B761:J761)</f>
        <v>0</v>
      </c>
      <c r="S761">
        <v>0</v>
      </c>
      <c r="U761">
        <f>AND(IF(metadata!B761="",FALSE,TRUE),COUNTIF(metadata!B:B, metadata!B761) = 1,NOT(ISERROR(SUMPRODUCT(SEARCH(MID(metadata!B761,ROW(INDIRECT("1:"&amp;LEN(metadata!B761))), 1),"0123456789abcdefghijklmnopqrstuvwxyzABCDEFGHIJKLMNOPQRSTUVWXYZ.")))))</f>
        <v>0</v>
      </c>
      <c r="V761">
        <f>AND(IF(metadata!C761="",FALSE,TRUE),exact(metadata!C761,"UBERON:genitourinary"))</f>
        <v>0</v>
      </c>
      <c r="W761">
        <f>AND(IF(metadata!D761="",FALSE,TRUE),exact(metadata!D761,"UBERON:urine"))</f>
        <v>0</v>
      </c>
      <c r="X761">
        <f>AND(IF(metadata!E761="",FALSE,TRUE),exact(metadata!E761,"UBERON:kidney"))</f>
        <v>0</v>
      </c>
      <c r="Y761">
        <f>AND(IF(metadata!F761="",FALSE,TRUE),exact(metadata!F761,"animal corpus"))</f>
        <v>0</v>
      </c>
      <c r="Z761">
        <f>AND(IF(metadata!G761="",FALSE,TRUE),exact(metadata!G761,"urine"))</f>
        <v>0</v>
      </c>
      <c r="AA761">
        <f>AND(IF(metadata!H761="",FALSE,TRUE),exact(metadata!H761,"urine"))</f>
        <v>0</v>
      </c>
      <c r="AB761">
        <f>AND(IF(metadata!I761="",FALSE,TRUE),exact(metadata!I761,"urine metagenome"))</f>
        <v>0</v>
      </c>
      <c r="AC761">
        <f>AND(IF(metadata!J761="",FALSE,TRUE),exact(metadata!J761,"1346744"))</f>
        <v>0</v>
      </c>
    </row>
    <row r="762" spans="1:29">
      <c r="A762" s="4">
        <f>IF(B762=" "," ",HYPERLINK(CONCATENATE("#metadata!",ADDRESS(INDEX($P$2:$P$1001,MATCH(ROWS($N$2:N762),$N$2:$N$1001,0),0),1)),INDEX($S$2:$S$1001,MATCH(ROWS($N$2:N762),$N$2:$N$1001,0),0)))</f>
        <v>0</v>
      </c>
      <c r="B762" s="3">
        <f>IF(OR(INDEX($O$2:$O$1001,MATCH(ROWS($N$2:N762),$N$2:$N$1001,0),1)&gt;=100000,INDEX($U$1005:$AC$1005,1,MATCH(COLUMNS($U$1006:U1006),$U$1006:$AC$1006,0))&gt;=100000), " ",IF(INDEX($U$2:$AC$1001,MATCH(ROWS($N$2:N762),$N$2:$N$1001,0),MATCH(COLUMNS($U$1006:U1006),$U$1006:$AC$1006,0)), HYPERLINK("#",""), HYPERLINK(CONCATENATE("#metadata!", ADDRESS(INDEX($P$2:$P$1001,MATCH(ROWS($N$2:N762),$N$2:$N$1001,0),0), INDEX($U$1004:$AC$1004,1,MATCH(COLUMNS($U$1006:U1006),$U$1006:$AC$1006,0)))),"Fix")))</f>
        <v>0</v>
      </c>
      <c r="C762" s="3">
        <f>IF(OR(INDEX($O$2:$O$1001,MATCH(ROWS($N$2:N762),$N$2:$N$1001,0),1)&gt;=100000,INDEX($U$1005:$AC$1005,1,MATCH(COLUMNS($U$1006:V1006),$U$1006:$AC$1006,0))&gt;=100000), " ",IF(INDEX($U$2:$AC$1001,MATCH(ROWS($N$2:N762),$N$2:$N$1001,0),MATCH(COLUMNS($U$1006:V1006),$U$1006:$AC$1006,0)), HYPERLINK("#",""), HYPERLINK(CONCATENATE("#metadata!", ADDRESS(INDEX($P$2:$P$1001,MATCH(ROWS($N$2:N762),$N$2:$N$1001,0),0), INDEX($U$1004:$AC$1004,1,MATCH(COLUMNS($U$1006:V1006),$U$1006:$AC$1006,0)))),"Fix")))</f>
        <v>0</v>
      </c>
      <c r="D762" s="3">
        <f>IF(OR(INDEX($O$2:$O$1001,MATCH(ROWS($N$2:N762),$N$2:$N$1001,0),1)&gt;=100000,INDEX($U$1005:$AC$1005,1,MATCH(COLUMNS($U$1006:W1006),$U$1006:$AC$1006,0))&gt;=100000), " ",IF(INDEX($U$2:$AC$1001,MATCH(ROWS($N$2:N762),$N$2:$N$1001,0),MATCH(COLUMNS($U$1006:W1006),$U$1006:$AC$1006,0)), HYPERLINK("#",""), HYPERLINK(CONCATENATE("#metadata!", ADDRESS(INDEX($P$2:$P$1001,MATCH(ROWS($N$2:N762),$N$2:$N$1001,0),0), INDEX($U$1004:$AC$1004,1,MATCH(COLUMNS($U$1006:W1006),$U$1006:$AC$1006,0)))),"Fix")))</f>
        <v>0</v>
      </c>
      <c r="E762" s="3">
        <f>IF(OR(INDEX($O$2:$O$1001,MATCH(ROWS($N$2:N762),$N$2:$N$1001,0),1)&gt;=100000,INDEX($U$1005:$AC$1005,1,MATCH(COLUMNS($U$1006:X1006),$U$1006:$AC$1006,0))&gt;=100000), " ",IF(INDEX($U$2:$AC$1001,MATCH(ROWS($N$2:N762),$N$2:$N$1001,0),MATCH(COLUMNS($U$1006:X1006),$U$1006:$AC$1006,0)), HYPERLINK("#",""), HYPERLINK(CONCATENATE("#metadata!", ADDRESS(INDEX($P$2:$P$1001,MATCH(ROWS($N$2:N762),$N$2:$N$1001,0),0), INDEX($U$1004:$AC$1004,1,MATCH(COLUMNS($U$1006:X1006),$U$1006:$AC$1006,0)))),"Fix")))</f>
        <v>0</v>
      </c>
      <c r="F762" s="3">
        <f>IF(OR(INDEX($O$2:$O$1001,MATCH(ROWS($N$2:N762),$N$2:$N$1001,0),1)&gt;=100000,INDEX($U$1005:$AC$1005,1,MATCH(COLUMNS($U$1006:Y1006),$U$1006:$AC$1006,0))&gt;=100000), " ",IF(INDEX($U$2:$AC$1001,MATCH(ROWS($N$2:N762),$N$2:$N$1001,0),MATCH(COLUMNS($U$1006:Y1006),$U$1006:$AC$1006,0)), HYPERLINK("#",""), HYPERLINK(CONCATENATE("#metadata!", ADDRESS(INDEX($P$2:$P$1001,MATCH(ROWS($N$2:N762),$N$2:$N$1001,0),0), INDEX($U$1004:$AC$1004,1,MATCH(COLUMNS($U$1006:Y1006),$U$1006:$AC$1006,0)))),"Fix")))</f>
        <v>0</v>
      </c>
      <c r="G762" s="3">
        <f>IF(OR(INDEX($O$2:$O$1001,MATCH(ROWS($N$2:N762),$N$2:$N$1001,0),1)&gt;=100000,INDEX($U$1005:$AC$1005,1,MATCH(COLUMNS($U$1006:Z1006),$U$1006:$AC$1006,0))&gt;=100000), " ",IF(INDEX($U$2:$AC$1001,MATCH(ROWS($N$2:N762),$N$2:$N$1001,0),MATCH(COLUMNS($U$1006:Z1006),$U$1006:$AC$1006,0)), HYPERLINK("#",""), HYPERLINK(CONCATENATE("#metadata!", ADDRESS(INDEX($P$2:$P$1001,MATCH(ROWS($N$2:N762),$N$2:$N$1001,0),0), INDEX($U$1004:$AC$1004,1,MATCH(COLUMNS($U$1006:Z1006),$U$1006:$AC$1006,0)))),"Fix")))</f>
        <v>0</v>
      </c>
      <c r="H762" s="3">
        <f>IF(OR(INDEX($O$2:$O$1001,MATCH(ROWS($N$2:N762),$N$2:$N$1001,0),1)&gt;=100000,INDEX($U$1005:$AC$1005,1,MATCH(COLUMNS($U$1006:AA1006),$U$1006:$AC$1006,0))&gt;=100000), " ",IF(INDEX($U$2:$AC$1001,MATCH(ROWS($N$2:N762),$N$2:$N$1001,0),MATCH(COLUMNS($U$1006:AA1006),$U$1006:$AC$1006,0)), HYPERLINK("#",""), HYPERLINK(CONCATENATE("#metadata!", ADDRESS(INDEX($P$2:$P$1001,MATCH(ROWS($N$2:N762),$N$2:$N$1001,0),0), INDEX($U$1004:$AC$1004,1,MATCH(COLUMNS($U$1006:AA1006),$U$1006:$AC$1006,0)))),"Fix")))</f>
        <v>0</v>
      </c>
      <c r="I762" s="3">
        <f>IF(OR(INDEX($O$2:$O$1001,MATCH(ROWS($N$2:N762),$N$2:$N$1001,0),1)&gt;=100000,INDEX($U$1005:$AC$1005,1,MATCH(COLUMNS($U$1006:AB1006),$U$1006:$AC$1006,0))&gt;=100000), " ",IF(INDEX($U$2:$AC$1001,MATCH(ROWS($N$2:N762),$N$2:$N$1001,0),MATCH(COLUMNS($U$1006:AB1006),$U$1006:$AC$1006,0)), HYPERLINK("#",""), HYPERLINK(CONCATENATE("#metadata!", ADDRESS(INDEX($P$2:$P$1001,MATCH(ROWS($N$2:N762),$N$2:$N$1001,0),0), INDEX($U$1004:$AC$1004,1,MATCH(COLUMNS($U$1006:AB1006),$U$1006:$AC$1006,0)))),"Fix")))</f>
        <v>0</v>
      </c>
      <c r="J762" s="3">
        <f>IF(OR(INDEX($O$2:$O$1001,MATCH(ROWS($N$2:N762),$N$2:$N$1001,0),1)&gt;=100000,INDEX($U$1005:$AC$1005,1,MATCH(COLUMNS($U$1006:AC1006),$U$1006:$AC$1006,0))&gt;=100000), " ",IF(INDEX($U$2:$AC$1001,MATCH(ROWS($N$2:N762),$N$2:$N$1001,0),MATCH(COLUMNS($U$1006:AC1006),$U$1006:$AC$1006,0)), HYPERLINK("#",""), HYPERLINK(CONCATENATE("#metadata!", ADDRESS(INDEX($P$2:$P$1001,MATCH(ROWS($N$2:N762),$N$2:$N$1001,0),0), INDEX($U$1004:$AC$1004,1,MATCH(COLUMNS($U$1006:AC1006),$U$1006:$AC$1006,0)))),"Fix")))</f>
        <v>0</v>
      </c>
      <c r="N762">
        <v>0</v>
      </c>
      <c r="O762">
        <v>0</v>
      </c>
      <c r="P762">
        <v>0</v>
      </c>
      <c r="Q762">
        <f>IF(R762,TRUE,AND(U762:AC762))</f>
        <v>0</v>
      </c>
      <c r="R762">
        <f>COUNTBLANK(metadata!B762:J762)=COLUMNS(metadata!B762:J762)</f>
        <v>0</v>
      </c>
      <c r="S762">
        <v>0</v>
      </c>
      <c r="U762">
        <f>AND(IF(metadata!B762="",FALSE,TRUE),COUNTIF(metadata!B:B, metadata!B762) = 1,NOT(ISERROR(SUMPRODUCT(SEARCH(MID(metadata!B762,ROW(INDIRECT("1:"&amp;LEN(metadata!B762))), 1),"0123456789abcdefghijklmnopqrstuvwxyzABCDEFGHIJKLMNOPQRSTUVWXYZ.")))))</f>
        <v>0</v>
      </c>
      <c r="V762">
        <f>AND(IF(metadata!C762="",FALSE,TRUE),exact(metadata!C762,"UBERON:genitourinary"))</f>
        <v>0</v>
      </c>
      <c r="W762">
        <f>AND(IF(metadata!D762="",FALSE,TRUE),exact(metadata!D762,"UBERON:urine"))</f>
        <v>0</v>
      </c>
      <c r="X762">
        <f>AND(IF(metadata!E762="",FALSE,TRUE),exact(metadata!E762,"UBERON:kidney"))</f>
        <v>0</v>
      </c>
      <c r="Y762">
        <f>AND(IF(metadata!F762="",FALSE,TRUE),exact(metadata!F762,"animal corpus"))</f>
        <v>0</v>
      </c>
      <c r="Z762">
        <f>AND(IF(metadata!G762="",FALSE,TRUE),exact(metadata!G762,"urine"))</f>
        <v>0</v>
      </c>
      <c r="AA762">
        <f>AND(IF(metadata!H762="",FALSE,TRUE),exact(metadata!H762,"urine"))</f>
        <v>0</v>
      </c>
      <c r="AB762">
        <f>AND(IF(metadata!I762="",FALSE,TRUE),exact(metadata!I762,"urine metagenome"))</f>
        <v>0</v>
      </c>
      <c r="AC762">
        <f>AND(IF(metadata!J762="",FALSE,TRUE),exact(metadata!J762,"1346744"))</f>
        <v>0</v>
      </c>
    </row>
    <row r="763" spans="1:29">
      <c r="A763" s="4">
        <f>IF(B763=" "," ",HYPERLINK(CONCATENATE("#metadata!",ADDRESS(INDEX($P$2:$P$1001,MATCH(ROWS($N$2:N763),$N$2:$N$1001,0),0),1)),INDEX($S$2:$S$1001,MATCH(ROWS($N$2:N763),$N$2:$N$1001,0),0)))</f>
        <v>0</v>
      </c>
      <c r="B763" s="3">
        <f>IF(OR(INDEX($O$2:$O$1001,MATCH(ROWS($N$2:N763),$N$2:$N$1001,0),1)&gt;=100000,INDEX($U$1005:$AC$1005,1,MATCH(COLUMNS($U$1006:U1006),$U$1006:$AC$1006,0))&gt;=100000), " ",IF(INDEX($U$2:$AC$1001,MATCH(ROWS($N$2:N763),$N$2:$N$1001,0),MATCH(COLUMNS($U$1006:U1006),$U$1006:$AC$1006,0)), HYPERLINK("#",""), HYPERLINK(CONCATENATE("#metadata!", ADDRESS(INDEX($P$2:$P$1001,MATCH(ROWS($N$2:N763),$N$2:$N$1001,0),0), INDEX($U$1004:$AC$1004,1,MATCH(COLUMNS($U$1006:U1006),$U$1006:$AC$1006,0)))),"Fix")))</f>
        <v>0</v>
      </c>
      <c r="C763" s="3">
        <f>IF(OR(INDEX($O$2:$O$1001,MATCH(ROWS($N$2:N763),$N$2:$N$1001,0),1)&gt;=100000,INDEX($U$1005:$AC$1005,1,MATCH(COLUMNS($U$1006:V1006),$U$1006:$AC$1006,0))&gt;=100000), " ",IF(INDEX($U$2:$AC$1001,MATCH(ROWS($N$2:N763),$N$2:$N$1001,0),MATCH(COLUMNS($U$1006:V1006),$U$1006:$AC$1006,0)), HYPERLINK("#",""), HYPERLINK(CONCATENATE("#metadata!", ADDRESS(INDEX($P$2:$P$1001,MATCH(ROWS($N$2:N763),$N$2:$N$1001,0),0), INDEX($U$1004:$AC$1004,1,MATCH(COLUMNS($U$1006:V1006),$U$1006:$AC$1006,0)))),"Fix")))</f>
        <v>0</v>
      </c>
      <c r="D763" s="3">
        <f>IF(OR(INDEX($O$2:$O$1001,MATCH(ROWS($N$2:N763),$N$2:$N$1001,0),1)&gt;=100000,INDEX($U$1005:$AC$1005,1,MATCH(COLUMNS($U$1006:W1006),$U$1006:$AC$1006,0))&gt;=100000), " ",IF(INDEX($U$2:$AC$1001,MATCH(ROWS($N$2:N763),$N$2:$N$1001,0),MATCH(COLUMNS($U$1006:W1006),$U$1006:$AC$1006,0)), HYPERLINK("#",""), HYPERLINK(CONCATENATE("#metadata!", ADDRESS(INDEX($P$2:$P$1001,MATCH(ROWS($N$2:N763),$N$2:$N$1001,0),0), INDEX($U$1004:$AC$1004,1,MATCH(COLUMNS($U$1006:W1006),$U$1006:$AC$1006,0)))),"Fix")))</f>
        <v>0</v>
      </c>
      <c r="E763" s="3">
        <f>IF(OR(INDEX($O$2:$O$1001,MATCH(ROWS($N$2:N763),$N$2:$N$1001,0),1)&gt;=100000,INDEX($U$1005:$AC$1005,1,MATCH(COLUMNS($U$1006:X1006),$U$1006:$AC$1006,0))&gt;=100000), " ",IF(INDEX($U$2:$AC$1001,MATCH(ROWS($N$2:N763),$N$2:$N$1001,0),MATCH(COLUMNS($U$1006:X1006),$U$1006:$AC$1006,0)), HYPERLINK("#",""), HYPERLINK(CONCATENATE("#metadata!", ADDRESS(INDEX($P$2:$P$1001,MATCH(ROWS($N$2:N763),$N$2:$N$1001,0),0), INDEX($U$1004:$AC$1004,1,MATCH(COLUMNS($U$1006:X1006),$U$1006:$AC$1006,0)))),"Fix")))</f>
        <v>0</v>
      </c>
      <c r="F763" s="3">
        <f>IF(OR(INDEX($O$2:$O$1001,MATCH(ROWS($N$2:N763),$N$2:$N$1001,0),1)&gt;=100000,INDEX($U$1005:$AC$1005,1,MATCH(COLUMNS($U$1006:Y1006),$U$1006:$AC$1006,0))&gt;=100000), " ",IF(INDEX($U$2:$AC$1001,MATCH(ROWS($N$2:N763),$N$2:$N$1001,0),MATCH(COLUMNS($U$1006:Y1006),$U$1006:$AC$1006,0)), HYPERLINK("#",""), HYPERLINK(CONCATENATE("#metadata!", ADDRESS(INDEX($P$2:$P$1001,MATCH(ROWS($N$2:N763),$N$2:$N$1001,0),0), INDEX($U$1004:$AC$1004,1,MATCH(COLUMNS($U$1006:Y1006),$U$1006:$AC$1006,0)))),"Fix")))</f>
        <v>0</v>
      </c>
      <c r="G763" s="3">
        <f>IF(OR(INDEX($O$2:$O$1001,MATCH(ROWS($N$2:N763),$N$2:$N$1001,0),1)&gt;=100000,INDEX($U$1005:$AC$1005,1,MATCH(COLUMNS($U$1006:Z1006),$U$1006:$AC$1006,0))&gt;=100000), " ",IF(INDEX($U$2:$AC$1001,MATCH(ROWS($N$2:N763),$N$2:$N$1001,0),MATCH(COLUMNS($U$1006:Z1006),$U$1006:$AC$1006,0)), HYPERLINK("#",""), HYPERLINK(CONCATENATE("#metadata!", ADDRESS(INDEX($P$2:$P$1001,MATCH(ROWS($N$2:N763),$N$2:$N$1001,0),0), INDEX($U$1004:$AC$1004,1,MATCH(COLUMNS($U$1006:Z1006),$U$1006:$AC$1006,0)))),"Fix")))</f>
        <v>0</v>
      </c>
      <c r="H763" s="3">
        <f>IF(OR(INDEX($O$2:$O$1001,MATCH(ROWS($N$2:N763),$N$2:$N$1001,0),1)&gt;=100000,INDEX($U$1005:$AC$1005,1,MATCH(COLUMNS($U$1006:AA1006),$U$1006:$AC$1006,0))&gt;=100000), " ",IF(INDEX($U$2:$AC$1001,MATCH(ROWS($N$2:N763),$N$2:$N$1001,0),MATCH(COLUMNS($U$1006:AA1006),$U$1006:$AC$1006,0)), HYPERLINK("#",""), HYPERLINK(CONCATENATE("#metadata!", ADDRESS(INDEX($P$2:$P$1001,MATCH(ROWS($N$2:N763),$N$2:$N$1001,0),0), INDEX($U$1004:$AC$1004,1,MATCH(COLUMNS($U$1006:AA1006),$U$1006:$AC$1006,0)))),"Fix")))</f>
        <v>0</v>
      </c>
      <c r="I763" s="3">
        <f>IF(OR(INDEX($O$2:$O$1001,MATCH(ROWS($N$2:N763),$N$2:$N$1001,0),1)&gt;=100000,INDEX($U$1005:$AC$1005,1,MATCH(COLUMNS($U$1006:AB1006),$U$1006:$AC$1006,0))&gt;=100000), " ",IF(INDEX($U$2:$AC$1001,MATCH(ROWS($N$2:N763),$N$2:$N$1001,0),MATCH(COLUMNS($U$1006:AB1006),$U$1006:$AC$1006,0)), HYPERLINK("#",""), HYPERLINK(CONCATENATE("#metadata!", ADDRESS(INDEX($P$2:$P$1001,MATCH(ROWS($N$2:N763),$N$2:$N$1001,0),0), INDEX($U$1004:$AC$1004,1,MATCH(COLUMNS($U$1006:AB1006),$U$1006:$AC$1006,0)))),"Fix")))</f>
        <v>0</v>
      </c>
      <c r="J763" s="3">
        <f>IF(OR(INDEX($O$2:$O$1001,MATCH(ROWS($N$2:N763),$N$2:$N$1001,0),1)&gt;=100000,INDEX($U$1005:$AC$1005,1,MATCH(COLUMNS($U$1006:AC1006),$U$1006:$AC$1006,0))&gt;=100000), " ",IF(INDEX($U$2:$AC$1001,MATCH(ROWS($N$2:N763),$N$2:$N$1001,0),MATCH(COLUMNS($U$1006:AC1006),$U$1006:$AC$1006,0)), HYPERLINK("#",""), HYPERLINK(CONCATENATE("#metadata!", ADDRESS(INDEX($P$2:$P$1001,MATCH(ROWS($N$2:N763),$N$2:$N$1001,0),0), INDEX($U$1004:$AC$1004,1,MATCH(COLUMNS($U$1006:AC1006),$U$1006:$AC$1006,0)))),"Fix")))</f>
        <v>0</v>
      </c>
      <c r="N763">
        <v>0</v>
      </c>
      <c r="O763">
        <v>0</v>
      </c>
      <c r="P763">
        <v>0</v>
      </c>
      <c r="Q763">
        <f>IF(R763,TRUE,AND(U763:AC763))</f>
        <v>0</v>
      </c>
      <c r="R763">
        <f>COUNTBLANK(metadata!B763:J763)=COLUMNS(metadata!B763:J763)</f>
        <v>0</v>
      </c>
      <c r="S763">
        <v>0</v>
      </c>
      <c r="U763">
        <f>AND(IF(metadata!B763="",FALSE,TRUE),COUNTIF(metadata!B:B, metadata!B763) = 1,NOT(ISERROR(SUMPRODUCT(SEARCH(MID(metadata!B763,ROW(INDIRECT("1:"&amp;LEN(metadata!B763))), 1),"0123456789abcdefghijklmnopqrstuvwxyzABCDEFGHIJKLMNOPQRSTUVWXYZ.")))))</f>
        <v>0</v>
      </c>
      <c r="V763">
        <f>AND(IF(metadata!C763="",FALSE,TRUE),exact(metadata!C763,"UBERON:genitourinary"))</f>
        <v>0</v>
      </c>
      <c r="W763">
        <f>AND(IF(metadata!D763="",FALSE,TRUE),exact(metadata!D763,"UBERON:urine"))</f>
        <v>0</v>
      </c>
      <c r="X763">
        <f>AND(IF(metadata!E763="",FALSE,TRUE),exact(metadata!E763,"UBERON:kidney"))</f>
        <v>0</v>
      </c>
      <c r="Y763">
        <f>AND(IF(metadata!F763="",FALSE,TRUE),exact(metadata!F763,"animal corpus"))</f>
        <v>0</v>
      </c>
      <c r="Z763">
        <f>AND(IF(metadata!G763="",FALSE,TRUE),exact(metadata!G763,"urine"))</f>
        <v>0</v>
      </c>
      <c r="AA763">
        <f>AND(IF(metadata!H763="",FALSE,TRUE),exact(metadata!H763,"urine"))</f>
        <v>0</v>
      </c>
      <c r="AB763">
        <f>AND(IF(metadata!I763="",FALSE,TRUE),exact(metadata!I763,"urine metagenome"))</f>
        <v>0</v>
      </c>
      <c r="AC763">
        <f>AND(IF(metadata!J763="",FALSE,TRUE),exact(metadata!J763,"1346744"))</f>
        <v>0</v>
      </c>
    </row>
    <row r="764" spans="1:29">
      <c r="A764" s="4">
        <f>IF(B764=" "," ",HYPERLINK(CONCATENATE("#metadata!",ADDRESS(INDEX($P$2:$P$1001,MATCH(ROWS($N$2:N764),$N$2:$N$1001,0),0),1)),INDEX($S$2:$S$1001,MATCH(ROWS($N$2:N764),$N$2:$N$1001,0),0)))</f>
        <v>0</v>
      </c>
      <c r="B764" s="3">
        <f>IF(OR(INDEX($O$2:$O$1001,MATCH(ROWS($N$2:N764),$N$2:$N$1001,0),1)&gt;=100000,INDEX($U$1005:$AC$1005,1,MATCH(COLUMNS($U$1006:U1006),$U$1006:$AC$1006,0))&gt;=100000), " ",IF(INDEX($U$2:$AC$1001,MATCH(ROWS($N$2:N764),$N$2:$N$1001,0),MATCH(COLUMNS($U$1006:U1006),$U$1006:$AC$1006,0)), HYPERLINK("#",""), HYPERLINK(CONCATENATE("#metadata!", ADDRESS(INDEX($P$2:$P$1001,MATCH(ROWS($N$2:N764),$N$2:$N$1001,0),0), INDEX($U$1004:$AC$1004,1,MATCH(COLUMNS($U$1006:U1006),$U$1006:$AC$1006,0)))),"Fix")))</f>
        <v>0</v>
      </c>
      <c r="C764" s="3">
        <f>IF(OR(INDEX($O$2:$O$1001,MATCH(ROWS($N$2:N764),$N$2:$N$1001,0),1)&gt;=100000,INDEX($U$1005:$AC$1005,1,MATCH(COLUMNS($U$1006:V1006),$U$1006:$AC$1006,0))&gt;=100000), " ",IF(INDEX($U$2:$AC$1001,MATCH(ROWS($N$2:N764),$N$2:$N$1001,0),MATCH(COLUMNS($U$1006:V1006),$U$1006:$AC$1006,0)), HYPERLINK("#",""), HYPERLINK(CONCATENATE("#metadata!", ADDRESS(INDEX($P$2:$P$1001,MATCH(ROWS($N$2:N764),$N$2:$N$1001,0),0), INDEX($U$1004:$AC$1004,1,MATCH(COLUMNS($U$1006:V1006),$U$1006:$AC$1006,0)))),"Fix")))</f>
        <v>0</v>
      </c>
      <c r="D764" s="3">
        <f>IF(OR(INDEX($O$2:$O$1001,MATCH(ROWS($N$2:N764),$N$2:$N$1001,0),1)&gt;=100000,INDEX($U$1005:$AC$1005,1,MATCH(COLUMNS($U$1006:W1006),$U$1006:$AC$1006,0))&gt;=100000), " ",IF(INDEX($U$2:$AC$1001,MATCH(ROWS($N$2:N764),$N$2:$N$1001,0),MATCH(COLUMNS($U$1006:W1006),$U$1006:$AC$1006,0)), HYPERLINK("#",""), HYPERLINK(CONCATENATE("#metadata!", ADDRESS(INDEX($P$2:$P$1001,MATCH(ROWS($N$2:N764),$N$2:$N$1001,0),0), INDEX($U$1004:$AC$1004,1,MATCH(COLUMNS($U$1006:W1006),$U$1006:$AC$1006,0)))),"Fix")))</f>
        <v>0</v>
      </c>
      <c r="E764" s="3">
        <f>IF(OR(INDEX($O$2:$O$1001,MATCH(ROWS($N$2:N764),$N$2:$N$1001,0),1)&gt;=100000,INDEX($U$1005:$AC$1005,1,MATCH(COLUMNS($U$1006:X1006),$U$1006:$AC$1006,0))&gt;=100000), " ",IF(INDEX($U$2:$AC$1001,MATCH(ROWS($N$2:N764),$N$2:$N$1001,0),MATCH(COLUMNS($U$1006:X1006),$U$1006:$AC$1006,0)), HYPERLINK("#",""), HYPERLINK(CONCATENATE("#metadata!", ADDRESS(INDEX($P$2:$P$1001,MATCH(ROWS($N$2:N764),$N$2:$N$1001,0),0), INDEX($U$1004:$AC$1004,1,MATCH(COLUMNS($U$1006:X1006),$U$1006:$AC$1006,0)))),"Fix")))</f>
        <v>0</v>
      </c>
      <c r="F764" s="3">
        <f>IF(OR(INDEX($O$2:$O$1001,MATCH(ROWS($N$2:N764),$N$2:$N$1001,0),1)&gt;=100000,INDEX($U$1005:$AC$1005,1,MATCH(COLUMNS($U$1006:Y1006),$U$1006:$AC$1006,0))&gt;=100000), " ",IF(INDEX($U$2:$AC$1001,MATCH(ROWS($N$2:N764),$N$2:$N$1001,0),MATCH(COLUMNS($U$1006:Y1006),$U$1006:$AC$1006,0)), HYPERLINK("#",""), HYPERLINK(CONCATENATE("#metadata!", ADDRESS(INDEX($P$2:$P$1001,MATCH(ROWS($N$2:N764),$N$2:$N$1001,0),0), INDEX($U$1004:$AC$1004,1,MATCH(COLUMNS($U$1006:Y1006),$U$1006:$AC$1006,0)))),"Fix")))</f>
        <v>0</v>
      </c>
      <c r="G764" s="3">
        <f>IF(OR(INDEX($O$2:$O$1001,MATCH(ROWS($N$2:N764),$N$2:$N$1001,0),1)&gt;=100000,INDEX($U$1005:$AC$1005,1,MATCH(COLUMNS($U$1006:Z1006),$U$1006:$AC$1006,0))&gt;=100000), " ",IF(INDEX($U$2:$AC$1001,MATCH(ROWS($N$2:N764),$N$2:$N$1001,0),MATCH(COLUMNS($U$1006:Z1006),$U$1006:$AC$1006,0)), HYPERLINK("#",""), HYPERLINK(CONCATENATE("#metadata!", ADDRESS(INDEX($P$2:$P$1001,MATCH(ROWS($N$2:N764),$N$2:$N$1001,0),0), INDEX($U$1004:$AC$1004,1,MATCH(COLUMNS($U$1006:Z1006),$U$1006:$AC$1006,0)))),"Fix")))</f>
        <v>0</v>
      </c>
      <c r="H764" s="3">
        <f>IF(OR(INDEX($O$2:$O$1001,MATCH(ROWS($N$2:N764),$N$2:$N$1001,0),1)&gt;=100000,INDEX($U$1005:$AC$1005,1,MATCH(COLUMNS($U$1006:AA1006),$U$1006:$AC$1006,0))&gt;=100000), " ",IF(INDEX($U$2:$AC$1001,MATCH(ROWS($N$2:N764),$N$2:$N$1001,0),MATCH(COLUMNS($U$1006:AA1006),$U$1006:$AC$1006,0)), HYPERLINK("#",""), HYPERLINK(CONCATENATE("#metadata!", ADDRESS(INDEX($P$2:$P$1001,MATCH(ROWS($N$2:N764),$N$2:$N$1001,0),0), INDEX($U$1004:$AC$1004,1,MATCH(COLUMNS($U$1006:AA1006),$U$1006:$AC$1006,0)))),"Fix")))</f>
        <v>0</v>
      </c>
      <c r="I764" s="3">
        <f>IF(OR(INDEX($O$2:$O$1001,MATCH(ROWS($N$2:N764),$N$2:$N$1001,0),1)&gt;=100000,INDEX($U$1005:$AC$1005,1,MATCH(COLUMNS($U$1006:AB1006),$U$1006:$AC$1006,0))&gt;=100000), " ",IF(INDEX($U$2:$AC$1001,MATCH(ROWS($N$2:N764),$N$2:$N$1001,0),MATCH(COLUMNS($U$1006:AB1006),$U$1006:$AC$1006,0)), HYPERLINK("#",""), HYPERLINK(CONCATENATE("#metadata!", ADDRESS(INDEX($P$2:$P$1001,MATCH(ROWS($N$2:N764),$N$2:$N$1001,0),0), INDEX($U$1004:$AC$1004,1,MATCH(COLUMNS($U$1006:AB1006),$U$1006:$AC$1006,0)))),"Fix")))</f>
        <v>0</v>
      </c>
      <c r="J764" s="3">
        <f>IF(OR(INDEX($O$2:$O$1001,MATCH(ROWS($N$2:N764),$N$2:$N$1001,0),1)&gt;=100000,INDEX($U$1005:$AC$1005,1,MATCH(COLUMNS($U$1006:AC1006),$U$1006:$AC$1006,0))&gt;=100000), " ",IF(INDEX($U$2:$AC$1001,MATCH(ROWS($N$2:N764),$N$2:$N$1001,0),MATCH(COLUMNS($U$1006:AC1006),$U$1006:$AC$1006,0)), HYPERLINK("#",""), HYPERLINK(CONCATENATE("#metadata!", ADDRESS(INDEX($P$2:$P$1001,MATCH(ROWS($N$2:N764),$N$2:$N$1001,0),0), INDEX($U$1004:$AC$1004,1,MATCH(COLUMNS($U$1006:AC1006),$U$1006:$AC$1006,0)))),"Fix")))</f>
        <v>0</v>
      </c>
      <c r="N764">
        <v>0</v>
      </c>
      <c r="O764">
        <v>0</v>
      </c>
      <c r="P764">
        <v>0</v>
      </c>
      <c r="Q764">
        <f>IF(R764,TRUE,AND(U764:AC764))</f>
        <v>0</v>
      </c>
      <c r="R764">
        <f>COUNTBLANK(metadata!B764:J764)=COLUMNS(metadata!B764:J764)</f>
        <v>0</v>
      </c>
      <c r="S764">
        <v>0</v>
      </c>
      <c r="U764">
        <f>AND(IF(metadata!B764="",FALSE,TRUE),COUNTIF(metadata!B:B, metadata!B764) = 1,NOT(ISERROR(SUMPRODUCT(SEARCH(MID(metadata!B764,ROW(INDIRECT("1:"&amp;LEN(metadata!B764))), 1),"0123456789abcdefghijklmnopqrstuvwxyzABCDEFGHIJKLMNOPQRSTUVWXYZ.")))))</f>
        <v>0</v>
      </c>
      <c r="V764">
        <f>AND(IF(metadata!C764="",FALSE,TRUE),exact(metadata!C764,"UBERON:genitourinary"))</f>
        <v>0</v>
      </c>
      <c r="W764">
        <f>AND(IF(metadata!D764="",FALSE,TRUE),exact(metadata!D764,"UBERON:urine"))</f>
        <v>0</v>
      </c>
      <c r="X764">
        <f>AND(IF(metadata!E764="",FALSE,TRUE),exact(metadata!E764,"UBERON:kidney"))</f>
        <v>0</v>
      </c>
      <c r="Y764">
        <f>AND(IF(metadata!F764="",FALSE,TRUE),exact(metadata!F764,"animal corpus"))</f>
        <v>0</v>
      </c>
      <c r="Z764">
        <f>AND(IF(metadata!G764="",FALSE,TRUE),exact(metadata!G764,"urine"))</f>
        <v>0</v>
      </c>
      <c r="AA764">
        <f>AND(IF(metadata!H764="",FALSE,TRUE),exact(metadata!H764,"urine"))</f>
        <v>0</v>
      </c>
      <c r="AB764">
        <f>AND(IF(metadata!I764="",FALSE,TRUE),exact(metadata!I764,"urine metagenome"))</f>
        <v>0</v>
      </c>
      <c r="AC764">
        <f>AND(IF(metadata!J764="",FALSE,TRUE),exact(metadata!J764,"1346744"))</f>
        <v>0</v>
      </c>
    </row>
    <row r="765" spans="1:29">
      <c r="A765" s="4">
        <f>IF(B765=" "," ",HYPERLINK(CONCATENATE("#metadata!",ADDRESS(INDEX($P$2:$P$1001,MATCH(ROWS($N$2:N765),$N$2:$N$1001,0),0),1)),INDEX($S$2:$S$1001,MATCH(ROWS($N$2:N765),$N$2:$N$1001,0),0)))</f>
        <v>0</v>
      </c>
      <c r="B765" s="3">
        <f>IF(OR(INDEX($O$2:$O$1001,MATCH(ROWS($N$2:N765),$N$2:$N$1001,0),1)&gt;=100000,INDEX($U$1005:$AC$1005,1,MATCH(COLUMNS($U$1006:U1006),$U$1006:$AC$1006,0))&gt;=100000), " ",IF(INDEX($U$2:$AC$1001,MATCH(ROWS($N$2:N765),$N$2:$N$1001,0),MATCH(COLUMNS($U$1006:U1006),$U$1006:$AC$1006,0)), HYPERLINK("#",""), HYPERLINK(CONCATENATE("#metadata!", ADDRESS(INDEX($P$2:$P$1001,MATCH(ROWS($N$2:N765),$N$2:$N$1001,0),0), INDEX($U$1004:$AC$1004,1,MATCH(COLUMNS($U$1006:U1006),$U$1006:$AC$1006,0)))),"Fix")))</f>
        <v>0</v>
      </c>
      <c r="C765" s="3">
        <f>IF(OR(INDEX($O$2:$O$1001,MATCH(ROWS($N$2:N765),$N$2:$N$1001,0),1)&gt;=100000,INDEX($U$1005:$AC$1005,1,MATCH(COLUMNS($U$1006:V1006),$U$1006:$AC$1006,0))&gt;=100000), " ",IF(INDEX($U$2:$AC$1001,MATCH(ROWS($N$2:N765),$N$2:$N$1001,0),MATCH(COLUMNS($U$1006:V1006),$U$1006:$AC$1006,0)), HYPERLINK("#",""), HYPERLINK(CONCATENATE("#metadata!", ADDRESS(INDEX($P$2:$P$1001,MATCH(ROWS($N$2:N765),$N$2:$N$1001,0),0), INDEX($U$1004:$AC$1004,1,MATCH(COLUMNS($U$1006:V1006),$U$1006:$AC$1006,0)))),"Fix")))</f>
        <v>0</v>
      </c>
      <c r="D765" s="3">
        <f>IF(OR(INDEX($O$2:$O$1001,MATCH(ROWS($N$2:N765),$N$2:$N$1001,0),1)&gt;=100000,INDEX($U$1005:$AC$1005,1,MATCH(COLUMNS($U$1006:W1006),$U$1006:$AC$1006,0))&gt;=100000), " ",IF(INDEX($U$2:$AC$1001,MATCH(ROWS($N$2:N765),$N$2:$N$1001,0),MATCH(COLUMNS($U$1006:W1006),$U$1006:$AC$1006,0)), HYPERLINK("#",""), HYPERLINK(CONCATENATE("#metadata!", ADDRESS(INDEX($P$2:$P$1001,MATCH(ROWS($N$2:N765),$N$2:$N$1001,0),0), INDEX($U$1004:$AC$1004,1,MATCH(COLUMNS($U$1006:W1006),$U$1006:$AC$1006,0)))),"Fix")))</f>
        <v>0</v>
      </c>
      <c r="E765" s="3">
        <f>IF(OR(INDEX($O$2:$O$1001,MATCH(ROWS($N$2:N765),$N$2:$N$1001,0),1)&gt;=100000,INDEX($U$1005:$AC$1005,1,MATCH(COLUMNS($U$1006:X1006),$U$1006:$AC$1006,0))&gt;=100000), " ",IF(INDEX($U$2:$AC$1001,MATCH(ROWS($N$2:N765),$N$2:$N$1001,0),MATCH(COLUMNS($U$1006:X1006),$U$1006:$AC$1006,0)), HYPERLINK("#",""), HYPERLINK(CONCATENATE("#metadata!", ADDRESS(INDEX($P$2:$P$1001,MATCH(ROWS($N$2:N765),$N$2:$N$1001,0),0), INDEX($U$1004:$AC$1004,1,MATCH(COLUMNS($U$1006:X1006),$U$1006:$AC$1006,0)))),"Fix")))</f>
        <v>0</v>
      </c>
      <c r="F765" s="3">
        <f>IF(OR(INDEX($O$2:$O$1001,MATCH(ROWS($N$2:N765),$N$2:$N$1001,0),1)&gt;=100000,INDEX($U$1005:$AC$1005,1,MATCH(COLUMNS($U$1006:Y1006),$U$1006:$AC$1006,0))&gt;=100000), " ",IF(INDEX($U$2:$AC$1001,MATCH(ROWS($N$2:N765),$N$2:$N$1001,0),MATCH(COLUMNS($U$1006:Y1006),$U$1006:$AC$1006,0)), HYPERLINK("#",""), HYPERLINK(CONCATENATE("#metadata!", ADDRESS(INDEX($P$2:$P$1001,MATCH(ROWS($N$2:N765),$N$2:$N$1001,0),0), INDEX($U$1004:$AC$1004,1,MATCH(COLUMNS($U$1006:Y1006),$U$1006:$AC$1006,0)))),"Fix")))</f>
        <v>0</v>
      </c>
      <c r="G765" s="3">
        <f>IF(OR(INDEX($O$2:$O$1001,MATCH(ROWS($N$2:N765),$N$2:$N$1001,0),1)&gt;=100000,INDEX($U$1005:$AC$1005,1,MATCH(COLUMNS($U$1006:Z1006),$U$1006:$AC$1006,0))&gt;=100000), " ",IF(INDEX($U$2:$AC$1001,MATCH(ROWS($N$2:N765),$N$2:$N$1001,0),MATCH(COLUMNS($U$1006:Z1006),$U$1006:$AC$1006,0)), HYPERLINK("#",""), HYPERLINK(CONCATENATE("#metadata!", ADDRESS(INDEX($P$2:$P$1001,MATCH(ROWS($N$2:N765),$N$2:$N$1001,0),0), INDEX($U$1004:$AC$1004,1,MATCH(COLUMNS($U$1006:Z1006),$U$1006:$AC$1006,0)))),"Fix")))</f>
        <v>0</v>
      </c>
      <c r="H765" s="3">
        <f>IF(OR(INDEX($O$2:$O$1001,MATCH(ROWS($N$2:N765),$N$2:$N$1001,0),1)&gt;=100000,INDEX($U$1005:$AC$1005,1,MATCH(COLUMNS($U$1006:AA1006),$U$1006:$AC$1006,0))&gt;=100000), " ",IF(INDEX($U$2:$AC$1001,MATCH(ROWS($N$2:N765),$N$2:$N$1001,0),MATCH(COLUMNS($U$1006:AA1006),$U$1006:$AC$1006,0)), HYPERLINK("#",""), HYPERLINK(CONCATENATE("#metadata!", ADDRESS(INDEX($P$2:$P$1001,MATCH(ROWS($N$2:N765),$N$2:$N$1001,0),0), INDEX($U$1004:$AC$1004,1,MATCH(COLUMNS($U$1006:AA1006),$U$1006:$AC$1006,0)))),"Fix")))</f>
        <v>0</v>
      </c>
      <c r="I765" s="3">
        <f>IF(OR(INDEX($O$2:$O$1001,MATCH(ROWS($N$2:N765),$N$2:$N$1001,0),1)&gt;=100000,INDEX($U$1005:$AC$1005,1,MATCH(COLUMNS($U$1006:AB1006),$U$1006:$AC$1006,0))&gt;=100000), " ",IF(INDEX($U$2:$AC$1001,MATCH(ROWS($N$2:N765),$N$2:$N$1001,0),MATCH(COLUMNS($U$1006:AB1006),$U$1006:$AC$1006,0)), HYPERLINK("#",""), HYPERLINK(CONCATENATE("#metadata!", ADDRESS(INDEX($P$2:$P$1001,MATCH(ROWS($N$2:N765),$N$2:$N$1001,0),0), INDEX($U$1004:$AC$1004,1,MATCH(COLUMNS($U$1006:AB1006),$U$1006:$AC$1006,0)))),"Fix")))</f>
        <v>0</v>
      </c>
      <c r="J765" s="3">
        <f>IF(OR(INDEX($O$2:$O$1001,MATCH(ROWS($N$2:N765),$N$2:$N$1001,0),1)&gt;=100000,INDEX($U$1005:$AC$1005,1,MATCH(COLUMNS($U$1006:AC1006),$U$1006:$AC$1006,0))&gt;=100000), " ",IF(INDEX($U$2:$AC$1001,MATCH(ROWS($N$2:N765),$N$2:$N$1001,0),MATCH(COLUMNS($U$1006:AC1006),$U$1006:$AC$1006,0)), HYPERLINK("#",""), HYPERLINK(CONCATENATE("#metadata!", ADDRESS(INDEX($P$2:$P$1001,MATCH(ROWS($N$2:N765),$N$2:$N$1001,0),0), INDEX($U$1004:$AC$1004,1,MATCH(COLUMNS($U$1006:AC1006),$U$1006:$AC$1006,0)))),"Fix")))</f>
        <v>0</v>
      </c>
      <c r="N765">
        <v>0</v>
      </c>
      <c r="O765">
        <v>0</v>
      </c>
      <c r="P765">
        <v>0</v>
      </c>
      <c r="Q765">
        <f>IF(R765,TRUE,AND(U765:AC765))</f>
        <v>0</v>
      </c>
      <c r="R765">
        <f>COUNTBLANK(metadata!B765:J765)=COLUMNS(metadata!B765:J765)</f>
        <v>0</v>
      </c>
      <c r="S765">
        <v>0</v>
      </c>
      <c r="U765">
        <f>AND(IF(metadata!B765="",FALSE,TRUE),COUNTIF(metadata!B:B, metadata!B765) = 1,NOT(ISERROR(SUMPRODUCT(SEARCH(MID(metadata!B765,ROW(INDIRECT("1:"&amp;LEN(metadata!B765))), 1),"0123456789abcdefghijklmnopqrstuvwxyzABCDEFGHIJKLMNOPQRSTUVWXYZ.")))))</f>
        <v>0</v>
      </c>
      <c r="V765">
        <f>AND(IF(metadata!C765="",FALSE,TRUE),exact(metadata!C765,"UBERON:genitourinary"))</f>
        <v>0</v>
      </c>
      <c r="W765">
        <f>AND(IF(metadata!D765="",FALSE,TRUE),exact(metadata!D765,"UBERON:urine"))</f>
        <v>0</v>
      </c>
      <c r="X765">
        <f>AND(IF(metadata!E765="",FALSE,TRUE),exact(metadata!E765,"UBERON:kidney"))</f>
        <v>0</v>
      </c>
      <c r="Y765">
        <f>AND(IF(metadata!F765="",FALSE,TRUE),exact(metadata!F765,"animal corpus"))</f>
        <v>0</v>
      </c>
      <c r="Z765">
        <f>AND(IF(metadata!G765="",FALSE,TRUE),exact(metadata!G765,"urine"))</f>
        <v>0</v>
      </c>
      <c r="AA765">
        <f>AND(IF(metadata!H765="",FALSE,TRUE),exact(metadata!H765,"urine"))</f>
        <v>0</v>
      </c>
      <c r="AB765">
        <f>AND(IF(metadata!I765="",FALSE,TRUE),exact(metadata!I765,"urine metagenome"))</f>
        <v>0</v>
      </c>
      <c r="AC765">
        <f>AND(IF(metadata!J765="",FALSE,TRUE),exact(metadata!J765,"1346744"))</f>
        <v>0</v>
      </c>
    </row>
    <row r="766" spans="1:29">
      <c r="A766" s="4">
        <f>IF(B766=" "," ",HYPERLINK(CONCATENATE("#metadata!",ADDRESS(INDEX($P$2:$P$1001,MATCH(ROWS($N$2:N766),$N$2:$N$1001,0),0),1)),INDEX($S$2:$S$1001,MATCH(ROWS($N$2:N766),$N$2:$N$1001,0),0)))</f>
        <v>0</v>
      </c>
      <c r="B766" s="3">
        <f>IF(OR(INDEX($O$2:$O$1001,MATCH(ROWS($N$2:N766),$N$2:$N$1001,0),1)&gt;=100000,INDEX($U$1005:$AC$1005,1,MATCH(COLUMNS($U$1006:U1006),$U$1006:$AC$1006,0))&gt;=100000), " ",IF(INDEX($U$2:$AC$1001,MATCH(ROWS($N$2:N766),$N$2:$N$1001,0),MATCH(COLUMNS($U$1006:U1006),$U$1006:$AC$1006,0)), HYPERLINK("#",""), HYPERLINK(CONCATENATE("#metadata!", ADDRESS(INDEX($P$2:$P$1001,MATCH(ROWS($N$2:N766),$N$2:$N$1001,0),0), INDEX($U$1004:$AC$1004,1,MATCH(COLUMNS($U$1006:U1006),$U$1006:$AC$1006,0)))),"Fix")))</f>
        <v>0</v>
      </c>
      <c r="C766" s="3">
        <f>IF(OR(INDEX($O$2:$O$1001,MATCH(ROWS($N$2:N766),$N$2:$N$1001,0),1)&gt;=100000,INDEX($U$1005:$AC$1005,1,MATCH(COLUMNS($U$1006:V1006),$U$1006:$AC$1006,0))&gt;=100000), " ",IF(INDEX($U$2:$AC$1001,MATCH(ROWS($N$2:N766),$N$2:$N$1001,0),MATCH(COLUMNS($U$1006:V1006),$U$1006:$AC$1006,0)), HYPERLINK("#",""), HYPERLINK(CONCATENATE("#metadata!", ADDRESS(INDEX($P$2:$P$1001,MATCH(ROWS($N$2:N766),$N$2:$N$1001,0),0), INDEX($U$1004:$AC$1004,1,MATCH(COLUMNS($U$1006:V1006),$U$1006:$AC$1006,0)))),"Fix")))</f>
        <v>0</v>
      </c>
      <c r="D766" s="3">
        <f>IF(OR(INDEX($O$2:$O$1001,MATCH(ROWS($N$2:N766),$N$2:$N$1001,0),1)&gt;=100000,INDEX($U$1005:$AC$1005,1,MATCH(COLUMNS($U$1006:W1006),$U$1006:$AC$1006,0))&gt;=100000), " ",IF(INDEX($U$2:$AC$1001,MATCH(ROWS($N$2:N766),$N$2:$N$1001,0),MATCH(COLUMNS($U$1006:W1006),$U$1006:$AC$1006,0)), HYPERLINK("#",""), HYPERLINK(CONCATENATE("#metadata!", ADDRESS(INDEX($P$2:$P$1001,MATCH(ROWS($N$2:N766),$N$2:$N$1001,0),0), INDEX($U$1004:$AC$1004,1,MATCH(COLUMNS($U$1006:W1006),$U$1006:$AC$1006,0)))),"Fix")))</f>
        <v>0</v>
      </c>
      <c r="E766" s="3">
        <f>IF(OR(INDEX($O$2:$O$1001,MATCH(ROWS($N$2:N766),$N$2:$N$1001,0),1)&gt;=100000,INDEX($U$1005:$AC$1005,1,MATCH(COLUMNS($U$1006:X1006),$U$1006:$AC$1006,0))&gt;=100000), " ",IF(INDEX($U$2:$AC$1001,MATCH(ROWS($N$2:N766),$N$2:$N$1001,0),MATCH(COLUMNS($U$1006:X1006),$U$1006:$AC$1006,0)), HYPERLINK("#",""), HYPERLINK(CONCATENATE("#metadata!", ADDRESS(INDEX($P$2:$P$1001,MATCH(ROWS($N$2:N766),$N$2:$N$1001,0),0), INDEX($U$1004:$AC$1004,1,MATCH(COLUMNS($U$1006:X1006),$U$1006:$AC$1006,0)))),"Fix")))</f>
        <v>0</v>
      </c>
      <c r="F766" s="3">
        <f>IF(OR(INDEX($O$2:$O$1001,MATCH(ROWS($N$2:N766),$N$2:$N$1001,0),1)&gt;=100000,INDEX($U$1005:$AC$1005,1,MATCH(COLUMNS($U$1006:Y1006),$U$1006:$AC$1006,0))&gt;=100000), " ",IF(INDEX($U$2:$AC$1001,MATCH(ROWS($N$2:N766),$N$2:$N$1001,0),MATCH(COLUMNS($U$1006:Y1006),$U$1006:$AC$1006,0)), HYPERLINK("#",""), HYPERLINK(CONCATENATE("#metadata!", ADDRESS(INDEX($P$2:$P$1001,MATCH(ROWS($N$2:N766),$N$2:$N$1001,0),0), INDEX($U$1004:$AC$1004,1,MATCH(COLUMNS($U$1006:Y1006),$U$1006:$AC$1006,0)))),"Fix")))</f>
        <v>0</v>
      </c>
      <c r="G766" s="3">
        <f>IF(OR(INDEX($O$2:$O$1001,MATCH(ROWS($N$2:N766),$N$2:$N$1001,0),1)&gt;=100000,INDEX($U$1005:$AC$1005,1,MATCH(COLUMNS($U$1006:Z1006),$U$1006:$AC$1006,0))&gt;=100000), " ",IF(INDEX($U$2:$AC$1001,MATCH(ROWS($N$2:N766),$N$2:$N$1001,0),MATCH(COLUMNS($U$1006:Z1006),$U$1006:$AC$1006,0)), HYPERLINK("#",""), HYPERLINK(CONCATENATE("#metadata!", ADDRESS(INDEX($P$2:$P$1001,MATCH(ROWS($N$2:N766),$N$2:$N$1001,0),0), INDEX($U$1004:$AC$1004,1,MATCH(COLUMNS($U$1006:Z1006),$U$1006:$AC$1006,0)))),"Fix")))</f>
        <v>0</v>
      </c>
      <c r="H766" s="3">
        <f>IF(OR(INDEX($O$2:$O$1001,MATCH(ROWS($N$2:N766),$N$2:$N$1001,0),1)&gt;=100000,INDEX($U$1005:$AC$1005,1,MATCH(COLUMNS($U$1006:AA1006),$U$1006:$AC$1006,0))&gt;=100000), " ",IF(INDEX($U$2:$AC$1001,MATCH(ROWS($N$2:N766),$N$2:$N$1001,0),MATCH(COLUMNS($U$1006:AA1006),$U$1006:$AC$1006,0)), HYPERLINK("#",""), HYPERLINK(CONCATENATE("#metadata!", ADDRESS(INDEX($P$2:$P$1001,MATCH(ROWS($N$2:N766),$N$2:$N$1001,0),0), INDEX($U$1004:$AC$1004,1,MATCH(COLUMNS($U$1006:AA1006),$U$1006:$AC$1006,0)))),"Fix")))</f>
        <v>0</v>
      </c>
      <c r="I766" s="3">
        <f>IF(OR(INDEX($O$2:$O$1001,MATCH(ROWS($N$2:N766),$N$2:$N$1001,0),1)&gt;=100000,INDEX($U$1005:$AC$1005,1,MATCH(COLUMNS($U$1006:AB1006),$U$1006:$AC$1006,0))&gt;=100000), " ",IF(INDEX($U$2:$AC$1001,MATCH(ROWS($N$2:N766),$N$2:$N$1001,0),MATCH(COLUMNS($U$1006:AB1006),$U$1006:$AC$1006,0)), HYPERLINK("#",""), HYPERLINK(CONCATENATE("#metadata!", ADDRESS(INDEX($P$2:$P$1001,MATCH(ROWS($N$2:N766),$N$2:$N$1001,0),0), INDEX($U$1004:$AC$1004,1,MATCH(COLUMNS($U$1006:AB1006),$U$1006:$AC$1006,0)))),"Fix")))</f>
        <v>0</v>
      </c>
      <c r="J766" s="3">
        <f>IF(OR(INDEX($O$2:$O$1001,MATCH(ROWS($N$2:N766),$N$2:$N$1001,0),1)&gt;=100000,INDEX($U$1005:$AC$1005,1,MATCH(COLUMNS($U$1006:AC1006),$U$1006:$AC$1006,0))&gt;=100000), " ",IF(INDEX($U$2:$AC$1001,MATCH(ROWS($N$2:N766),$N$2:$N$1001,0),MATCH(COLUMNS($U$1006:AC1006),$U$1006:$AC$1006,0)), HYPERLINK("#",""), HYPERLINK(CONCATENATE("#metadata!", ADDRESS(INDEX($P$2:$P$1001,MATCH(ROWS($N$2:N766),$N$2:$N$1001,0),0), INDEX($U$1004:$AC$1004,1,MATCH(COLUMNS($U$1006:AC1006),$U$1006:$AC$1006,0)))),"Fix")))</f>
        <v>0</v>
      </c>
      <c r="N766">
        <v>0</v>
      </c>
      <c r="O766">
        <v>0</v>
      </c>
      <c r="P766">
        <v>0</v>
      </c>
      <c r="Q766">
        <f>IF(R766,TRUE,AND(U766:AC766))</f>
        <v>0</v>
      </c>
      <c r="R766">
        <f>COUNTBLANK(metadata!B766:J766)=COLUMNS(metadata!B766:J766)</f>
        <v>0</v>
      </c>
      <c r="S766">
        <v>0</v>
      </c>
      <c r="U766">
        <f>AND(IF(metadata!B766="",FALSE,TRUE),COUNTIF(metadata!B:B, metadata!B766) = 1,NOT(ISERROR(SUMPRODUCT(SEARCH(MID(metadata!B766,ROW(INDIRECT("1:"&amp;LEN(metadata!B766))), 1),"0123456789abcdefghijklmnopqrstuvwxyzABCDEFGHIJKLMNOPQRSTUVWXYZ.")))))</f>
        <v>0</v>
      </c>
      <c r="V766">
        <f>AND(IF(metadata!C766="",FALSE,TRUE),exact(metadata!C766,"UBERON:genitourinary"))</f>
        <v>0</v>
      </c>
      <c r="W766">
        <f>AND(IF(metadata!D766="",FALSE,TRUE),exact(metadata!D766,"UBERON:urine"))</f>
        <v>0</v>
      </c>
      <c r="X766">
        <f>AND(IF(metadata!E766="",FALSE,TRUE),exact(metadata!E766,"UBERON:kidney"))</f>
        <v>0</v>
      </c>
      <c r="Y766">
        <f>AND(IF(metadata!F766="",FALSE,TRUE),exact(metadata!F766,"animal corpus"))</f>
        <v>0</v>
      </c>
      <c r="Z766">
        <f>AND(IF(metadata!G766="",FALSE,TRUE),exact(metadata!G766,"urine"))</f>
        <v>0</v>
      </c>
      <c r="AA766">
        <f>AND(IF(metadata!H766="",FALSE,TRUE),exact(metadata!H766,"urine"))</f>
        <v>0</v>
      </c>
      <c r="AB766">
        <f>AND(IF(metadata!I766="",FALSE,TRUE),exact(metadata!I766,"urine metagenome"))</f>
        <v>0</v>
      </c>
      <c r="AC766">
        <f>AND(IF(metadata!J766="",FALSE,TRUE),exact(metadata!J766,"1346744"))</f>
        <v>0</v>
      </c>
    </row>
    <row r="767" spans="1:29">
      <c r="A767" s="4">
        <f>IF(B767=" "," ",HYPERLINK(CONCATENATE("#metadata!",ADDRESS(INDEX($P$2:$P$1001,MATCH(ROWS($N$2:N767),$N$2:$N$1001,0),0),1)),INDEX($S$2:$S$1001,MATCH(ROWS($N$2:N767),$N$2:$N$1001,0),0)))</f>
        <v>0</v>
      </c>
      <c r="B767" s="3">
        <f>IF(OR(INDEX($O$2:$O$1001,MATCH(ROWS($N$2:N767),$N$2:$N$1001,0),1)&gt;=100000,INDEX($U$1005:$AC$1005,1,MATCH(COLUMNS($U$1006:U1006),$U$1006:$AC$1006,0))&gt;=100000), " ",IF(INDEX($U$2:$AC$1001,MATCH(ROWS($N$2:N767),$N$2:$N$1001,0),MATCH(COLUMNS($U$1006:U1006),$U$1006:$AC$1006,0)), HYPERLINK("#",""), HYPERLINK(CONCATENATE("#metadata!", ADDRESS(INDEX($P$2:$P$1001,MATCH(ROWS($N$2:N767),$N$2:$N$1001,0),0), INDEX($U$1004:$AC$1004,1,MATCH(COLUMNS($U$1006:U1006),$U$1006:$AC$1006,0)))),"Fix")))</f>
        <v>0</v>
      </c>
      <c r="C767" s="3">
        <f>IF(OR(INDEX($O$2:$O$1001,MATCH(ROWS($N$2:N767),$N$2:$N$1001,0),1)&gt;=100000,INDEX($U$1005:$AC$1005,1,MATCH(COLUMNS($U$1006:V1006),$U$1006:$AC$1006,0))&gt;=100000), " ",IF(INDEX($U$2:$AC$1001,MATCH(ROWS($N$2:N767),$N$2:$N$1001,0),MATCH(COLUMNS($U$1006:V1006),$U$1006:$AC$1006,0)), HYPERLINK("#",""), HYPERLINK(CONCATENATE("#metadata!", ADDRESS(INDEX($P$2:$P$1001,MATCH(ROWS($N$2:N767),$N$2:$N$1001,0),0), INDEX($U$1004:$AC$1004,1,MATCH(COLUMNS($U$1006:V1006),$U$1006:$AC$1006,0)))),"Fix")))</f>
        <v>0</v>
      </c>
      <c r="D767" s="3">
        <f>IF(OR(INDEX($O$2:$O$1001,MATCH(ROWS($N$2:N767),$N$2:$N$1001,0),1)&gt;=100000,INDEX($U$1005:$AC$1005,1,MATCH(COLUMNS($U$1006:W1006),$U$1006:$AC$1006,0))&gt;=100000), " ",IF(INDEX($U$2:$AC$1001,MATCH(ROWS($N$2:N767),$N$2:$N$1001,0),MATCH(COLUMNS($U$1006:W1006),$U$1006:$AC$1006,0)), HYPERLINK("#",""), HYPERLINK(CONCATENATE("#metadata!", ADDRESS(INDEX($P$2:$P$1001,MATCH(ROWS($N$2:N767),$N$2:$N$1001,0),0), INDEX($U$1004:$AC$1004,1,MATCH(COLUMNS($U$1006:W1006),$U$1006:$AC$1006,0)))),"Fix")))</f>
        <v>0</v>
      </c>
      <c r="E767" s="3">
        <f>IF(OR(INDEX($O$2:$O$1001,MATCH(ROWS($N$2:N767),$N$2:$N$1001,0),1)&gt;=100000,INDEX($U$1005:$AC$1005,1,MATCH(COLUMNS($U$1006:X1006),$U$1006:$AC$1006,0))&gt;=100000), " ",IF(INDEX($U$2:$AC$1001,MATCH(ROWS($N$2:N767),$N$2:$N$1001,0),MATCH(COLUMNS($U$1006:X1006),$U$1006:$AC$1006,0)), HYPERLINK("#",""), HYPERLINK(CONCATENATE("#metadata!", ADDRESS(INDEX($P$2:$P$1001,MATCH(ROWS($N$2:N767),$N$2:$N$1001,0),0), INDEX($U$1004:$AC$1004,1,MATCH(COLUMNS($U$1006:X1006),$U$1006:$AC$1006,0)))),"Fix")))</f>
        <v>0</v>
      </c>
      <c r="F767" s="3">
        <f>IF(OR(INDEX($O$2:$O$1001,MATCH(ROWS($N$2:N767),$N$2:$N$1001,0),1)&gt;=100000,INDEX($U$1005:$AC$1005,1,MATCH(COLUMNS($U$1006:Y1006),$U$1006:$AC$1006,0))&gt;=100000), " ",IF(INDEX($U$2:$AC$1001,MATCH(ROWS($N$2:N767),$N$2:$N$1001,0),MATCH(COLUMNS($U$1006:Y1006),$U$1006:$AC$1006,0)), HYPERLINK("#",""), HYPERLINK(CONCATENATE("#metadata!", ADDRESS(INDEX($P$2:$P$1001,MATCH(ROWS($N$2:N767),$N$2:$N$1001,0),0), INDEX($U$1004:$AC$1004,1,MATCH(COLUMNS($U$1006:Y1006),$U$1006:$AC$1006,0)))),"Fix")))</f>
        <v>0</v>
      </c>
      <c r="G767" s="3">
        <f>IF(OR(INDEX($O$2:$O$1001,MATCH(ROWS($N$2:N767),$N$2:$N$1001,0),1)&gt;=100000,INDEX($U$1005:$AC$1005,1,MATCH(COLUMNS($U$1006:Z1006),$U$1006:$AC$1006,0))&gt;=100000), " ",IF(INDEX($U$2:$AC$1001,MATCH(ROWS($N$2:N767),$N$2:$N$1001,0),MATCH(COLUMNS($U$1006:Z1006),$U$1006:$AC$1006,0)), HYPERLINK("#",""), HYPERLINK(CONCATENATE("#metadata!", ADDRESS(INDEX($P$2:$P$1001,MATCH(ROWS($N$2:N767),$N$2:$N$1001,0),0), INDEX($U$1004:$AC$1004,1,MATCH(COLUMNS($U$1006:Z1006),$U$1006:$AC$1006,0)))),"Fix")))</f>
        <v>0</v>
      </c>
      <c r="H767" s="3">
        <f>IF(OR(INDEX($O$2:$O$1001,MATCH(ROWS($N$2:N767),$N$2:$N$1001,0),1)&gt;=100000,INDEX($U$1005:$AC$1005,1,MATCH(COLUMNS($U$1006:AA1006),$U$1006:$AC$1006,0))&gt;=100000), " ",IF(INDEX($U$2:$AC$1001,MATCH(ROWS($N$2:N767),$N$2:$N$1001,0),MATCH(COLUMNS($U$1006:AA1006),$U$1006:$AC$1006,0)), HYPERLINK("#",""), HYPERLINK(CONCATENATE("#metadata!", ADDRESS(INDEX($P$2:$P$1001,MATCH(ROWS($N$2:N767),$N$2:$N$1001,0),0), INDEX($U$1004:$AC$1004,1,MATCH(COLUMNS($U$1006:AA1006),$U$1006:$AC$1006,0)))),"Fix")))</f>
        <v>0</v>
      </c>
      <c r="I767" s="3">
        <f>IF(OR(INDEX($O$2:$O$1001,MATCH(ROWS($N$2:N767),$N$2:$N$1001,0),1)&gt;=100000,INDEX($U$1005:$AC$1005,1,MATCH(COLUMNS($U$1006:AB1006),$U$1006:$AC$1006,0))&gt;=100000), " ",IF(INDEX($U$2:$AC$1001,MATCH(ROWS($N$2:N767),$N$2:$N$1001,0),MATCH(COLUMNS($U$1006:AB1006),$U$1006:$AC$1006,0)), HYPERLINK("#",""), HYPERLINK(CONCATENATE("#metadata!", ADDRESS(INDEX($P$2:$P$1001,MATCH(ROWS($N$2:N767),$N$2:$N$1001,0),0), INDEX($U$1004:$AC$1004,1,MATCH(COLUMNS($U$1006:AB1006),$U$1006:$AC$1006,0)))),"Fix")))</f>
        <v>0</v>
      </c>
      <c r="J767" s="3">
        <f>IF(OR(INDEX($O$2:$O$1001,MATCH(ROWS($N$2:N767),$N$2:$N$1001,0),1)&gt;=100000,INDEX($U$1005:$AC$1005,1,MATCH(COLUMNS($U$1006:AC1006),$U$1006:$AC$1006,0))&gt;=100000), " ",IF(INDEX($U$2:$AC$1001,MATCH(ROWS($N$2:N767),$N$2:$N$1001,0),MATCH(COLUMNS($U$1006:AC1006),$U$1006:$AC$1006,0)), HYPERLINK("#",""), HYPERLINK(CONCATENATE("#metadata!", ADDRESS(INDEX($P$2:$P$1001,MATCH(ROWS($N$2:N767),$N$2:$N$1001,0),0), INDEX($U$1004:$AC$1004,1,MATCH(COLUMNS($U$1006:AC1006),$U$1006:$AC$1006,0)))),"Fix")))</f>
        <v>0</v>
      </c>
      <c r="N767">
        <v>0</v>
      </c>
      <c r="O767">
        <v>0</v>
      </c>
      <c r="P767">
        <v>0</v>
      </c>
      <c r="Q767">
        <f>IF(R767,TRUE,AND(U767:AC767))</f>
        <v>0</v>
      </c>
      <c r="R767">
        <f>COUNTBLANK(metadata!B767:J767)=COLUMNS(metadata!B767:J767)</f>
        <v>0</v>
      </c>
      <c r="S767">
        <v>0</v>
      </c>
      <c r="U767">
        <f>AND(IF(metadata!B767="",FALSE,TRUE),COUNTIF(metadata!B:B, metadata!B767) = 1,NOT(ISERROR(SUMPRODUCT(SEARCH(MID(metadata!B767,ROW(INDIRECT("1:"&amp;LEN(metadata!B767))), 1),"0123456789abcdefghijklmnopqrstuvwxyzABCDEFGHIJKLMNOPQRSTUVWXYZ.")))))</f>
        <v>0</v>
      </c>
      <c r="V767">
        <f>AND(IF(metadata!C767="",FALSE,TRUE),exact(metadata!C767,"UBERON:genitourinary"))</f>
        <v>0</v>
      </c>
      <c r="W767">
        <f>AND(IF(metadata!D767="",FALSE,TRUE),exact(metadata!D767,"UBERON:urine"))</f>
        <v>0</v>
      </c>
      <c r="X767">
        <f>AND(IF(metadata!E767="",FALSE,TRUE),exact(metadata!E767,"UBERON:kidney"))</f>
        <v>0</v>
      </c>
      <c r="Y767">
        <f>AND(IF(metadata!F767="",FALSE,TRUE),exact(metadata!F767,"animal corpus"))</f>
        <v>0</v>
      </c>
      <c r="Z767">
        <f>AND(IF(metadata!G767="",FALSE,TRUE),exact(metadata!G767,"urine"))</f>
        <v>0</v>
      </c>
      <c r="AA767">
        <f>AND(IF(metadata!H767="",FALSE,TRUE),exact(metadata!H767,"urine"))</f>
        <v>0</v>
      </c>
      <c r="AB767">
        <f>AND(IF(metadata!I767="",FALSE,TRUE),exact(metadata!I767,"urine metagenome"))</f>
        <v>0</v>
      </c>
      <c r="AC767">
        <f>AND(IF(metadata!J767="",FALSE,TRUE),exact(metadata!J767,"1346744"))</f>
        <v>0</v>
      </c>
    </row>
    <row r="768" spans="1:29">
      <c r="A768" s="4">
        <f>IF(B768=" "," ",HYPERLINK(CONCATENATE("#metadata!",ADDRESS(INDEX($P$2:$P$1001,MATCH(ROWS($N$2:N768),$N$2:$N$1001,0),0),1)),INDEX($S$2:$S$1001,MATCH(ROWS($N$2:N768),$N$2:$N$1001,0),0)))</f>
        <v>0</v>
      </c>
      <c r="B768" s="3">
        <f>IF(OR(INDEX($O$2:$O$1001,MATCH(ROWS($N$2:N768),$N$2:$N$1001,0),1)&gt;=100000,INDEX($U$1005:$AC$1005,1,MATCH(COLUMNS($U$1006:U1006),$U$1006:$AC$1006,0))&gt;=100000), " ",IF(INDEX($U$2:$AC$1001,MATCH(ROWS($N$2:N768),$N$2:$N$1001,0),MATCH(COLUMNS($U$1006:U1006),$U$1006:$AC$1006,0)), HYPERLINK("#",""), HYPERLINK(CONCATENATE("#metadata!", ADDRESS(INDEX($P$2:$P$1001,MATCH(ROWS($N$2:N768),$N$2:$N$1001,0),0), INDEX($U$1004:$AC$1004,1,MATCH(COLUMNS($U$1006:U1006),$U$1006:$AC$1006,0)))),"Fix")))</f>
        <v>0</v>
      </c>
      <c r="C768" s="3">
        <f>IF(OR(INDEX($O$2:$O$1001,MATCH(ROWS($N$2:N768),$N$2:$N$1001,0),1)&gt;=100000,INDEX($U$1005:$AC$1005,1,MATCH(COLUMNS($U$1006:V1006),$U$1006:$AC$1006,0))&gt;=100000), " ",IF(INDEX($U$2:$AC$1001,MATCH(ROWS($N$2:N768),$N$2:$N$1001,0),MATCH(COLUMNS($U$1006:V1006),$U$1006:$AC$1006,0)), HYPERLINK("#",""), HYPERLINK(CONCATENATE("#metadata!", ADDRESS(INDEX($P$2:$P$1001,MATCH(ROWS($N$2:N768),$N$2:$N$1001,0),0), INDEX($U$1004:$AC$1004,1,MATCH(COLUMNS($U$1006:V1006),$U$1006:$AC$1006,0)))),"Fix")))</f>
        <v>0</v>
      </c>
      <c r="D768" s="3">
        <f>IF(OR(INDEX($O$2:$O$1001,MATCH(ROWS($N$2:N768),$N$2:$N$1001,0),1)&gt;=100000,INDEX($U$1005:$AC$1005,1,MATCH(COLUMNS($U$1006:W1006),$U$1006:$AC$1006,0))&gt;=100000), " ",IF(INDEX($U$2:$AC$1001,MATCH(ROWS($N$2:N768),$N$2:$N$1001,0),MATCH(COLUMNS($U$1006:W1006),$U$1006:$AC$1006,0)), HYPERLINK("#",""), HYPERLINK(CONCATENATE("#metadata!", ADDRESS(INDEX($P$2:$P$1001,MATCH(ROWS($N$2:N768),$N$2:$N$1001,0),0), INDEX($U$1004:$AC$1004,1,MATCH(COLUMNS($U$1006:W1006),$U$1006:$AC$1006,0)))),"Fix")))</f>
        <v>0</v>
      </c>
      <c r="E768" s="3">
        <f>IF(OR(INDEX($O$2:$O$1001,MATCH(ROWS($N$2:N768),$N$2:$N$1001,0),1)&gt;=100000,INDEX($U$1005:$AC$1005,1,MATCH(COLUMNS($U$1006:X1006),$U$1006:$AC$1006,0))&gt;=100000), " ",IF(INDEX($U$2:$AC$1001,MATCH(ROWS($N$2:N768),$N$2:$N$1001,0),MATCH(COLUMNS($U$1006:X1006),$U$1006:$AC$1006,0)), HYPERLINK("#",""), HYPERLINK(CONCATENATE("#metadata!", ADDRESS(INDEX($P$2:$P$1001,MATCH(ROWS($N$2:N768),$N$2:$N$1001,0),0), INDEX($U$1004:$AC$1004,1,MATCH(COLUMNS($U$1006:X1006),$U$1006:$AC$1006,0)))),"Fix")))</f>
        <v>0</v>
      </c>
      <c r="F768" s="3">
        <f>IF(OR(INDEX($O$2:$O$1001,MATCH(ROWS($N$2:N768),$N$2:$N$1001,0),1)&gt;=100000,INDEX($U$1005:$AC$1005,1,MATCH(COLUMNS($U$1006:Y1006),$U$1006:$AC$1006,0))&gt;=100000), " ",IF(INDEX($U$2:$AC$1001,MATCH(ROWS($N$2:N768),$N$2:$N$1001,0),MATCH(COLUMNS($U$1006:Y1006),$U$1006:$AC$1006,0)), HYPERLINK("#",""), HYPERLINK(CONCATENATE("#metadata!", ADDRESS(INDEX($P$2:$P$1001,MATCH(ROWS($N$2:N768),$N$2:$N$1001,0),0), INDEX($U$1004:$AC$1004,1,MATCH(COLUMNS($U$1006:Y1006),$U$1006:$AC$1006,0)))),"Fix")))</f>
        <v>0</v>
      </c>
      <c r="G768" s="3">
        <f>IF(OR(INDEX($O$2:$O$1001,MATCH(ROWS($N$2:N768),$N$2:$N$1001,0),1)&gt;=100000,INDEX($U$1005:$AC$1005,1,MATCH(COLUMNS($U$1006:Z1006),$U$1006:$AC$1006,0))&gt;=100000), " ",IF(INDEX($U$2:$AC$1001,MATCH(ROWS($N$2:N768),$N$2:$N$1001,0),MATCH(COLUMNS($U$1006:Z1006),$U$1006:$AC$1006,0)), HYPERLINK("#",""), HYPERLINK(CONCATENATE("#metadata!", ADDRESS(INDEX($P$2:$P$1001,MATCH(ROWS($N$2:N768),$N$2:$N$1001,0),0), INDEX($U$1004:$AC$1004,1,MATCH(COLUMNS($U$1006:Z1006),$U$1006:$AC$1006,0)))),"Fix")))</f>
        <v>0</v>
      </c>
      <c r="H768" s="3">
        <f>IF(OR(INDEX($O$2:$O$1001,MATCH(ROWS($N$2:N768),$N$2:$N$1001,0),1)&gt;=100000,INDEX($U$1005:$AC$1005,1,MATCH(COLUMNS($U$1006:AA1006),$U$1006:$AC$1006,0))&gt;=100000), " ",IF(INDEX($U$2:$AC$1001,MATCH(ROWS($N$2:N768),$N$2:$N$1001,0),MATCH(COLUMNS($U$1006:AA1006),$U$1006:$AC$1006,0)), HYPERLINK("#",""), HYPERLINK(CONCATENATE("#metadata!", ADDRESS(INDEX($P$2:$P$1001,MATCH(ROWS($N$2:N768),$N$2:$N$1001,0),0), INDEX($U$1004:$AC$1004,1,MATCH(COLUMNS($U$1006:AA1006),$U$1006:$AC$1006,0)))),"Fix")))</f>
        <v>0</v>
      </c>
      <c r="I768" s="3">
        <f>IF(OR(INDEX($O$2:$O$1001,MATCH(ROWS($N$2:N768),$N$2:$N$1001,0),1)&gt;=100000,INDEX($U$1005:$AC$1005,1,MATCH(COLUMNS($U$1006:AB1006),$U$1006:$AC$1006,0))&gt;=100000), " ",IF(INDEX($U$2:$AC$1001,MATCH(ROWS($N$2:N768),$N$2:$N$1001,0),MATCH(COLUMNS($U$1006:AB1006),$U$1006:$AC$1006,0)), HYPERLINK("#",""), HYPERLINK(CONCATENATE("#metadata!", ADDRESS(INDEX($P$2:$P$1001,MATCH(ROWS($N$2:N768),$N$2:$N$1001,0),0), INDEX($U$1004:$AC$1004,1,MATCH(COLUMNS($U$1006:AB1006),$U$1006:$AC$1006,0)))),"Fix")))</f>
        <v>0</v>
      </c>
      <c r="J768" s="3">
        <f>IF(OR(INDEX($O$2:$O$1001,MATCH(ROWS($N$2:N768),$N$2:$N$1001,0),1)&gt;=100000,INDEX($U$1005:$AC$1005,1,MATCH(COLUMNS($U$1006:AC1006),$U$1006:$AC$1006,0))&gt;=100000), " ",IF(INDEX($U$2:$AC$1001,MATCH(ROWS($N$2:N768),$N$2:$N$1001,0),MATCH(COLUMNS($U$1006:AC1006),$U$1006:$AC$1006,0)), HYPERLINK("#",""), HYPERLINK(CONCATENATE("#metadata!", ADDRESS(INDEX($P$2:$P$1001,MATCH(ROWS($N$2:N768),$N$2:$N$1001,0),0), INDEX($U$1004:$AC$1004,1,MATCH(COLUMNS($U$1006:AC1006),$U$1006:$AC$1006,0)))),"Fix")))</f>
        <v>0</v>
      </c>
      <c r="N768">
        <v>0</v>
      </c>
      <c r="O768">
        <v>0</v>
      </c>
      <c r="P768">
        <v>0</v>
      </c>
      <c r="Q768">
        <f>IF(R768,TRUE,AND(U768:AC768))</f>
        <v>0</v>
      </c>
      <c r="R768">
        <f>COUNTBLANK(metadata!B768:J768)=COLUMNS(metadata!B768:J768)</f>
        <v>0</v>
      </c>
      <c r="S768">
        <v>0</v>
      </c>
      <c r="U768">
        <f>AND(IF(metadata!B768="",FALSE,TRUE),COUNTIF(metadata!B:B, metadata!B768) = 1,NOT(ISERROR(SUMPRODUCT(SEARCH(MID(metadata!B768,ROW(INDIRECT("1:"&amp;LEN(metadata!B768))), 1),"0123456789abcdefghijklmnopqrstuvwxyzABCDEFGHIJKLMNOPQRSTUVWXYZ.")))))</f>
        <v>0</v>
      </c>
      <c r="V768">
        <f>AND(IF(metadata!C768="",FALSE,TRUE),exact(metadata!C768,"UBERON:genitourinary"))</f>
        <v>0</v>
      </c>
      <c r="W768">
        <f>AND(IF(metadata!D768="",FALSE,TRUE),exact(metadata!D768,"UBERON:urine"))</f>
        <v>0</v>
      </c>
      <c r="X768">
        <f>AND(IF(metadata!E768="",FALSE,TRUE),exact(metadata!E768,"UBERON:kidney"))</f>
        <v>0</v>
      </c>
      <c r="Y768">
        <f>AND(IF(metadata!F768="",FALSE,TRUE),exact(metadata!F768,"animal corpus"))</f>
        <v>0</v>
      </c>
      <c r="Z768">
        <f>AND(IF(metadata!G768="",FALSE,TRUE),exact(metadata!G768,"urine"))</f>
        <v>0</v>
      </c>
      <c r="AA768">
        <f>AND(IF(metadata!H768="",FALSE,TRUE),exact(metadata!H768,"urine"))</f>
        <v>0</v>
      </c>
      <c r="AB768">
        <f>AND(IF(metadata!I768="",FALSE,TRUE),exact(metadata!I768,"urine metagenome"))</f>
        <v>0</v>
      </c>
      <c r="AC768">
        <f>AND(IF(metadata!J768="",FALSE,TRUE),exact(metadata!J768,"1346744"))</f>
        <v>0</v>
      </c>
    </row>
    <row r="769" spans="1:29">
      <c r="A769" s="4">
        <f>IF(B769=" "," ",HYPERLINK(CONCATENATE("#metadata!",ADDRESS(INDEX($P$2:$P$1001,MATCH(ROWS($N$2:N769),$N$2:$N$1001,0),0),1)),INDEX($S$2:$S$1001,MATCH(ROWS($N$2:N769),$N$2:$N$1001,0),0)))</f>
        <v>0</v>
      </c>
      <c r="B769" s="3">
        <f>IF(OR(INDEX($O$2:$O$1001,MATCH(ROWS($N$2:N769),$N$2:$N$1001,0),1)&gt;=100000,INDEX($U$1005:$AC$1005,1,MATCH(COLUMNS($U$1006:U1006),$U$1006:$AC$1006,0))&gt;=100000), " ",IF(INDEX($U$2:$AC$1001,MATCH(ROWS($N$2:N769),$N$2:$N$1001,0),MATCH(COLUMNS($U$1006:U1006),$U$1006:$AC$1006,0)), HYPERLINK("#",""), HYPERLINK(CONCATENATE("#metadata!", ADDRESS(INDEX($P$2:$P$1001,MATCH(ROWS($N$2:N769),$N$2:$N$1001,0),0), INDEX($U$1004:$AC$1004,1,MATCH(COLUMNS($U$1006:U1006),$U$1006:$AC$1006,0)))),"Fix")))</f>
        <v>0</v>
      </c>
      <c r="C769" s="3">
        <f>IF(OR(INDEX($O$2:$O$1001,MATCH(ROWS($N$2:N769),$N$2:$N$1001,0),1)&gt;=100000,INDEX($U$1005:$AC$1005,1,MATCH(COLUMNS($U$1006:V1006),$U$1006:$AC$1006,0))&gt;=100000), " ",IF(INDEX($U$2:$AC$1001,MATCH(ROWS($N$2:N769),$N$2:$N$1001,0),MATCH(COLUMNS($U$1006:V1006),$U$1006:$AC$1006,0)), HYPERLINK("#",""), HYPERLINK(CONCATENATE("#metadata!", ADDRESS(INDEX($P$2:$P$1001,MATCH(ROWS($N$2:N769),$N$2:$N$1001,0),0), INDEX($U$1004:$AC$1004,1,MATCH(COLUMNS($U$1006:V1006),$U$1006:$AC$1006,0)))),"Fix")))</f>
        <v>0</v>
      </c>
      <c r="D769" s="3">
        <f>IF(OR(INDEX($O$2:$O$1001,MATCH(ROWS($N$2:N769),$N$2:$N$1001,0),1)&gt;=100000,INDEX($U$1005:$AC$1005,1,MATCH(COLUMNS($U$1006:W1006),$U$1006:$AC$1006,0))&gt;=100000), " ",IF(INDEX($U$2:$AC$1001,MATCH(ROWS($N$2:N769),$N$2:$N$1001,0),MATCH(COLUMNS($U$1006:W1006),$U$1006:$AC$1006,0)), HYPERLINK("#",""), HYPERLINK(CONCATENATE("#metadata!", ADDRESS(INDEX($P$2:$P$1001,MATCH(ROWS($N$2:N769),$N$2:$N$1001,0),0), INDEX($U$1004:$AC$1004,1,MATCH(COLUMNS($U$1006:W1006),$U$1006:$AC$1006,0)))),"Fix")))</f>
        <v>0</v>
      </c>
      <c r="E769" s="3">
        <f>IF(OR(INDEX($O$2:$O$1001,MATCH(ROWS($N$2:N769),$N$2:$N$1001,0),1)&gt;=100000,INDEX($U$1005:$AC$1005,1,MATCH(COLUMNS($U$1006:X1006),$U$1006:$AC$1006,0))&gt;=100000), " ",IF(INDEX($U$2:$AC$1001,MATCH(ROWS($N$2:N769),$N$2:$N$1001,0),MATCH(COLUMNS($U$1006:X1006),$U$1006:$AC$1006,0)), HYPERLINK("#",""), HYPERLINK(CONCATENATE("#metadata!", ADDRESS(INDEX($P$2:$P$1001,MATCH(ROWS($N$2:N769),$N$2:$N$1001,0),0), INDEX($U$1004:$AC$1004,1,MATCH(COLUMNS($U$1006:X1006),$U$1006:$AC$1006,0)))),"Fix")))</f>
        <v>0</v>
      </c>
      <c r="F769" s="3">
        <f>IF(OR(INDEX($O$2:$O$1001,MATCH(ROWS($N$2:N769),$N$2:$N$1001,0),1)&gt;=100000,INDEX($U$1005:$AC$1005,1,MATCH(COLUMNS($U$1006:Y1006),$U$1006:$AC$1006,0))&gt;=100000), " ",IF(INDEX($U$2:$AC$1001,MATCH(ROWS($N$2:N769),$N$2:$N$1001,0),MATCH(COLUMNS($U$1006:Y1006),$U$1006:$AC$1006,0)), HYPERLINK("#",""), HYPERLINK(CONCATENATE("#metadata!", ADDRESS(INDEX($P$2:$P$1001,MATCH(ROWS($N$2:N769),$N$2:$N$1001,0),0), INDEX($U$1004:$AC$1004,1,MATCH(COLUMNS($U$1006:Y1006),$U$1006:$AC$1006,0)))),"Fix")))</f>
        <v>0</v>
      </c>
      <c r="G769" s="3">
        <f>IF(OR(INDEX($O$2:$O$1001,MATCH(ROWS($N$2:N769),$N$2:$N$1001,0),1)&gt;=100000,INDEX($U$1005:$AC$1005,1,MATCH(COLUMNS($U$1006:Z1006),$U$1006:$AC$1006,0))&gt;=100000), " ",IF(INDEX($U$2:$AC$1001,MATCH(ROWS($N$2:N769),$N$2:$N$1001,0),MATCH(COLUMNS($U$1006:Z1006),$U$1006:$AC$1006,0)), HYPERLINK("#",""), HYPERLINK(CONCATENATE("#metadata!", ADDRESS(INDEX($P$2:$P$1001,MATCH(ROWS($N$2:N769),$N$2:$N$1001,0),0), INDEX($U$1004:$AC$1004,1,MATCH(COLUMNS($U$1006:Z1006),$U$1006:$AC$1006,0)))),"Fix")))</f>
        <v>0</v>
      </c>
      <c r="H769" s="3">
        <f>IF(OR(INDEX($O$2:$O$1001,MATCH(ROWS($N$2:N769),$N$2:$N$1001,0),1)&gt;=100000,INDEX($U$1005:$AC$1005,1,MATCH(COLUMNS($U$1006:AA1006),$U$1006:$AC$1006,0))&gt;=100000), " ",IF(INDEX($U$2:$AC$1001,MATCH(ROWS($N$2:N769),$N$2:$N$1001,0),MATCH(COLUMNS($U$1006:AA1006),$U$1006:$AC$1006,0)), HYPERLINK("#",""), HYPERLINK(CONCATENATE("#metadata!", ADDRESS(INDEX($P$2:$P$1001,MATCH(ROWS($N$2:N769),$N$2:$N$1001,0),0), INDEX($U$1004:$AC$1004,1,MATCH(COLUMNS($U$1006:AA1006),$U$1006:$AC$1006,0)))),"Fix")))</f>
        <v>0</v>
      </c>
      <c r="I769" s="3">
        <f>IF(OR(INDEX($O$2:$O$1001,MATCH(ROWS($N$2:N769),$N$2:$N$1001,0),1)&gt;=100000,INDEX($U$1005:$AC$1005,1,MATCH(COLUMNS($U$1006:AB1006),$U$1006:$AC$1006,0))&gt;=100000), " ",IF(INDEX($U$2:$AC$1001,MATCH(ROWS($N$2:N769),$N$2:$N$1001,0),MATCH(COLUMNS($U$1006:AB1006),$U$1006:$AC$1006,0)), HYPERLINK("#",""), HYPERLINK(CONCATENATE("#metadata!", ADDRESS(INDEX($P$2:$P$1001,MATCH(ROWS($N$2:N769),$N$2:$N$1001,0),0), INDEX($U$1004:$AC$1004,1,MATCH(COLUMNS($U$1006:AB1006),$U$1006:$AC$1006,0)))),"Fix")))</f>
        <v>0</v>
      </c>
      <c r="J769" s="3">
        <f>IF(OR(INDEX($O$2:$O$1001,MATCH(ROWS($N$2:N769),$N$2:$N$1001,0),1)&gt;=100000,INDEX($U$1005:$AC$1005,1,MATCH(COLUMNS($U$1006:AC1006),$U$1006:$AC$1006,0))&gt;=100000), " ",IF(INDEX($U$2:$AC$1001,MATCH(ROWS($N$2:N769),$N$2:$N$1001,0),MATCH(COLUMNS($U$1006:AC1006),$U$1006:$AC$1006,0)), HYPERLINK("#",""), HYPERLINK(CONCATENATE("#metadata!", ADDRESS(INDEX($P$2:$P$1001,MATCH(ROWS($N$2:N769),$N$2:$N$1001,0),0), INDEX($U$1004:$AC$1004,1,MATCH(COLUMNS($U$1006:AC1006),$U$1006:$AC$1006,0)))),"Fix")))</f>
        <v>0</v>
      </c>
      <c r="N769">
        <v>0</v>
      </c>
      <c r="O769">
        <v>0</v>
      </c>
      <c r="P769">
        <v>0</v>
      </c>
      <c r="Q769">
        <f>IF(R769,TRUE,AND(U769:AC769))</f>
        <v>0</v>
      </c>
      <c r="R769">
        <f>COUNTBLANK(metadata!B769:J769)=COLUMNS(metadata!B769:J769)</f>
        <v>0</v>
      </c>
      <c r="S769">
        <v>0</v>
      </c>
      <c r="U769">
        <f>AND(IF(metadata!B769="",FALSE,TRUE),COUNTIF(metadata!B:B, metadata!B769) = 1,NOT(ISERROR(SUMPRODUCT(SEARCH(MID(metadata!B769,ROW(INDIRECT("1:"&amp;LEN(metadata!B769))), 1),"0123456789abcdefghijklmnopqrstuvwxyzABCDEFGHIJKLMNOPQRSTUVWXYZ.")))))</f>
        <v>0</v>
      </c>
      <c r="V769">
        <f>AND(IF(metadata!C769="",FALSE,TRUE),exact(metadata!C769,"UBERON:genitourinary"))</f>
        <v>0</v>
      </c>
      <c r="W769">
        <f>AND(IF(metadata!D769="",FALSE,TRUE),exact(metadata!D769,"UBERON:urine"))</f>
        <v>0</v>
      </c>
      <c r="X769">
        <f>AND(IF(metadata!E769="",FALSE,TRUE),exact(metadata!E769,"UBERON:kidney"))</f>
        <v>0</v>
      </c>
      <c r="Y769">
        <f>AND(IF(metadata!F769="",FALSE,TRUE),exact(metadata!F769,"animal corpus"))</f>
        <v>0</v>
      </c>
      <c r="Z769">
        <f>AND(IF(metadata!G769="",FALSE,TRUE),exact(metadata!G769,"urine"))</f>
        <v>0</v>
      </c>
      <c r="AA769">
        <f>AND(IF(metadata!H769="",FALSE,TRUE),exact(metadata!H769,"urine"))</f>
        <v>0</v>
      </c>
      <c r="AB769">
        <f>AND(IF(metadata!I769="",FALSE,TRUE),exact(metadata!I769,"urine metagenome"))</f>
        <v>0</v>
      </c>
      <c r="AC769">
        <f>AND(IF(metadata!J769="",FALSE,TRUE),exact(metadata!J769,"1346744"))</f>
        <v>0</v>
      </c>
    </row>
    <row r="770" spans="1:29">
      <c r="A770" s="4">
        <f>IF(B770=" "," ",HYPERLINK(CONCATENATE("#metadata!",ADDRESS(INDEX($P$2:$P$1001,MATCH(ROWS($N$2:N770),$N$2:$N$1001,0),0),1)),INDEX($S$2:$S$1001,MATCH(ROWS($N$2:N770),$N$2:$N$1001,0),0)))</f>
        <v>0</v>
      </c>
      <c r="B770" s="3">
        <f>IF(OR(INDEX($O$2:$O$1001,MATCH(ROWS($N$2:N770),$N$2:$N$1001,0),1)&gt;=100000,INDEX($U$1005:$AC$1005,1,MATCH(COLUMNS($U$1006:U1006),$U$1006:$AC$1006,0))&gt;=100000), " ",IF(INDEX($U$2:$AC$1001,MATCH(ROWS($N$2:N770),$N$2:$N$1001,0),MATCH(COLUMNS($U$1006:U1006),$U$1006:$AC$1006,0)), HYPERLINK("#",""), HYPERLINK(CONCATENATE("#metadata!", ADDRESS(INDEX($P$2:$P$1001,MATCH(ROWS($N$2:N770),$N$2:$N$1001,0),0), INDEX($U$1004:$AC$1004,1,MATCH(COLUMNS($U$1006:U1006),$U$1006:$AC$1006,0)))),"Fix")))</f>
        <v>0</v>
      </c>
      <c r="C770" s="3">
        <f>IF(OR(INDEX($O$2:$O$1001,MATCH(ROWS($N$2:N770),$N$2:$N$1001,0),1)&gt;=100000,INDEX($U$1005:$AC$1005,1,MATCH(COLUMNS($U$1006:V1006),$U$1006:$AC$1006,0))&gt;=100000), " ",IF(INDEX($U$2:$AC$1001,MATCH(ROWS($N$2:N770),$N$2:$N$1001,0),MATCH(COLUMNS($U$1006:V1006),$U$1006:$AC$1006,0)), HYPERLINK("#",""), HYPERLINK(CONCATENATE("#metadata!", ADDRESS(INDEX($P$2:$P$1001,MATCH(ROWS($N$2:N770),$N$2:$N$1001,0),0), INDEX($U$1004:$AC$1004,1,MATCH(COLUMNS($U$1006:V1006),$U$1006:$AC$1006,0)))),"Fix")))</f>
        <v>0</v>
      </c>
      <c r="D770" s="3">
        <f>IF(OR(INDEX($O$2:$O$1001,MATCH(ROWS($N$2:N770),$N$2:$N$1001,0),1)&gt;=100000,INDEX($U$1005:$AC$1005,1,MATCH(COLUMNS($U$1006:W1006),$U$1006:$AC$1006,0))&gt;=100000), " ",IF(INDEX($U$2:$AC$1001,MATCH(ROWS($N$2:N770),$N$2:$N$1001,0),MATCH(COLUMNS($U$1006:W1006),$U$1006:$AC$1006,0)), HYPERLINK("#",""), HYPERLINK(CONCATENATE("#metadata!", ADDRESS(INDEX($P$2:$P$1001,MATCH(ROWS($N$2:N770),$N$2:$N$1001,0),0), INDEX($U$1004:$AC$1004,1,MATCH(COLUMNS($U$1006:W1006),$U$1006:$AC$1006,0)))),"Fix")))</f>
        <v>0</v>
      </c>
      <c r="E770" s="3">
        <f>IF(OR(INDEX($O$2:$O$1001,MATCH(ROWS($N$2:N770),$N$2:$N$1001,0),1)&gt;=100000,INDEX($U$1005:$AC$1005,1,MATCH(COLUMNS($U$1006:X1006),$U$1006:$AC$1006,0))&gt;=100000), " ",IF(INDEX($U$2:$AC$1001,MATCH(ROWS($N$2:N770),$N$2:$N$1001,0),MATCH(COLUMNS($U$1006:X1006),$U$1006:$AC$1006,0)), HYPERLINK("#",""), HYPERLINK(CONCATENATE("#metadata!", ADDRESS(INDEX($P$2:$P$1001,MATCH(ROWS($N$2:N770),$N$2:$N$1001,0),0), INDEX($U$1004:$AC$1004,1,MATCH(COLUMNS($U$1006:X1006),$U$1006:$AC$1006,0)))),"Fix")))</f>
        <v>0</v>
      </c>
      <c r="F770" s="3">
        <f>IF(OR(INDEX($O$2:$O$1001,MATCH(ROWS($N$2:N770),$N$2:$N$1001,0),1)&gt;=100000,INDEX($U$1005:$AC$1005,1,MATCH(COLUMNS($U$1006:Y1006),$U$1006:$AC$1006,0))&gt;=100000), " ",IF(INDEX($U$2:$AC$1001,MATCH(ROWS($N$2:N770),$N$2:$N$1001,0),MATCH(COLUMNS($U$1006:Y1006),$U$1006:$AC$1006,0)), HYPERLINK("#",""), HYPERLINK(CONCATENATE("#metadata!", ADDRESS(INDEX($P$2:$P$1001,MATCH(ROWS($N$2:N770),$N$2:$N$1001,0),0), INDEX($U$1004:$AC$1004,1,MATCH(COLUMNS($U$1006:Y1006),$U$1006:$AC$1006,0)))),"Fix")))</f>
        <v>0</v>
      </c>
      <c r="G770" s="3">
        <f>IF(OR(INDEX($O$2:$O$1001,MATCH(ROWS($N$2:N770),$N$2:$N$1001,0),1)&gt;=100000,INDEX($U$1005:$AC$1005,1,MATCH(COLUMNS($U$1006:Z1006),$U$1006:$AC$1006,0))&gt;=100000), " ",IF(INDEX($U$2:$AC$1001,MATCH(ROWS($N$2:N770),$N$2:$N$1001,0),MATCH(COLUMNS($U$1006:Z1006),$U$1006:$AC$1006,0)), HYPERLINK("#",""), HYPERLINK(CONCATENATE("#metadata!", ADDRESS(INDEX($P$2:$P$1001,MATCH(ROWS($N$2:N770),$N$2:$N$1001,0),0), INDEX($U$1004:$AC$1004,1,MATCH(COLUMNS($U$1006:Z1006),$U$1006:$AC$1006,0)))),"Fix")))</f>
        <v>0</v>
      </c>
      <c r="H770" s="3">
        <f>IF(OR(INDEX($O$2:$O$1001,MATCH(ROWS($N$2:N770),$N$2:$N$1001,0),1)&gt;=100000,INDEX($U$1005:$AC$1005,1,MATCH(COLUMNS($U$1006:AA1006),$U$1006:$AC$1006,0))&gt;=100000), " ",IF(INDEX($U$2:$AC$1001,MATCH(ROWS($N$2:N770),$N$2:$N$1001,0),MATCH(COLUMNS($U$1006:AA1006),$U$1006:$AC$1006,0)), HYPERLINK("#",""), HYPERLINK(CONCATENATE("#metadata!", ADDRESS(INDEX($P$2:$P$1001,MATCH(ROWS($N$2:N770),$N$2:$N$1001,0),0), INDEX($U$1004:$AC$1004,1,MATCH(COLUMNS($U$1006:AA1006),$U$1006:$AC$1006,0)))),"Fix")))</f>
        <v>0</v>
      </c>
      <c r="I770" s="3">
        <f>IF(OR(INDEX($O$2:$O$1001,MATCH(ROWS($N$2:N770),$N$2:$N$1001,0),1)&gt;=100000,INDEX($U$1005:$AC$1005,1,MATCH(COLUMNS($U$1006:AB1006),$U$1006:$AC$1006,0))&gt;=100000), " ",IF(INDEX($U$2:$AC$1001,MATCH(ROWS($N$2:N770),$N$2:$N$1001,0),MATCH(COLUMNS($U$1006:AB1006),$U$1006:$AC$1006,0)), HYPERLINK("#",""), HYPERLINK(CONCATENATE("#metadata!", ADDRESS(INDEX($P$2:$P$1001,MATCH(ROWS($N$2:N770),$N$2:$N$1001,0),0), INDEX($U$1004:$AC$1004,1,MATCH(COLUMNS($U$1006:AB1006),$U$1006:$AC$1006,0)))),"Fix")))</f>
        <v>0</v>
      </c>
      <c r="J770" s="3">
        <f>IF(OR(INDEX($O$2:$O$1001,MATCH(ROWS($N$2:N770),$N$2:$N$1001,0),1)&gt;=100000,INDEX($U$1005:$AC$1005,1,MATCH(COLUMNS($U$1006:AC1006),$U$1006:$AC$1006,0))&gt;=100000), " ",IF(INDEX($U$2:$AC$1001,MATCH(ROWS($N$2:N770),$N$2:$N$1001,0),MATCH(COLUMNS($U$1006:AC1006),$U$1006:$AC$1006,0)), HYPERLINK("#",""), HYPERLINK(CONCATENATE("#metadata!", ADDRESS(INDEX($P$2:$P$1001,MATCH(ROWS($N$2:N770),$N$2:$N$1001,0),0), INDEX($U$1004:$AC$1004,1,MATCH(COLUMNS($U$1006:AC1006),$U$1006:$AC$1006,0)))),"Fix")))</f>
        <v>0</v>
      </c>
      <c r="N770">
        <v>0</v>
      </c>
      <c r="O770">
        <v>0</v>
      </c>
      <c r="P770">
        <v>0</v>
      </c>
      <c r="Q770">
        <f>IF(R770,TRUE,AND(U770:AC770))</f>
        <v>0</v>
      </c>
      <c r="R770">
        <f>COUNTBLANK(metadata!B770:J770)=COLUMNS(metadata!B770:J770)</f>
        <v>0</v>
      </c>
      <c r="S770">
        <v>0</v>
      </c>
      <c r="U770">
        <f>AND(IF(metadata!B770="",FALSE,TRUE),COUNTIF(metadata!B:B, metadata!B770) = 1,NOT(ISERROR(SUMPRODUCT(SEARCH(MID(metadata!B770,ROW(INDIRECT("1:"&amp;LEN(metadata!B770))), 1),"0123456789abcdefghijklmnopqrstuvwxyzABCDEFGHIJKLMNOPQRSTUVWXYZ.")))))</f>
        <v>0</v>
      </c>
      <c r="V770">
        <f>AND(IF(metadata!C770="",FALSE,TRUE),exact(metadata!C770,"UBERON:genitourinary"))</f>
        <v>0</v>
      </c>
      <c r="W770">
        <f>AND(IF(metadata!D770="",FALSE,TRUE),exact(metadata!D770,"UBERON:urine"))</f>
        <v>0</v>
      </c>
      <c r="X770">
        <f>AND(IF(metadata!E770="",FALSE,TRUE),exact(metadata!E770,"UBERON:kidney"))</f>
        <v>0</v>
      </c>
      <c r="Y770">
        <f>AND(IF(metadata!F770="",FALSE,TRUE),exact(metadata!F770,"animal corpus"))</f>
        <v>0</v>
      </c>
      <c r="Z770">
        <f>AND(IF(metadata!G770="",FALSE,TRUE),exact(metadata!G770,"urine"))</f>
        <v>0</v>
      </c>
      <c r="AA770">
        <f>AND(IF(metadata!H770="",FALSE,TRUE),exact(metadata!H770,"urine"))</f>
        <v>0</v>
      </c>
      <c r="AB770">
        <f>AND(IF(metadata!I770="",FALSE,TRUE),exact(metadata!I770,"urine metagenome"))</f>
        <v>0</v>
      </c>
      <c r="AC770">
        <f>AND(IF(metadata!J770="",FALSE,TRUE),exact(metadata!J770,"1346744"))</f>
        <v>0</v>
      </c>
    </row>
    <row r="771" spans="1:29">
      <c r="A771" s="4">
        <f>IF(B771=" "," ",HYPERLINK(CONCATENATE("#metadata!",ADDRESS(INDEX($P$2:$P$1001,MATCH(ROWS($N$2:N771),$N$2:$N$1001,0),0),1)),INDEX($S$2:$S$1001,MATCH(ROWS($N$2:N771),$N$2:$N$1001,0),0)))</f>
        <v>0</v>
      </c>
      <c r="B771" s="3">
        <f>IF(OR(INDEX($O$2:$O$1001,MATCH(ROWS($N$2:N771),$N$2:$N$1001,0),1)&gt;=100000,INDEX($U$1005:$AC$1005,1,MATCH(COLUMNS($U$1006:U1006),$U$1006:$AC$1006,0))&gt;=100000), " ",IF(INDEX($U$2:$AC$1001,MATCH(ROWS($N$2:N771),$N$2:$N$1001,0),MATCH(COLUMNS($U$1006:U1006),$U$1006:$AC$1006,0)), HYPERLINK("#",""), HYPERLINK(CONCATENATE("#metadata!", ADDRESS(INDEX($P$2:$P$1001,MATCH(ROWS($N$2:N771),$N$2:$N$1001,0),0), INDEX($U$1004:$AC$1004,1,MATCH(COLUMNS($U$1006:U1006),$U$1006:$AC$1006,0)))),"Fix")))</f>
        <v>0</v>
      </c>
      <c r="C771" s="3">
        <f>IF(OR(INDEX($O$2:$O$1001,MATCH(ROWS($N$2:N771),$N$2:$N$1001,0),1)&gt;=100000,INDEX($U$1005:$AC$1005,1,MATCH(COLUMNS($U$1006:V1006),$U$1006:$AC$1006,0))&gt;=100000), " ",IF(INDEX($U$2:$AC$1001,MATCH(ROWS($N$2:N771),$N$2:$N$1001,0),MATCH(COLUMNS($U$1006:V1006),$U$1006:$AC$1006,0)), HYPERLINK("#",""), HYPERLINK(CONCATENATE("#metadata!", ADDRESS(INDEX($P$2:$P$1001,MATCH(ROWS($N$2:N771),$N$2:$N$1001,0),0), INDEX($U$1004:$AC$1004,1,MATCH(COLUMNS($U$1006:V1006),$U$1006:$AC$1006,0)))),"Fix")))</f>
        <v>0</v>
      </c>
      <c r="D771" s="3">
        <f>IF(OR(INDEX($O$2:$O$1001,MATCH(ROWS($N$2:N771),$N$2:$N$1001,0),1)&gt;=100000,INDEX($U$1005:$AC$1005,1,MATCH(COLUMNS($U$1006:W1006),$U$1006:$AC$1006,0))&gt;=100000), " ",IF(INDEX($U$2:$AC$1001,MATCH(ROWS($N$2:N771),$N$2:$N$1001,0),MATCH(COLUMNS($U$1006:W1006),$U$1006:$AC$1006,0)), HYPERLINK("#",""), HYPERLINK(CONCATENATE("#metadata!", ADDRESS(INDEX($P$2:$P$1001,MATCH(ROWS($N$2:N771),$N$2:$N$1001,0),0), INDEX($U$1004:$AC$1004,1,MATCH(COLUMNS($U$1006:W1006),$U$1006:$AC$1006,0)))),"Fix")))</f>
        <v>0</v>
      </c>
      <c r="E771" s="3">
        <f>IF(OR(INDEX($O$2:$O$1001,MATCH(ROWS($N$2:N771),$N$2:$N$1001,0),1)&gt;=100000,INDEX($U$1005:$AC$1005,1,MATCH(COLUMNS($U$1006:X1006),$U$1006:$AC$1006,0))&gt;=100000), " ",IF(INDEX($U$2:$AC$1001,MATCH(ROWS($N$2:N771),$N$2:$N$1001,0),MATCH(COLUMNS($U$1006:X1006),$U$1006:$AC$1006,0)), HYPERLINK("#",""), HYPERLINK(CONCATENATE("#metadata!", ADDRESS(INDEX($P$2:$P$1001,MATCH(ROWS($N$2:N771),$N$2:$N$1001,0),0), INDEX($U$1004:$AC$1004,1,MATCH(COLUMNS($U$1006:X1006),$U$1006:$AC$1006,0)))),"Fix")))</f>
        <v>0</v>
      </c>
      <c r="F771" s="3">
        <f>IF(OR(INDEX($O$2:$O$1001,MATCH(ROWS($N$2:N771),$N$2:$N$1001,0),1)&gt;=100000,INDEX($U$1005:$AC$1005,1,MATCH(COLUMNS($U$1006:Y1006),$U$1006:$AC$1006,0))&gt;=100000), " ",IF(INDEX($U$2:$AC$1001,MATCH(ROWS($N$2:N771),$N$2:$N$1001,0),MATCH(COLUMNS($U$1006:Y1006),$U$1006:$AC$1006,0)), HYPERLINK("#",""), HYPERLINK(CONCATENATE("#metadata!", ADDRESS(INDEX($P$2:$P$1001,MATCH(ROWS($N$2:N771),$N$2:$N$1001,0),0), INDEX($U$1004:$AC$1004,1,MATCH(COLUMNS($U$1006:Y1006),$U$1006:$AC$1006,0)))),"Fix")))</f>
        <v>0</v>
      </c>
      <c r="G771" s="3">
        <f>IF(OR(INDEX($O$2:$O$1001,MATCH(ROWS($N$2:N771),$N$2:$N$1001,0),1)&gt;=100000,INDEX($U$1005:$AC$1005,1,MATCH(COLUMNS($U$1006:Z1006),$U$1006:$AC$1006,0))&gt;=100000), " ",IF(INDEX($U$2:$AC$1001,MATCH(ROWS($N$2:N771),$N$2:$N$1001,0),MATCH(COLUMNS($U$1006:Z1006),$U$1006:$AC$1006,0)), HYPERLINK("#",""), HYPERLINK(CONCATENATE("#metadata!", ADDRESS(INDEX($P$2:$P$1001,MATCH(ROWS($N$2:N771),$N$2:$N$1001,0),0), INDEX($U$1004:$AC$1004,1,MATCH(COLUMNS($U$1006:Z1006),$U$1006:$AC$1006,0)))),"Fix")))</f>
        <v>0</v>
      </c>
      <c r="H771" s="3">
        <f>IF(OR(INDEX($O$2:$O$1001,MATCH(ROWS($N$2:N771),$N$2:$N$1001,0),1)&gt;=100000,INDEX($U$1005:$AC$1005,1,MATCH(COLUMNS($U$1006:AA1006),$U$1006:$AC$1006,0))&gt;=100000), " ",IF(INDEX($U$2:$AC$1001,MATCH(ROWS($N$2:N771),$N$2:$N$1001,0),MATCH(COLUMNS($U$1006:AA1006),$U$1006:$AC$1006,0)), HYPERLINK("#",""), HYPERLINK(CONCATENATE("#metadata!", ADDRESS(INDEX($P$2:$P$1001,MATCH(ROWS($N$2:N771),$N$2:$N$1001,0),0), INDEX($U$1004:$AC$1004,1,MATCH(COLUMNS($U$1006:AA1006),$U$1006:$AC$1006,0)))),"Fix")))</f>
        <v>0</v>
      </c>
      <c r="I771" s="3">
        <f>IF(OR(INDEX($O$2:$O$1001,MATCH(ROWS($N$2:N771),$N$2:$N$1001,0),1)&gt;=100000,INDEX($U$1005:$AC$1005,1,MATCH(COLUMNS($U$1006:AB1006),$U$1006:$AC$1006,0))&gt;=100000), " ",IF(INDEX($U$2:$AC$1001,MATCH(ROWS($N$2:N771),$N$2:$N$1001,0),MATCH(COLUMNS($U$1006:AB1006),$U$1006:$AC$1006,0)), HYPERLINK("#",""), HYPERLINK(CONCATENATE("#metadata!", ADDRESS(INDEX($P$2:$P$1001,MATCH(ROWS($N$2:N771),$N$2:$N$1001,0),0), INDEX($U$1004:$AC$1004,1,MATCH(COLUMNS($U$1006:AB1006),$U$1006:$AC$1006,0)))),"Fix")))</f>
        <v>0</v>
      </c>
      <c r="J771" s="3">
        <f>IF(OR(INDEX($O$2:$O$1001,MATCH(ROWS($N$2:N771),$N$2:$N$1001,0),1)&gt;=100000,INDEX($U$1005:$AC$1005,1,MATCH(COLUMNS($U$1006:AC1006),$U$1006:$AC$1006,0))&gt;=100000), " ",IF(INDEX($U$2:$AC$1001,MATCH(ROWS($N$2:N771),$N$2:$N$1001,0),MATCH(COLUMNS($U$1006:AC1006),$U$1006:$AC$1006,0)), HYPERLINK("#",""), HYPERLINK(CONCATENATE("#metadata!", ADDRESS(INDEX($P$2:$P$1001,MATCH(ROWS($N$2:N771),$N$2:$N$1001,0),0), INDEX($U$1004:$AC$1004,1,MATCH(COLUMNS($U$1006:AC1006),$U$1006:$AC$1006,0)))),"Fix")))</f>
        <v>0</v>
      </c>
      <c r="N771">
        <v>0</v>
      </c>
      <c r="O771">
        <v>0</v>
      </c>
      <c r="P771">
        <v>0</v>
      </c>
      <c r="Q771">
        <f>IF(R771,TRUE,AND(U771:AC771))</f>
        <v>0</v>
      </c>
      <c r="R771">
        <f>COUNTBLANK(metadata!B771:J771)=COLUMNS(metadata!B771:J771)</f>
        <v>0</v>
      </c>
      <c r="S771">
        <v>0</v>
      </c>
      <c r="U771">
        <f>AND(IF(metadata!B771="",FALSE,TRUE),COUNTIF(metadata!B:B, metadata!B771) = 1,NOT(ISERROR(SUMPRODUCT(SEARCH(MID(metadata!B771,ROW(INDIRECT("1:"&amp;LEN(metadata!B771))), 1),"0123456789abcdefghijklmnopqrstuvwxyzABCDEFGHIJKLMNOPQRSTUVWXYZ.")))))</f>
        <v>0</v>
      </c>
      <c r="V771">
        <f>AND(IF(metadata!C771="",FALSE,TRUE),exact(metadata!C771,"UBERON:genitourinary"))</f>
        <v>0</v>
      </c>
      <c r="W771">
        <f>AND(IF(metadata!D771="",FALSE,TRUE),exact(metadata!D771,"UBERON:urine"))</f>
        <v>0</v>
      </c>
      <c r="X771">
        <f>AND(IF(metadata!E771="",FALSE,TRUE),exact(metadata!E771,"UBERON:kidney"))</f>
        <v>0</v>
      </c>
      <c r="Y771">
        <f>AND(IF(metadata!F771="",FALSE,TRUE),exact(metadata!F771,"animal corpus"))</f>
        <v>0</v>
      </c>
      <c r="Z771">
        <f>AND(IF(metadata!G771="",FALSE,TRUE),exact(metadata!G771,"urine"))</f>
        <v>0</v>
      </c>
      <c r="AA771">
        <f>AND(IF(metadata!H771="",FALSE,TRUE),exact(metadata!H771,"urine"))</f>
        <v>0</v>
      </c>
      <c r="AB771">
        <f>AND(IF(metadata!I771="",FALSE,TRUE),exact(metadata!I771,"urine metagenome"))</f>
        <v>0</v>
      </c>
      <c r="AC771">
        <f>AND(IF(metadata!J771="",FALSE,TRUE),exact(metadata!J771,"1346744"))</f>
        <v>0</v>
      </c>
    </row>
    <row r="772" spans="1:29">
      <c r="A772" s="4">
        <f>IF(B772=" "," ",HYPERLINK(CONCATENATE("#metadata!",ADDRESS(INDEX($P$2:$P$1001,MATCH(ROWS($N$2:N772),$N$2:$N$1001,0),0),1)),INDEX($S$2:$S$1001,MATCH(ROWS($N$2:N772),$N$2:$N$1001,0),0)))</f>
        <v>0</v>
      </c>
      <c r="B772" s="3">
        <f>IF(OR(INDEX($O$2:$O$1001,MATCH(ROWS($N$2:N772),$N$2:$N$1001,0),1)&gt;=100000,INDEX($U$1005:$AC$1005,1,MATCH(COLUMNS($U$1006:U1006),$U$1006:$AC$1006,0))&gt;=100000), " ",IF(INDEX($U$2:$AC$1001,MATCH(ROWS($N$2:N772),$N$2:$N$1001,0),MATCH(COLUMNS($U$1006:U1006),$U$1006:$AC$1006,0)), HYPERLINK("#",""), HYPERLINK(CONCATENATE("#metadata!", ADDRESS(INDEX($P$2:$P$1001,MATCH(ROWS($N$2:N772),$N$2:$N$1001,0),0), INDEX($U$1004:$AC$1004,1,MATCH(COLUMNS($U$1006:U1006),$U$1006:$AC$1006,0)))),"Fix")))</f>
        <v>0</v>
      </c>
      <c r="C772" s="3">
        <f>IF(OR(INDEX($O$2:$O$1001,MATCH(ROWS($N$2:N772),$N$2:$N$1001,0),1)&gt;=100000,INDEX($U$1005:$AC$1005,1,MATCH(COLUMNS($U$1006:V1006),$U$1006:$AC$1006,0))&gt;=100000), " ",IF(INDEX($U$2:$AC$1001,MATCH(ROWS($N$2:N772),$N$2:$N$1001,0),MATCH(COLUMNS($U$1006:V1006),$U$1006:$AC$1006,0)), HYPERLINK("#",""), HYPERLINK(CONCATENATE("#metadata!", ADDRESS(INDEX($P$2:$P$1001,MATCH(ROWS($N$2:N772),$N$2:$N$1001,0),0), INDEX($U$1004:$AC$1004,1,MATCH(COLUMNS($U$1006:V1006),$U$1006:$AC$1006,0)))),"Fix")))</f>
        <v>0</v>
      </c>
      <c r="D772" s="3">
        <f>IF(OR(INDEX($O$2:$O$1001,MATCH(ROWS($N$2:N772),$N$2:$N$1001,0),1)&gt;=100000,INDEX($U$1005:$AC$1005,1,MATCH(COLUMNS($U$1006:W1006),$U$1006:$AC$1006,0))&gt;=100000), " ",IF(INDEX($U$2:$AC$1001,MATCH(ROWS($N$2:N772),$N$2:$N$1001,0),MATCH(COLUMNS($U$1006:W1006),$U$1006:$AC$1006,0)), HYPERLINK("#",""), HYPERLINK(CONCATENATE("#metadata!", ADDRESS(INDEX($P$2:$P$1001,MATCH(ROWS($N$2:N772),$N$2:$N$1001,0),0), INDEX($U$1004:$AC$1004,1,MATCH(COLUMNS($U$1006:W1006),$U$1006:$AC$1006,0)))),"Fix")))</f>
        <v>0</v>
      </c>
      <c r="E772" s="3">
        <f>IF(OR(INDEX($O$2:$O$1001,MATCH(ROWS($N$2:N772),$N$2:$N$1001,0),1)&gt;=100000,INDEX($U$1005:$AC$1005,1,MATCH(COLUMNS($U$1006:X1006),$U$1006:$AC$1006,0))&gt;=100000), " ",IF(INDEX($U$2:$AC$1001,MATCH(ROWS($N$2:N772),$N$2:$N$1001,0),MATCH(COLUMNS($U$1006:X1006),$U$1006:$AC$1006,0)), HYPERLINK("#",""), HYPERLINK(CONCATENATE("#metadata!", ADDRESS(INDEX($P$2:$P$1001,MATCH(ROWS($N$2:N772),$N$2:$N$1001,0),0), INDEX($U$1004:$AC$1004,1,MATCH(COLUMNS($U$1006:X1006),$U$1006:$AC$1006,0)))),"Fix")))</f>
        <v>0</v>
      </c>
      <c r="F772" s="3">
        <f>IF(OR(INDEX($O$2:$O$1001,MATCH(ROWS($N$2:N772),$N$2:$N$1001,0),1)&gt;=100000,INDEX($U$1005:$AC$1005,1,MATCH(COLUMNS($U$1006:Y1006),$U$1006:$AC$1006,0))&gt;=100000), " ",IF(INDEX($U$2:$AC$1001,MATCH(ROWS($N$2:N772),$N$2:$N$1001,0),MATCH(COLUMNS($U$1006:Y1006),$U$1006:$AC$1006,0)), HYPERLINK("#",""), HYPERLINK(CONCATENATE("#metadata!", ADDRESS(INDEX($P$2:$P$1001,MATCH(ROWS($N$2:N772),$N$2:$N$1001,0),0), INDEX($U$1004:$AC$1004,1,MATCH(COLUMNS($U$1006:Y1006),$U$1006:$AC$1006,0)))),"Fix")))</f>
        <v>0</v>
      </c>
      <c r="G772" s="3">
        <f>IF(OR(INDEX($O$2:$O$1001,MATCH(ROWS($N$2:N772),$N$2:$N$1001,0),1)&gt;=100000,INDEX($U$1005:$AC$1005,1,MATCH(COLUMNS($U$1006:Z1006),$U$1006:$AC$1006,0))&gt;=100000), " ",IF(INDEX($U$2:$AC$1001,MATCH(ROWS($N$2:N772),$N$2:$N$1001,0),MATCH(COLUMNS($U$1006:Z1006),$U$1006:$AC$1006,0)), HYPERLINK("#",""), HYPERLINK(CONCATENATE("#metadata!", ADDRESS(INDEX($P$2:$P$1001,MATCH(ROWS($N$2:N772),$N$2:$N$1001,0),0), INDEX($U$1004:$AC$1004,1,MATCH(COLUMNS($U$1006:Z1006),$U$1006:$AC$1006,0)))),"Fix")))</f>
        <v>0</v>
      </c>
      <c r="H772" s="3">
        <f>IF(OR(INDEX($O$2:$O$1001,MATCH(ROWS($N$2:N772),$N$2:$N$1001,0),1)&gt;=100000,INDEX($U$1005:$AC$1005,1,MATCH(COLUMNS($U$1006:AA1006),$U$1006:$AC$1006,0))&gt;=100000), " ",IF(INDEX($U$2:$AC$1001,MATCH(ROWS($N$2:N772),$N$2:$N$1001,0),MATCH(COLUMNS($U$1006:AA1006),$U$1006:$AC$1006,0)), HYPERLINK("#",""), HYPERLINK(CONCATENATE("#metadata!", ADDRESS(INDEX($P$2:$P$1001,MATCH(ROWS($N$2:N772),$N$2:$N$1001,0),0), INDEX($U$1004:$AC$1004,1,MATCH(COLUMNS($U$1006:AA1006),$U$1006:$AC$1006,0)))),"Fix")))</f>
        <v>0</v>
      </c>
      <c r="I772" s="3">
        <f>IF(OR(INDEX($O$2:$O$1001,MATCH(ROWS($N$2:N772),$N$2:$N$1001,0),1)&gt;=100000,INDEX($U$1005:$AC$1005,1,MATCH(COLUMNS($U$1006:AB1006),$U$1006:$AC$1006,0))&gt;=100000), " ",IF(INDEX($U$2:$AC$1001,MATCH(ROWS($N$2:N772),$N$2:$N$1001,0),MATCH(COLUMNS($U$1006:AB1006),$U$1006:$AC$1006,0)), HYPERLINK("#",""), HYPERLINK(CONCATENATE("#metadata!", ADDRESS(INDEX($P$2:$P$1001,MATCH(ROWS($N$2:N772),$N$2:$N$1001,0),0), INDEX($U$1004:$AC$1004,1,MATCH(COLUMNS($U$1006:AB1006),$U$1006:$AC$1006,0)))),"Fix")))</f>
        <v>0</v>
      </c>
      <c r="J772" s="3">
        <f>IF(OR(INDEX($O$2:$O$1001,MATCH(ROWS($N$2:N772),$N$2:$N$1001,0),1)&gt;=100000,INDEX($U$1005:$AC$1005,1,MATCH(COLUMNS($U$1006:AC1006),$U$1006:$AC$1006,0))&gt;=100000), " ",IF(INDEX($U$2:$AC$1001,MATCH(ROWS($N$2:N772),$N$2:$N$1001,0),MATCH(COLUMNS($U$1006:AC1006),$U$1006:$AC$1006,0)), HYPERLINK("#",""), HYPERLINK(CONCATENATE("#metadata!", ADDRESS(INDEX($P$2:$P$1001,MATCH(ROWS($N$2:N772),$N$2:$N$1001,0),0), INDEX($U$1004:$AC$1004,1,MATCH(COLUMNS($U$1006:AC1006),$U$1006:$AC$1006,0)))),"Fix")))</f>
        <v>0</v>
      </c>
      <c r="N772">
        <v>0</v>
      </c>
      <c r="O772">
        <v>0</v>
      </c>
      <c r="P772">
        <v>0</v>
      </c>
      <c r="Q772">
        <f>IF(R772,TRUE,AND(U772:AC772))</f>
        <v>0</v>
      </c>
      <c r="R772">
        <f>COUNTBLANK(metadata!B772:J772)=COLUMNS(metadata!B772:J772)</f>
        <v>0</v>
      </c>
      <c r="S772">
        <v>0</v>
      </c>
      <c r="U772">
        <f>AND(IF(metadata!B772="",FALSE,TRUE),COUNTIF(metadata!B:B, metadata!B772) = 1,NOT(ISERROR(SUMPRODUCT(SEARCH(MID(metadata!B772,ROW(INDIRECT("1:"&amp;LEN(metadata!B772))), 1),"0123456789abcdefghijklmnopqrstuvwxyzABCDEFGHIJKLMNOPQRSTUVWXYZ.")))))</f>
        <v>0</v>
      </c>
      <c r="V772">
        <f>AND(IF(metadata!C772="",FALSE,TRUE),exact(metadata!C772,"UBERON:genitourinary"))</f>
        <v>0</v>
      </c>
      <c r="W772">
        <f>AND(IF(metadata!D772="",FALSE,TRUE),exact(metadata!D772,"UBERON:urine"))</f>
        <v>0</v>
      </c>
      <c r="X772">
        <f>AND(IF(metadata!E772="",FALSE,TRUE),exact(metadata!E772,"UBERON:kidney"))</f>
        <v>0</v>
      </c>
      <c r="Y772">
        <f>AND(IF(metadata!F772="",FALSE,TRUE),exact(metadata!F772,"animal corpus"))</f>
        <v>0</v>
      </c>
      <c r="Z772">
        <f>AND(IF(metadata!G772="",FALSE,TRUE),exact(metadata!G772,"urine"))</f>
        <v>0</v>
      </c>
      <c r="AA772">
        <f>AND(IF(metadata!H772="",FALSE,TRUE),exact(metadata!H772,"urine"))</f>
        <v>0</v>
      </c>
      <c r="AB772">
        <f>AND(IF(metadata!I772="",FALSE,TRUE),exact(metadata!I772,"urine metagenome"))</f>
        <v>0</v>
      </c>
      <c r="AC772">
        <f>AND(IF(metadata!J772="",FALSE,TRUE),exact(metadata!J772,"1346744"))</f>
        <v>0</v>
      </c>
    </row>
    <row r="773" spans="1:29">
      <c r="A773" s="4">
        <f>IF(B773=" "," ",HYPERLINK(CONCATENATE("#metadata!",ADDRESS(INDEX($P$2:$P$1001,MATCH(ROWS($N$2:N773),$N$2:$N$1001,0),0),1)),INDEX($S$2:$S$1001,MATCH(ROWS($N$2:N773),$N$2:$N$1001,0),0)))</f>
        <v>0</v>
      </c>
      <c r="B773" s="3">
        <f>IF(OR(INDEX($O$2:$O$1001,MATCH(ROWS($N$2:N773),$N$2:$N$1001,0),1)&gt;=100000,INDEX($U$1005:$AC$1005,1,MATCH(COLUMNS($U$1006:U1006),$U$1006:$AC$1006,0))&gt;=100000), " ",IF(INDEX($U$2:$AC$1001,MATCH(ROWS($N$2:N773),$N$2:$N$1001,0),MATCH(COLUMNS($U$1006:U1006),$U$1006:$AC$1006,0)), HYPERLINK("#",""), HYPERLINK(CONCATENATE("#metadata!", ADDRESS(INDEX($P$2:$P$1001,MATCH(ROWS($N$2:N773),$N$2:$N$1001,0),0), INDEX($U$1004:$AC$1004,1,MATCH(COLUMNS($U$1006:U1006),$U$1006:$AC$1006,0)))),"Fix")))</f>
        <v>0</v>
      </c>
      <c r="C773" s="3">
        <f>IF(OR(INDEX($O$2:$O$1001,MATCH(ROWS($N$2:N773),$N$2:$N$1001,0),1)&gt;=100000,INDEX($U$1005:$AC$1005,1,MATCH(COLUMNS($U$1006:V1006),$U$1006:$AC$1006,0))&gt;=100000), " ",IF(INDEX($U$2:$AC$1001,MATCH(ROWS($N$2:N773),$N$2:$N$1001,0),MATCH(COLUMNS($U$1006:V1006),$U$1006:$AC$1006,0)), HYPERLINK("#",""), HYPERLINK(CONCATENATE("#metadata!", ADDRESS(INDEX($P$2:$P$1001,MATCH(ROWS($N$2:N773),$N$2:$N$1001,0),0), INDEX($U$1004:$AC$1004,1,MATCH(COLUMNS($U$1006:V1006),$U$1006:$AC$1006,0)))),"Fix")))</f>
        <v>0</v>
      </c>
      <c r="D773" s="3">
        <f>IF(OR(INDEX($O$2:$O$1001,MATCH(ROWS($N$2:N773),$N$2:$N$1001,0),1)&gt;=100000,INDEX($U$1005:$AC$1005,1,MATCH(COLUMNS($U$1006:W1006),$U$1006:$AC$1006,0))&gt;=100000), " ",IF(INDEX($U$2:$AC$1001,MATCH(ROWS($N$2:N773),$N$2:$N$1001,0),MATCH(COLUMNS($U$1006:W1006),$U$1006:$AC$1006,0)), HYPERLINK("#",""), HYPERLINK(CONCATENATE("#metadata!", ADDRESS(INDEX($P$2:$P$1001,MATCH(ROWS($N$2:N773),$N$2:$N$1001,0),0), INDEX($U$1004:$AC$1004,1,MATCH(COLUMNS($U$1006:W1006),$U$1006:$AC$1006,0)))),"Fix")))</f>
        <v>0</v>
      </c>
      <c r="E773" s="3">
        <f>IF(OR(INDEX($O$2:$O$1001,MATCH(ROWS($N$2:N773),$N$2:$N$1001,0),1)&gt;=100000,INDEX($U$1005:$AC$1005,1,MATCH(COLUMNS($U$1006:X1006),$U$1006:$AC$1006,0))&gt;=100000), " ",IF(INDEX($U$2:$AC$1001,MATCH(ROWS($N$2:N773),$N$2:$N$1001,0),MATCH(COLUMNS($U$1006:X1006),$U$1006:$AC$1006,0)), HYPERLINK("#",""), HYPERLINK(CONCATENATE("#metadata!", ADDRESS(INDEX($P$2:$P$1001,MATCH(ROWS($N$2:N773),$N$2:$N$1001,0),0), INDEX($U$1004:$AC$1004,1,MATCH(COLUMNS($U$1006:X1006),$U$1006:$AC$1006,0)))),"Fix")))</f>
        <v>0</v>
      </c>
      <c r="F773" s="3">
        <f>IF(OR(INDEX($O$2:$O$1001,MATCH(ROWS($N$2:N773),$N$2:$N$1001,0),1)&gt;=100000,INDEX($U$1005:$AC$1005,1,MATCH(COLUMNS($U$1006:Y1006),$U$1006:$AC$1006,0))&gt;=100000), " ",IF(INDEX($U$2:$AC$1001,MATCH(ROWS($N$2:N773),$N$2:$N$1001,0),MATCH(COLUMNS($U$1006:Y1006),$U$1006:$AC$1006,0)), HYPERLINK("#",""), HYPERLINK(CONCATENATE("#metadata!", ADDRESS(INDEX($P$2:$P$1001,MATCH(ROWS($N$2:N773),$N$2:$N$1001,0),0), INDEX($U$1004:$AC$1004,1,MATCH(COLUMNS($U$1006:Y1006),$U$1006:$AC$1006,0)))),"Fix")))</f>
        <v>0</v>
      </c>
      <c r="G773" s="3">
        <f>IF(OR(INDEX($O$2:$O$1001,MATCH(ROWS($N$2:N773),$N$2:$N$1001,0),1)&gt;=100000,INDEX($U$1005:$AC$1005,1,MATCH(COLUMNS($U$1006:Z1006),$U$1006:$AC$1006,0))&gt;=100000), " ",IF(INDEX($U$2:$AC$1001,MATCH(ROWS($N$2:N773),$N$2:$N$1001,0),MATCH(COLUMNS($U$1006:Z1006),$U$1006:$AC$1006,0)), HYPERLINK("#",""), HYPERLINK(CONCATENATE("#metadata!", ADDRESS(INDEX($P$2:$P$1001,MATCH(ROWS($N$2:N773),$N$2:$N$1001,0),0), INDEX($U$1004:$AC$1004,1,MATCH(COLUMNS($U$1006:Z1006),$U$1006:$AC$1006,0)))),"Fix")))</f>
        <v>0</v>
      </c>
      <c r="H773" s="3">
        <f>IF(OR(INDEX($O$2:$O$1001,MATCH(ROWS($N$2:N773),$N$2:$N$1001,0),1)&gt;=100000,INDEX($U$1005:$AC$1005,1,MATCH(COLUMNS($U$1006:AA1006),$U$1006:$AC$1006,0))&gt;=100000), " ",IF(INDEX($U$2:$AC$1001,MATCH(ROWS($N$2:N773),$N$2:$N$1001,0),MATCH(COLUMNS($U$1006:AA1006),$U$1006:$AC$1006,0)), HYPERLINK("#",""), HYPERLINK(CONCATENATE("#metadata!", ADDRESS(INDEX($P$2:$P$1001,MATCH(ROWS($N$2:N773),$N$2:$N$1001,0),0), INDEX($U$1004:$AC$1004,1,MATCH(COLUMNS($U$1006:AA1006),$U$1006:$AC$1006,0)))),"Fix")))</f>
        <v>0</v>
      </c>
      <c r="I773" s="3">
        <f>IF(OR(INDEX($O$2:$O$1001,MATCH(ROWS($N$2:N773),$N$2:$N$1001,0),1)&gt;=100000,INDEX($U$1005:$AC$1005,1,MATCH(COLUMNS($U$1006:AB1006),$U$1006:$AC$1006,0))&gt;=100000), " ",IF(INDEX($U$2:$AC$1001,MATCH(ROWS($N$2:N773),$N$2:$N$1001,0),MATCH(COLUMNS($U$1006:AB1006),$U$1006:$AC$1006,0)), HYPERLINK("#",""), HYPERLINK(CONCATENATE("#metadata!", ADDRESS(INDEX($P$2:$P$1001,MATCH(ROWS($N$2:N773),$N$2:$N$1001,0),0), INDEX($U$1004:$AC$1004,1,MATCH(COLUMNS($U$1006:AB1006),$U$1006:$AC$1006,0)))),"Fix")))</f>
        <v>0</v>
      </c>
      <c r="J773" s="3">
        <f>IF(OR(INDEX($O$2:$O$1001,MATCH(ROWS($N$2:N773),$N$2:$N$1001,0),1)&gt;=100000,INDEX($U$1005:$AC$1005,1,MATCH(COLUMNS($U$1006:AC1006),$U$1006:$AC$1006,0))&gt;=100000), " ",IF(INDEX($U$2:$AC$1001,MATCH(ROWS($N$2:N773),$N$2:$N$1001,0),MATCH(COLUMNS($U$1006:AC1006),$U$1006:$AC$1006,0)), HYPERLINK("#",""), HYPERLINK(CONCATENATE("#metadata!", ADDRESS(INDEX($P$2:$P$1001,MATCH(ROWS($N$2:N773),$N$2:$N$1001,0),0), INDEX($U$1004:$AC$1004,1,MATCH(COLUMNS($U$1006:AC1006),$U$1006:$AC$1006,0)))),"Fix")))</f>
        <v>0</v>
      </c>
      <c r="N773">
        <v>0</v>
      </c>
      <c r="O773">
        <v>0</v>
      </c>
      <c r="P773">
        <v>0</v>
      </c>
      <c r="Q773">
        <f>IF(R773,TRUE,AND(U773:AC773))</f>
        <v>0</v>
      </c>
      <c r="R773">
        <f>COUNTBLANK(metadata!B773:J773)=COLUMNS(metadata!B773:J773)</f>
        <v>0</v>
      </c>
      <c r="S773">
        <v>0</v>
      </c>
      <c r="U773">
        <f>AND(IF(metadata!B773="",FALSE,TRUE),COUNTIF(metadata!B:B, metadata!B773) = 1,NOT(ISERROR(SUMPRODUCT(SEARCH(MID(metadata!B773,ROW(INDIRECT("1:"&amp;LEN(metadata!B773))), 1),"0123456789abcdefghijklmnopqrstuvwxyzABCDEFGHIJKLMNOPQRSTUVWXYZ.")))))</f>
        <v>0</v>
      </c>
      <c r="V773">
        <f>AND(IF(metadata!C773="",FALSE,TRUE),exact(metadata!C773,"UBERON:genitourinary"))</f>
        <v>0</v>
      </c>
      <c r="W773">
        <f>AND(IF(metadata!D773="",FALSE,TRUE),exact(metadata!D773,"UBERON:urine"))</f>
        <v>0</v>
      </c>
      <c r="X773">
        <f>AND(IF(metadata!E773="",FALSE,TRUE),exact(metadata!E773,"UBERON:kidney"))</f>
        <v>0</v>
      </c>
      <c r="Y773">
        <f>AND(IF(metadata!F773="",FALSE,TRUE),exact(metadata!F773,"animal corpus"))</f>
        <v>0</v>
      </c>
      <c r="Z773">
        <f>AND(IF(metadata!G773="",FALSE,TRUE),exact(metadata!G773,"urine"))</f>
        <v>0</v>
      </c>
      <c r="AA773">
        <f>AND(IF(metadata!H773="",FALSE,TRUE),exact(metadata!H773,"urine"))</f>
        <v>0</v>
      </c>
      <c r="AB773">
        <f>AND(IF(metadata!I773="",FALSE,TRUE),exact(metadata!I773,"urine metagenome"))</f>
        <v>0</v>
      </c>
      <c r="AC773">
        <f>AND(IF(metadata!J773="",FALSE,TRUE),exact(metadata!J773,"1346744"))</f>
        <v>0</v>
      </c>
    </row>
    <row r="774" spans="1:29">
      <c r="A774" s="4">
        <f>IF(B774=" "," ",HYPERLINK(CONCATENATE("#metadata!",ADDRESS(INDEX($P$2:$P$1001,MATCH(ROWS($N$2:N774),$N$2:$N$1001,0),0),1)),INDEX($S$2:$S$1001,MATCH(ROWS($N$2:N774),$N$2:$N$1001,0),0)))</f>
        <v>0</v>
      </c>
      <c r="B774" s="3">
        <f>IF(OR(INDEX($O$2:$O$1001,MATCH(ROWS($N$2:N774),$N$2:$N$1001,0),1)&gt;=100000,INDEX($U$1005:$AC$1005,1,MATCH(COLUMNS($U$1006:U1006),$U$1006:$AC$1006,0))&gt;=100000), " ",IF(INDEX($U$2:$AC$1001,MATCH(ROWS($N$2:N774),$N$2:$N$1001,0),MATCH(COLUMNS($U$1006:U1006),$U$1006:$AC$1006,0)), HYPERLINK("#",""), HYPERLINK(CONCATENATE("#metadata!", ADDRESS(INDEX($P$2:$P$1001,MATCH(ROWS($N$2:N774),$N$2:$N$1001,0),0), INDEX($U$1004:$AC$1004,1,MATCH(COLUMNS($U$1006:U1006),$U$1006:$AC$1006,0)))),"Fix")))</f>
        <v>0</v>
      </c>
      <c r="C774" s="3">
        <f>IF(OR(INDEX($O$2:$O$1001,MATCH(ROWS($N$2:N774),$N$2:$N$1001,0),1)&gt;=100000,INDEX($U$1005:$AC$1005,1,MATCH(COLUMNS($U$1006:V1006),$U$1006:$AC$1006,0))&gt;=100000), " ",IF(INDEX($U$2:$AC$1001,MATCH(ROWS($N$2:N774),$N$2:$N$1001,0),MATCH(COLUMNS($U$1006:V1006),$U$1006:$AC$1006,0)), HYPERLINK("#",""), HYPERLINK(CONCATENATE("#metadata!", ADDRESS(INDEX($P$2:$P$1001,MATCH(ROWS($N$2:N774),$N$2:$N$1001,0),0), INDEX($U$1004:$AC$1004,1,MATCH(COLUMNS($U$1006:V1006),$U$1006:$AC$1006,0)))),"Fix")))</f>
        <v>0</v>
      </c>
      <c r="D774" s="3">
        <f>IF(OR(INDEX($O$2:$O$1001,MATCH(ROWS($N$2:N774),$N$2:$N$1001,0),1)&gt;=100000,INDEX($U$1005:$AC$1005,1,MATCH(COLUMNS($U$1006:W1006),$U$1006:$AC$1006,0))&gt;=100000), " ",IF(INDEX($U$2:$AC$1001,MATCH(ROWS($N$2:N774),$N$2:$N$1001,0),MATCH(COLUMNS($U$1006:W1006),$U$1006:$AC$1006,0)), HYPERLINK("#",""), HYPERLINK(CONCATENATE("#metadata!", ADDRESS(INDEX($P$2:$P$1001,MATCH(ROWS($N$2:N774),$N$2:$N$1001,0),0), INDEX($U$1004:$AC$1004,1,MATCH(COLUMNS($U$1006:W1006),$U$1006:$AC$1006,0)))),"Fix")))</f>
        <v>0</v>
      </c>
      <c r="E774" s="3">
        <f>IF(OR(INDEX($O$2:$O$1001,MATCH(ROWS($N$2:N774),$N$2:$N$1001,0),1)&gt;=100000,INDEX($U$1005:$AC$1005,1,MATCH(COLUMNS($U$1006:X1006),$U$1006:$AC$1006,0))&gt;=100000), " ",IF(INDEX($U$2:$AC$1001,MATCH(ROWS($N$2:N774),$N$2:$N$1001,0),MATCH(COLUMNS($U$1006:X1006),$U$1006:$AC$1006,0)), HYPERLINK("#",""), HYPERLINK(CONCATENATE("#metadata!", ADDRESS(INDEX($P$2:$P$1001,MATCH(ROWS($N$2:N774),$N$2:$N$1001,0),0), INDEX($U$1004:$AC$1004,1,MATCH(COLUMNS($U$1006:X1006),$U$1006:$AC$1006,0)))),"Fix")))</f>
        <v>0</v>
      </c>
      <c r="F774" s="3">
        <f>IF(OR(INDEX($O$2:$O$1001,MATCH(ROWS($N$2:N774),$N$2:$N$1001,0),1)&gt;=100000,INDEX($U$1005:$AC$1005,1,MATCH(COLUMNS($U$1006:Y1006),$U$1006:$AC$1006,0))&gt;=100000), " ",IF(INDEX($U$2:$AC$1001,MATCH(ROWS($N$2:N774),$N$2:$N$1001,0),MATCH(COLUMNS($U$1006:Y1006),$U$1006:$AC$1006,0)), HYPERLINK("#",""), HYPERLINK(CONCATENATE("#metadata!", ADDRESS(INDEX($P$2:$P$1001,MATCH(ROWS($N$2:N774),$N$2:$N$1001,0),0), INDEX($U$1004:$AC$1004,1,MATCH(COLUMNS($U$1006:Y1006),$U$1006:$AC$1006,0)))),"Fix")))</f>
        <v>0</v>
      </c>
      <c r="G774" s="3">
        <f>IF(OR(INDEX($O$2:$O$1001,MATCH(ROWS($N$2:N774),$N$2:$N$1001,0),1)&gt;=100000,INDEX($U$1005:$AC$1005,1,MATCH(COLUMNS($U$1006:Z1006),$U$1006:$AC$1006,0))&gt;=100000), " ",IF(INDEX($U$2:$AC$1001,MATCH(ROWS($N$2:N774),$N$2:$N$1001,0),MATCH(COLUMNS($U$1006:Z1006),$U$1006:$AC$1006,0)), HYPERLINK("#",""), HYPERLINK(CONCATENATE("#metadata!", ADDRESS(INDEX($P$2:$P$1001,MATCH(ROWS($N$2:N774),$N$2:$N$1001,0),0), INDEX($U$1004:$AC$1004,1,MATCH(COLUMNS($U$1006:Z1006),$U$1006:$AC$1006,0)))),"Fix")))</f>
        <v>0</v>
      </c>
      <c r="H774" s="3">
        <f>IF(OR(INDEX($O$2:$O$1001,MATCH(ROWS($N$2:N774),$N$2:$N$1001,0),1)&gt;=100000,INDEX($U$1005:$AC$1005,1,MATCH(COLUMNS($U$1006:AA1006),$U$1006:$AC$1006,0))&gt;=100000), " ",IF(INDEX($U$2:$AC$1001,MATCH(ROWS($N$2:N774),$N$2:$N$1001,0),MATCH(COLUMNS($U$1006:AA1006),$U$1006:$AC$1006,0)), HYPERLINK("#",""), HYPERLINK(CONCATENATE("#metadata!", ADDRESS(INDEX($P$2:$P$1001,MATCH(ROWS($N$2:N774),$N$2:$N$1001,0),0), INDEX($U$1004:$AC$1004,1,MATCH(COLUMNS($U$1006:AA1006),$U$1006:$AC$1006,0)))),"Fix")))</f>
        <v>0</v>
      </c>
      <c r="I774" s="3">
        <f>IF(OR(INDEX($O$2:$O$1001,MATCH(ROWS($N$2:N774),$N$2:$N$1001,0),1)&gt;=100000,INDEX($U$1005:$AC$1005,1,MATCH(COLUMNS($U$1006:AB1006),$U$1006:$AC$1006,0))&gt;=100000), " ",IF(INDEX($U$2:$AC$1001,MATCH(ROWS($N$2:N774),$N$2:$N$1001,0),MATCH(COLUMNS($U$1006:AB1006),$U$1006:$AC$1006,0)), HYPERLINK("#",""), HYPERLINK(CONCATENATE("#metadata!", ADDRESS(INDEX($P$2:$P$1001,MATCH(ROWS($N$2:N774),$N$2:$N$1001,0),0), INDEX($U$1004:$AC$1004,1,MATCH(COLUMNS($U$1006:AB1006),$U$1006:$AC$1006,0)))),"Fix")))</f>
        <v>0</v>
      </c>
      <c r="J774" s="3">
        <f>IF(OR(INDEX($O$2:$O$1001,MATCH(ROWS($N$2:N774),$N$2:$N$1001,0),1)&gt;=100000,INDEX($U$1005:$AC$1005,1,MATCH(COLUMNS($U$1006:AC1006),$U$1006:$AC$1006,0))&gt;=100000), " ",IF(INDEX($U$2:$AC$1001,MATCH(ROWS($N$2:N774),$N$2:$N$1001,0),MATCH(COLUMNS($U$1006:AC1006),$U$1006:$AC$1006,0)), HYPERLINK("#",""), HYPERLINK(CONCATENATE("#metadata!", ADDRESS(INDEX($P$2:$P$1001,MATCH(ROWS($N$2:N774),$N$2:$N$1001,0),0), INDEX($U$1004:$AC$1004,1,MATCH(COLUMNS($U$1006:AC1006),$U$1006:$AC$1006,0)))),"Fix")))</f>
        <v>0</v>
      </c>
      <c r="N774">
        <v>0</v>
      </c>
      <c r="O774">
        <v>0</v>
      </c>
      <c r="P774">
        <v>0</v>
      </c>
      <c r="Q774">
        <f>IF(R774,TRUE,AND(U774:AC774))</f>
        <v>0</v>
      </c>
      <c r="R774">
        <f>COUNTBLANK(metadata!B774:J774)=COLUMNS(metadata!B774:J774)</f>
        <v>0</v>
      </c>
      <c r="S774">
        <v>0</v>
      </c>
      <c r="U774">
        <f>AND(IF(metadata!B774="",FALSE,TRUE),COUNTIF(metadata!B:B, metadata!B774) = 1,NOT(ISERROR(SUMPRODUCT(SEARCH(MID(metadata!B774,ROW(INDIRECT("1:"&amp;LEN(metadata!B774))), 1),"0123456789abcdefghijklmnopqrstuvwxyzABCDEFGHIJKLMNOPQRSTUVWXYZ.")))))</f>
        <v>0</v>
      </c>
      <c r="V774">
        <f>AND(IF(metadata!C774="",FALSE,TRUE),exact(metadata!C774,"UBERON:genitourinary"))</f>
        <v>0</v>
      </c>
      <c r="W774">
        <f>AND(IF(metadata!D774="",FALSE,TRUE),exact(metadata!D774,"UBERON:urine"))</f>
        <v>0</v>
      </c>
      <c r="X774">
        <f>AND(IF(metadata!E774="",FALSE,TRUE),exact(metadata!E774,"UBERON:kidney"))</f>
        <v>0</v>
      </c>
      <c r="Y774">
        <f>AND(IF(metadata!F774="",FALSE,TRUE),exact(metadata!F774,"animal corpus"))</f>
        <v>0</v>
      </c>
      <c r="Z774">
        <f>AND(IF(metadata!G774="",FALSE,TRUE),exact(metadata!G774,"urine"))</f>
        <v>0</v>
      </c>
      <c r="AA774">
        <f>AND(IF(metadata!H774="",FALSE,TRUE),exact(metadata!H774,"urine"))</f>
        <v>0</v>
      </c>
      <c r="AB774">
        <f>AND(IF(metadata!I774="",FALSE,TRUE),exact(metadata!I774,"urine metagenome"))</f>
        <v>0</v>
      </c>
      <c r="AC774">
        <f>AND(IF(metadata!J774="",FALSE,TRUE),exact(metadata!J774,"1346744"))</f>
        <v>0</v>
      </c>
    </row>
    <row r="775" spans="1:29">
      <c r="A775" s="4">
        <f>IF(B775=" "," ",HYPERLINK(CONCATENATE("#metadata!",ADDRESS(INDEX($P$2:$P$1001,MATCH(ROWS($N$2:N775),$N$2:$N$1001,0),0),1)),INDEX($S$2:$S$1001,MATCH(ROWS($N$2:N775),$N$2:$N$1001,0),0)))</f>
        <v>0</v>
      </c>
      <c r="B775" s="3">
        <f>IF(OR(INDEX($O$2:$O$1001,MATCH(ROWS($N$2:N775),$N$2:$N$1001,0),1)&gt;=100000,INDEX($U$1005:$AC$1005,1,MATCH(COLUMNS($U$1006:U1006),$U$1006:$AC$1006,0))&gt;=100000), " ",IF(INDEX($U$2:$AC$1001,MATCH(ROWS($N$2:N775),$N$2:$N$1001,0),MATCH(COLUMNS($U$1006:U1006),$U$1006:$AC$1006,0)), HYPERLINK("#",""), HYPERLINK(CONCATENATE("#metadata!", ADDRESS(INDEX($P$2:$P$1001,MATCH(ROWS($N$2:N775),$N$2:$N$1001,0),0), INDEX($U$1004:$AC$1004,1,MATCH(COLUMNS($U$1006:U1006),$U$1006:$AC$1006,0)))),"Fix")))</f>
        <v>0</v>
      </c>
      <c r="C775" s="3">
        <f>IF(OR(INDEX($O$2:$O$1001,MATCH(ROWS($N$2:N775),$N$2:$N$1001,0),1)&gt;=100000,INDEX($U$1005:$AC$1005,1,MATCH(COLUMNS($U$1006:V1006),$U$1006:$AC$1006,0))&gt;=100000), " ",IF(INDEX($U$2:$AC$1001,MATCH(ROWS($N$2:N775),$N$2:$N$1001,0),MATCH(COLUMNS($U$1006:V1006),$U$1006:$AC$1006,0)), HYPERLINK("#",""), HYPERLINK(CONCATENATE("#metadata!", ADDRESS(INDEX($P$2:$P$1001,MATCH(ROWS($N$2:N775),$N$2:$N$1001,0),0), INDEX($U$1004:$AC$1004,1,MATCH(COLUMNS($U$1006:V1006),$U$1006:$AC$1006,0)))),"Fix")))</f>
        <v>0</v>
      </c>
      <c r="D775" s="3">
        <f>IF(OR(INDEX($O$2:$O$1001,MATCH(ROWS($N$2:N775),$N$2:$N$1001,0),1)&gt;=100000,INDEX($U$1005:$AC$1005,1,MATCH(COLUMNS($U$1006:W1006),$U$1006:$AC$1006,0))&gt;=100000), " ",IF(INDEX($U$2:$AC$1001,MATCH(ROWS($N$2:N775),$N$2:$N$1001,0),MATCH(COLUMNS($U$1006:W1006),$U$1006:$AC$1006,0)), HYPERLINK("#",""), HYPERLINK(CONCATENATE("#metadata!", ADDRESS(INDEX($P$2:$P$1001,MATCH(ROWS($N$2:N775),$N$2:$N$1001,0),0), INDEX($U$1004:$AC$1004,1,MATCH(COLUMNS($U$1006:W1006),$U$1006:$AC$1006,0)))),"Fix")))</f>
        <v>0</v>
      </c>
      <c r="E775" s="3">
        <f>IF(OR(INDEX($O$2:$O$1001,MATCH(ROWS($N$2:N775),$N$2:$N$1001,0),1)&gt;=100000,INDEX($U$1005:$AC$1005,1,MATCH(COLUMNS($U$1006:X1006),$U$1006:$AC$1006,0))&gt;=100000), " ",IF(INDEX($U$2:$AC$1001,MATCH(ROWS($N$2:N775),$N$2:$N$1001,0),MATCH(COLUMNS($U$1006:X1006),$U$1006:$AC$1006,0)), HYPERLINK("#",""), HYPERLINK(CONCATENATE("#metadata!", ADDRESS(INDEX($P$2:$P$1001,MATCH(ROWS($N$2:N775),$N$2:$N$1001,0),0), INDEX($U$1004:$AC$1004,1,MATCH(COLUMNS($U$1006:X1006),$U$1006:$AC$1006,0)))),"Fix")))</f>
        <v>0</v>
      </c>
      <c r="F775" s="3">
        <f>IF(OR(INDEX($O$2:$O$1001,MATCH(ROWS($N$2:N775),$N$2:$N$1001,0),1)&gt;=100000,INDEX($U$1005:$AC$1005,1,MATCH(COLUMNS($U$1006:Y1006),$U$1006:$AC$1006,0))&gt;=100000), " ",IF(INDEX($U$2:$AC$1001,MATCH(ROWS($N$2:N775),$N$2:$N$1001,0),MATCH(COLUMNS($U$1006:Y1006),$U$1006:$AC$1006,0)), HYPERLINK("#",""), HYPERLINK(CONCATENATE("#metadata!", ADDRESS(INDEX($P$2:$P$1001,MATCH(ROWS($N$2:N775),$N$2:$N$1001,0),0), INDEX($U$1004:$AC$1004,1,MATCH(COLUMNS($U$1006:Y1006),$U$1006:$AC$1006,0)))),"Fix")))</f>
        <v>0</v>
      </c>
      <c r="G775" s="3">
        <f>IF(OR(INDEX($O$2:$O$1001,MATCH(ROWS($N$2:N775),$N$2:$N$1001,0),1)&gt;=100000,INDEX($U$1005:$AC$1005,1,MATCH(COLUMNS($U$1006:Z1006),$U$1006:$AC$1006,0))&gt;=100000), " ",IF(INDEX($U$2:$AC$1001,MATCH(ROWS($N$2:N775),$N$2:$N$1001,0),MATCH(COLUMNS($U$1006:Z1006),$U$1006:$AC$1006,0)), HYPERLINK("#",""), HYPERLINK(CONCATENATE("#metadata!", ADDRESS(INDEX($P$2:$P$1001,MATCH(ROWS($N$2:N775),$N$2:$N$1001,0),0), INDEX($U$1004:$AC$1004,1,MATCH(COLUMNS($U$1006:Z1006),$U$1006:$AC$1006,0)))),"Fix")))</f>
        <v>0</v>
      </c>
      <c r="H775" s="3">
        <f>IF(OR(INDEX($O$2:$O$1001,MATCH(ROWS($N$2:N775),$N$2:$N$1001,0),1)&gt;=100000,INDEX($U$1005:$AC$1005,1,MATCH(COLUMNS($U$1006:AA1006),$U$1006:$AC$1006,0))&gt;=100000), " ",IF(INDEX($U$2:$AC$1001,MATCH(ROWS($N$2:N775),$N$2:$N$1001,0),MATCH(COLUMNS($U$1006:AA1006),$U$1006:$AC$1006,0)), HYPERLINK("#",""), HYPERLINK(CONCATENATE("#metadata!", ADDRESS(INDEX($P$2:$P$1001,MATCH(ROWS($N$2:N775),$N$2:$N$1001,0),0), INDEX($U$1004:$AC$1004,1,MATCH(COLUMNS($U$1006:AA1006),$U$1006:$AC$1006,0)))),"Fix")))</f>
        <v>0</v>
      </c>
      <c r="I775" s="3">
        <f>IF(OR(INDEX($O$2:$O$1001,MATCH(ROWS($N$2:N775),$N$2:$N$1001,0),1)&gt;=100000,INDEX($U$1005:$AC$1005,1,MATCH(COLUMNS($U$1006:AB1006),$U$1006:$AC$1006,0))&gt;=100000), " ",IF(INDEX($U$2:$AC$1001,MATCH(ROWS($N$2:N775),$N$2:$N$1001,0),MATCH(COLUMNS($U$1006:AB1006),$U$1006:$AC$1006,0)), HYPERLINK("#",""), HYPERLINK(CONCATENATE("#metadata!", ADDRESS(INDEX($P$2:$P$1001,MATCH(ROWS($N$2:N775),$N$2:$N$1001,0),0), INDEX($U$1004:$AC$1004,1,MATCH(COLUMNS($U$1006:AB1006),$U$1006:$AC$1006,0)))),"Fix")))</f>
        <v>0</v>
      </c>
      <c r="J775" s="3">
        <f>IF(OR(INDEX($O$2:$O$1001,MATCH(ROWS($N$2:N775),$N$2:$N$1001,0),1)&gt;=100000,INDEX($U$1005:$AC$1005,1,MATCH(COLUMNS($U$1006:AC1006),$U$1006:$AC$1006,0))&gt;=100000), " ",IF(INDEX($U$2:$AC$1001,MATCH(ROWS($N$2:N775),$N$2:$N$1001,0),MATCH(COLUMNS($U$1006:AC1006),$U$1006:$AC$1006,0)), HYPERLINK("#",""), HYPERLINK(CONCATENATE("#metadata!", ADDRESS(INDEX($P$2:$P$1001,MATCH(ROWS($N$2:N775),$N$2:$N$1001,0),0), INDEX($U$1004:$AC$1004,1,MATCH(COLUMNS($U$1006:AC1006),$U$1006:$AC$1006,0)))),"Fix")))</f>
        <v>0</v>
      </c>
      <c r="N775">
        <v>0</v>
      </c>
      <c r="O775">
        <v>0</v>
      </c>
      <c r="P775">
        <v>0</v>
      </c>
      <c r="Q775">
        <f>IF(R775,TRUE,AND(U775:AC775))</f>
        <v>0</v>
      </c>
      <c r="R775">
        <f>COUNTBLANK(metadata!B775:J775)=COLUMNS(metadata!B775:J775)</f>
        <v>0</v>
      </c>
      <c r="S775">
        <v>0</v>
      </c>
      <c r="U775">
        <f>AND(IF(metadata!B775="",FALSE,TRUE),COUNTIF(metadata!B:B, metadata!B775) = 1,NOT(ISERROR(SUMPRODUCT(SEARCH(MID(metadata!B775,ROW(INDIRECT("1:"&amp;LEN(metadata!B775))), 1),"0123456789abcdefghijklmnopqrstuvwxyzABCDEFGHIJKLMNOPQRSTUVWXYZ.")))))</f>
        <v>0</v>
      </c>
      <c r="V775">
        <f>AND(IF(metadata!C775="",FALSE,TRUE),exact(metadata!C775,"UBERON:genitourinary"))</f>
        <v>0</v>
      </c>
      <c r="W775">
        <f>AND(IF(metadata!D775="",FALSE,TRUE),exact(metadata!D775,"UBERON:urine"))</f>
        <v>0</v>
      </c>
      <c r="X775">
        <f>AND(IF(metadata!E775="",FALSE,TRUE),exact(metadata!E775,"UBERON:kidney"))</f>
        <v>0</v>
      </c>
      <c r="Y775">
        <f>AND(IF(metadata!F775="",FALSE,TRUE),exact(metadata!F775,"animal corpus"))</f>
        <v>0</v>
      </c>
      <c r="Z775">
        <f>AND(IF(metadata!G775="",FALSE,TRUE),exact(metadata!G775,"urine"))</f>
        <v>0</v>
      </c>
      <c r="AA775">
        <f>AND(IF(metadata!H775="",FALSE,TRUE),exact(metadata!H775,"urine"))</f>
        <v>0</v>
      </c>
      <c r="AB775">
        <f>AND(IF(metadata!I775="",FALSE,TRUE),exact(metadata!I775,"urine metagenome"))</f>
        <v>0</v>
      </c>
      <c r="AC775">
        <f>AND(IF(metadata!J775="",FALSE,TRUE),exact(metadata!J775,"1346744"))</f>
        <v>0</v>
      </c>
    </row>
    <row r="776" spans="1:29">
      <c r="A776" s="4">
        <f>IF(B776=" "," ",HYPERLINK(CONCATENATE("#metadata!",ADDRESS(INDEX($P$2:$P$1001,MATCH(ROWS($N$2:N776),$N$2:$N$1001,0),0),1)),INDEX($S$2:$S$1001,MATCH(ROWS($N$2:N776),$N$2:$N$1001,0),0)))</f>
        <v>0</v>
      </c>
      <c r="B776" s="3">
        <f>IF(OR(INDEX($O$2:$O$1001,MATCH(ROWS($N$2:N776),$N$2:$N$1001,0),1)&gt;=100000,INDEX($U$1005:$AC$1005,1,MATCH(COLUMNS($U$1006:U1006),$U$1006:$AC$1006,0))&gt;=100000), " ",IF(INDEX($U$2:$AC$1001,MATCH(ROWS($N$2:N776),$N$2:$N$1001,0),MATCH(COLUMNS($U$1006:U1006),$U$1006:$AC$1006,0)), HYPERLINK("#",""), HYPERLINK(CONCATENATE("#metadata!", ADDRESS(INDEX($P$2:$P$1001,MATCH(ROWS($N$2:N776),$N$2:$N$1001,0),0), INDEX($U$1004:$AC$1004,1,MATCH(COLUMNS($U$1006:U1006),$U$1006:$AC$1006,0)))),"Fix")))</f>
        <v>0</v>
      </c>
      <c r="C776" s="3">
        <f>IF(OR(INDEX($O$2:$O$1001,MATCH(ROWS($N$2:N776),$N$2:$N$1001,0),1)&gt;=100000,INDEX($U$1005:$AC$1005,1,MATCH(COLUMNS($U$1006:V1006),$U$1006:$AC$1006,0))&gt;=100000), " ",IF(INDEX($U$2:$AC$1001,MATCH(ROWS($N$2:N776),$N$2:$N$1001,0),MATCH(COLUMNS($U$1006:V1006),$U$1006:$AC$1006,0)), HYPERLINK("#",""), HYPERLINK(CONCATENATE("#metadata!", ADDRESS(INDEX($P$2:$P$1001,MATCH(ROWS($N$2:N776),$N$2:$N$1001,0),0), INDEX($U$1004:$AC$1004,1,MATCH(COLUMNS($U$1006:V1006),$U$1006:$AC$1006,0)))),"Fix")))</f>
        <v>0</v>
      </c>
      <c r="D776" s="3">
        <f>IF(OR(INDEX($O$2:$O$1001,MATCH(ROWS($N$2:N776),$N$2:$N$1001,0),1)&gt;=100000,INDEX($U$1005:$AC$1005,1,MATCH(COLUMNS($U$1006:W1006),$U$1006:$AC$1006,0))&gt;=100000), " ",IF(INDEX($U$2:$AC$1001,MATCH(ROWS($N$2:N776),$N$2:$N$1001,0),MATCH(COLUMNS($U$1006:W1006),$U$1006:$AC$1006,0)), HYPERLINK("#",""), HYPERLINK(CONCATENATE("#metadata!", ADDRESS(INDEX($P$2:$P$1001,MATCH(ROWS($N$2:N776),$N$2:$N$1001,0),0), INDEX($U$1004:$AC$1004,1,MATCH(COLUMNS($U$1006:W1006),$U$1006:$AC$1006,0)))),"Fix")))</f>
        <v>0</v>
      </c>
      <c r="E776" s="3">
        <f>IF(OR(INDEX($O$2:$O$1001,MATCH(ROWS($N$2:N776),$N$2:$N$1001,0),1)&gt;=100000,INDEX($U$1005:$AC$1005,1,MATCH(COLUMNS($U$1006:X1006),$U$1006:$AC$1006,0))&gt;=100000), " ",IF(INDEX($U$2:$AC$1001,MATCH(ROWS($N$2:N776),$N$2:$N$1001,0),MATCH(COLUMNS($U$1006:X1006),$U$1006:$AC$1006,0)), HYPERLINK("#",""), HYPERLINK(CONCATENATE("#metadata!", ADDRESS(INDEX($P$2:$P$1001,MATCH(ROWS($N$2:N776),$N$2:$N$1001,0),0), INDEX($U$1004:$AC$1004,1,MATCH(COLUMNS($U$1006:X1006),$U$1006:$AC$1006,0)))),"Fix")))</f>
        <v>0</v>
      </c>
      <c r="F776" s="3">
        <f>IF(OR(INDEX($O$2:$O$1001,MATCH(ROWS($N$2:N776),$N$2:$N$1001,0),1)&gt;=100000,INDEX($U$1005:$AC$1005,1,MATCH(COLUMNS($U$1006:Y1006),$U$1006:$AC$1006,0))&gt;=100000), " ",IF(INDEX($U$2:$AC$1001,MATCH(ROWS($N$2:N776),$N$2:$N$1001,0),MATCH(COLUMNS($U$1006:Y1006),$U$1006:$AC$1006,0)), HYPERLINK("#",""), HYPERLINK(CONCATENATE("#metadata!", ADDRESS(INDEX($P$2:$P$1001,MATCH(ROWS($N$2:N776),$N$2:$N$1001,0),0), INDEX($U$1004:$AC$1004,1,MATCH(COLUMNS($U$1006:Y1006),$U$1006:$AC$1006,0)))),"Fix")))</f>
        <v>0</v>
      </c>
      <c r="G776" s="3">
        <f>IF(OR(INDEX($O$2:$O$1001,MATCH(ROWS($N$2:N776),$N$2:$N$1001,0),1)&gt;=100000,INDEX($U$1005:$AC$1005,1,MATCH(COLUMNS($U$1006:Z1006),$U$1006:$AC$1006,0))&gt;=100000), " ",IF(INDEX($U$2:$AC$1001,MATCH(ROWS($N$2:N776),$N$2:$N$1001,0),MATCH(COLUMNS($U$1006:Z1006),$U$1006:$AC$1006,0)), HYPERLINK("#",""), HYPERLINK(CONCATENATE("#metadata!", ADDRESS(INDEX($P$2:$P$1001,MATCH(ROWS($N$2:N776),$N$2:$N$1001,0),0), INDEX($U$1004:$AC$1004,1,MATCH(COLUMNS($U$1006:Z1006),$U$1006:$AC$1006,0)))),"Fix")))</f>
        <v>0</v>
      </c>
      <c r="H776" s="3">
        <f>IF(OR(INDEX($O$2:$O$1001,MATCH(ROWS($N$2:N776),$N$2:$N$1001,0),1)&gt;=100000,INDEX($U$1005:$AC$1005,1,MATCH(COLUMNS($U$1006:AA1006),$U$1006:$AC$1006,0))&gt;=100000), " ",IF(INDEX($U$2:$AC$1001,MATCH(ROWS($N$2:N776),$N$2:$N$1001,0),MATCH(COLUMNS($U$1006:AA1006),$U$1006:$AC$1006,0)), HYPERLINK("#",""), HYPERLINK(CONCATENATE("#metadata!", ADDRESS(INDEX($P$2:$P$1001,MATCH(ROWS($N$2:N776),$N$2:$N$1001,0),0), INDEX($U$1004:$AC$1004,1,MATCH(COLUMNS($U$1006:AA1006),$U$1006:$AC$1006,0)))),"Fix")))</f>
        <v>0</v>
      </c>
      <c r="I776" s="3">
        <f>IF(OR(INDEX($O$2:$O$1001,MATCH(ROWS($N$2:N776),$N$2:$N$1001,0),1)&gt;=100000,INDEX($U$1005:$AC$1005,1,MATCH(COLUMNS($U$1006:AB1006),$U$1006:$AC$1006,0))&gt;=100000), " ",IF(INDEX($U$2:$AC$1001,MATCH(ROWS($N$2:N776),$N$2:$N$1001,0),MATCH(COLUMNS($U$1006:AB1006),$U$1006:$AC$1006,0)), HYPERLINK("#",""), HYPERLINK(CONCATENATE("#metadata!", ADDRESS(INDEX($P$2:$P$1001,MATCH(ROWS($N$2:N776),$N$2:$N$1001,0),0), INDEX($U$1004:$AC$1004,1,MATCH(COLUMNS($U$1006:AB1006),$U$1006:$AC$1006,0)))),"Fix")))</f>
        <v>0</v>
      </c>
      <c r="J776" s="3">
        <f>IF(OR(INDEX($O$2:$O$1001,MATCH(ROWS($N$2:N776),$N$2:$N$1001,0),1)&gt;=100000,INDEX($U$1005:$AC$1005,1,MATCH(COLUMNS($U$1006:AC1006),$U$1006:$AC$1006,0))&gt;=100000), " ",IF(INDEX($U$2:$AC$1001,MATCH(ROWS($N$2:N776),$N$2:$N$1001,0),MATCH(COLUMNS($U$1006:AC1006),$U$1006:$AC$1006,0)), HYPERLINK("#",""), HYPERLINK(CONCATENATE("#metadata!", ADDRESS(INDEX($P$2:$P$1001,MATCH(ROWS($N$2:N776),$N$2:$N$1001,0),0), INDEX($U$1004:$AC$1004,1,MATCH(COLUMNS($U$1006:AC1006),$U$1006:$AC$1006,0)))),"Fix")))</f>
        <v>0</v>
      </c>
      <c r="N776">
        <v>0</v>
      </c>
      <c r="O776">
        <v>0</v>
      </c>
      <c r="P776">
        <v>0</v>
      </c>
      <c r="Q776">
        <f>IF(R776,TRUE,AND(U776:AC776))</f>
        <v>0</v>
      </c>
      <c r="R776">
        <f>COUNTBLANK(metadata!B776:J776)=COLUMNS(metadata!B776:J776)</f>
        <v>0</v>
      </c>
      <c r="S776">
        <v>0</v>
      </c>
      <c r="U776">
        <f>AND(IF(metadata!B776="",FALSE,TRUE),COUNTIF(metadata!B:B, metadata!B776) = 1,NOT(ISERROR(SUMPRODUCT(SEARCH(MID(metadata!B776,ROW(INDIRECT("1:"&amp;LEN(metadata!B776))), 1),"0123456789abcdefghijklmnopqrstuvwxyzABCDEFGHIJKLMNOPQRSTUVWXYZ.")))))</f>
        <v>0</v>
      </c>
      <c r="V776">
        <f>AND(IF(metadata!C776="",FALSE,TRUE),exact(metadata!C776,"UBERON:genitourinary"))</f>
        <v>0</v>
      </c>
      <c r="W776">
        <f>AND(IF(metadata!D776="",FALSE,TRUE),exact(metadata!D776,"UBERON:urine"))</f>
        <v>0</v>
      </c>
      <c r="X776">
        <f>AND(IF(metadata!E776="",FALSE,TRUE),exact(metadata!E776,"UBERON:kidney"))</f>
        <v>0</v>
      </c>
      <c r="Y776">
        <f>AND(IF(metadata!F776="",FALSE,TRUE),exact(metadata!F776,"animal corpus"))</f>
        <v>0</v>
      </c>
      <c r="Z776">
        <f>AND(IF(metadata!G776="",FALSE,TRUE),exact(metadata!G776,"urine"))</f>
        <v>0</v>
      </c>
      <c r="AA776">
        <f>AND(IF(metadata!H776="",FALSE,TRUE),exact(metadata!H776,"urine"))</f>
        <v>0</v>
      </c>
      <c r="AB776">
        <f>AND(IF(metadata!I776="",FALSE,TRUE),exact(metadata!I776,"urine metagenome"))</f>
        <v>0</v>
      </c>
      <c r="AC776">
        <f>AND(IF(metadata!J776="",FALSE,TRUE),exact(metadata!J776,"1346744"))</f>
        <v>0</v>
      </c>
    </row>
    <row r="777" spans="1:29">
      <c r="A777" s="4">
        <f>IF(B777=" "," ",HYPERLINK(CONCATENATE("#metadata!",ADDRESS(INDEX($P$2:$P$1001,MATCH(ROWS($N$2:N777),$N$2:$N$1001,0),0),1)),INDEX($S$2:$S$1001,MATCH(ROWS($N$2:N777),$N$2:$N$1001,0),0)))</f>
        <v>0</v>
      </c>
      <c r="B777" s="3">
        <f>IF(OR(INDEX($O$2:$O$1001,MATCH(ROWS($N$2:N777),$N$2:$N$1001,0),1)&gt;=100000,INDEX($U$1005:$AC$1005,1,MATCH(COLUMNS($U$1006:U1006),$U$1006:$AC$1006,0))&gt;=100000), " ",IF(INDEX($U$2:$AC$1001,MATCH(ROWS($N$2:N777),$N$2:$N$1001,0),MATCH(COLUMNS($U$1006:U1006),$U$1006:$AC$1006,0)), HYPERLINK("#",""), HYPERLINK(CONCATENATE("#metadata!", ADDRESS(INDEX($P$2:$P$1001,MATCH(ROWS($N$2:N777),$N$2:$N$1001,0),0), INDEX($U$1004:$AC$1004,1,MATCH(COLUMNS($U$1006:U1006),$U$1006:$AC$1006,0)))),"Fix")))</f>
        <v>0</v>
      </c>
      <c r="C777" s="3">
        <f>IF(OR(INDEX($O$2:$O$1001,MATCH(ROWS($N$2:N777),$N$2:$N$1001,0),1)&gt;=100000,INDEX($U$1005:$AC$1005,1,MATCH(COLUMNS($U$1006:V1006),$U$1006:$AC$1006,0))&gt;=100000), " ",IF(INDEX($U$2:$AC$1001,MATCH(ROWS($N$2:N777),$N$2:$N$1001,0),MATCH(COLUMNS($U$1006:V1006),$U$1006:$AC$1006,0)), HYPERLINK("#",""), HYPERLINK(CONCATENATE("#metadata!", ADDRESS(INDEX($P$2:$P$1001,MATCH(ROWS($N$2:N777),$N$2:$N$1001,0),0), INDEX($U$1004:$AC$1004,1,MATCH(COLUMNS($U$1006:V1006),$U$1006:$AC$1006,0)))),"Fix")))</f>
        <v>0</v>
      </c>
      <c r="D777" s="3">
        <f>IF(OR(INDEX($O$2:$O$1001,MATCH(ROWS($N$2:N777),$N$2:$N$1001,0),1)&gt;=100000,INDEX($U$1005:$AC$1005,1,MATCH(COLUMNS($U$1006:W1006),$U$1006:$AC$1006,0))&gt;=100000), " ",IF(INDEX($U$2:$AC$1001,MATCH(ROWS($N$2:N777),$N$2:$N$1001,0),MATCH(COLUMNS($U$1006:W1006),$U$1006:$AC$1006,0)), HYPERLINK("#",""), HYPERLINK(CONCATENATE("#metadata!", ADDRESS(INDEX($P$2:$P$1001,MATCH(ROWS($N$2:N777),$N$2:$N$1001,0),0), INDEX($U$1004:$AC$1004,1,MATCH(COLUMNS($U$1006:W1006),$U$1006:$AC$1006,0)))),"Fix")))</f>
        <v>0</v>
      </c>
      <c r="E777" s="3">
        <f>IF(OR(INDEX($O$2:$O$1001,MATCH(ROWS($N$2:N777),$N$2:$N$1001,0),1)&gt;=100000,INDEX($U$1005:$AC$1005,1,MATCH(COLUMNS($U$1006:X1006),$U$1006:$AC$1006,0))&gt;=100000), " ",IF(INDEX($U$2:$AC$1001,MATCH(ROWS($N$2:N777),$N$2:$N$1001,0),MATCH(COLUMNS($U$1006:X1006),$U$1006:$AC$1006,0)), HYPERLINK("#",""), HYPERLINK(CONCATENATE("#metadata!", ADDRESS(INDEX($P$2:$P$1001,MATCH(ROWS($N$2:N777),$N$2:$N$1001,0),0), INDEX($U$1004:$AC$1004,1,MATCH(COLUMNS($U$1006:X1006),$U$1006:$AC$1006,0)))),"Fix")))</f>
        <v>0</v>
      </c>
      <c r="F777" s="3">
        <f>IF(OR(INDEX($O$2:$O$1001,MATCH(ROWS($N$2:N777),$N$2:$N$1001,0),1)&gt;=100000,INDEX($U$1005:$AC$1005,1,MATCH(COLUMNS($U$1006:Y1006),$U$1006:$AC$1006,0))&gt;=100000), " ",IF(INDEX($U$2:$AC$1001,MATCH(ROWS($N$2:N777),$N$2:$N$1001,0),MATCH(COLUMNS($U$1006:Y1006),$U$1006:$AC$1006,0)), HYPERLINK("#",""), HYPERLINK(CONCATENATE("#metadata!", ADDRESS(INDEX($P$2:$P$1001,MATCH(ROWS($N$2:N777),$N$2:$N$1001,0),0), INDEX($U$1004:$AC$1004,1,MATCH(COLUMNS($U$1006:Y1006),$U$1006:$AC$1006,0)))),"Fix")))</f>
        <v>0</v>
      </c>
      <c r="G777" s="3">
        <f>IF(OR(INDEX($O$2:$O$1001,MATCH(ROWS($N$2:N777),$N$2:$N$1001,0),1)&gt;=100000,INDEX($U$1005:$AC$1005,1,MATCH(COLUMNS($U$1006:Z1006),$U$1006:$AC$1006,0))&gt;=100000), " ",IF(INDEX($U$2:$AC$1001,MATCH(ROWS($N$2:N777),$N$2:$N$1001,0),MATCH(COLUMNS($U$1006:Z1006),$U$1006:$AC$1006,0)), HYPERLINK("#",""), HYPERLINK(CONCATENATE("#metadata!", ADDRESS(INDEX($P$2:$P$1001,MATCH(ROWS($N$2:N777),$N$2:$N$1001,0),0), INDEX($U$1004:$AC$1004,1,MATCH(COLUMNS($U$1006:Z1006),$U$1006:$AC$1006,0)))),"Fix")))</f>
        <v>0</v>
      </c>
      <c r="H777" s="3">
        <f>IF(OR(INDEX($O$2:$O$1001,MATCH(ROWS($N$2:N777),$N$2:$N$1001,0),1)&gt;=100000,INDEX($U$1005:$AC$1005,1,MATCH(COLUMNS($U$1006:AA1006),$U$1006:$AC$1006,0))&gt;=100000), " ",IF(INDEX($U$2:$AC$1001,MATCH(ROWS($N$2:N777),$N$2:$N$1001,0),MATCH(COLUMNS($U$1006:AA1006),$U$1006:$AC$1006,0)), HYPERLINK("#",""), HYPERLINK(CONCATENATE("#metadata!", ADDRESS(INDEX($P$2:$P$1001,MATCH(ROWS($N$2:N777),$N$2:$N$1001,0),0), INDEX($U$1004:$AC$1004,1,MATCH(COLUMNS($U$1006:AA1006),$U$1006:$AC$1006,0)))),"Fix")))</f>
        <v>0</v>
      </c>
      <c r="I777" s="3">
        <f>IF(OR(INDEX($O$2:$O$1001,MATCH(ROWS($N$2:N777),$N$2:$N$1001,0),1)&gt;=100000,INDEX($U$1005:$AC$1005,1,MATCH(COLUMNS($U$1006:AB1006),$U$1006:$AC$1006,0))&gt;=100000), " ",IF(INDEX($U$2:$AC$1001,MATCH(ROWS($N$2:N777),$N$2:$N$1001,0),MATCH(COLUMNS($U$1006:AB1006),$U$1006:$AC$1006,0)), HYPERLINK("#",""), HYPERLINK(CONCATENATE("#metadata!", ADDRESS(INDEX($P$2:$P$1001,MATCH(ROWS($N$2:N777),$N$2:$N$1001,0),0), INDEX($U$1004:$AC$1004,1,MATCH(COLUMNS($U$1006:AB1006),$U$1006:$AC$1006,0)))),"Fix")))</f>
        <v>0</v>
      </c>
      <c r="J777" s="3">
        <f>IF(OR(INDEX($O$2:$O$1001,MATCH(ROWS($N$2:N777),$N$2:$N$1001,0),1)&gt;=100000,INDEX($U$1005:$AC$1005,1,MATCH(COLUMNS($U$1006:AC1006),$U$1006:$AC$1006,0))&gt;=100000), " ",IF(INDEX($U$2:$AC$1001,MATCH(ROWS($N$2:N777),$N$2:$N$1001,0),MATCH(COLUMNS($U$1006:AC1006),$U$1006:$AC$1006,0)), HYPERLINK("#",""), HYPERLINK(CONCATENATE("#metadata!", ADDRESS(INDEX($P$2:$P$1001,MATCH(ROWS($N$2:N777),$N$2:$N$1001,0),0), INDEX($U$1004:$AC$1004,1,MATCH(COLUMNS($U$1006:AC1006),$U$1006:$AC$1006,0)))),"Fix")))</f>
        <v>0</v>
      </c>
      <c r="N777">
        <v>0</v>
      </c>
      <c r="O777">
        <v>0</v>
      </c>
      <c r="P777">
        <v>0</v>
      </c>
      <c r="Q777">
        <f>IF(R777,TRUE,AND(U777:AC777))</f>
        <v>0</v>
      </c>
      <c r="R777">
        <f>COUNTBLANK(metadata!B777:J777)=COLUMNS(metadata!B777:J777)</f>
        <v>0</v>
      </c>
      <c r="S777">
        <v>0</v>
      </c>
      <c r="U777">
        <f>AND(IF(metadata!B777="",FALSE,TRUE),COUNTIF(metadata!B:B, metadata!B777) = 1,NOT(ISERROR(SUMPRODUCT(SEARCH(MID(metadata!B777,ROW(INDIRECT("1:"&amp;LEN(metadata!B777))), 1),"0123456789abcdefghijklmnopqrstuvwxyzABCDEFGHIJKLMNOPQRSTUVWXYZ.")))))</f>
        <v>0</v>
      </c>
      <c r="V777">
        <f>AND(IF(metadata!C777="",FALSE,TRUE),exact(metadata!C777,"UBERON:genitourinary"))</f>
        <v>0</v>
      </c>
      <c r="W777">
        <f>AND(IF(metadata!D777="",FALSE,TRUE),exact(metadata!D777,"UBERON:urine"))</f>
        <v>0</v>
      </c>
      <c r="X777">
        <f>AND(IF(metadata!E777="",FALSE,TRUE),exact(metadata!E777,"UBERON:kidney"))</f>
        <v>0</v>
      </c>
      <c r="Y777">
        <f>AND(IF(metadata!F777="",FALSE,TRUE),exact(metadata!F777,"animal corpus"))</f>
        <v>0</v>
      </c>
      <c r="Z777">
        <f>AND(IF(metadata!G777="",FALSE,TRUE),exact(metadata!G777,"urine"))</f>
        <v>0</v>
      </c>
      <c r="AA777">
        <f>AND(IF(metadata!H777="",FALSE,TRUE),exact(metadata!H777,"urine"))</f>
        <v>0</v>
      </c>
      <c r="AB777">
        <f>AND(IF(metadata!I777="",FALSE,TRUE),exact(metadata!I777,"urine metagenome"))</f>
        <v>0</v>
      </c>
      <c r="AC777">
        <f>AND(IF(metadata!J777="",FALSE,TRUE),exact(metadata!J777,"1346744"))</f>
        <v>0</v>
      </c>
    </row>
    <row r="778" spans="1:29">
      <c r="A778" s="4">
        <f>IF(B778=" "," ",HYPERLINK(CONCATENATE("#metadata!",ADDRESS(INDEX($P$2:$P$1001,MATCH(ROWS($N$2:N778),$N$2:$N$1001,0),0),1)),INDEX($S$2:$S$1001,MATCH(ROWS($N$2:N778),$N$2:$N$1001,0),0)))</f>
        <v>0</v>
      </c>
      <c r="B778" s="3">
        <f>IF(OR(INDEX($O$2:$O$1001,MATCH(ROWS($N$2:N778),$N$2:$N$1001,0),1)&gt;=100000,INDEX($U$1005:$AC$1005,1,MATCH(COLUMNS($U$1006:U1006),$U$1006:$AC$1006,0))&gt;=100000), " ",IF(INDEX($U$2:$AC$1001,MATCH(ROWS($N$2:N778),$N$2:$N$1001,0),MATCH(COLUMNS($U$1006:U1006),$U$1006:$AC$1006,0)), HYPERLINK("#",""), HYPERLINK(CONCATENATE("#metadata!", ADDRESS(INDEX($P$2:$P$1001,MATCH(ROWS($N$2:N778),$N$2:$N$1001,0),0), INDEX($U$1004:$AC$1004,1,MATCH(COLUMNS($U$1006:U1006),$U$1006:$AC$1006,0)))),"Fix")))</f>
        <v>0</v>
      </c>
      <c r="C778" s="3">
        <f>IF(OR(INDEX($O$2:$O$1001,MATCH(ROWS($N$2:N778),$N$2:$N$1001,0),1)&gt;=100000,INDEX($U$1005:$AC$1005,1,MATCH(COLUMNS($U$1006:V1006),$U$1006:$AC$1006,0))&gt;=100000), " ",IF(INDEX($U$2:$AC$1001,MATCH(ROWS($N$2:N778),$N$2:$N$1001,0),MATCH(COLUMNS($U$1006:V1006),$U$1006:$AC$1006,0)), HYPERLINK("#",""), HYPERLINK(CONCATENATE("#metadata!", ADDRESS(INDEX($P$2:$P$1001,MATCH(ROWS($N$2:N778),$N$2:$N$1001,0),0), INDEX($U$1004:$AC$1004,1,MATCH(COLUMNS($U$1006:V1006),$U$1006:$AC$1006,0)))),"Fix")))</f>
        <v>0</v>
      </c>
      <c r="D778" s="3">
        <f>IF(OR(INDEX($O$2:$O$1001,MATCH(ROWS($N$2:N778),$N$2:$N$1001,0),1)&gt;=100000,INDEX($U$1005:$AC$1005,1,MATCH(COLUMNS($U$1006:W1006),$U$1006:$AC$1006,0))&gt;=100000), " ",IF(INDEX($U$2:$AC$1001,MATCH(ROWS($N$2:N778),$N$2:$N$1001,0),MATCH(COLUMNS($U$1006:W1006),$U$1006:$AC$1006,0)), HYPERLINK("#",""), HYPERLINK(CONCATENATE("#metadata!", ADDRESS(INDEX($P$2:$P$1001,MATCH(ROWS($N$2:N778),$N$2:$N$1001,0),0), INDEX($U$1004:$AC$1004,1,MATCH(COLUMNS($U$1006:W1006),$U$1006:$AC$1006,0)))),"Fix")))</f>
        <v>0</v>
      </c>
      <c r="E778" s="3">
        <f>IF(OR(INDEX($O$2:$O$1001,MATCH(ROWS($N$2:N778),$N$2:$N$1001,0),1)&gt;=100000,INDEX($U$1005:$AC$1005,1,MATCH(COLUMNS($U$1006:X1006),$U$1006:$AC$1006,0))&gt;=100000), " ",IF(INDEX($U$2:$AC$1001,MATCH(ROWS($N$2:N778),$N$2:$N$1001,0),MATCH(COLUMNS($U$1006:X1006),$U$1006:$AC$1006,0)), HYPERLINK("#",""), HYPERLINK(CONCATENATE("#metadata!", ADDRESS(INDEX($P$2:$P$1001,MATCH(ROWS($N$2:N778),$N$2:$N$1001,0),0), INDEX($U$1004:$AC$1004,1,MATCH(COLUMNS($U$1006:X1006),$U$1006:$AC$1006,0)))),"Fix")))</f>
        <v>0</v>
      </c>
      <c r="F778" s="3">
        <f>IF(OR(INDEX($O$2:$O$1001,MATCH(ROWS($N$2:N778),$N$2:$N$1001,0),1)&gt;=100000,INDEX($U$1005:$AC$1005,1,MATCH(COLUMNS($U$1006:Y1006),$U$1006:$AC$1006,0))&gt;=100000), " ",IF(INDEX($U$2:$AC$1001,MATCH(ROWS($N$2:N778),$N$2:$N$1001,0),MATCH(COLUMNS($U$1006:Y1006),$U$1006:$AC$1006,0)), HYPERLINK("#",""), HYPERLINK(CONCATENATE("#metadata!", ADDRESS(INDEX($P$2:$P$1001,MATCH(ROWS($N$2:N778),$N$2:$N$1001,0),0), INDEX($U$1004:$AC$1004,1,MATCH(COLUMNS($U$1006:Y1006),$U$1006:$AC$1006,0)))),"Fix")))</f>
        <v>0</v>
      </c>
      <c r="G778" s="3">
        <f>IF(OR(INDEX($O$2:$O$1001,MATCH(ROWS($N$2:N778),$N$2:$N$1001,0),1)&gt;=100000,INDEX($U$1005:$AC$1005,1,MATCH(COLUMNS($U$1006:Z1006),$U$1006:$AC$1006,0))&gt;=100000), " ",IF(INDEX($U$2:$AC$1001,MATCH(ROWS($N$2:N778),$N$2:$N$1001,0),MATCH(COLUMNS($U$1006:Z1006),$U$1006:$AC$1006,0)), HYPERLINK("#",""), HYPERLINK(CONCATENATE("#metadata!", ADDRESS(INDEX($P$2:$P$1001,MATCH(ROWS($N$2:N778),$N$2:$N$1001,0),0), INDEX($U$1004:$AC$1004,1,MATCH(COLUMNS($U$1006:Z1006),$U$1006:$AC$1006,0)))),"Fix")))</f>
        <v>0</v>
      </c>
      <c r="H778" s="3">
        <f>IF(OR(INDEX($O$2:$O$1001,MATCH(ROWS($N$2:N778),$N$2:$N$1001,0),1)&gt;=100000,INDEX($U$1005:$AC$1005,1,MATCH(COLUMNS($U$1006:AA1006),$U$1006:$AC$1006,0))&gt;=100000), " ",IF(INDEX($U$2:$AC$1001,MATCH(ROWS($N$2:N778),$N$2:$N$1001,0),MATCH(COLUMNS($U$1006:AA1006),$U$1006:$AC$1006,0)), HYPERLINK("#",""), HYPERLINK(CONCATENATE("#metadata!", ADDRESS(INDEX($P$2:$P$1001,MATCH(ROWS($N$2:N778),$N$2:$N$1001,0),0), INDEX($U$1004:$AC$1004,1,MATCH(COLUMNS($U$1006:AA1006),$U$1006:$AC$1006,0)))),"Fix")))</f>
        <v>0</v>
      </c>
      <c r="I778" s="3">
        <f>IF(OR(INDEX($O$2:$O$1001,MATCH(ROWS($N$2:N778),$N$2:$N$1001,0),1)&gt;=100000,INDEX($U$1005:$AC$1005,1,MATCH(COLUMNS($U$1006:AB1006),$U$1006:$AC$1006,0))&gt;=100000), " ",IF(INDEX($U$2:$AC$1001,MATCH(ROWS($N$2:N778),$N$2:$N$1001,0),MATCH(COLUMNS($U$1006:AB1006),$U$1006:$AC$1006,0)), HYPERLINK("#",""), HYPERLINK(CONCATENATE("#metadata!", ADDRESS(INDEX($P$2:$P$1001,MATCH(ROWS($N$2:N778),$N$2:$N$1001,0),0), INDEX($U$1004:$AC$1004,1,MATCH(COLUMNS($U$1006:AB1006),$U$1006:$AC$1006,0)))),"Fix")))</f>
        <v>0</v>
      </c>
      <c r="J778" s="3">
        <f>IF(OR(INDEX($O$2:$O$1001,MATCH(ROWS($N$2:N778),$N$2:$N$1001,0),1)&gt;=100000,INDEX($U$1005:$AC$1005,1,MATCH(COLUMNS($U$1006:AC1006),$U$1006:$AC$1006,0))&gt;=100000), " ",IF(INDEX($U$2:$AC$1001,MATCH(ROWS($N$2:N778),$N$2:$N$1001,0),MATCH(COLUMNS($U$1006:AC1006),$U$1006:$AC$1006,0)), HYPERLINK("#",""), HYPERLINK(CONCATENATE("#metadata!", ADDRESS(INDEX($P$2:$P$1001,MATCH(ROWS($N$2:N778),$N$2:$N$1001,0),0), INDEX($U$1004:$AC$1004,1,MATCH(COLUMNS($U$1006:AC1006),$U$1006:$AC$1006,0)))),"Fix")))</f>
        <v>0</v>
      </c>
      <c r="N778">
        <v>0</v>
      </c>
      <c r="O778">
        <v>0</v>
      </c>
      <c r="P778">
        <v>0</v>
      </c>
      <c r="Q778">
        <f>IF(R778,TRUE,AND(U778:AC778))</f>
        <v>0</v>
      </c>
      <c r="R778">
        <f>COUNTBLANK(metadata!B778:J778)=COLUMNS(metadata!B778:J778)</f>
        <v>0</v>
      </c>
      <c r="S778">
        <v>0</v>
      </c>
      <c r="U778">
        <f>AND(IF(metadata!B778="",FALSE,TRUE),COUNTIF(metadata!B:B, metadata!B778) = 1,NOT(ISERROR(SUMPRODUCT(SEARCH(MID(metadata!B778,ROW(INDIRECT("1:"&amp;LEN(metadata!B778))), 1),"0123456789abcdefghijklmnopqrstuvwxyzABCDEFGHIJKLMNOPQRSTUVWXYZ.")))))</f>
        <v>0</v>
      </c>
      <c r="V778">
        <f>AND(IF(metadata!C778="",FALSE,TRUE),exact(metadata!C778,"UBERON:genitourinary"))</f>
        <v>0</v>
      </c>
      <c r="W778">
        <f>AND(IF(metadata!D778="",FALSE,TRUE),exact(metadata!D778,"UBERON:urine"))</f>
        <v>0</v>
      </c>
      <c r="X778">
        <f>AND(IF(metadata!E778="",FALSE,TRUE),exact(metadata!E778,"UBERON:kidney"))</f>
        <v>0</v>
      </c>
      <c r="Y778">
        <f>AND(IF(metadata!F778="",FALSE,TRUE),exact(metadata!F778,"animal corpus"))</f>
        <v>0</v>
      </c>
      <c r="Z778">
        <f>AND(IF(metadata!G778="",FALSE,TRUE),exact(metadata!G778,"urine"))</f>
        <v>0</v>
      </c>
      <c r="AA778">
        <f>AND(IF(metadata!H778="",FALSE,TRUE),exact(metadata!H778,"urine"))</f>
        <v>0</v>
      </c>
      <c r="AB778">
        <f>AND(IF(metadata!I778="",FALSE,TRUE),exact(metadata!I778,"urine metagenome"))</f>
        <v>0</v>
      </c>
      <c r="AC778">
        <f>AND(IF(metadata!J778="",FALSE,TRUE),exact(metadata!J778,"1346744"))</f>
        <v>0</v>
      </c>
    </row>
    <row r="779" spans="1:29">
      <c r="A779" s="4">
        <f>IF(B779=" "," ",HYPERLINK(CONCATENATE("#metadata!",ADDRESS(INDEX($P$2:$P$1001,MATCH(ROWS($N$2:N779),$N$2:$N$1001,0),0),1)),INDEX($S$2:$S$1001,MATCH(ROWS($N$2:N779),$N$2:$N$1001,0),0)))</f>
        <v>0</v>
      </c>
      <c r="B779" s="3">
        <f>IF(OR(INDEX($O$2:$O$1001,MATCH(ROWS($N$2:N779),$N$2:$N$1001,0),1)&gt;=100000,INDEX($U$1005:$AC$1005,1,MATCH(COLUMNS($U$1006:U1006),$U$1006:$AC$1006,0))&gt;=100000), " ",IF(INDEX($U$2:$AC$1001,MATCH(ROWS($N$2:N779),$N$2:$N$1001,0),MATCH(COLUMNS($U$1006:U1006),$U$1006:$AC$1006,0)), HYPERLINK("#",""), HYPERLINK(CONCATENATE("#metadata!", ADDRESS(INDEX($P$2:$P$1001,MATCH(ROWS($N$2:N779),$N$2:$N$1001,0),0), INDEX($U$1004:$AC$1004,1,MATCH(COLUMNS($U$1006:U1006),$U$1006:$AC$1006,0)))),"Fix")))</f>
        <v>0</v>
      </c>
      <c r="C779" s="3">
        <f>IF(OR(INDEX($O$2:$O$1001,MATCH(ROWS($N$2:N779),$N$2:$N$1001,0),1)&gt;=100000,INDEX($U$1005:$AC$1005,1,MATCH(COLUMNS($U$1006:V1006),$U$1006:$AC$1006,0))&gt;=100000), " ",IF(INDEX($U$2:$AC$1001,MATCH(ROWS($N$2:N779),$N$2:$N$1001,0),MATCH(COLUMNS($U$1006:V1006),$U$1006:$AC$1006,0)), HYPERLINK("#",""), HYPERLINK(CONCATENATE("#metadata!", ADDRESS(INDEX($P$2:$P$1001,MATCH(ROWS($N$2:N779),$N$2:$N$1001,0),0), INDEX($U$1004:$AC$1004,1,MATCH(COLUMNS($U$1006:V1006),$U$1006:$AC$1006,0)))),"Fix")))</f>
        <v>0</v>
      </c>
      <c r="D779" s="3">
        <f>IF(OR(INDEX($O$2:$O$1001,MATCH(ROWS($N$2:N779),$N$2:$N$1001,0),1)&gt;=100000,INDEX($U$1005:$AC$1005,1,MATCH(COLUMNS($U$1006:W1006),$U$1006:$AC$1006,0))&gt;=100000), " ",IF(INDEX($U$2:$AC$1001,MATCH(ROWS($N$2:N779),$N$2:$N$1001,0),MATCH(COLUMNS($U$1006:W1006),$U$1006:$AC$1006,0)), HYPERLINK("#",""), HYPERLINK(CONCATENATE("#metadata!", ADDRESS(INDEX($P$2:$P$1001,MATCH(ROWS($N$2:N779),$N$2:$N$1001,0),0), INDEX($U$1004:$AC$1004,1,MATCH(COLUMNS($U$1006:W1006),$U$1006:$AC$1006,0)))),"Fix")))</f>
        <v>0</v>
      </c>
      <c r="E779" s="3">
        <f>IF(OR(INDEX($O$2:$O$1001,MATCH(ROWS($N$2:N779),$N$2:$N$1001,0),1)&gt;=100000,INDEX($U$1005:$AC$1005,1,MATCH(COLUMNS($U$1006:X1006),$U$1006:$AC$1006,0))&gt;=100000), " ",IF(INDEX($U$2:$AC$1001,MATCH(ROWS($N$2:N779),$N$2:$N$1001,0),MATCH(COLUMNS($U$1006:X1006),$U$1006:$AC$1006,0)), HYPERLINK("#",""), HYPERLINK(CONCATENATE("#metadata!", ADDRESS(INDEX($P$2:$P$1001,MATCH(ROWS($N$2:N779),$N$2:$N$1001,0),0), INDEX($U$1004:$AC$1004,1,MATCH(COLUMNS($U$1006:X1006),$U$1006:$AC$1006,0)))),"Fix")))</f>
        <v>0</v>
      </c>
      <c r="F779" s="3">
        <f>IF(OR(INDEX($O$2:$O$1001,MATCH(ROWS($N$2:N779),$N$2:$N$1001,0),1)&gt;=100000,INDEX($U$1005:$AC$1005,1,MATCH(COLUMNS($U$1006:Y1006),$U$1006:$AC$1006,0))&gt;=100000), " ",IF(INDEX($U$2:$AC$1001,MATCH(ROWS($N$2:N779),$N$2:$N$1001,0),MATCH(COLUMNS($U$1006:Y1006),$U$1006:$AC$1006,0)), HYPERLINK("#",""), HYPERLINK(CONCATENATE("#metadata!", ADDRESS(INDEX($P$2:$P$1001,MATCH(ROWS($N$2:N779),$N$2:$N$1001,0),0), INDEX($U$1004:$AC$1004,1,MATCH(COLUMNS($U$1006:Y1006),$U$1006:$AC$1006,0)))),"Fix")))</f>
        <v>0</v>
      </c>
      <c r="G779" s="3">
        <f>IF(OR(INDEX($O$2:$O$1001,MATCH(ROWS($N$2:N779),$N$2:$N$1001,0),1)&gt;=100000,INDEX($U$1005:$AC$1005,1,MATCH(COLUMNS($U$1006:Z1006),$U$1006:$AC$1006,0))&gt;=100000), " ",IF(INDEX($U$2:$AC$1001,MATCH(ROWS($N$2:N779),$N$2:$N$1001,0),MATCH(COLUMNS($U$1006:Z1006),$U$1006:$AC$1006,0)), HYPERLINK("#",""), HYPERLINK(CONCATENATE("#metadata!", ADDRESS(INDEX($P$2:$P$1001,MATCH(ROWS($N$2:N779),$N$2:$N$1001,0),0), INDEX($U$1004:$AC$1004,1,MATCH(COLUMNS($U$1006:Z1006),$U$1006:$AC$1006,0)))),"Fix")))</f>
        <v>0</v>
      </c>
      <c r="H779" s="3">
        <f>IF(OR(INDEX($O$2:$O$1001,MATCH(ROWS($N$2:N779),$N$2:$N$1001,0),1)&gt;=100000,INDEX($U$1005:$AC$1005,1,MATCH(COLUMNS($U$1006:AA1006),$U$1006:$AC$1006,0))&gt;=100000), " ",IF(INDEX($U$2:$AC$1001,MATCH(ROWS($N$2:N779),$N$2:$N$1001,0),MATCH(COLUMNS($U$1006:AA1006),$U$1006:$AC$1006,0)), HYPERLINK("#",""), HYPERLINK(CONCATENATE("#metadata!", ADDRESS(INDEX($P$2:$P$1001,MATCH(ROWS($N$2:N779),$N$2:$N$1001,0),0), INDEX($U$1004:$AC$1004,1,MATCH(COLUMNS($U$1006:AA1006),$U$1006:$AC$1006,0)))),"Fix")))</f>
        <v>0</v>
      </c>
      <c r="I779" s="3">
        <f>IF(OR(INDEX($O$2:$O$1001,MATCH(ROWS($N$2:N779),$N$2:$N$1001,0),1)&gt;=100000,INDEX($U$1005:$AC$1005,1,MATCH(COLUMNS($U$1006:AB1006),$U$1006:$AC$1006,0))&gt;=100000), " ",IF(INDEX($U$2:$AC$1001,MATCH(ROWS($N$2:N779),$N$2:$N$1001,0),MATCH(COLUMNS($U$1006:AB1006),$U$1006:$AC$1006,0)), HYPERLINK("#",""), HYPERLINK(CONCATENATE("#metadata!", ADDRESS(INDEX($P$2:$P$1001,MATCH(ROWS($N$2:N779),$N$2:$N$1001,0),0), INDEX($U$1004:$AC$1004,1,MATCH(COLUMNS($U$1006:AB1006),$U$1006:$AC$1006,0)))),"Fix")))</f>
        <v>0</v>
      </c>
      <c r="J779" s="3">
        <f>IF(OR(INDEX($O$2:$O$1001,MATCH(ROWS($N$2:N779),$N$2:$N$1001,0),1)&gt;=100000,INDEX($U$1005:$AC$1005,1,MATCH(COLUMNS($U$1006:AC1006),$U$1006:$AC$1006,0))&gt;=100000), " ",IF(INDEX($U$2:$AC$1001,MATCH(ROWS($N$2:N779),$N$2:$N$1001,0),MATCH(COLUMNS($U$1006:AC1006),$U$1006:$AC$1006,0)), HYPERLINK("#",""), HYPERLINK(CONCATENATE("#metadata!", ADDRESS(INDEX($P$2:$P$1001,MATCH(ROWS($N$2:N779),$N$2:$N$1001,0),0), INDEX($U$1004:$AC$1004,1,MATCH(COLUMNS($U$1006:AC1006),$U$1006:$AC$1006,0)))),"Fix")))</f>
        <v>0</v>
      </c>
      <c r="N779">
        <v>0</v>
      </c>
      <c r="O779">
        <v>0</v>
      </c>
      <c r="P779">
        <v>0</v>
      </c>
      <c r="Q779">
        <f>IF(R779,TRUE,AND(U779:AC779))</f>
        <v>0</v>
      </c>
      <c r="R779">
        <f>COUNTBLANK(metadata!B779:J779)=COLUMNS(metadata!B779:J779)</f>
        <v>0</v>
      </c>
      <c r="S779">
        <v>0</v>
      </c>
      <c r="U779">
        <f>AND(IF(metadata!B779="",FALSE,TRUE),COUNTIF(metadata!B:B, metadata!B779) = 1,NOT(ISERROR(SUMPRODUCT(SEARCH(MID(metadata!B779,ROW(INDIRECT("1:"&amp;LEN(metadata!B779))), 1),"0123456789abcdefghijklmnopqrstuvwxyzABCDEFGHIJKLMNOPQRSTUVWXYZ.")))))</f>
        <v>0</v>
      </c>
      <c r="V779">
        <f>AND(IF(metadata!C779="",FALSE,TRUE),exact(metadata!C779,"UBERON:genitourinary"))</f>
        <v>0</v>
      </c>
      <c r="W779">
        <f>AND(IF(metadata!D779="",FALSE,TRUE),exact(metadata!D779,"UBERON:urine"))</f>
        <v>0</v>
      </c>
      <c r="X779">
        <f>AND(IF(metadata!E779="",FALSE,TRUE),exact(metadata!E779,"UBERON:kidney"))</f>
        <v>0</v>
      </c>
      <c r="Y779">
        <f>AND(IF(metadata!F779="",FALSE,TRUE),exact(metadata!F779,"animal corpus"))</f>
        <v>0</v>
      </c>
      <c r="Z779">
        <f>AND(IF(metadata!G779="",FALSE,TRUE),exact(metadata!G779,"urine"))</f>
        <v>0</v>
      </c>
      <c r="AA779">
        <f>AND(IF(metadata!H779="",FALSE,TRUE),exact(metadata!H779,"urine"))</f>
        <v>0</v>
      </c>
      <c r="AB779">
        <f>AND(IF(metadata!I779="",FALSE,TRUE),exact(metadata!I779,"urine metagenome"))</f>
        <v>0</v>
      </c>
      <c r="AC779">
        <f>AND(IF(metadata!J779="",FALSE,TRUE),exact(metadata!J779,"1346744"))</f>
        <v>0</v>
      </c>
    </row>
    <row r="780" spans="1:29">
      <c r="A780" s="4">
        <f>IF(B780=" "," ",HYPERLINK(CONCATENATE("#metadata!",ADDRESS(INDEX($P$2:$P$1001,MATCH(ROWS($N$2:N780),$N$2:$N$1001,0),0),1)),INDEX($S$2:$S$1001,MATCH(ROWS($N$2:N780),$N$2:$N$1001,0),0)))</f>
        <v>0</v>
      </c>
      <c r="B780" s="3">
        <f>IF(OR(INDEX($O$2:$O$1001,MATCH(ROWS($N$2:N780),$N$2:$N$1001,0),1)&gt;=100000,INDEX($U$1005:$AC$1005,1,MATCH(COLUMNS($U$1006:U1006),$U$1006:$AC$1006,0))&gt;=100000), " ",IF(INDEX($U$2:$AC$1001,MATCH(ROWS($N$2:N780),$N$2:$N$1001,0),MATCH(COLUMNS($U$1006:U1006),$U$1006:$AC$1006,0)), HYPERLINK("#",""), HYPERLINK(CONCATENATE("#metadata!", ADDRESS(INDEX($P$2:$P$1001,MATCH(ROWS($N$2:N780),$N$2:$N$1001,0),0), INDEX($U$1004:$AC$1004,1,MATCH(COLUMNS($U$1006:U1006),$U$1006:$AC$1006,0)))),"Fix")))</f>
        <v>0</v>
      </c>
      <c r="C780" s="3">
        <f>IF(OR(INDEX($O$2:$O$1001,MATCH(ROWS($N$2:N780),$N$2:$N$1001,0),1)&gt;=100000,INDEX($U$1005:$AC$1005,1,MATCH(COLUMNS($U$1006:V1006),$U$1006:$AC$1006,0))&gt;=100000), " ",IF(INDEX($U$2:$AC$1001,MATCH(ROWS($N$2:N780),$N$2:$N$1001,0),MATCH(COLUMNS($U$1006:V1006),$U$1006:$AC$1006,0)), HYPERLINK("#",""), HYPERLINK(CONCATENATE("#metadata!", ADDRESS(INDEX($P$2:$P$1001,MATCH(ROWS($N$2:N780),$N$2:$N$1001,0),0), INDEX($U$1004:$AC$1004,1,MATCH(COLUMNS($U$1006:V1006),$U$1006:$AC$1006,0)))),"Fix")))</f>
        <v>0</v>
      </c>
      <c r="D780" s="3">
        <f>IF(OR(INDEX($O$2:$O$1001,MATCH(ROWS($N$2:N780),$N$2:$N$1001,0),1)&gt;=100000,INDEX($U$1005:$AC$1005,1,MATCH(COLUMNS($U$1006:W1006),$U$1006:$AC$1006,0))&gt;=100000), " ",IF(INDEX($U$2:$AC$1001,MATCH(ROWS($N$2:N780),$N$2:$N$1001,0),MATCH(COLUMNS($U$1006:W1006),$U$1006:$AC$1006,0)), HYPERLINK("#",""), HYPERLINK(CONCATENATE("#metadata!", ADDRESS(INDEX($P$2:$P$1001,MATCH(ROWS($N$2:N780),$N$2:$N$1001,0),0), INDEX($U$1004:$AC$1004,1,MATCH(COLUMNS($U$1006:W1006),$U$1006:$AC$1006,0)))),"Fix")))</f>
        <v>0</v>
      </c>
      <c r="E780" s="3">
        <f>IF(OR(INDEX($O$2:$O$1001,MATCH(ROWS($N$2:N780),$N$2:$N$1001,0),1)&gt;=100000,INDEX($U$1005:$AC$1005,1,MATCH(COLUMNS($U$1006:X1006),$U$1006:$AC$1006,0))&gt;=100000), " ",IF(INDEX($U$2:$AC$1001,MATCH(ROWS($N$2:N780),$N$2:$N$1001,0),MATCH(COLUMNS($U$1006:X1006),$U$1006:$AC$1006,0)), HYPERLINK("#",""), HYPERLINK(CONCATENATE("#metadata!", ADDRESS(INDEX($P$2:$P$1001,MATCH(ROWS($N$2:N780),$N$2:$N$1001,0),0), INDEX($U$1004:$AC$1004,1,MATCH(COLUMNS($U$1006:X1006),$U$1006:$AC$1006,0)))),"Fix")))</f>
        <v>0</v>
      </c>
      <c r="F780" s="3">
        <f>IF(OR(INDEX($O$2:$O$1001,MATCH(ROWS($N$2:N780),$N$2:$N$1001,0),1)&gt;=100000,INDEX($U$1005:$AC$1005,1,MATCH(COLUMNS($U$1006:Y1006),$U$1006:$AC$1006,0))&gt;=100000), " ",IF(INDEX($U$2:$AC$1001,MATCH(ROWS($N$2:N780),$N$2:$N$1001,0),MATCH(COLUMNS($U$1006:Y1006),$U$1006:$AC$1006,0)), HYPERLINK("#",""), HYPERLINK(CONCATENATE("#metadata!", ADDRESS(INDEX($P$2:$P$1001,MATCH(ROWS($N$2:N780),$N$2:$N$1001,0),0), INDEX($U$1004:$AC$1004,1,MATCH(COLUMNS($U$1006:Y1006),$U$1006:$AC$1006,0)))),"Fix")))</f>
        <v>0</v>
      </c>
      <c r="G780" s="3">
        <f>IF(OR(INDEX($O$2:$O$1001,MATCH(ROWS($N$2:N780),$N$2:$N$1001,0),1)&gt;=100000,INDEX($U$1005:$AC$1005,1,MATCH(COLUMNS($U$1006:Z1006),$U$1006:$AC$1006,0))&gt;=100000), " ",IF(INDEX($U$2:$AC$1001,MATCH(ROWS($N$2:N780),$N$2:$N$1001,0),MATCH(COLUMNS($U$1006:Z1006),$U$1006:$AC$1006,0)), HYPERLINK("#",""), HYPERLINK(CONCATENATE("#metadata!", ADDRESS(INDEX($P$2:$P$1001,MATCH(ROWS($N$2:N780),$N$2:$N$1001,0),0), INDEX($U$1004:$AC$1004,1,MATCH(COLUMNS($U$1006:Z1006),$U$1006:$AC$1006,0)))),"Fix")))</f>
        <v>0</v>
      </c>
      <c r="H780" s="3">
        <f>IF(OR(INDEX($O$2:$O$1001,MATCH(ROWS($N$2:N780),$N$2:$N$1001,0),1)&gt;=100000,INDEX($U$1005:$AC$1005,1,MATCH(COLUMNS($U$1006:AA1006),$U$1006:$AC$1006,0))&gt;=100000), " ",IF(INDEX($U$2:$AC$1001,MATCH(ROWS($N$2:N780),$N$2:$N$1001,0),MATCH(COLUMNS($U$1006:AA1006),$U$1006:$AC$1006,0)), HYPERLINK("#",""), HYPERLINK(CONCATENATE("#metadata!", ADDRESS(INDEX($P$2:$P$1001,MATCH(ROWS($N$2:N780),$N$2:$N$1001,0),0), INDEX($U$1004:$AC$1004,1,MATCH(COLUMNS($U$1006:AA1006),$U$1006:$AC$1006,0)))),"Fix")))</f>
        <v>0</v>
      </c>
      <c r="I780" s="3">
        <f>IF(OR(INDEX($O$2:$O$1001,MATCH(ROWS($N$2:N780),$N$2:$N$1001,0),1)&gt;=100000,INDEX($U$1005:$AC$1005,1,MATCH(COLUMNS($U$1006:AB1006),$U$1006:$AC$1006,0))&gt;=100000), " ",IF(INDEX($U$2:$AC$1001,MATCH(ROWS($N$2:N780),$N$2:$N$1001,0),MATCH(COLUMNS($U$1006:AB1006),$U$1006:$AC$1006,0)), HYPERLINK("#",""), HYPERLINK(CONCATENATE("#metadata!", ADDRESS(INDEX($P$2:$P$1001,MATCH(ROWS($N$2:N780),$N$2:$N$1001,0),0), INDEX($U$1004:$AC$1004,1,MATCH(COLUMNS($U$1006:AB1006),$U$1006:$AC$1006,0)))),"Fix")))</f>
        <v>0</v>
      </c>
      <c r="J780" s="3">
        <f>IF(OR(INDEX($O$2:$O$1001,MATCH(ROWS($N$2:N780),$N$2:$N$1001,0),1)&gt;=100000,INDEX($U$1005:$AC$1005,1,MATCH(COLUMNS($U$1006:AC1006),$U$1006:$AC$1006,0))&gt;=100000), " ",IF(INDEX($U$2:$AC$1001,MATCH(ROWS($N$2:N780),$N$2:$N$1001,0),MATCH(COLUMNS($U$1006:AC1006),$U$1006:$AC$1006,0)), HYPERLINK("#",""), HYPERLINK(CONCATENATE("#metadata!", ADDRESS(INDEX($P$2:$P$1001,MATCH(ROWS($N$2:N780),$N$2:$N$1001,0),0), INDEX($U$1004:$AC$1004,1,MATCH(COLUMNS($U$1006:AC1006),$U$1006:$AC$1006,0)))),"Fix")))</f>
        <v>0</v>
      </c>
      <c r="N780">
        <v>0</v>
      </c>
      <c r="O780">
        <v>0</v>
      </c>
      <c r="P780">
        <v>0</v>
      </c>
      <c r="Q780">
        <f>IF(R780,TRUE,AND(U780:AC780))</f>
        <v>0</v>
      </c>
      <c r="R780">
        <f>COUNTBLANK(metadata!B780:J780)=COLUMNS(metadata!B780:J780)</f>
        <v>0</v>
      </c>
      <c r="S780">
        <v>0</v>
      </c>
      <c r="U780">
        <f>AND(IF(metadata!B780="",FALSE,TRUE),COUNTIF(metadata!B:B, metadata!B780) = 1,NOT(ISERROR(SUMPRODUCT(SEARCH(MID(metadata!B780,ROW(INDIRECT("1:"&amp;LEN(metadata!B780))), 1),"0123456789abcdefghijklmnopqrstuvwxyzABCDEFGHIJKLMNOPQRSTUVWXYZ.")))))</f>
        <v>0</v>
      </c>
      <c r="V780">
        <f>AND(IF(metadata!C780="",FALSE,TRUE),exact(metadata!C780,"UBERON:genitourinary"))</f>
        <v>0</v>
      </c>
      <c r="W780">
        <f>AND(IF(metadata!D780="",FALSE,TRUE),exact(metadata!D780,"UBERON:urine"))</f>
        <v>0</v>
      </c>
      <c r="X780">
        <f>AND(IF(metadata!E780="",FALSE,TRUE),exact(metadata!E780,"UBERON:kidney"))</f>
        <v>0</v>
      </c>
      <c r="Y780">
        <f>AND(IF(metadata!F780="",FALSE,TRUE),exact(metadata!F780,"animal corpus"))</f>
        <v>0</v>
      </c>
      <c r="Z780">
        <f>AND(IF(metadata!G780="",FALSE,TRUE),exact(metadata!G780,"urine"))</f>
        <v>0</v>
      </c>
      <c r="AA780">
        <f>AND(IF(metadata!H780="",FALSE,TRUE),exact(metadata!H780,"urine"))</f>
        <v>0</v>
      </c>
      <c r="AB780">
        <f>AND(IF(metadata!I780="",FALSE,TRUE),exact(metadata!I780,"urine metagenome"))</f>
        <v>0</v>
      </c>
      <c r="AC780">
        <f>AND(IF(metadata!J780="",FALSE,TRUE),exact(metadata!J780,"1346744"))</f>
        <v>0</v>
      </c>
    </row>
    <row r="781" spans="1:29">
      <c r="A781" s="4">
        <f>IF(B781=" "," ",HYPERLINK(CONCATENATE("#metadata!",ADDRESS(INDEX($P$2:$P$1001,MATCH(ROWS($N$2:N781),$N$2:$N$1001,0),0),1)),INDEX($S$2:$S$1001,MATCH(ROWS($N$2:N781),$N$2:$N$1001,0),0)))</f>
        <v>0</v>
      </c>
      <c r="B781" s="3">
        <f>IF(OR(INDEX($O$2:$O$1001,MATCH(ROWS($N$2:N781),$N$2:$N$1001,0),1)&gt;=100000,INDEX($U$1005:$AC$1005,1,MATCH(COLUMNS($U$1006:U1006),$U$1006:$AC$1006,0))&gt;=100000), " ",IF(INDEX($U$2:$AC$1001,MATCH(ROWS($N$2:N781),$N$2:$N$1001,0),MATCH(COLUMNS($U$1006:U1006),$U$1006:$AC$1006,0)), HYPERLINK("#",""), HYPERLINK(CONCATENATE("#metadata!", ADDRESS(INDEX($P$2:$P$1001,MATCH(ROWS($N$2:N781),$N$2:$N$1001,0),0), INDEX($U$1004:$AC$1004,1,MATCH(COLUMNS($U$1006:U1006),$U$1006:$AC$1006,0)))),"Fix")))</f>
        <v>0</v>
      </c>
      <c r="C781" s="3">
        <f>IF(OR(INDEX($O$2:$O$1001,MATCH(ROWS($N$2:N781),$N$2:$N$1001,0),1)&gt;=100000,INDEX($U$1005:$AC$1005,1,MATCH(COLUMNS($U$1006:V1006),$U$1006:$AC$1006,0))&gt;=100000), " ",IF(INDEX($U$2:$AC$1001,MATCH(ROWS($N$2:N781),$N$2:$N$1001,0),MATCH(COLUMNS($U$1006:V1006),$U$1006:$AC$1006,0)), HYPERLINK("#",""), HYPERLINK(CONCATENATE("#metadata!", ADDRESS(INDEX($P$2:$P$1001,MATCH(ROWS($N$2:N781),$N$2:$N$1001,0),0), INDEX($U$1004:$AC$1004,1,MATCH(COLUMNS($U$1006:V1006),$U$1006:$AC$1006,0)))),"Fix")))</f>
        <v>0</v>
      </c>
      <c r="D781" s="3">
        <f>IF(OR(INDEX($O$2:$O$1001,MATCH(ROWS($N$2:N781),$N$2:$N$1001,0),1)&gt;=100000,INDEX($U$1005:$AC$1005,1,MATCH(COLUMNS($U$1006:W1006),$U$1006:$AC$1006,0))&gt;=100000), " ",IF(INDEX($U$2:$AC$1001,MATCH(ROWS($N$2:N781),$N$2:$N$1001,0),MATCH(COLUMNS($U$1006:W1006),$U$1006:$AC$1006,0)), HYPERLINK("#",""), HYPERLINK(CONCATENATE("#metadata!", ADDRESS(INDEX($P$2:$P$1001,MATCH(ROWS($N$2:N781),$N$2:$N$1001,0),0), INDEX($U$1004:$AC$1004,1,MATCH(COLUMNS($U$1006:W1006),$U$1006:$AC$1006,0)))),"Fix")))</f>
        <v>0</v>
      </c>
      <c r="E781" s="3">
        <f>IF(OR(INDEX($O$2:$O$1001,MATCH(ROWS($N$2:N781),$N$2:$N$1001,0),1)&gt;=100000,INDEX($U$1005:$AC$1005,1,MATCH(COLUMNS($U$1006:X1006),$U$1006:$AC$1006,0))&gt;=100000), " ",IF(INDEX($U$2:$AC$1001,MATCH(ROWS($N$2:N781),$N$2:$N$1001,0),MATCH(COLUMNS($U$1006:X1006),$U$1006:$AC$1006,0)), HYPERLINK("#",""), HYPERLINK(CONCATENATE("#metadata!", ADDRESS(INDEX($P$2:$P$1001,MATCH(ROWS($N$2:N781),$N$2:$N$1001,0),0), INDEX($U$1004:$AC$1004,1,MATCH(COLUMNS($U$1006:X1006),$U$1006:$AC$1006,0)))),"Fix")))</f>
        <v>0</v>
      </c>
      <c r="F781" s="3">
        <f>IF(OR(INDEX($O$2:$O$1001,MATCH(ROWS($N$2:N781),$N$2:$N$1001,0),1)&gt;=100000,INDEX($U$1005:$AC$1005,1,MATCH(COLUMNS($U$1006:Y1006),$U$1006:$AC$1006,0))&gt;=100000), " ",IF(INDEX($U$2:$AC$1001,MATCH(ROWS($N$2:N781),$N$2:$N$1001,0),MATCH(COLUMNS($U$1006:Y1006),$U$1006:$AC$1006,0)), HYPERLINK("#",""), HYPERLINK(CONCATENATE("#metadata!", ADDRESS(INDEX($P$2:$P$1001,MATCH(ROWS($N$2:N781),$N$2:$N$1001,0),0), INDEX($U$1004:$AC$1004,1,MATCH(COLUMNS($U$1006:Y1006),$U$1006:$AC$1006,0)))),"Fix")))</f>
        <v>0</v>
      </c>
      <c r="G781" s="3">
        <f>IF(OR(INDEX($O$2:$O$1001,MATCH(ROWS($N$2:N781),$N$2:$N$1001,0),1)&gt;=100000,INDEX($U$1005:$AC$1005,1,MATCH(COLUMNS($U$1006:Z1006),$U$1006:$AC$1006,0))&gt;=100000), " ",IF(INDEX($U$2:$AC$1001,MATCH(ROWS($N$2:N781),$N$2:$N$1001,0),MATCH(COLUMNS($U$1006:Z1006),$U$1006:$AC$1006,0)), HYPERLINK("#",""), HYPERLINK(CONCATENATE("#metadata!", ADDRESS(INDEX($P$2:$P$1001,MATCH(ROWS($N$2:N781),$N$2:$N$1001,0),0), INDEX($U$1004:$AC$1004,1,MATCH(COLUMNS($U$1006:Z1006),$U$1006:$AC$1006,0)))),"Fix")))</f>
        <v>0</v>
      </c>
      <c r="H781" s="3">
        <f>IF(OR(INDEX($O$2:$O$1001,MATCH(ROWS($N$2:N781),$N$2:$N$1001,0),1)&gt;=100000,INDEX($U$1005:$AC$1005,1,MATCH(COLUMNS($U$1006:AA1006),$U$1006:$AC$1006,0))&gt;=100000), " ",IF(INDEX($U$2:$AC$1001,MATCH(ROWS($N$2:N781),$N$2:$N$1001,0),MATCH(COLUMNS($U$1006:AA1006),$U$1006:$AC$1006,0)), HYPERLINK("#",""), HYPERLINK(CONCATENATE("#metadata!", ADDRESS(INDEX($P$2:$P$1001,MATCH(ROWS($N$2:N781),$N$2:$N$1001,0),0), INDEX($U$1004:$AC$1004,1,MATCH(COLUMNS($U$1006:AA1006),$U$1006:$AC$1006,0)))),"Fix")))</f>
        <v>0</v>
      </c>
      <c r="I781" s="3">
        <f>IF(OR(INDEX($O$2:$O$1001,MATCH(ROWS($N$2:N781),$N$2:$N$1001,0),1)&gt;=100000,INDEX($U$1005:$AC$1005,1,MATCH(COLUMNS($U$1006:AB1006),$U$1006:$AC$1006,0))&gt;=100000), " ",IF(INDEX($U$2:$AC$1001,MATCH(ROWS($N$2:N781),$N$2:$N$1001,0),MATCH(COLUMNS($U$1006:AB1006),$U$1006:$AC$1006,0)), HYPERLINK("#",""), HYPERLINK(CONCATENATE("#metadata!", ADDRESS(INDEX($P$2:$P$1001,MATCH(ROWS($N$2:N781),$N$2:$N$1001,0),0), INDEX($U$1004:$AC$1004,1,MATCH(COLUMNS($U$1006:AB1006),$U$1006:$AC$1006,0)))),"Fix")))</f>
        <v>0</v>
      </c>
      <c r="J781" s="3">
        <f>IF(OR(INDEX($O$2:$O$1001,MATCH(ROWS($N$2:N781),$N$2:$N$1001,0),1)&gt;=100000,INDEX($U$1005:$AC$1005,1,MATCH(COLUMNS($U$1006:AC1006),$U$1006:$AC$1006,0))&gt;=100000), " ",IF(INDEX($U$2:$AC$1001,MATCH(ROWS($N$2:N781),$N$2:$N$1001,0),MATCH(COLUMNS($U$1006:AC1006),$U$1006:$AC$1006,0)), HYPERLINK("#",""), HYPERLINK(CONCATENATE("#metadata!", ADDRESS(INDEX($P$2:$P$1001,MATCH(ROWS($N$2:N781),$N$2:$N$1001,0),0), INDEX($U$1004:$AC$1004,1,MATCH(COLUMNS($U$1006:AC1006),$U$1006:$AC$1006,0)))),"Fix")))</f>
        <v>0</v>
      </c>
      <c r="N781">
        <v>0</v>
      </c>
      <c r="O781">
        <v>0</v>
      </c>
      <c r="P781">
        <v>0</v>
      </c>
      <c r="Q781">
        <f>IF(R781,TRUE,AND(U781:AC781))</f>
        <v>0</v>
      </c>
      <c r="R781">
        <f>COUNTBLANK(metadata!B781:J781)=COLUMNS(metadata!B781:J781)</f>
        <v>0</v>
      </c>
      <c r="S781">
        <v>0</v>
      </c>
      <c r="U781">
        <f>AND(IF(metadata!B781="",FALSE,TRUE),COUNTIF(metadata!B:B, metadata!B781) = 1,NOT(ISERROR(SUMPRODUCT(SEARCH(MID(metadata!B781,ROW(INDIRECT("1:"&amp;LEN(metadata!B781))), 1),"0123456789abcdefghijklmnopqrstuvwxyzABCDEFGHIJKLMNOPQRSTUVWXYZ.")))))</f>
        <v>0</v>
      </c>
      <c r="V781">
        <f>AND(IF(metadata!C781="",FALSE,TRUE),exact(metadata!C781,"UBERON:genitourinary"))</f>
        <v>0</v>
      </c>
      <c r="W781">
        <f>AND(IF(metadata!D781="",FALSE,TRUE),exact(metadata!D781,"UBERON:urine"))</f>
        <v>0</v>
      </c>
      <c r="X781">
        <f>AND(IF(metadata!E781="",FALSE,TRUE),exact(metadata!E781,"UBERON:kidney"))</f>
        <v>0</v>
      </c>
      <c r="Y781">
        <f>AND(IF(metadata!F781="",FALSE,TRUE),exact(metadata!F781,"animal corpus"))</f>
        <v>0</v>
      </c>
      <c r="Z781">
        <f>AND(IF(metadata!G781="",FALSE,TRUE),exact(metadata!G781,"urine"))</f>
        <v>0</v>
      </c>
      <c r="AA781">
        <f>AND(IF(metadata!H781="",FALSE,TRUE),exact(metadata!H781,"urine"))</f>
        <v>0</v>
      </c>
      <c r="AB781">
        <f>AND(IF(metadata!I781="",FALSE,TRUE),exact(metadata!I781,"urine metagenome"))</f>
        <v>0</v>
      </c>
      <c r="AC781">
        <f>AND(IF(metadata!J781="",FALSE,TRUE),exact(metadata!J781,"1346744"))</f>
        <v>0</v>
      </c>
    </row>
    <row r="782" spans="1:29">
      <c r="A782" s="4">
        <f>IF(B782=" "," ",HYPERLINK(CONCATENATE("#metadata!",ADDRESS(INDEX($P$2:$P$1001,MATCH(ROWS($N$2:N782),$N$2:$N$1001,0),0),1)),INDEX($S$2:$S$1001,MATCH(ROWS($N$2:N782),$N$2:$N$1001,0),0)))</f>
        <v>0</v>
      </c>
      <c r="B782" s="3">
        <f>IF(OR(INDEX($O$2:$O$1001,MATCH(ROWS($N$2:N782),$N$2:$N$1001,0),1)&gt;=100000,INDEX($U$1005:$AC$1005,1,MATCH(COLUMNS($U$1006:U1006),$U$1006:$AC$1006,0))&gt;=100000), " ",IF(INDEX($U$2:$AC$1001,MATCH(ROWS($N$2:N782),$N$2:$N$1001,0),MATCH(COLUMNS($U$1006:U1006),$U$1006:$AC$1006,0)), HYPERLINK("#",""), HYPERLINK(CONCATENATE("#metadata!", ADDRESS(INDEX($P$2:$P$1001,MATCH(ROWS($N$2:N782),$N$2:$N$1001,0),0), INDEX($U$1004:$AC$1004,1,MATCH(COLUMNS($U$1006:U1006),$U$1006:$AC$1006,0)))),"Fix")))</f>
        <v>0</v>
      </c>
      <c r="C782" s="3">
        <f>IF(OR(INDEX($O$2:$O$1001,MATCH(ROWS($N$2:N782),$N$2:$N$1001,0),1)&gt;=100000,INDEX($U$1005:$AC$1005,1,MATCH(COLUMNS($U$1006:V1006),$U$1006:$AC$1006,0))&gt;=100000), " ",IF(INDEX($U$2:$AC$1001,MATCH(ROWS($N$2:N782),$N$2:$N$1001,0),MATCH(COLUMNS($U$1006:V1006),$U$1006:$AC$1006,0)), HYPERLINK("#",""), HYPERLINK(CONCATENATE("#metadata!", ADDRESS(INDEX($P$2:$P$1001,MATCH(ROWS($N$2:N782),$N$2:$N$1001,0),0), INDEX($U$1004:$AC$1004,1,MATCH(COLUMNS($U$1006:V1006),$U$1006:$AC$1006,0)))),"Fix")))</f>
        <v>0</v>
      </c>
      <c r="D782" s="3">
        <f>IF(OR(INDEX($O$2:$O$1001,MATCH(ROWS($N$2:N782),$N$2:$N$1001,0),1)&gt;=100000,INDEX($U$1005:$AC$1005,1,MATCH(COLUMNS($U$1006:W1006),$U$1006:$AC$1006,0))&gt;=100000), " ",IF(INDEX($U$2:$AC$1001,MATCH(ROWS($N$2:N782),$N$2:$N$1001,0),MATCH(COLUMNS($U$1006:W1006),$U$1006:$AC$1006,0)), HYPERLINK("#",""), HYPERLINK(CONCATENATE("#metadata!", ADDRESS(INDEX($P$2:$P$1001,MATCH(ROWS($N$2:N782),$N$2:$N$1001,0),0), INDEX($U$1004:$AC$1004,1,MATCH(COLUMNS($U$1006:W1006),$U$1006:$AC$1006,0)))),"Fix")))</f>
        <v>0</v>
      </c>
      <c r="E782" s="3">
        <f>IF(OR(INDEX($O$2:$O$1001,MATCH(ROWS($N$2:N782),$N$2:$N$1001,0),1)&gt;=100000,INDEX($U$1005:$AC$1005,1,MATCH(COLUMNS($U$1006:X1006),$U$1006:$AC$1006,0))&gt;=100000), " ",IF(INDEX($U$2:$AC$1001,MATCH(ROWS($N$2:N782),$N$2:$N$1001,0),MATCH(COLUMNS($U$1006:X1006),$U$1006:$AC$1006,0)), HYPERLINK("#",""), HYPERLINK(CONCATENATE("#metadata!", ADDRESS(INDEX($P$2:$P$1001,MATCH(ROWS($N$2:N782),$N$2:$N$1001,0),0), INDEX($U$1004:$AC$1004,1,MATCH(COLUMNS($U$1006:X1006),$U$1006:$AC$1006,0)))),"Fix")))</f>
        <v>0</v>
      </c>
      <c r="F782" s="3">
        <f>IF(OR(INDEX($O$2:$O$1001,MATCH(ROWS($N$2:N782),$N$2:$N$1001,0),1)&gt;=100000,INDEX($U$1005:$AC$1005,1,MATCH(COLUMNS($U$1006:Y1006),$U$1006:$AC$1006,0))&gt;=100000), " ",IF(INDEX($U$2:$AC$1001,MATCH(ROWS($N$2:N782),$N$2:$N$1001,0),MATCH(COLUMNS($U$1006:Y1006),$U$1006:$AC$1006,0)), HYPERLINK("#",""), HYPERLINK(CONCATENATE("#metadata!", ADDRESS(INDEX($P$2:$P$1001,MATCH(ROWS($N$2:N782),$N$2:$N$1001,0),0), INDEX($U$1004:$AC$1004,1,MATCH(COLUMNS($U$1006:Y1006),$U$1006:$AC$1006,0)))),"Fix")))</f>
        <v>0</v>
      </c>
      <c r="G782" s="3">
        <f>IF(OR(INDEX($O$2:$O$1001,MATCH(ROWS($N$2:N782),$N$2:$N$1001,0),1)&gt;=100000,INDEX($U$1005:$AC$1005,1,MATCH(COLUMNS($U$1006:Z1006),$U$1006:$AC$1006,0))&gt;=100000), " ",IF(INDEX($U$2:$AC$1001,MATCH(ROWS($N$2:N782),$N$2:$N$1001,0),MATCH(COLUMNS($U$1006:Z1006),$U$1006:$AC$1006,0)), HYPERLINK("#",""), HYPERLINK(CONCATENATE("#metadata!", ADDRESS(INDEX($P$2:$P$1001,MATCH(ROWS($N$2:N782),$N$2:$N$1001,0),0), INDEX($U$1004:$AC$1004,1,MATCH(COLUMNS($U$1006:Z1006),$U$1006:$AC$1006,0)))),"Fix")))</f>
        <v>0</v>
      </c>
      <c r="H782" s="3">
        <f>IF(OR(INDEX($O$2:$O$1001,MATCH(ROWS($N$2:N782),$N$2:$N$1001,0),1)&gt;=100000,INDEX($U$1005:$AC$1005,1,MATCH(COLUMNS($U$1006:AA1006),$U$1006:$AC$1006,0))&gt;=100000), " ",IF(INDEX($U$2:$AC$1001,MATCH(ROWS($N$2:N782),$N$2:$N$1001,0),MATCH(COLUMNS($U$1006:AA1006),$U$1006:$AC$1006,0)), HYPERLINK("#",""), HYPERLINK(CONCATENATE("#metadata!", ADDRESS(INDEX($P$2:$P$1001,MATCH(ROWS($N$2:N782),$N$2:$N$1001,0),0), INDEX($U$1004:$AC$1004,1,MATCH(COLUMNS($U$1006:AA1006),$U$1006:$AC$1006,0)))),"Fix")))</f>
        <v>0</v>
      </c>
      <c r="I782" s="3">
        <f>IF(OR(INDEX($O$2:$O$1001,MATCH(ROWS($N$2:N782),$N$2:$N$1001,0),1)&gt;=100000,INDEX($U$1005:$AC$1005,1,MATCH(COLUMNS($U$1006:AB1006),$U$1006:$AC$1006,0))&gt;=100000), " ",IF(INDEX($U$2:$AC$1001,MATCH(ROWS($N$2:N782),$N$2:$N$1001,0),MATCH(COLUMNS($U$1006:AB1006),$U$1006:$AC$1006,0)), HYPERLINK("#",""), HYPERLINK(CONCATENATE("#metadata!", ADDRESS(INDEX($P$2:$P$1001,MATCH(ROWS($N$2:N782),$N$2:$N$1001,0),0), INDEX($U$1004:$AC$1004,1,MATCH(COLUMNS($U$1006:AB1006),$U$1006:$AC$1006,0)))),"Fix")))</f>
        <v>0</v>
      </c>
      <c r="J782" s="3">
        <f>IF(OR(INDEX($O$2:$O$1001,MATCH(ROWS($N$2:N782),$N$2:$N$1001,0),1)&gt;=100000,INDEX($U$1005:$AC$1005,1,MATCH(COLUMNS($U$1006:AC1006),$U$1006:$AC$1006,0))&gt;=100000), " ",IF(INDEX($U$2:$AC$1001,MATCH(ROWS($N$2:N782),$N$2:$N$1001,0),MATCH(COLUMNS($U$1006:AC1006),$U$1006:$AC$1006,0)), HYPERLINK("#",""), HYPERLINK(CONCATENATE("#metadata!", ADDRESS(INDEX($P$2:$P$1001,MATCH(ROWS($N$2:N782),$N$2:$N$1001,0),0), INDEX($U$1004:$AC$1004,1,MATCH(COLUMNS($U$1006:AC1006),$U$1006:$AC$1006,0)))),"Fix")))</f>
        <v>0</v>
      </c>
      <c r="N782">
        <v>0</v>
      </c>
      <c r="O782">
        <v>0</v>
      </c>
      <c r="P782">
        <v>0</v>
      </c>
      <c r="Q782">
        <f>IF(R782,TRUE,AND(U782:AC782))</f>
        <v>0</v>
      </c>
      <c r="R782">
        <f>COUNTBLANK(metadata!B782:J782)=COLUMNS(metadata!B782:J782)</f>
        <v>0</v>
      </c>
      <c r="S782">
        <v>0</v>
      </c>
      <c r="U782">
        <f>AND(IF(metadata!B782="",FALSE,TRUE),COUNTIF(metadata!B:B, metadata!B782) = 1,NOT(ISERROR(SUMPRODUCT(SEARCH(MID(metadata!B782,ROW(INDIRECT("1:"&amp;LEN(metadata!B782))), 1),"0123456789abcdefghijklmnopqrstuvwxyzABCDEFGHIJKLMNOPQRSTUVWXYZ.")))))</f>
        <v>0</v>
      </c>
      <c r="V782">
        <f>AND(IF(metadata!C782="",FALSE,TRUE),exact(metadata!C782,"UBERON:genitourinary"))</f>
        <v>0</v>
      </c>
      <c r="W782">
        <f>AND(IF(metadata!D782="",FALSE,TRUE),exact(metadata!D782,"UBERON:urine"))</f>
        <v>0</v>
      </c>
      <c r="X782">
        <f>AND(IF(metadata!E782="",FALSE,TRUE),exact(metadata!E782,"UBERON:kidney"))</f>
        <v>0</v>
      </c>
      <c r="Y782">
        <f>AND(IF(metadata!F782="",FALSE,TRUE),exact(metadata!F782,"animal corpus"))</f>
        <v>0</v>
      </c>
      <c r="Z782">
        <f>AND(IF(metadata!G782="",FALSE,TRUE),exact(metadata!G782,"urine"))</f>
        <v>0</v>
      </c>
      <c r="AA782">
        <f>AND(IF(metadata!H782="",FALSE,TRUE),exact(metadata!H782,"urine"))</f>
        <v>0</v>
      </c>
      <c r="AB782">
        <f>AND(IF(metadata!I782="",FALSE,TRUE),exact(metadata!I782,"urine metagenome"))</f>
        <v>0</v>
      </c>
      <c r="AC782">
        <f>AND(IF(metadata!J782="",FALSE,TRUE),exact(metadata!J782,"1346744"))</f>
        <v>0</v>
      </c>
    </row>
    <row r="783" spans="1:29">
      <c r="A783" s="4">
        <f>IF(B783=" "," ",HYPERLINK(CONCATENATE("#metadata!",ADDRESS(INDEX($P$2:$P$1001,MATCH(ROWS($N$2:N783),$N$2:$N$1001,0),0),1)),INDEX($S$2:$S$1001,MATCH(ROWS($N$2:N783),$N$2:$N$1001,0),0)))</f>
        <v>0</v>
      </c>
      <c r="B783" s="3">
        <f>IF(OR(INDEX($O$2:$O$1001,MATCH(ROWS($N$2:N783),$N$2:$N$1001,0),1)&gt;=100000,INDEX($U$1005:$AC$1005,1,MATCH(COLUMNS($U$1006:U1006),$U$1006:$AC$1006,0))&gt;=100000), " ",IF(INDEX($U$2:$AC$1001,MATCH(ROWS($N$2:N783),$N$2:$N$1001,0),MATCH(COLUMNS($U$1006:U1006),$U$1006:$AC$1006,0)), HYPERLINK("#",""), HYPERLINK(CONCATENATE("#metadata!", ADDRESS(INDEX($P$2:$P$1001,MATCH(ROWS($N$2:N783),$N$2:$N$1001,0),0), INDEX($U$1004:$AC$1004,1,MATCH(COLUMNS($U$1006:U1006),$U$1006:$AC$1006,0)))),"Fix")))</f>
        <v>0</v>
      </c>
      <c r="C783" s="3">
        <f>IF(OR(INDEX($O$2:$O$1001,MATCH(ROWS($N$2:N783),$N$2:$N$1001,0),1)&gt;=100000,INDEX($U$1005:$AC$1005,1,MATCH(COLUMNS($U$1006:V1006),$U$1006:$AC$1006,0))&gt;=100000), " ",IF(INDEX($U$2:$AC$1001,MATCH(ROWS($N$2:N783),$N$2:$N$1001,0),MATCH(COLUMNS($U$1006:V1006),$U$1006:$AC$1006,0)), HYPERLINK("#",""), HYPERLINK(CONCATENATE("#metadata!", ADDRESS(INDEX($P$2:$P$1001,MATCH(ROWS($N$2:N783),$N$2:$N$1001,0),0), INDEX($U$1004:$AC$1004,1,MATCH(COLUMNS($U$1006:V1006),$U$1006:$AC$1006,0)))),"Fix")))</f>
        <v>0</v>
      </c>
      <c r="D783" s="3">
        <f>IF(OR(INDEX($O$2:$O$1001,MATCH(ROWS($N$2:N783),$N$2:$N$1001,0),1)&gt;=100000,INDEX($U$1005:$AC$1005,1,MATCH(COLUMNS($U$1006:W1006),$U$1006:$AC$1006,0))&gt;=100000), " ",IF(INDEX($U$2:$AC$1001,MATCH(ROWS($N$2:N783),$N$2:$N$1001,0),MATCH(COLUMNS($U$1006:W1006),$U$1006:$AC$1006,0)), HYPERLINK("#",""), HYPERLINK(CONCATENATE("#metadata!", ADDRESS(INDEX($P$2:$P$1001,MATCH(ROWS($N$2:N783),$N$2:$N$1001,0),0), INDEX($U$1004:$AC$1004,1,MATCH(COLUMNS($U$1006:W1006),$U$1006:$AC$1006,0)))),"Fix")))</f>
        <v>0</v>
      </c>
      <c r="E783" s="3">
        <f>IF(OR(INDEX($O$2:$O$1001,MATCH(ROWS($N$2:N783),$N$2:$N$1001,0),1)&gt;=100000,INDEX($U$1005:$AC$1005,1,MATCH(COLUMNS($U$1006:X1006),$U$1006:$AC$1006,0))&gt;=100000), " ",IF(INDEX($U$2:$AC$1001,MATCH(ROWS($N$2:N783),$N$2:$N$1001,0),MATCH(COLUMNS($U$1006:X1006),$U$1006:$AC$1006,0)), HYPERLINK("#",""), HYPERLINK(CONCATENATE("#metadata!", ADDRESS(INDEX($P$2:$P$1001,MATCH(ROWS($N$2:N783),$N$2:$N$1001,0),0), INDEX($U$1004:$AC$1004,1,MATCH(COLUMNS($U$1006:X1006),$U$1006:$AC$1006,0)))),"Fix")))</f>
        <v>0</v>
      </c>
      <c r="F783" s="3">
        <f>IF(OR(INDEX($O$2:$O$1001,MATCH(ROWS($N$2:N783),$N$2:$N$1001,0),1)&gt;=100000,INDEX($U$1005:$AC$1005,1,MATCH(COLUMNS($U$1006:Y1006),$U$1006:$AC$1006,0))&gt;=100000), " ",IF(INDEX($U$2:$AC$1001,MATCH(ROWS($N$2:N783),$N$2:$N$1001,0),MATCH(COLUMNS($U$1006:Y1006),$U$1006:$AC$1006,0)), HYPERLINK("#",""), HYPERLINK(CONCATENATE("#metadata!", ADDRESS(INDEX($P$2:$P$1001,MATCH(ROWS($N$2:N783),$N$2:$N$1001,0),0), INDEX($U$1004:$AC$1004,1,MATCH(COLUMNS($U$1006:Y1006),$U$1006:$AC$1006,0)))),"Fix")))</f>
        <v>0</v>
      </c>
      <c r="G783" s="3">
        <f>IF(OR(INDEX($O$2:$O$1001,MATCH(ROWS($N$2:N783),$N$2:$N$1001,0),1)&gt;=100000,INDEX($U$1005:$AC$1005,1,MATCH(COLUMNS($U$1006:Z1006),$U$1006:$AC$1006,0))&gt;=100000), " ",IF(INDEX($U$2:$AC$1001,MATCH(ROWS($N$2:N783),$N$2:$N$1001,0),MATCH(COLUMNS($U$1006:Z1006),$U$1006:$AC$1006,0)), HYPERLINK("#",""), HYPERLINK(CONCATENATE("#metadata!", ADDRESS(INDEX($P$2:$P$1001,MATCH(ROWS($N$2:N783),$N$2:$N$1001,0),0), INDEX($U$1004:$AC$1004,1,MATCH(COLUMNS($U$1006:Z1006),$U$1006:$AC$1006,0)))),"Fix")))</f>
        <v>0</v>
      </c>
      <c r="H783" s="3">
        <f>IF(OR(INDEX($O$2:$O$1001,MATCH(ROWS($N$2:N783),$N$2:$N$1001,0),1)&gt;=100000,INDEX($U$1005:$AC$1005,1,MATCH(COLUMNS($U$1006:AA1006),$U$1006:$AC$1006,0))&gt;=100000), " ",IF(INDEX($U$2:$AC$1001,MATCH(ROWS($N$2:N783),$N$2:$N$1001,0),MATCH(COLUMNS($U$1006:AA1006),$U$1006:$AC$1006,0)), HYPERLINK("#",""), HYPERLINK(CONCATENATE("#metadata!", ADDRESS(INDEX($P$2:$P$1001,MATCH(ROWS($N$2:N783),$N$2:$N$1001,0),0), INDEX($U$1004:$AC$1004,1,MATCH(COLUMNS($U$1006:AA1006),$U$1006:$AC$1006,0)))),"Fix")))</f>
        <v>0</v>
      </c>
      <c r="I783" s="3">
        <f>IF(OR(INDEX($O$2:$O$1001,MATCH(ROWS($N$2:N783),$N$2:$N$1001,0),1)&gt;=100000,INDEX($U$1005:$AC$1005,1,MATCH(COLUMNS($U$1006:AB1006),$U$1006:$AC$1006,0))&gt;=100000), " ",IF(INDEX($U$2:$AC$1001,MATCH(ROWS($N$2:N783),$N$2:$N$1001,0),MATCH(COLUMNS($U$1006:AB1006),$U$1006:$AC$1006,0)), HYPERLINK("#",""), HYPERLINK(CONCATENATE("#metadata!", ADDRESS(INDEX($P$2:$P$1001,MATCH(ROWS($N$2:N783),$N$2:$N$1001,0),0), INDEX($U$1004:$AC$1004,1,MATCH(COLUMNS($U$1006:AB1006),$U$1006:$AC$1006,0)))),"Fix")))</f>
        <v>0</v>
      </c>
      <c r="J783" s="3">
        <f>IF(OR(INDEX($O$2:$O$1001,MATCH(ROWS($N$2:N783),$N$2:$N$1001,0),1)&gt;=100000,INDEX($U$1005:$AC$1005,1,MATCH(COLUMNS($U$1006:AC1006),$U$1006:$AC$1006,0))&gt;=100000), " ",IF(INDEX($U$2:$AC$1001,MATCH(ROWS($N$2:N783),$N$2:$N$1001,0),MATCH(COLUMNS($U$1006:AC1006),$U$1006:$AC$1006,0)), HYPERLINK("#",""), HYPERLINK(CONCATENATE("#metadata!", ADDRESS(INDEX($P$2:$P$1001,MATCH(ROWS($N$2:N783),$N$2:$N$1001,0),0), INDEX($U$1004:$AC$1004,1,MATCH(COLUMNS($U$1006:AC1006),$U$1006:$AC$1006,0)))),"Fix")))</f>
        <v>0</v>
      </c>
      <c r="N783">
        <v>0</v>
      </c>
      <c r="O783">
        <v>0</v>
      </c>
      <c r="P783">
        <v>0</v>
      </c>
      <c r="Q783">
        <f>IF(R783,TRUE,AND(U783:AC783))</f>
        <v>0</v>
      </c>
      <c r="R783">
        <f>COUNTBLANK(metadata!B783:J783)=COLUMNS(metadata!B783:J783)</f>
        <v>0</v>
      </c>
      <c r="S783">
        <v>0</v>
      </c>
      <c r="U783">
        <f>AND(IF(metadata!B783="",FALSE,TRUE),COUNTIF(metadata!B:B, metadata!B783) = 1,NOT(ISERROR(SUMPRODUCT(SEARCH(MID(metadata!B783,ROW(INDIRECT("1:"&amp;LEN(metadata!B783))), 1),"0123456789abcdefghijklmnopqrstuvwxyzABCDEFGHIJKLMNOPQRSTUVWXYZ.")))))</f>
        <v>0</v>
      </c>
      <c r="V783">
        <f>AND(IF(metadata!C783="",FALSE,TRUE),exact(metadata!C783,"UBERON:genitourinary"))</f>
        <v>0</v>
      </c>
      <c r="W783">
        <f>AND(IF(metadata!D783="",FALSE,TRUE),exact(metadata!D783,"UBERON:urine"))</f>
        <v>0</v>
      </c>
      <c r="X783">
        <f>AND(IF(metadata!E783="",FALSE,TRUE),exact(metadata!E783,"UBERON:kidney"))</f>
        <v>0</v>
      </c>
      <c r="Y783">
        <f>AND(IF(metadata!F783="",FALSE,TRUE),exact(metadata!F783,"animal corpus"))</f>
        <v>0</v>
      </c>
      <c r="Z783">
        <f>AND(IF(metadata!G783="",FALSE,TRUE),exact(metadata!G783,"urine"))</f>
        <v>0</v>
      </c>
      <c r="AA783">
        <f>AND(IF(metadata!H783="",FALSE,TRUE),exact(metadata!H783,"urine"))</f>
        <v>0</v>
      </c>
      <c r="AB783">
        <f>AND(IF(metadata!I783="",FALSE,TRUE),exact(metadata!I783,"urine metagenome"))</f>
        <v>0</v>
      </c>
      <c r="AC783">
        <f>AND(IF(metadata!J783="",FALSE,TRUE),exact(metadata!J783,"1346744"))</f>
        <v>0</v>
      </c>
    </row>
    <row r="784" spans="1:29">
      <c r="A784" s="4">
        <f>IF(B784=" "," ",HYPERLINK(CONCATENATE("#metadata!",ADDRESS(INDEX($P$2:$P$1001,MATCH(ROWS($N$2:N784),$N$2:$N$1001,0),0),1)),INDEX($S$2:$S$1001,MATCH(ROWS($N$2:N784),$N$2:$N$1001,0),0)))</f>
        <v>0</v>
      </c>
      <c r="B784" s="3">
        <f>IF(OR(INDEX($O$2:$O$1001,MATCH(ROWS($N$2:N784),$N$2:$N$1001,0),1)&gt;=100000,INDEX($U$1005:$AC$1005,1,MATCH(COLUMNS($U$1006:U1006),$U$1006:$AC$1006,0))&gt;=100000), " ",IF(INDEX($U$2:$AC$1001,MATCH(ROWS($N$2:N784),$N$2:$N$1001,0),MATCH(COLUMNS($U$1006:U1006),$U$1006:$AC$1006,0)), HYPERLINK("#",""), HYPERLINK(CONCATENATE("#metadata!", ADDRESS(INDEX($P$2:$P$1001,MATCH(ROWS($N$2:N784),$N$2:$N$1001,0),0), INDEX($U$1004:$AC$1004,1,MATCH(COLUMNS($U$1006:U1006),$U$1006:$AC$1006,0)))),"Fix")))</f>
        <v>0</v>
      </c>
      <c r="C784" s="3">
        <f>IF(OR(INDEX($O$2:$O$1001,MATCH(ROWS($N$2:N784),$N$2:$N$1001,0),1)&gt;=100000,INDEX($U$1005:$AC$1005,1,MATCH(COLUMNS($U$1006:V1006),$U$1006:$AC$1006,0))&gt;=100000), " ",IF(INDEX($U$2:$AC$1001,MATCH(ROWS($N$2:N784),$N$2:$N$1001,0),MATCH(COLUMNS($U$1006:V1006),$U$1006:$AC$1006,0)), HYPERLINK("#",""), HYPERLINK(CONCATENATE("#metadata!", ADDRESS(INDEX($P$2:$P$1001,MATCH(ROWS($N$2:N784),$N$2:$N$1001,0),0), INDEX($U$1004:$AC$1004,1,MATCH(COLUMNS($U$1006:V1006),$U$1006:$AC$1006,0)))),"Fix")))</f>
        <v>0</v>
      </c>
      <c r="D784" s="3">
        <f>IF(OR(INDEX($O$2:$O$1001,MATCH(ROWS($N$2:N784),$N$2:$N$1001,0),1)&gt;=100000,INDEX($U$1005:$AC$1005,1,MATCH(COLUMNS($U$1006:W1006),$U$1006:$AC$1006,0))&gt;=100000), " ",IF(INDEX($U$2:$AC$1001,MATCH(ROWS($N$2:N784),$N$2:$N$1001,0),MATCH(COLUMNS($U$1006:W1006),$U$1006:$AC$1006,0)), HYPERLINK("#",""), HYPERLINK(CONCATENATE("#metadata!", ADDRESS(INDEX($P$2:$P$1001,MATCH(ROWS($N$2:N784),$N$2:$N$1001,0),0), INDEX($U$1004:$AC$1004,1,MATCH(COLUMNS($U$1006:W1006),$U$1006:$AC$1006,0)))),"Fix")))</f>
        <v>0</v>
      </c>
      <c r="E784" s="3">
        <f>IF(OR(INDEX($O$2:$O$1001,MATCH(ROWS($N$2:N784),$N$2:$N$1001,0),1)&gt;=100000,INDEX($U$1005:$AC$1005,1,MATCH(COLUMNS($U$1006:X1006),$U$1006:$AC$1006,0))&gt;=100000), " ",IF(INDEX($U$2:$AC$1001,MATCH(ROWS($N$2:N784),$N$2:$N$1001,0),MATCH(COLUMNS($U$1006:X1006),$U$1006:$AC$1006,0)), HYPERLINK("#",""), HYPERLINK(CONCATENATE("#metadata!", ADDRESS(INDEX($P$2:$P$1001,MATCH(ROWS($N$2:N784),$N$2:$N$1001,0),0), INDEX($U$1004:$AC$1004,1,MATCH(COLUMNS($U$1006:X1006),$U$1006:$AC$1006,0)))),"Fix")))</f>
        <v>0</v>
      </c>
      <c r="F784" s="3">
        <f>IF(OR(INDEX($O$2:$O$1001,MATCH(ROWS($N$2:N784),$N$2:$N$1001,0),1)&gt;=100000,INDEX($U$1005:$AC$1005,1,MATCH(COLUMNS($U$1006:Y1006),$U$1006:$AC$1006,0))&gt;=100000), " ",IF(INDEX($U$2:$AC$1001,MATCH(ROWS($N$2:N784),$N$2:$N$1001,0),MATCH(COLUMNS($U$1006:Y1006),$U$1006:$AC$1006,0)), HYPERLINK("#",""), HYPERLINK(CONCATENATE("#metadata!", ADDRESS(INDEX($P$2:$P$1001,MATCH(ROWS($N$2:N784),$N$2:$N$1001,0),0), INDEX($U$1004:$AC$1004,1,MATCH(COLUMNS($U$1006:Y1006),$U$1006:$AC$1006,0)))),"Fix")))</f>
        <v>0</v>
      </c>
      <c r="G784" s="3">
        <f>IF(OR(INDEX($O$2:$O$1001,MATCH(ROWS($N$2:N784),$N$2:$N$1001,0),1)&gt;=100000,INDEX($U$1005:$AC$1005,1,MATCH(COLUMNS($U$1006:Z1006),$U$1006:$AC$1006,0))&gt;=100000), " ",IF(INDEX($U$2:$AC$1001,MATCH(ROWS($N$2:N784),$N$2:$N$1001,0),MATCH(COLUMNS($U$1006:Z1006),$U$1006:$AC$1006,0)), HYPERLINK("#",""), HYPERLINK(CONCATENATE("#metadata!", ADDRESS(INDEX($P$2:$P$1001,MATCH(ROWS($N$2:N784),$N$2:$N$1001,0),0), INDEX($U$1004:$AC$1004,1,MATCH(COLUMNS($U$1006:Z1006),$U$1006:$AC$1006,0)))),"Fix")))</f>
        <v>0</v>
      </c>
      <c r="H784" s="3">
        <f>IF(OR(INDEX($O$2:$O$1001,MATCH(ROWS($N$2:N784),$N$2:$N$1001,0),1)&gt;=100000,INDEX($U$1005:$AC$1005,1,MATCH(COLUMNS($U$1006:AA1006),$U$1006:$AC$1006,0))&gt;=100000), " ",IF(INDEX($U$2:$AC$1001,MATCH(ROWS($N$2:N784),$N$2:$N$1001,0),MATCH(COLUMNS($U$1006:AA1006),$U$1006:$AC$1006,0)), HYPERLINK("#",""), HYPERLINK(CONCATENATE("#metadata!", ADDRESS(INDEX($P$2:$P$1001,MATCH(ROWS($N$2:N784),$N$2:$N$1001,0),0), INDEX($U$1004:$AC$1004,1,MATCH(COLUMNS($U$1006:AA1006),$U$1006:$AC$1006,0)))),"Fix")))</f>
        <v>0</v>
      </c>
      <c r="I784" s="3">
        <f>IF(OR(INDEX($O$2:$O$1001,MATCH(ROWS($N$2:N784),$N$2:$N$1001,0),1)&gt;=100000,INDEX($U$1005:$AC$1005,1,MATCH(COLUMNS($U$1006:AB1006),$U$1006:$AC$1006,0))&gt;=100000), " ",IF(INDEX($U$2:$AC$1001,MATCH(ROWS($N$2:N784),$N$2:$N$1001,0),MATCH(COLUMNS($U$1006:AB1006),$U$1006:$AC$1006,0)), HYPERLINK("#",""), HYPERLINK(CONCATENATE("#metadata!", ADDRESS(INDEX($P$2:$P$1001,MATCH(ROWS($N$2:N784),$N$2:$N$1001,0),0), INDEX($U$1004:$AC$1004,1,MATCH(COLUMNS($U$1006:AB1006),$U$1006:$AC$1006,0)))),"Fix")))</f>
        <v>0</v>
      </c>
      <c r="J784" s="3">
        <f>IF(OR(INDEX($O$2:$O$1001,MATCH(ROWS($N$2:N784),$N$2:$N$1001,0),1)&gt;=100000,INDEX($U$1005:$AC$1005,1,MATCH(COLUMNS($U$1006:AC1006),$U$1006:$AC$1006,0))&gt;=100000), " ",IF(INDEX($U$2:$AC$1001,MATCH(ROWS($N$2:N784),$N$2:$N$1001,0),MATCH(COLUMNS($U$1006:AC1006),$U$1006:$AC$1006,0)), HYPERLINK("#",""), HYPERLINK(CONCATENATE("#metadata!", ADDRESS(INDEX($P$2:$P$1001,MATCH(ROWS($N$2:N784),$N$2:$N$1001,0),0), INDEX($U$1004:$AC$1004,1,MATCH(COLUMNS($U$1006:AC1006),$U$1006:$AC$1006,0)))),"Fix")))</f>
        <v>0</v>
      </c>
      <c r="N784">
        <v>0</v>
      </c>
      <c r="O784">
        <v>0</v>
      </c>
      <c r="P784">
        <v>0</v>
      </c>
      <c r="Q784">
        <f>IF(R784,TRUE,AND(U784:AC784))</f>
        <v>0</v>
      </c>
      <c r="R784">
        <f>COUNTBLANK(metadata!B784:J784)=COLUMNS(metadata!B784:J784)</f>
        <v>0</v>
      </c>
      <c r="S784">
        <v>0</v>
      </c>
      <c r="U784">
        <f>AND(IF(metadata!B784="",FALSE,TRUE),COUNTIF(metadata!B:B, metadata!B784) = 1,NOT(ISERROR(SUMPRODUCT(SEARCH(MID(metadata!B784,ROW(INDIRECT("1:"&amp;LEN(metadata!B784))), 1),"0123456789abcdefghijklmnopqrstuvwxyzABCDEFGHIJKLMNOPQRSTUVWXYZ.")))))</f>
        <v>0</v>
      </c>
      <c r="V784">
        <f>AND(IF(metadata!C784="",FALSE,TRUE),exact(metadata!C784,"UBERON:genitourinary"))</f>
        <v>0</v>
      </c>
      <c r="W784">
        <f>AND(IF(metadata!D784="",FALSE,TRUE),exact(metadata!D784,"UBERON:urine"))</f>
        <v>0</v>
      </c>
      <c r="X784">
        <f>AND(IF(metadata!E784="",FALSE,TRUE),exact(metadata!E784,"UBERON:kidney"))</f>
        <v>0</v>
      </c>
      <c r="Y784">
        <f>AND(IF(metadata!F784="",FALSE,TRUE),exact(metadata!F784,"animal corpus"))</f>
        <v>0</v>
      </c>
      <c r="Z784">
        <f>AND(IF(metadata!G784="",FALSE,TRUE),exact(metadata!G784,"urine"))</f>
        <v>0</v>
      </c>
      <c r="AA784">
        <f>AND(IF(metadata!H784="",FALSE,TRUE),exact(metadata!H784,"urine"))</f>
        <v>0</v>
      </c>
      <c r="AB784">
        <f>AND(IF(metadata!I784="",FALSE,TRUE),exact(metadata!I784,"urine metagenome"))</f>
        <v>0</v>
      </c>
      <c r="AC784">
        <f>AND(IF(metadata!J784="",FALSE,TRUE),exact(metadata!J784,"1346744"))</f>
        <v>0</v>
      </c>
    </row>
    <row r="785" spans="1:29">
      <c r="A785" s="4">
        <f>IF(B785=" "," ",HYPERLINK(CONCATENATE("#metadata!",ADDRESS(INDEX($P$2:$P$1001,MATCH(ROWS($N$2:N785),$N$2:$N$1001,0),0),1)),INDEX($S$2:$S$1001,MATCH(ROWS($N$2:N785),$N$2:$N$1001,0),0)))</f>
        <v>0</v>
      </c>
      <c r="B785" s="3">
        <f>IF(OR(INDEX($O$2:$O$1001,MATCH(ROWS($N$2:N785),$N$2:$N$1001,0),1)&gt;=100000,INDEX($U$1005:$AC$1005,1,MATCH(COLUMNS($U$1006:U1006),$U$1006:$AC$1006,0))&gt;=100000), " ",IF(INDEX($U$2:$AC$1001,MATCH(ROWS($N$2:N785),$N$2:$N$1001,0),MATCH(COLUMNS($U$1006:U1006),$U$1006:$AC$1006,0)), HYPERLINK("#",""), HYPERLINK(CONCATENATE("#metadata!", ADDRESS(INDEX($P$2:$P$1001,MATCH(ROWS($N$2:N785),$N$2:$N$1001,0),0), INDEX($U$1004:$AC$1004,1,MATCH(COLUMNS($U$1006:U1006),$U$1006:$AC$1006,0)))),"Fix")))</f>
        <v>0</v>
      </c>
      <c r="C785" s="3">
        <f>IF(OR(INDEX($O$2:$O$1001,MATCH(ROWS($N$2:N785),$N$2:$N$1001,0),1)&gt;=100000,INDEX($U$1005:$AC$1005,1,MATCH(COLUMNS($U$1006:V1006),$U$1006:$AC$1006,0))&gt;=100000), " ",IF(INDEX($U$2:$AC$1001,MATCH(ROWS($N$2:N785),$N$2:$N$1001,0),MATCH(COLUMNS($U$1006:V1006),$U$1006:$AC$1006,0)), HYPERLINK("#",""), HYPERLINK(CONCATENATE("#metadata!", ADDRESS(INDEX($P$2:$P$1001,MATCH(ROWS($N$2:N785),$N$2:$N$1001,0),0), INDEX($U$1004:$AC$1004,1,MATCH(COLUMNS($U$1006:V1006),$U$1006:$AC$1006,0)))),"Fix")))</f>
        <v>0</v>
      </c>
      <c r="D785" s="3">
        <f>IF(OR(INDEX($O$2:$O$1001,MATCH(ROWS($N$2:N785),$N$2:$N$1001,0),1)&gt;=100000,INDEX($U$1005:$AC$1005,1,MATCH(COLUMNS($U$1006:W1006),$U$1006:$AC$1006,0))&gt;=100000), " ",IF(INDEX($U$2:$AC$1001,MATCH(ROWS($N$2:N785),$N$2:$N$1001,0),MATCH(COLUMNS($U$1006:W1006),$U$1006:$AC$1006,0)), HYPERLINK("#",""), HYPERLINK(CONCATENATE("#metadata!", ADDRESS(INDEX($P$2:$P$1001,MATCH(ROWS($N$2:N785),$N$2:$N$1001,0),0), INDEX($U$1004:$AC$1004,1,MATCH(COLUMNS($U$1006:W1006),$U$1006:$AC$1006,0)))),"Fix")))</f>
        <v>0</v>
      </c>
      <c r="E785" s="3">
        <f>IF(OR(INDEX($O$2:$O$1001,MATCH(ROWS($N$2:N785),$N$2:$N$1001,0),1)&gt;=100000,INDEX($U$1005:$AC$1005,1,MATCH(COLUMNS($U$1006:X1006),$U$1006:$AC$1006,0))&gt;=100000), " ",IF(INDEX($U$2:$AC$1001,MATCH(ROWS($N$2:N785),$N$2:$N$1001,0),MATCH(COLUMNS($U$1006:X1006),$U$1006:$AC$1006,0)), HYPERLINK("#",""), HYPERLINK(CONCATENATE("#metadata!", ADDRESS(INDEX($P$2:$P$1001,MATCH(ROWS($N$2:N785),$N$2:$N$1001,0),0), INDEX($U$1004:$AC$1004,1,MATCH(COLUMNS($U$1006:X1006),$U$1006:$AC$1006,0)))),"Fix")))</f>
        <v>0</v>
      </c>
      <c r="F785" s="3">
        <f>IF(OR(INDEX($O$2:$O$1001,MATCH(ROWS($N$2:N785),$N$2:$N$1001,0),1)&gt;=100000,INDEX($U$1005:$AC$1005,1,MATCH(COLUMNS($U$1006:Y1006),$U$1006:$AC$1006,0))&gt;=100000), " ",IF(INDEX($U$2:$AC$1001,MATCH(ROWS($N$2:N785),$N$2:$N$1001,0),MATCH(COLUMNS($U$1006:Y1006),$U$1006:$AC$1006,0)), HYPERLINK("#",""), HYPERLINK(CONCATENATE("#metadata!", ADDRESS(INDEX($P$2:$P$1001,MATCH(ROWS($N$2:N785),$N$2:$N$1001,0),0), INDEX($U$1004:$AC$1004,1,MATCH(COLUMNS($U$1006:Y1006),$U$1006:$AC$1006,0)))),"Fix")))</f>
        <v>0</v>
      </c>
      <c r="G785" s="3">
        <f>IF(OR(INDEX($O$2:$O$1001,MATCH(ROWS($N$2:N785),$N$2:$N$1001,0),1)&gt;=100000,INDEX($U$1005:$AC$1005,1,MATCH(COLUMNS($U$1006:Z1006),$U$1006:$AC$1006,0))&gt;=100000), " ",IF(INDEX($U$2:$AC$1001,MATCH(ROWS($N$2:N785),$N$2:$N$1001,0),MATCH(COLUMNS($U$1006:Z1006),$U$1006:$AC$1006,0)), HYPERLINK("#",""), HYPERLINK(CONCATENATE("#metadata!", ADDRESS(INDEX($P$2:$P$1001,MATCH(ROWS($N$2:N785),$N$2:$N$1001,0),0), INDEX($U$1004:$AC$1004,1,MATCH(COLUMNS($U$1006:Z1006),$U$1006:$AC$1006,0)))),"Fix")))</f>
        <v>0</v>
      </c>
      <c r="H785" s="3">
        <f>IF(OR(INDEX($O$2:$O$1001,MATCH(ROWS($N$2:N785),$N$2:$N$1001,0),1)&gt;=100000,INDEX($U$1005:$AC$1005,1,MATCH(COLUMNS($U$1006:AA1006),$U$1006:$AC$1006,0))&gt;=100000), " ",IF(INDEX($U$2:$AC$1001,MATCH(ROWS($N$2:N785),$N$2:$N$1001,0),MATCH(COLUMNS($U$1006:AA1006),$U$1006:$AC$1006,0)), HYPERLINK("#",""), HYPERLINK(CONCATENATE("#metadata!", ADDRESS(INDEX($P$2:$P$1001,MATCH(ROWS($N$2:N785),$N$2:$N$1001,0),0), INDEX($U$1004:$AC$1004,1,MATCH(COLUMNS($U$1006:AA1006),$U$1006:$AC$1006,0)))),"Fix")))</f>
        <v>0</v>
      </c>
      <c r="I785" s="3">
        <f>IF(OR(INDEX($O$2:$O$1001,MATCH(ROWS($N$2:N785),$N$2:$N$1001,0),1)&gt;=100000,INDEX($U$1005:$AC$1005,1,MATCH(COLUMNS($U$1006:AB1006),$U$1006:$AC$1006,0))&gt;=100000), " ",IF(INDEX($U$2:$AC$1001,MATCH(ROWS($N$2:N785),$N$2:$N$1001,0),MATCH(COLUMNS($U$1006:AB1006),$U$1006:$AC$1006,0)), HYPERLINK("#",""), HYPERLINK(CONCATENATE("#metadata!", ADDRESS(INDEX($P$2:$P$1001,MATCH(ROWS($N$2:N785),$N$2:$N$1001,0),0), INDEX($U$1004:$AC$1004,1,MATCH(COLUMNS($U$1006:AB1006),$U$1006:$AC$1006,0)))),"Fix")))</f>
        <v>0</v>
      </c>
      <c r="J785" s="3">
        <f>IF(OR(INDEX($O$2:$O$1001,MATCH(ROWS($N$2:N785),$N$2:$N$1001,0),1)&gt;=100000,INDEX($U$1005:$AC$1005,1,MATCH(COLUMNS($U$1006:AC1006),$U$1006:$AC$1006,0))&gt;=100000), " ",IF(INDEX($U$2:$AC$1001,MATCH(ROWS($N$2:N785),$N$2:$N$1001,0),MATCH(COLUMNS($U$1006:AC1006),$U$1006:$AC$1006,0)), HYPERLINK("#",""), HYPERLINK(CONCATENATE("#metadata!", ADDRESS(INDEX($P$2:$P$1001,MATCH(ROWS($N$2:N785),$N$2:$N$1001,0),0), INDEX($U$1004:$AC$1004,1,MATCH(COLUMNS($U$1006:AC1006),$U$1006:$AC$1006,0)))),"Fix")))</f>
        <v>0</v>
      </c>
      <c r="N785">
        <v>0</v>
      </c>
      <c r="O785">
        <v>0</v>
      </c>
      <c r="P785">
        <v>0</v>
      </c>
      <c r="Q785">
        <f>IF(R785,TRUE,AND(U785:AC785))</f>
        <v>0</v>
      </c>
      <c r="R785">
        <f>COUNTBLANK(metadata!B785:J785)=COLUMNS(metadata!B785:J785)</f>
        <v>0</v>
      </c>
      <c r="S785">
        <v>0</v>
      </c>
      <c r="U785">
        <f>AND(IF(metadata!B785="",FALSE,TRUE),COUNTIF(metadata!B:B, metadata!B785) = 1,NOT(ISERROR(SUMPRODUCT(SEARCH(MID(metadata!B785,ROW(INDIRECT("1:"&amp;LEN(metadata!B785))), 1),"0123456789abcdefghijklmnopqrstuvwxyzABCDEFGHIJKLMNOPQRSTUVWXYZ.")))))</f>
        <v>0</v>
      </c>
      <c r="V785">
        <f>AND(IF(metadata!C785="",FALSE,TRUE),exact(metadata!C785,"UBERON:genitourinary"))</f>
        <v>0</v>
      </c>
      <c r="W785">
        <f>AND(IF(metadata!D785="",FALSE,TRUE),exact(metadata!D785,"UBERON:urine"))</f>
        <v>0</v>
      </c>
      <c r="X785">
        <f>AND(IF(metadata!E785="",FALSE,TRUE),exact(metadata!E785,"UBERON:kidney"))</f>
        <v>0</v>
      </c>
      <c r="Y785">
        <f>AND(IF(metadata!F785="",FALSE,TRUE),exact(metadata!F785,"animal corpus"))</f>
        <v>0</v>
      </c>
      <c r="Z785">
        <f>AND(IF(metadata!G785="",FALSE,TRUE),exact(metadata!G785,"urine"))</f>
        <v>0</v>
      </c>
      <c r="AA785">
        <f>AND(IF(metadata!H785="",FALSE,TRUE),exact(metadata!H785,"urine"))</f>
        <v>0</v>
      </c>
      <c r="AB785">
        <f>AND(IF(metadata!I785="",FALSE,TRUE),exact(metadata!I785,"urine metagenome"))</f>
        <v>0</v>
      </c>
      <c r="AC785">
        <f>AND(IF(metadata!J785="",FALSE,TRUE),exact(metadata!J785,"1346744"))</f>
        <v>0</v>
      </c>
    </row>
    <row r="786" spans="1:29">
      <c r="A786" s="4">
        <f>IF(B786=" "," ",HYPERLINK(CONCATENATE("#metadata!",ADDRESS(INDEX($P$2:$P$1001,MATCH(ROWS($N$2:N786),$N$2:$N$1001,0),0),1)),INDEX($S$2:$S$1001,MATCH(ROWS($N$2:N786),$N$2:$N$1001,0),0)))</f>
        <v>0</v>
      </c>
      <c r="B786" s="3">
        <f>IF(OR(INDEX($O$2:$O$1001,MATCH(ROWS($N$2:N786),$N$2:$N$1001,0),1)&gt;=100000,INDEX($U$1005:$AC$1005,1,MATCH(COLUMNS($U$1006:U1006),$U$1006:$AC$1006,0))&gt;=100000), " ",IF(INDEX($U$2:$AC$1001,MATCH(ROWS($N$2:N786),$N$2:$N$1001,0),MATCH(COLUMNS($U$1006:U1006),$U$1006:$AC$1006,0)), HYPERLINK("#",""), HYPERLINK(CONCATENATE("#metadata!", ADDRESS(INDEX($P$2:$P$1001,MATCH(ROWS($N$2:N786),$N$2:$N$1001,0),0), INDEX($U$1004:$AC$1004,1,MATCH(COLUMNS($U$1006:U1006),$U$1006:$AC$1006,0)))),"Fix")))</f>
        <v>0</v>
      </c>
      <c r="C786" s="3">
        <f>IF(OR(INDEX($O$2:$O$1001,MATCH(ROWS($N$2:N786),$N$2:$N$1001,0),1)&gt;=100000,INDEX($U$1005:$AC$1005,1,MATCH(COLUMNS($U$1006:V1006),$U$1006:$AC$1006,0))&gt;=100000), " ",IF(INDEX($U$2:$AC$1001,MATCH(ROWS($N$2:N786),$N$2:$N$1001,0),MATCH(COLUMNS($U$1006:V1006),$U$1006:$AC$1006,0)), HYPERLINK("#",""), HYPERLINK(CONCATENATE("#metadata!", ADDRESS(INDEX($P$2:$P$1001,MATCH(ROWS($N$2:N786),$N$2:$N$1001,0),0), INDEX($U$1004:$AC$1004,1,MATCH(COLUMNS($U$1006:V1006),$U$1006:$AC$1006,0)))),"Fix")))</f>
        <v>0</v>
      </c>
      <c r="D786" s="3">
        <f>IF(OR(INDEX($O$2:$O$1001,MATCH(ROWS($N$2:N786),$N$2:$N$1001,0),1)&gt;=100000,INDEX($U$1005:$AC$1005,1,MATCH(COLUMNS($U$1006:W1006),$U$1006:$AC$1006,0))&gt;=100000), " ",IF(INDEX($U$2:$AC$1001,MATCH(ROWS($N$2:N786),$N$2:$N$1001,0),MATCH(COLUMNS($U$1006:W1006),$U$1006:$AC$1006,0)), HYPERLINK("#",""), HYPERLINK(CONCATENATE("#metadata!", ADDRESS(INDEX($P$2:$P$1001,MATCH(ROWS($N$2:N786),$N$2:$N$1001,0),0), INDEX($U$1004:$AC$1004,1,MATCH(COLUMNS($U$1006:W1006),$U$1006:$AC$1006,0)))),"Fix")))</f>
        <v>0</v>
      </c>
      <c r="E786" s="3">
        <f>IF(OR(INDEX($O$2:$O$1001,MATCH(ROWS($N$2:N786),$N$2:$N$1001,0),1)&gt;=100000,INDEX($U$1005:$AC$1005,1,MATCH(COLUMNS($U$1006:X1006),$U$1006:$AC$1006,0))&gt;=100000), " ",IF(INDEX($U$2:$AC$1001,MATCH(ROWS($N$2:N786),$N$2:$N$1001,0),MATCH(COLUMNS($U$1006:X1006),$U$1006:$AC$1006,0)), HYPERLINK("#",""), HYPERLINK(CONCATENATE("#metadata!", ADDRESS(INDEX($P$2:$P$1001,MATCH(ROWS($N$2:N786),$N$2:$N$1001,0),0), INDEX($U$1004:$AC$1004,1,MATCH(COLUMNS($U$1006:X1006),$U$1006:$AC$1006,0)))),"Fix")))</f>
        <v>0</v>
      </c>
      <c r="F786" s="3">
        <f>IF(OR(INDEX($O$2:$O$1001,MATCH(ROWS($N$2:N786),$N$2:$N$1001,0),1)&gt;=100000,INDEX($U$1005:$AC$1005,1,MATCH(COLUMNS($U$1006:Y1006),$U$1006:$AC$1006,0))&gt;=100000), " ",IF(INDEX($U$2:$AC$1001,MATCH(ROWS($N$2:N786),$N$2:$N$1001,0),MATCH(COLUMNS($U$1006:Y1006),$U$1006:$AC$1006,0)), HYPERLINK("#",""), HYPERLINK(CONCATENATE("#metadata!", ADDRESS(INDEX($P$2:$P$1001,MATCH(ROWS($N$2:N786),$N$2:$N$1001,0),0), INDEX($U$1004:$AC$1004,1,MATCH(COLUMNS($U$1006:Y1006),$U$1006:$AC$1006,0)))),"Fix")))</f>
        <v>0</v>
      </c>
      <c r="G786" s="3">
        <f>IF(OR(INDEX($O$2:$O$1001,MATCH(ROWS($N$2:N786),$N$2:$N$1001,0),1)&gt;=100000,INDEX($U$1005:$AC$1005,1,MATCH(COLUMNS($U$1006:Z1006),$U$1006:$AC$1006,0))&gt;=100000), " ",IF(INDEX($U$2:$AC$1001,MATCH(ROWS($N$2:N786),$N$2:$N$1001,0),MATCH(COLUMNS($U$1006:Z1006),$U$1006:$AC$1006,0)), HYPERLINK("#",""), HYPERLINK(CONCATENATE("#metadata!", ADDRESS(INDEX($P$2:$P$1001,MATCH(ROWS($N$2:N786),$N$2:$N$1001,0),0), INDEX($U$1004:$AC$1004,1,MATCH(COLUMNS($U$1006:Z1006),$U$1006:$AC$1006,0)))),"Fix")))</f>
        <v>0</v>
      </c>
      <c r="H786" s="3">
        <f>IF(OR(INDEX($O$2:$O$1001,MATCH(ROWS($N$2:N786),$N$2:$N$1001,0),1)&gt;=100000,INDEX($U$1005:$AC$1005,1,MATCH(COLUMNS($U$1006:AA1006),$U$1006:$AC$1006,0))&gt;=100000), " ",IF(INDEX($U$2:$AC$1001,MATCH(ROWS($N$2:N786),$N$2:$N$1001,0),MATCH(COLUMNS($U$1006:AA1006),$U$1006:$AC$1006,0)), HYPERLINK("#",""), HYPERLINK(CONCATENATE("#metadata!", ADDRESS(INDEX($P$2:$P$1001,MATCH(ROWS($N$2:N786),$N$2:$N$1001,0),0), INDEX($U$1004:$AC$1004,1,MATCH(COLUMNS($U$1006:AA1006),$U$1006:$AC$1006,0)))),"Fix")))</f>
        <v>0</v>
      </c>
      <c r="I786" s="3">
        <f>IF(OR(INDEX($O$2:$O$1001,MATCH(ROWS($N$2:N786),$N$2:$N$1001,0),1)&gt;=100000,INDEX($U$1005:$AC$1005,1,MATCH(COLUMNS($U$1006:AB1006),$U$1006:$AC$1006,0))&gt;=100000), " ",IF(INDEX($U$2:$AC$1001,MATCH(ROWS($N$2:N786),$N$2:$N$1001,0),MATCH(COLUMNS($U$1006:AB1006),$U$1006:$AC$1006,0)), HYPERLINK("#",""), HYPERLINK(CONCATENATE("#metadata!", ADDRESS(INDEX($P$2:$P$1001,MATCH(ROWS($N$2:N786),$N$2:$N$1001,0),0), INDEX($U$1004:$AC$1004,1,MATCH(COLUMNS($U$1006:AB1006),$U$1006:$AC$1006,0)))),"Fix")))</f>
        <v>0</v>
      </c>
      <c r="J786" s="3">
        <f>IF(OR(INDEX($O$2:$O$1001,MATCH(ROWS($N$2:N786),$N$2:$N$1001,0),1)&gt;=100000,INDEX($U$1005:$AC$1005,1,MATCH(COLUMNS($U$1006:AC1006),$U$1006:$AC$1006,0))&gt;=100000), " ",IF(INDEX($U$2:$AC$1001,MATCH(ROWS($N$2:N786),$N$2:$N$1001,0),MATCH(COLUMNS($U$1006:AC1006),$U$1006:$AC$1006,0)), HYPERLINK("#",""), HYPERLINK(CONCATENATE("#metadata!", ADDRESS(INDEX($P$2:$P$1001,MATCH(ROWS($N$2:N786),$N$2:$N$1001,0),0), INDEX($U$1004:$AC$1004,1,MATCH(COLUMNS($U$1006:AC1006),$U$1006:$AC$1006,0)))),"Fix")))</f>
        <v>0</v>
      </c>
      <c r="N786">
        <v>0</v>
      </c>
      <c r="O786">
        <v>0</v>
      </c>
      <c r="P786">
        <v>0</v>
      </c>
      <c r="Q786">
        <f>IF(R786,TRUE,AND(U786:AC786))</f>
        <v>0</v>
      </c>
      <c r="R786">
        <f>COUNTBLANK(metadata!B786:J786)=COLUMNS(metadata!B786:J786)</f>
        <v>0</v>
      </c>
      <c r="S786">
        <v>0</v>
      </c>
      <c r="U786">
        <f>AND(IF(metadata!B786="",FALSE,TRUE),COUNTIF(metadata!B:B, metadata!B786) = 1,NOT(ISERROR(SUMPRODUCT(SEARCH(MID(metadata!B786,ROW(INDIRECT("1:"&amp;LEN(metadata!B786))), 1),"0123456789abcdefghijklmnopqrstuvwxyzABCDEFGHIJKLMNOPQRSTUVWXYZ.")))))</f>
        <v>0</v>
      </c>
      <c r="V786">
        <f>AND(IF(metadata!C786="",FALSE,TRUE),exact(metadata!C786,"UBERON:genitourinary"))</f>
        <v>0</v>
      </c>
      <c r="W786">
        <f>AND(IF(metadata!D786="",FALSE,TRUE),exact(metadata!D786,"UBERON:urine"))</f>
        <v>0</v>
      </c>
      <c r="X786">
        <f>AND(IF(metadata!E786="",FALSE,TRUE),exact(metadata!E786,"UBERON:kidney"))</f>
        <v>0</v>
      </c>
      <c r="Y786">
        <f>AND(IF(metadata!F786="",FALSE,TRUE),exact(metadata!F786,"animal corpus"))</f>
        <v>0</v>
      </c>
      <c r="Z786">
        <f>AND(IF(metadata!G786="",FALSE,TRUE),exact(metadata!G786,"urine"))</f>
        <v>0</v>
      </c>
      <c r="AA786">
        <f>AND(IF(metadata!H786="",FALSE,TRUE),exact(metadata!H786,"urine"))</f>
        <v>0</v>
      </c>
      <c r="AB786">
        <f>AND(IF(metadata!I786="",FALSE,TRUE),exact(metadata!I786,"urine metagenome"))</f>
        <v>0</v>
      </c>
      <c r="AC786">
        <f>AND(IF(metadata!J786="",FALSE,TRUE),exact(metadata!J786,"1346744"))</f>
        <v>0</v>
      </c>
    </row>
    <row r="787" spans="1:29">
      <c r="A787" s="4">
        <f>IF(B787=" "," ",HYPERLINK(CONCATENATE("#metadata!",ADDRESS(INDEX($P$2:$P$1001,MATCH(ROWS($N$2:N787),$N$2:$N$1001,0),0),1)),INDEX($S$2:$S$1001,MATCH(ROWS($N$2:N787),$N$2:$N$1001,0),0)))</f>
        <v>0</v>
      </c>
      <c r="B787" s="3">
        <f>IF(OR(INDEX($O$2:$O$1001,MATCH(ROWS($N$2:N787),$N$2:$N$1001,0),1)&gt;=100000,INDEX($U$1005:$AC$1005,1,MATCH(COLUMNS($U$1006:U1006),$U$1006:$AC$1006,0))&gt;=100000), " ",IF(INDEX($U$2:$AC$1001,MATCH(ROWS($N$2:N787),$N$2:$N$1001,0),MATCH(COLUMNS($U$1006:U1006),$U$1006:$AC$1006,0)), HYPERLINK("#",""), HYPERLINK(CONCATENATE("#metadata!", ADDRESS(INDEX($P$2:$P$1001,MATCH(ROWS($N$2:N787),$N$2:$N$1001,0),0), INDEX($U$1004:$AC$1004,1,MATCH(COLUMNS($U$1006:U1006),$U$1006:$AC$1006,0)))),"Fix")))</f>
        <v>0</v>
      </c>
      <c r="C787" s="3">
        <f>IF(OR(INDEX($O$2:$O$1001,MATCH(ROWS($N$2:N787),$N$2:$N$1001,0),1)&gt;=100000,INDEX($U$1005:$AC$1005,1,MATCH(COLUMNS($U$1006:V1006),$U$1006:$AC$1006,0))&gt;=100000), " ",IF(INDEX($U$2:$AC$1001,MATCH(ROWS($N$2:N787),$N$2:$N$1001,0),MATCH(COLUMNS($U$1006:V1006),$U$1006:$AC$1006,0)), HYPERLINK("#",""), HYPERLINK(CONCATENATE("#metadata!", ADDRESS(INDEX($P$2:$P$1001,MATCH(ROWS($N$2:N787),$N$2:$N$1001,0),0), INDEX($U$1004:$AC$1004,1,MATCH(COLUMNS($U$1006:V1006),$U$1006:$AC$1006,0)))),"Fix")))</f>
        <v>0</v>
      </c>
      <c r="D787" s="3">
        <f>IF(OR(INDEX($O$2:$O$1001,MATCH(ROWS($N$2:N787),$N$2:$N$1001,0),1)&gt;=100000,INDEX($U$1005:$AC$1005,1,MATCH(COLUMNS($U$1006:W1006),$U$1006:$AC$1006,0))&gt;=100000), " ",IF(INDEX($U$2:$AC$1001,MATCH(ROWS($N$2:N787),$N$2:$N$1001,0),MATCH(COLUMNS($U$1006:W1006),$U$1006:$AC$1006,0)), HYPERLINK("#",""), HYPERLINK(CONCATENATE("#metadata!", ADDRESS(INDEX($P$2:$P$1001,MATCH(ROWS($N$2:N787),$N$2:$N$1001,0),0), INDEX($U$1004:$AC$1004,1,MATCH(COLUMNS($U$1006:W1006),$U$1006:$AC$1006,0)))),"Fix")))</f>
        <v>0</v>
      </c>
      <c r="E787" s="3">
        <f>IF(OR(INDEX($O$2:$O$1001,MATCH(ROWS($N$2:N787),$N$2:$N$1001,0),1)&gt;=100000,INDEX($U$1005:$AC$1005,1,MATCH(COLUMNS($U$1006:X1006),$U$1006:$AC$1006,0))&gt;=100000), " ",IF(INDEX($U$2:$AC$1001,MATCH(ROWS($N$2:N787),$N$2:$N$1001,0),MATCH(COLUMNS($U$1006:X1006),$U$1006:$AC$1006,0)), HYPERLINK("#",""), HYPERLINK(CONCATENATE("#metadata!", ADDRESS(INDEX($P$2:$P$1001,MATCH(ROWS($N$2:N787),$N$2:$N$1001,0),0), INDEX($U$1004:$AC$1004,1,MATCH(COLUMNS($U$1006:X1006),$U$1006:$AC$1006,0)))),"Fix")))</f>
        <v>0</v>
      </c>
      <c r="F787" s="3">
        <f>IF(OR(INDEX($O$2:$O$1001,MATCH(ROWS($N$2:N787),$N$2:$N$1001,0),1)&gt;=100000,INDEX($U$1005:$AC$1005,1,MATCH(COLUMNS($U$1006:Y1006),$U$1006:$AC$1006,0))&gt;=100000), " ",IF(INDEX($U$2:$AC$1001,MATCH(ROWS($N$2:N787),$N$2:$N$1001,0),MATCH(COLUMNS($U$1006:Y1006),$U$1006:$AC$1006,0)), HYPERLINK("#",""), HYPERLINK(CONCATENATE("#metadata!", ADDRESS(INDEX($P$2:$P$1001,MATCH(ROWS($N$2:N787),$N$2:$N$1001,0),0), INDEX($U$1004:$AC$1004,1,MATCH(COLUMNS($U$1006:Y1006),$U$1006:$AC$1006,0)))),"Fix")))</f>
        <v>0</v>
      </c>
      <c r="G787" s="3">
        <f>IF(OR(INDEX($O$2:$O$1001,MATCH(ROWS($N$2:N787),$N$2:$N$1001,0),1)&gt;=100000,INDEX($U$1005:$AC$1005,1,MATCH(COLUMNS($U$1006:Z1006),$U$1006:$AC$1006,0))&gt;=100000), " ",IF(INDEX($U$2:$AC$1001,MATCH(ROWS($N$2:N787),$N$2:$N$1001,0),MATCH(COLUMNS($U$1006:Z1006),$U$1006:$AC$1006,0)), HYPERLINK("#",""), HYPERLINK(CONCATENATE("#metadata!", ADDRESS(INDEX($P$2:$P$1001,MATCH(ROWS($N$2:N787),$N$2:$N$1001,0),0), INDEX($U$1004:$AC$1004,1,MATCH(COLUMNS($U$1006:Z1006),$U$1006:$AC$1006,0)))),"Fix")))</f>
        <v>0</v>
      </c>
      <c r="H787" s="3">
        <f>IF(OR(INDEX($O$2:$O$1001,MATCH(ROWS($N$2:N787),$N$2:$N$1001,0),1)&gt;=100000,INDEX($U$1005:$AC$1005,1,MATCH(COLUMNS($U$1006:AA1006),$U$1006:$AC$1006,0))&gt;=100000), " ",IF(INDEX($U$2:$AC$1001,MATCH(ROWS($N$2:N787),$N$2:$N$1001,0),MATCH(COLUMNS($U$1006:AA1006),$U$1006:$AC$1006,0)), HYPERLINK("#",""), HYPERLINK(CONCATENATE("#metadata!", ADDRESS(INDEX($P$2:$P$1001,MATCH(ROWS($N$2:N787),$N$2:$N$1001,0),0), INDEX($U$1004:$AC$1004,1,MATCH(COLUMNS($U$1006:AA1006),$U$1006:$AC$1006,0)))),"Fix")))</f>
        <v>0</v>
      </c>
      <c r="I787" s="3">
        <f>IF(OR(INDEX($O$2:$O$1001,MATCH(ROWS($N$2:N787),$N$2:$N$1001,0),1)&gt;=100000,INDEX($U$1005:$AC$1005,1,MATCH(COLUMNS($U$1006:AB1006),$U$1006:$AC$1006,0))&gt;=100000), " ",IF(INDEX($U$2:$AC$1001,MATCH(ROWS($N$2:N787),$N$2:$N$1001,0),MATCH(COLUMNS($U$1006:AB1006),$U$1006:$AC$1006,0)), HYPERLINK("#",""), HYPERLINK(CONCATENATE("#metadata!", ADDRESS(INDEX($P$2:$P$1001,MATCH(ROWS($N$2:N787),$N$2:$N$1001,0),0), INDEX($U$1004:$AC$1004,1,MATCH(COLUMNS($U$1006:AB1006),$U$1006:$AC$1006,0)))),"Fix")))</f>
        <v>0</v>
      </c>
      <c r="J787" s="3">
        <f>IF(OR(INDEX($O$2:$O$1001,MATCH(ROWS($N$2:N787),$N$2:$N$1001,0),1)&gt;=100000,INDEX($U$1005:$AC$1005,1,MATCH(COLUMNS($U$1006:AC1006),$U$1006:$AC$1006,0))&gt;=100000), " ",IF(INDEX($U$2:$AC$1001,MATCH(ROWS($N$2:N787),$N$2:$N$1001,0),MATCH(COLUMNS($U$1006:AC1006),$U$1006:$AC$1006,0)), HYPERLINK("#",""), HYPERLINK(CONCATENATE("#metadata!", ADDRESS(INDEX($P$2:$P$1001,MATCH(ROWS($N$2:N787),$N$2:$N$1001,0),0), INDEX($U$1004:$AC$1004,1,MATCH(COLUMNS($U$1006:AC1006),$U$1006:$AC$1006,0)))),"Fix")))</f>
        <v>0</v>
      </c>
      <c r="N787">
        <v>0</v>
      </c>
      <c r="O787">
        <v>0</v>
      </c>
      <c r="P787">
        <v>0</v>
      </c>
      <c r="Q787">
        <f>IF(R787,TRUE,AND(U787:AC787))</f>
        <v>0</v>
      </c>
      <c r="R787">
        <f>COUNTBLANK(metadata!B787:J787)=COLUMNS(metadata!B787:J787)</f>
        <v>0</v>
      </c>
      <c r="S787">
        <v>0</v>
      </c>
      <c r="U787">
        <f>AND(IF(metadata!B787="",FALSE,TRUE),COUNTIF(metadata!B:B, metadata!B787) = 1,NOT(ISERROR(SUMPRODUCT(SEARCH(MID(metadata!B787,ROW(INDIRECT("1:"&amp;LEN(metadata!B787))), 1),"0123456789abcdefghijklmnopqrstuvwxyzABCDEFGHIJKLMNOPQRSTUVWXYZ.")))))</f>
        <v>0</v>
      </c>
      <c r="V787">
        <f>AND(IF(metadata!C787="",FALSE,TRUE),exact(metadata!C787,"UBERON:genitourinary"))</f>
        <v>0</v>
      </c>
      <c r="W787">
        <f>AND(IF(metadata!D787="",FALSE,TRUE),exact(metadata!D787,"UBERON:urine"))</f>
        <v>0</v>
      </c>
      <c r="X787">
        <f>AND(IF(metadata!E787="",FALSE,TRUE),exact(metadata!E787,"UBERON:kidney"))</f>
        <v>0</v>
      </c>
      <c r="Y787">
        <f>AND(IF(metadata!F787="",FALSE,TRUE),exact(metadata!F787,"animal corpus"))</f>
        <v>0</v>
      </c>
      <c r="Z787">
        <f>AND(IF(metadata!G787="",FALSE,TRUE),exact(metadata!G787,"urine"))</f>
        <v>0</v>
      </c>
      <c r="AA787">
        <f>AND(IF(metadata!H787="",FALSE,TRUE),exact(metadata!H787,"urine"))</f>
        <v>0</v>
      </c>
      <c r="AB787">
        <f>AND(IF(metadata!I787="",FALSE,TRUE),exact(metadata!I787,"urine metagenome"))</f>
        <v>0</v>
      </c>
      <c r="AC787">
        <f>AND(IF(metadata!J787="",FALSE,TRUE),exact(metadata!J787,"1346744"))</f>
        <v>0</v>
      </c>
    </row>
    <row r="788" spans="1:29">
      <c r="A788" s="4">
        <f>IF(B788=" "," ",HYPERLINK(CONCATENATE("#metadata!",ADDRESS(INDEX($P$2:$P$1001,MATCH(ROWS($N$2:N788),$N$2:$N$1001,0),0),1)),INDEX($S$2:$S$1001,MATCH(ROWS($N$2:N788),$N$2:$N$1001,0),0)))</f>
        <v>0</v>
      </c>
      <c r="B788" s="3">
        <f>IF(OR(INDEX($O$2:$O$1001,MATCH(ROWS($N$2:N788),$N$2:$N$1001,0),1)&gt;=100000,INDEX($U$1005:$AC$1005,1,MATCH(COLUMNS($U$1006:U1006),$U$1006:$AC$1006,0))&gt;=100000), " ",IF(INDEX($U$2:$AC$1001,MATCH(ROWS($N$2:N788),$N$2:$N$1001,0),MATCH(COLUMNS($U$1006:U1006),$U$1006:$AC$1006,0)), HYPERLINK("#",""), HYPERLINK(CONCATENATE("#metadata!", ADDRESS(INDEX($P$2:$P$1001,MATCH(ROWS($N$2:N788),$N$2:$N$1001,0),0), INDEX($U$1004:$AC$1004,1,MATCH(COLUMNS($U$1006:U1006),$U$1006:$AC$1006,0)))),"Fix")))</f>
        <v>0</v>
      </c>
      <c r="C788" s="3">
        <f>IF(OR(INDEX($O$2:$O$1001,MATCH(ROWS($N$2:N788),$N$2:$N$1001,0),1)&gt;=100000,INDEX($U$1005:$AC$1005,1,MATCH(COLUMNS($U$1006:V1006),$U$1006:$AC$1006,0))&gt;=100000), " ",IF(INDEX($U$2:$AC$1001,MATCH(ROWS($N$2:N788),$N$2:$N$1001,0),MATCH(COLUMNS($U$1006:V1006),$U$1006:$AC$1006,0)), HYPERLINK("#",""), HYPERLINK(CONCATENATE("#metadata!", ADDRESS(INDEX($P$2:$P$1001,MATCH(ROWS($N$2:N788),$N$2:$N$1001,0),0), INDEX($U$1004:$AC$1004,1,MATCH(COLUMNS($U$1006:V1006),$U$1006:$AC$1006,0)))),"Fix")))</f>
        <v>0</v>
      </c>
      <c r="D788" s="3">
        <f>IF(OR(INDEX($O$2:$O$1001,MATCH(ROWS($N$2:N788),$N$2:$N$1001,0),1)&gt;=100000,INDEX($U$1005:$AC$1005,1,MATCH(COLUMNS($U$1006:W1006),$U$1006:$AC$1006,0))&gt;=100000), " ",IF(INDEX($U$2:$AC$1001,MATCH(ROWS($N$2:N788),$N$2:$N$1001,0),MATCH(COLUMNS($U$1006:W1006),$U$1006:$AC$1006,0)), HYPERLINK("#",""), HYPERLINK(CONCATENATE("#metadata!", ADDRESS(INDEX($P$2:$P$1001,MATCH(ROWS($N$2:N788),$N$2:$N$1001,0),0), INDEX($U$1004:$AC$1004,1,MATCH(COLUMNS($U$1006:W1006),$U$1006:$AC$1006,0)))),"Fix")))</f>
        <v>0</v>
      </c>
      <c r="E788" s="3">
        <f>IF(OR(INDEX($O$2:$O$1001,MATCH(ROWS($N$2:N788),$N$2:$N$1001,0),1)&gt;=100000,INDEX($U$1005:$AC$1005,1,MATCH(COLUMNS($U$1006:X1006),$U$1006:$AC$1006,0))&gt;=100000), " ",IF(INDEX($U$2:$AC$1001,MATCH(ROWS($N$2:N788),$N$2:$N$1001,0),MATCH(COLUMNS($U$1006:X1006),$U$1006:$AC$1006,0)), HYPERLINK("#",""), HYPERLINK(CONCATENATE("#metadata!", ADDRESS(INDEX($P$2:$P$1001,MATCH(ROWS($N$2:N788),$N$2:$N$1001,0),0), INDEX($U$1004:$AC$1004,1,MATCH(COLUMNS($U$1006:X1006),$U$1006:$AC$1006,0)))),"Fix")))</f>
        <v>0</v>
      </c>
      <c r="F788" s="3">
        <f>IF(OR(INDEX($O$2:$O$1001,MATCH(ROWS($N$2:N788),$N$2:$N$1001,0),1)&gt;=100000,INDEX($U$1005:$AC$1005,1,MATCH(COLUMNS($U$1006:Y1006),$U$1006:$AC$1006,0))&gt;=100000), " ",IF(INDEX($U$2:$AC$1001,MATCH(ROWS($N$2:N788),$N$2:$N$1001,0),MATCH(COLUMNS($U$1006:Y1006),$U$1006:$AC$1006,0)), HYPERLINK("#",""), HYPERLINK(CONCATENATE("#metadata!", ADDRESS(INDEX($P$2:$P$1001,MATCH(ROWS($N$2:N788),$N$2:$N$1001,0),0), INDEX($U$1004:$AC$1004,1,MATCH(COLUMNS($U$1006:Y1006),$U$1006:$AC$1006,0)))),"Fix")))</f>
        <v>0</v>
      </c>
      <c r="G788" s="3">
        <f>IF(OR(INDEX($O$2:$O$1001,MATCH(ROWS($N$2:N788),$N$2:$N$1001,0),1)&gt;=100000,INDEX($U$1005:$AC$1005,1,MATCH(COLUMNS($U$1006:Z1006),$U$1006:$AC$1006,0))&gt;=100000), " ",IF(INDEX($U$2:$AC$1001,MATCH(ROWS($N$2:N788),$N$2:$N$1001,0),MATCH(COLUMNS($U$1006:Z1006),$U$1006:$AC$1006,0)), HYPERLINK("#",""), HYPERLINK(CONCATENATE("#metadata!", ADDRESS(INDEX($P$2:$P$1001,MATCH(ROWS($N$2:N788),$N$2:$N$1001,0),0), INDEX($U$1004:$AC$1004,1,MATCH(COLUMNS($U$1006:Z1006),$U$1006:$AC$1006,0)))),"Fix")))</f>
        <v>0</v>
      </c>
      <c r="H788" s="3">
        <f>IF(OR(INDEX($O$2:$O$1001,MATCH(ROWS($N$2:N788),$N$2:$N$1001,0),1)&gt;=100000,INDEX($U$1005:$AC$1005,1,MATCH(COLUMNS($U$1006:AA1006),$U$1006:$AC$1006,0))&gt;=100000), " ",IF(INDEX($U$2:$AC$1001,MATCH(ROWS($N$2:N788),$N$2:$N$1001,0),MATCH(COLUMNS($U$1006:AA1006),$U$1006:$AC$1006,0)), HYPERLINK("#",""), HYPERLINK(CONCATENATE("#metadata!", ADDRESS(INDEX($P$2:$P$1001,MATCH(ROWS($N$2:N788),$N$2:$N$1001,0),0), INDEX($U$1004:$AC$1004,1,MATCH(COLUMNS($U$1006:AA1006),$U$1006:$AC$1006,0)))),"Fix")))</f>
        <v>0</v>
      </c>
      <c r="I788" s="3">
        <f>IF(OR(INDEX($O$2:$O$1001,MATCH(ROWS($N$2:N788),$N$2:$N$1001,0),1)&gt;=100000,INDEX($U$1005:$AC$1005,1,MATCH(COLUMNS($U$1006:AB1006),$U$1006:$AC$1006,0))&gt;=100000), " ",IF(INDEX($U$2:$AC$1001,MATCH(ROWS($N$2:N788),$N$2:$N$1001,0),MATCH(COLUMNS($U$1006:AB1006),$U$1006:$AC$1006,0)), HYPERLINK("#",""), HYPERLINK(CONCATENATE("#metadata!", ADDRESS(INDEX($P$2:$P$1001,MATCH(ROWS($N$2:N788),$N$2:$N$1001,0),0), INDEX($U$1004:$AC$1004,1,MATCH(COLUMNS($U$1006:AB1006),$U$1006:$AC$1006,0)))),"Fix")))</f>
        <v>0</v>
      </c>
      <c r="J788" s="3">
        <f>IF(OR(INDEX($O$2:$O$1001,MATCH(ROWS($N$2:N788),$N$2:$N$1001,0),1)&gt;=100000,INDEX($U$1005:$AC$1005,1,MATCH(COLUMNS($U$1006:AC1006),$U$1006:$AC$1006,0))&gt;=100000), " ",IF(INDEX($U$2:$AC$1001,MATCH(ROWS($N$2:N788),$N$2:$N$1001,0),MATCH(COLUMNS($U$1006:AC1006),$U$1006:$AC$1006,0)), HYPERLINK("#",""), HYPERLINK(CONCATENATE("#metadata!", ADDRESS(INDEX($P$2:$P$1001,MATCH(ROWS($N$2:N788),$N$2:$N$1001,0),0), INDEX($U$1004:$AC$1004,1,MATCH(COLUMNS($U$1006:AC1006),$U$1006:$AC$1006,0)))),"Fix")))</f>
        <v>0</v>
      </c>
      <c r="N788">
        <v>0</v>
      </c>
      <c r="O788">
        <v>0</v>
      </c>
      <c r="P788">
        <v>0</v>
      </c>
      <c r="Q788">
        <f>IF(R788,TRUE,AND(U788:AC788))</f>
        <v>0</v>
      </c>
      <c r="R788">
        <f>COUNTBLANK(metadata!B788:J788)=COLUMNS(metadata!B788:J788)</f>
        <v>0</v>
      </c>
      <c r="S788">
        <v>0</v>
      </c>
      <c r="U788">
        <f>AND(IF(metadata!B788="",FALSE,TRUE),COUNTIF(metadata!B:B, metadata!B788) = 1,NOT(ISERROR(SUMPRODUCT(SEARCH(MID(metadata!B788,ROW(INDIRECT("1:"&amp;LEN(metadata!B788))), 1),"0123456789abcdefghijklmnopqrstuvwxyzABCDEFGHIJKLMNOPQRSTUVWXYZ.")))))</f>
        <v>0</v>
      </c>
      <c r="V788">
        <f>AND(IF(metadata!C788="",FALSE,TRUE),exact(metadata!C788,"UBERON:genitourinary"))</f>
        <v>0</v>
      </c>
      <c r="W788">
        <f>AND(IF(metadata!D788="",FALSE,TRUE),exact(metadata!D788,"UBERON:urine"))</f>
        <v>0</v>
      </c>
      <c r="X788">
        <f>AND(IF(metadata!E788="",FALSE,TRUE),exact(metadata!E788,"UBERON:kidney"))</f>
        <v>0</v>
      </c>
      <c r="Y788">
        <f>AND(IF(metadata!F788="",FALSE,TRUE),exact(metadata!F788,"animal corpus"))</f>
        <v>0</v>
      </c>
      <c r="Z788">
        <f>AND(IF(metadata!G788="",FALSE,TRUE),exact(metadata!G788,"urine"))</f>
        <v>0</v>
      </c>
      <c r="AA788">
        <f>AND(IF(metadata!H788="",FALSE,TRUE),exact(metadata!H788,"urine"))</f>
        <v>0</v>
      </c>
      <c r="AB788">
        <f>AND(IF(metadata!I788="",FALSE,TRUE),exact(metadata!I788,"urine metagenome"))</f>
        <v>0</v>
      </c>
      <c r="AC788">
        <f>AND(IF(metadata!J788="",FALSE,TRUE),exact(metadata!J788,"1346744"))</f>
        <v>0</v>
      </c>
    </row>
    <row r="789" spans="1:29">
      <c r="A789" s="4">
        <f>IF(B789=" "," ",HYPERLINK(CONCATENATE("#metadata!",ADDRESS(INDEX($P$2:$P$1001,MATCH(ROWS($N$2:N789),$N$2:$N$1001,0),0),1)),INDEX($S$2:$S$1001,MATCH(ROWS($N$2:N789),$N$2:$N$1001,0),0)))</f>
        <v>0</v>
      </c>
      <c r="B789" s="3">
        <f>IF(OR(INDEX($O$2:$O$1001,MATCH(ROWS($N$2:N789),$N$2:$N$1001,0),1)&gt;=100000,INDEX($U$1005:$AC$1005,1,MATCH(COLUMNS($U$1006:U1006),$U$1006:$AC$1006,0))&gt;=100000), " ",IF(INDEX($U$2:$AC$1001,MATCH(ROWS($N$2:N789),$N$2:$N$1001,0),MATCH(COLUMNS($U$1006:U1006),$U$1006:$AC$1006,0)), HYPERLINK("#",""), HYPERLINK(CONCATENATE("#metadata!", ADDRESS(INDEX($P$2:$P$1001,MATCH(ROWS($N$2:N789),$N$2:$N$1001,0),0), INDEX($U$1004:$AC$1004,1,MATCH(COLUMNS($U$1006:U1006),$U$1006:$AC$1006,0)))),"Fix")))</f>
        <v>0</v>
      </c>
      <c r="C789" s="3">
        <f>IF(OR(INDEX($O$2:$O$1001,MATCH(ROWS($N$2:N789),$N$2:$N$1001,0),1)&gt;=100000,INDEX($U$1005:$AC$1005,1,MATCH(COLUMNS($U$1006:V1006),$U$1006:$AC$1006,0))&gt;=100000), " ",IF(INDEX($U$2:$AC$1001,MATCH(ROWS($N$2:N789),$N$2:$N$1001,0),MATCH(COLUMNS($U$1006:V1006),$U$1006:$AC$1006,0)), HYPERLINK("#",""), HYPERLINK(CONCATENATE("#metadata!", ADDRESS(INDEX($P$2:$P$1001,MATCH(ROWS($N$2:N789),$N$2:$N$1001,0),0), INDEX($U$1004:$AC$1004,1,MATCH(COLUMNS($U$1006:V1006),$U$1006:$AC$1006,0)))),"Fix")))</f>
        <v>0</v>
      </c>
      <c r="D789" s="3">
        <f>IF(OR(INDEX($O$2:$O$1001,MATCH(ROWS($N$2:N789),$N$2:$N$1001,0),1)&gt;=100000,INDEX($U$1005:$AC$1005,1,MATCH(COLUMNS($U$1006:W1006),$U$1006:$AC$1006,0))&gt;=100000), " ",IF(INDEX($U$2:$AC$1001,MATCH(ROWS($N$2:N789),$N$2:$N$1001,0),MATCH(COLUMNS($U$1006:W1006),$U$1006:$AC$1006,0)), HYPERLINK("#",""), HYPERLINK(CONCATENATE("#metadata!", ADDRESS(INDEX($P$2:$P$1001,MATCH(ROWS($N$2:N789),$N$2:$N$1001,0),0), INDEX($U$1004:$AC$1004,1,MATCH(COLUMNS($U$1006:W1006),$U$1006:$AC$1006,0)))),"Fix")))</f>
        <v>0</v>
      </c>
      <c r="E789" s="3">
        <f>IF(OR(INDEX($O$2:$O$1001,MATCH(ROWS($N$2:N789),$N$2:$N$1001,0),1)&gt;=100000,INDEX($U$1005:$AC$1005,1,MATCH(COLUMNS($U$1006:X1006),$U$1006:$AC$1006,0))&gt;=100000), " ",IF(INDEX($U$2:$AC$1001,MATCH(ROWS($N$2:N789),$N$2:$N$1001,0),MATCH(COLUMNS($U$1006:X1006),$U$1006:$AC$1006,0)), HYPERLINK("#",""), HYPERLINK(CONCATENATE("#metadata!", ADDRESS(INDEX($P$2:$P$1001,MATCH(ROWS($N$2:N789),$N$2:$N$1001,0),0), INDEX($U$1004:$AC$1004,1,MATCH(COLUMNS($U$1006:X1006),$U$1006:$AC$1006,0)))),"Fix")))</f>
        <v>0</v>
      </c>
      <c r="F789" s="3">
        <f>IF(OR(INDEX($O$2:$O$1001,MATCH(ROWS($N$2:N789),$N$2:$N$1001,0),1)&gt;=100000,INDEX($U$1005:$AC$1005,1,MATCH(COLUMNS($U$1006:Y1006),$U$1006:$AC$1006,0))&gt;=100000), " ",IF(INDEX($U$2:$AC$1001,MATCH(ROWS($N$2:N789),$N$2:$N$1001,0),MATCH(COLUMNS($U$1006:Y1006),$U$1006:$AC$1006,0)), HYPERLINK("#",""), HYPERLINK(CONCATENATE("#metadata!", ADDRESS(INDEX($P$2:$P$1001,MATCH(ROWS($N$2:N789),$N$2:$N$1001,0),0), INDEX($U$1004:$AC$1004,1,MATCH(COLUMNS($U$1006:Y1006),$U$1006:$AC$1006,0)))),"Fix")))</f>
        <v>0</v>
      </c>
      <c r="G789" s="3">
        <f>IF(OR(INDEX($O$2:$O$1001,MATCH(ROWS($N$2:N789),$N$2:$N$1001,0),1)&gt;=100000,INDEX($U$1005:$AC$1005,1,MATCH(COLUMNS($U$1006:Z1006),$U$1006:$AC$1006,0))&gt;=100000), " ",IF(INDEX($U$2:$AC$1001,MATCH(ROWS($N$2:N789),$N$2:$N$1001,0),MATCH(COLUMNS($U$1006:Z1006),$U$1006:$AC$1006,0)), HYPERLINK("#",""), HYPERLINK(CONCATENATE("#metadata!", ADDRESS(INDEX($P$2:$P$1001,MATCH(ROWS($N$2:N789),$N$2:$N$1001,0),0), INDEX($U$1004:$AC$1004,1,MATCH(COLUMNS($U$1006:Z1006),$U$1006:$AC$1006,0)))),"Fix")))</f>
        <v>0</v>
      </c>
      <c r="H789" s="3">
        <f>IF(OR(INDEX($O$2:$O$1001,MATCH(ROWS($N$2:N789),$N$2:$N$1001,0),1)&gt;=100000,INDEX($U$1005:$AC$1005,1,MATCH(COLUMNS($U$1006:AA1006),$U$1006:$AC$1006,0))&gt;=100000), " ",IF(INDEX($U$2:$AC$1001,MATCH(ROWS($N$2:N789),$N$2:$N$1001,0),MATCH(COLUMNS($U$1006:AA1006),$U$1006:$AC$1006,0)), HYPERLINK("#",""), HYPERLINK(CONCATENATE("#metadata!", ADDRESS(INDEX($P$2:$P$1001,MATCH(ROWS($N$2:N789),$N$2:$N$1001,0),0), INDEX($U$1004:$AC$1004,1,MATCH(COLUMNS($U$1006:AA1006),$U$1006:$AC$1006,0)))),"Fix")))</f>
        <v>0</v>
      </c>
      <c r="I789" s="3">
        <f>IF(OR(INDEX($O$2:$O$1001,MATCH(ROWS($N$2:N789),$N$2:$N$1001,0),1)&gt;=100000,INDEX($U$1005:$AC$1005,1,MATCH(COLUMNS($U$1006:AB1006),$U$1006:$AC$1006,0))&gt;=100000), " ",IF(INDEX($U$2:$AC$1001,MATCH(ROWS($N$2:N789),$N$2:$N$1001,0),MATCH(COLUMNS($U$1006:AB1006),$U$1006:$AC$1006,0)), HYPERLINK("#",""), HYPERLINK(CONCATENATE("#metadata!", ADDRESS(INDEX($P$2:$P$1001,MATCH(ROWS($N$2:N789),$N$2:$N$1001,0),0), INDEX($U$1004:$AC$1004,1,MATCH(COLUMNS($U$1006:AB1006),$U$1006:$AC$1006,0)))),"Fix")))</f>
        <v>0</v>
      </c>
      <c r="J789" s="3">
        <f>IF(OR(INDEX($O$2:$O$1001,MATCH(ROWS($N$2:N789),$N$2:$N$1001,0),1)&gt;=100000,INDEX($U$1005:$AC$1005,1,MATCH(COLUMNS($U$1006:AC1006),$U$1006:$AC$1006,0))&gt;=100000), " ",IF(INDEX($U$2:$AC$1001,MATCH(ROWS($N$2:N789),$N$2:$N$1001,0),MATCH(COLUMNS($U$1006:AC1006),$U$1006:$AC$1006,0)), HYPERLINK("#",""), HYPERLINK(CONCATENATE("#metadata!", ADDRESS(INDEX($P$2:$P$1001,MATCH(ROWS($N$2:N789),$N$2:$N$1001,0),0), INDEX($U$1004:$AC$1004,1,MATCH(COLUMNS($U$1006:AC1006),$U$1006:$AC$1006,0)))),"Fix")))</f>
        <v>0</v>
      </c>
      <c r="N789">
        <v>0</v>
      </c>
      <c r="O789">
        <v>0</v>
      </c>
      <c r="P789">
        <v>0</v>
      </c>
      <c r="Q789">
        <f>IF(R789,TRUE,AND(U789:AC789))</f>
        <v>0</v>
      </c>
      <c r="R789">
        <f>COUNTBLANK(metadata!B789:J789)=COLUMNS(metadata!B789:J789)</f>
        <v>0</v>
      </c>
      <c r="S789">
        <v>0</v>
      </c>
      <c r="U789">
        <f>AND(IF(metadata!B789="",FALSE,TRUE),COUNTIF(metadata!B:B, metadata!B789) = 1,NOT(ISERROR(SUMPRODUCT(SEARCH(MID(metadata!B789,ROW(INDIRECT("1:"&amp;LEN(metadata!B789))), 1),"0123456789abcdefghijklmnopqrstuvwxyzABCDEFGHIJKLMNOPQRSTUVWXYZ.")))))</f>
        <v>0</v>
      </c>
      <c r="V789">
        <f>AND(IF(metadata!C789="",FALSE,TRUE),exact(metadata!C789,"UBERON:genitourinary"))</f>
        <v>0</v>
      </c>
      <c r="W789">
        <f>AND(IF(metadata!D789="",FALSE,TRUE),exact(metadata!D789,"UBERON:urine"))</f>
        <v>0</v>
      </c>
      <c r="X789">
        <f>AND(IF(metadata!E789="",FALSE,TRUE),exact(metadata!E789,"UBERON:kidney"))</f>
        <v>0</v>
      </c>
      <c r="Y789">
        <f>AND(IF(metadata!F789="",FALSE,TRUE),exact(metadata!F789,"animal corpus"))</f>
        <v>0</v>
      </c>
      <c r="Z789">
        <f>AND(IF(metadata!G789="",FALSE,TRUE),exact(metadata!G789,"urine"))</f>
        <v>0</v>
      </c>
      <c r="AA789">
        <f>AND(IF(metadata!H789="",FALSE,TRUE),exact(metadata!H789,"urine"))</f>
        <v>0</v>
      </c>
      <c r="AB789">
        <f>AND(IF(metadata!I789="",FALSE,TRUE),exact(metadata!I789,"urine metagenome"))</f>
        <v>0</v>
      </c>
      <c r="AC789">
        <f>AND(IF(metadata!J789="",FALSE,TRUE),exact(metadata!J789,"1346744"))</f>
        <v>0</v>
      </c>
    </row>
    <row r="790" spans="1:29">
      <c r="A790" s="4">
        <f>IF(B790=" "," ",HYPERLINK(CONCATENATE("#metadata!",ADDRESS(INDEX($P$2:$P$1001,MATCH(ROWS($N$2:N790),$N$2:$N$1001,0),0),1)),INDEX($S$2:$S$1001,MATCH(ROWS($N$2:N790),$N$2:$N$1001,0),0)))</f>
        <v>0</v>
      </c>
      <c r="B790" s="3">
        <f>IF(OR(INDEX($O$2:$O$1001,MATCH(ROWS($N$2:N790),$N$2:$N$1001,0),1)&gt;=100000,INDEX($U$1005:$AC$1005,1,MATCH(COLUMNS($U$1006:U1006),$U$1006:$AC$1006,0))&gt;=100000), " ",IF(INDEX($U$2:$AC$1001,MATCH(ROWS($N$2:N790),$N$2:$N$1001,0),MATCH(COLUMNS($U$1006:U1006),$U$1006:$AC$1006,0)), HYPERLINK("#",""), HYPERLINK(CONCATENATE("#metadata!", ADDRESS(INDEX($P$2:$P$1001,MATCH(ROWS($N$2:N790),$N$2:$N$1001,0),0), INDEX($U$1004:$AC$1004,1,MATCH(COLUMNS($U$1006:U1006),$U$1006:$AC$1006,0)))),"Fix")))</f>
        <v>0</v>
      </c>
      <c r="C790" s="3">
        <f>IF(OR(INDEX($O$2:$O$1001,MATCH(ROWS($N$2:N790),$N$2:$N$1001,0),1)&gt;=100000,INDEX($U$1005:$AC$1005,1,MATCH(COLUMNS($U$1006:V1006),$U$1006:$AC$1006,0))&gt;=100000), " ",IF(INDEX($U$2:$AC$1001,MATCH(ROWS($N$2:N790),$N$2:$N$1001,0),MATCH(COLUMNS($U$1006:V1006),$U$1006:$AC$1006,0)), HYPERLINK("#",""), HYPERLINK(CONCATENATE("#metadata!", ADDRESS(INDEX($P$2:$P$1001,MATCH(ROWS($N$2:N790),$N$2:$N$1001,0),0), INDEX($U$1004:$AC$1004,1,MATCH(COLUMNS($U$1006:V1006),$U$1006:$AC$1006,0)))),"Fix")))</f>
        <v>0</v>
      </c>
      <c r="D790" s="3">
        <f>IF(OR(INDEX($O$2:$O$1001,MATCH(ROWS($N$2:N790),$N$2:$N$1001,0),1)&gt;=100000,INDEX($U$1005:$AC$1005,1,MATCH(COLUMNS($U$1006:W1006),$U$1006:$AC$1006,0))&gt;=100000), " ",IF(INDEX($U$2:$AC$1001,MATCH(ROWS($N$2:N790),$N$2:$N$1001,0),MATCH(COLUMNS($U$1006:W1006),$U$1006:$AC$1006,0)), HYPERLINK("#",""), HYPERLINK(CONCATENATE("#metadata!", ADDRESS(INDEX($P$2:$P$1001,MATCH(ROWS($N$2:N790),$N$2:$N$1001,0),0), INDEX($U$1004:$AC$1004,1,MATCH(COLUMNS($U$1006:W1006),$U$1006:$AC$1006,0)))),"Fix")))</f>
        <v>0</v>
      </c>
      <c r="E790" s="3">
        <f>IF(OR(INDEX($O$2:$O$1001,MATCH(ROWS($N$2:N790),$N$2:$N$1001,0),1)&gt;=100000,INDEX($U$1005:$AC$1005,1,MATCH(COLUMNS($U$1006:X1006),$U$1006:$AC$1006,0))&gt;=100000), " ",IF(INDEX($U$2:$AC$1001,MATCH(ROWS($N$2:N790),$N$2:$N$1001,0),MATCH(COLUMNS($U$1006:X1006),$U$1006:$AC$1006,0)), HYPERLINK("#",""), HYPERLINK(CONCATENATE("#metadata!", ADDRESS(INDEX($P$2:$P$1001,MATCH(ROWS($N$2:N790),$N$2:$N$1001,0),0), INDEX($U$1004:$AC$1004,1,MATCH(COLUMNS($U$1006:X1006),$U$1006:$AC$1006,0)))),"Fix")))</f>
        <v>0</v>
      </c>
      <c r="F790" s="3">
        <f>IF(OR(INDEX($O$2:$O$1001,MATCH(ROWS($N$2:N790),$N$2:$N$1001,0),1)&gt;=100000,INDEX($U$1005:$AC$1005,1,MATCH(COLUMNS($U$1006:Y1006),$U$1006:$AC$1006,0))&gt;=100000), " ",IF(INDEX($U$2:$AC$1001,MATCH(ROWS($N$2:N790),$N$2:$N$1001,0),MATCH(COLUMNS($U$1006:Y1006),$U$1006:$AC$1006,0)), HYPERLINK("#",""), HYPERLINK(CONCATENATE("#metadata!", ADDRESS(INDEX($P$2:$P$1001,MATCH(ROWS($N$2:N790),$N$2:$N$1001,0),0), INDEX($U$1004:$AC$1004,1,MATCH(COLUMNS($U$1006:Y1006),$U$1006:$AC$1006,0)))),"Fix")))</f>
        <v>0</v>
      </c>
      <c r="G790" s="3">
        <f>IF(OR(INDEX($O$2:$O$1001,MATCH(ROWS($N$2:N790),$N$2:$N$1001,0),1)&gt;=100000,INDEX($U$1005:$AC$1005,1,MATCH(COLUMNS($U$1006:Z1006),$U$1006:$AC$1006,0))&gt;=100000), " ",IF(INDEX($U$2:$AC$1001,MATCH(ROWS($N$2:N790),$N$2:$N$1001,0),MATCH(COLUMNS($U$1006:Z1006),$U$1006:$AC$1006,0)), HYPERLINK("#",""), HYPERLINK(CONCATENATE("#metadata!", ADDRESS(INDEX($P$2:$P$1001,MATCH(ROWS($N$2:N790),$N$2:$N$1001,0),0), INDEX($U$1004:$AC$1004,1,MATCH(COLUMNS($U$1006:Z1006),$U$1006:$AC$1006,0)))),"Fix")))</f>
        <v>0</v>
      </c>
      <c r="H790" s="3">
        <f>IF(OR(INDEX($O$2:$O$1001,MATCH(ROWS($N$2:N790),$N$2:$N$1001,0),1)&gt;=100000,INDEX($U$1005:$AC$1005,1,MATCH(COLUMNS($U$1006:AA1006),$U$1006:$AC$1006,0))&gt;=100000), " ",IF(INDEX($U$2:$AC$1001,MATCH(ROWS($N$2:N790),$N$2:$N$1001,0),MATCH(COLUMNS($U$1006:AA1006),$U$1006:$AC$1006,0)), HYPERLINK("#",""), HYPERLINK(CONCATENATE("#metadata!", ADDRESS(INDEX($P$2:$P$1001,MATCH(ROWS($N$2:N790),$N$2:$N$1001,0),0), INDEX($U$1004:$AC$1004,1,MATCH(COLUMNS($U$1006:AA1006),$U$1006:$AC$1006,0)))),"Fix")))</f>
        <v>0</v>
      </c>
      <c r="I790" s="3">
        <f>IF(OR(INDEX($O$2:$O$1001,MATCH(ROWS($N$2:N790),$N$2:$N$1001,0),1)&gt;=100000,INDEX($U$1005:$AC$1005,1,MATCH(COLUMNS($U$1006:AB1006),$U$1006:$AC$1006,0))&gt;=100000), " ",IF(INDEX($U$2:$AC$1001,MATCH(ROWS($N$2:N790),$N$2:$N$1001,0),MATCH(COLUMNS($U$1006:AB1006),$U$1006:$AC$1006,0)), HYPERLINK("#",""), HYPERLINK(CONCATENATE("#metadata!", ADDRESS(INDEX($P$2:$P$1001,MATCH(ROWS($N$2:N790),$N$2:$N$1001,0),0), INDEX($U$1004:$AC$1004,1,MATCH(COLUMNS($U$1006:AB1006),$U$1006:$AC$1006,0)))),"Fix")))</f>
        <v>0</v>
      </c>
      <c r="J790" s="3">
        <f>IF(OR(INDEX($O$2:$O$1001,MATCH(ROWS($N$2:N790),$N$2:$N$1001,0),1)&gt;=100000,INDEX($U$1005:$AC$1005,1,MATCH(COLUMNS($U$1006:AC1006),$U$1006:$AC$1006,0))&gt;=100000), " ",IF(INDEX($U$2:$AC$1001,MATCH(ROWS($N$2:N790),$N$2:$N$1001,0),MATCH(COLUMNS($U$1006:AC1006),$U$1006:$AC$1006,0)), HYPERLINK("#",""), HYPERLINK(CONCATENATE("#metadata!", ADDRESS(INDEX($P$2:$P$1001,MATCH(ROWS($N$2:N790),$N$2:$N$1001,0),0), INDEX($U$1004:$AC$1004,1,MATCH(COLUMNS($U$1006:AC1006),$U$1006:$AC$1006,0)))),"Fix")))</f>
        <v>0</v>
      </c>
      <c r="N790">
        <v>0</v>
      </c>
      <c r="O790">
        <v>0</v>
      </c>
      <c r="P790">
        <v>0</v>
      </c>
      <c r="Q790">
        <f>IF(R790,TRUE,AND(U790:AC790))</f>
        <v>0</v>
      </c>
      <c r="R790">
        <f>COUNTBLANK(metadata!B790:J790)=COLUMNS(metadata!B790:J790)</f>
        <v>0</v>
      </c>
      <c r="S790">
        <v>0</v>
      </c>
      <c r="U790">
        <f>AND(IF(metadata!B790="",FALSE,TRUE),COUNTIF(metadata!B:B, metadata!B790) = 1,NOT(ISERROR(SUMPRODUCT(SEARCH(MID(metadata!B790,ROW(INDIRECT("1:"&amp;LEN(metadata!B790))), 1),"0123456789abcdefghijklmnopqrstuvwxyzABCDEFGHIJKLMNOPQRSTUVWXYZ.")))))</f>
        <v>0</v>
      </c>
      <c r="V790">
        <f>AND(IF(metadata!C790="",FALSE,TRUE),exact(metadata!C790,"UBERON:genitourinary"))</f>
        <v>0</v>
      </c>
      <c r="W790">
        <f>AND(IF(metadata!D790="",FALSE,TRUE),exact(metadata!D790,"UBERON:urine"))</f>
        <v>0</v>
      </c>
      <c r="X790">
        <f>AND(IF(metadata!E790="",FALSE,TRUE),exact(metadata!E790,"UBERON:kidney"))</f>
        <v>0</v>
      </c>
      <c r="Y790">
        <f>AND(IF(metadata!F790="",FALSE,TRUE),exact(metadata!F790,"animal corpus"))</f>
        <v>0</v>
      </c>
      <c r="Z790">
        <f>AND(IF(metadata!G790="",FALSE,TRUE),exact(metadata!G790,"urine"))</f>
        <v>0</v>
      </c>
      <c r="AA790">
        <f>AND(IF(metadata!H790="",FALSE,TRUE),exact(metadata!H790,"urine"))</f>
        <v>0</v>
      </c>
      <c r="AB790">
        <f>AND(IF(metadata!I790="",FALSE,TRUE),exact(metadata!I790,"urine metagenome"))</f>
        <v>0</v>
      </c>
      <c r="AC790">
        <f>AND(IF(metadata!J790="",FALSE,TRUE),exact(metadata!J790,"1346744"))</f>
        <v>0</v>
      </c>
    </row>
    <row r="791" spans="1:29">
      <c r="A791" s="4">
        <f>IF(B791=" "," ",HYPERLINK(CONCATENATE("#metadata!",ADDRESS(INDEX($P$2:$P$1001,MATCH(ROWS($N$2:N791),$N$2:$N$1001,0),0),1)),INDEX($S$2:$S$1001,MATCH(ROWS($N$2:N791),$N$2:$N$1001,0),0)))</f>
        <v>0</v>
      </c>
      <c r="B791" s="3">
        <f>IF(OR(INDEX($O$2:$O$1001,MATCH(ROWS($N$2:N791),$N$2:$N$1001,0),1)&gt;=100000,INDEX($U$1005:$AC$1005,1,MATCH(COLUMNS($U$1006:U1006),$U$1006:$AC$1006,0))&gt;=100000), " ",IF(INDEX($U$2:$AC$1001,MATCH(ROWS($N$2:N791),$N$2:$N$1001,0),MATCH(COLUMNS($U$1006:U1006),$U$1006:$AC$1006,0)), HYPERLINK("#",""), HYPERLINK(CONCATENATE("#metadata!", ADDRESS(INDEX($P$2:$P$1001,MATCH(ROWS($N$2:N791),$N$2:$N$1001,0),0), INDEX($U$1004:$AC$1004,1,MATCH(COLUMNS($U$1006:U1006),$U$1006:$AC$1006,0)))),"Fix")))</f>
        <v>0</v>
      </c>
      <c r="C791" s="3">
        <f>IF(OR(INDEX($O$2:$O$1001,MATCH(ROWS($N$2:N791),$N$2:$N$1001,0),1)&gt;=100000,INDEX($U$1005:$AC$1005,1,MATCH(COLUMNS($U$1006:V1006),$U$1006:$AC$1006,0))&gt;=100000), " ",IF(INDEX($U$2:$AC$1001,MATCH(ROWS($N$2:N791),$N$2:$N$1001,0),MATCH(COLUMNS($U$1006:V1006),$U$1006:$AC$1006,0)), HYPERLINK("#",""), HYPERLINK(CONCATENATE("#metadata!", ADDRESS(INDEX($P$2:$P$1001,MATCH(ROWS($N$2:N791),$N$2:$N$1001,0),0), INDEX($U$1004:$AC$1004,1,MATCH(COLUMNS($U$1006:V1006),$U$1006:$AC$1006,0)))),"Fix")))</f>
        <v>0</v>
      </c>
      <c r="D791" s="3">
        <f>IF(OR(INDEX($O$2:$O$1001,MATCH(ROWS($N$2:N791),$N$2:$N$1001,0),1)&gt;=100000,INDEX($U$1005:$AC$1005,1,MATCH(COLUMNS($U$1006:W1006),$U$1006:$AC$1006,0))&gt;=100000), " ",IF(INDEX($U$2:$AC$1001,MATCH(ROWS($N$2:N791),$N$2:$N$1001,0),MATCH(COLUMNS($U$1006:W1006),$U$1006:$AC$1006,0)), HYPERLINK("#",""), HYPERLINK(CONCATENATE("#metadata!", ADDRESS(INDEX($P$2:$P$1001,MATCH(ROWS($N$2:N791),$N$2:$N$1001,0),0), INDEX($U$1004:$AC$1004,1,MATCH(COLUMNS($U$1006:W1006),$U$1006:$AC$1006,0)))),"Fix")))</f>
        <v>0</v>
      </c>
      <c r="E791" s="3">
        <f>IF(OR(INDEX($O$2:$O$1001,MATCH(ROWS($N$2:N791),$N$2:$N$1001,0),1)&gt;=100000,INDEX($U$1005:$AC$1005,1,MATCH(COLUMNS($U$1006:X1006),$U$1006:$AC$1006,0))&gt;=100000), " ",IF(INDEX($U$2:$AC$1001,MATCH(ROWS($N$2:N791),$N$2:$N$1001,0),MATCH(COLUMNS($U$1006:X1006),$U$1006:$AC$1006,0)), HYPERLINK("#",""), HYPERLINK(CONCATENATE("#metadata!", ADDRESS(INDEX($P$2:$P$1001,MATCH(ROWS($N$2:N791),$N$2:$N$1001,0),0), INDEX($U$1004:$AC$1004,1,MATCH(COLUMNS($U$1006:X1006),$U$1006:$AC$1006,0)))),"Fix")))</f>
        <v>0</v>
      </c>
      <c r="F791" s="3">
        <f>IF(OR(INDEX($O$2:$O$1001,MATCH(ROWS($N$2:N791),$N$2:$N$1001,0),1)&gt;=100000,INDEX($U$1005:$AC$1005,1,MATCH(COLUMNS($U$1006:Y1006),$U$1006:$AC$1006,0))&gt;=100000), " ",IF(INDEX($U$2:$AC$1001,MATCH(ROWS($N$2:N791),$N$2:$N$1001,0),MATCH(COLUMNS($U$1006:Y1006),$U$1006:$AC$1006,0)), HYPERLINK("#",""), HYPERLINK(CONCATENATE("#metadata!", ADDRESS(INDEX($P$2:$P$1001,MATCH(ROWS($N$2:N791),$N$2:$N$1001,0),0), INDEX($U$1004:$AC$1004,1,MATCH(COLUMNS($U$1006:Y1006),$U$1006:$AC$1006,0)))),"Fix")))</f>
        <v>0</v>
      </c>
      <c r="G791" s="3">
        <f>IF(OR(INDEX($O$2:$O$1001,MATCH(ROWS($N$2:N791),$N$2:$N$1001,0),1)&gt;=100000,INDEX($U$1005:$AC$1005,1,MATCH(COLUMNS($U$1006:Z1006),$U$1006:$AC$1006,0))&gt;=100000), " ",IF(INDEX($U$2:$AC$1001,MATCH(ROWS($N$2:N791),$N$2:$N$1001,0),MATCH(COLUMNS($U$1006:Z1006),$U$1006:$AC$1006,0)), HYPERLINK("#",""), HYPERLINK(CONCATENATE("#metadata!", ADDRESS(INDEX($P$2:$P$1001,MATCH(ROWS($N$2:N791),$N$2:$N$1001,0),0), INDEX($U$1004:$AC$1004,1,MATCH(COLUMNS($U$1006:Z1006),$U$1006:$AC$1006,0)))),"Fix")))</f>
        <v>0</v>
      </c>
      <c r="H791" s="3">
        <f>IF(OR(INDEX($O$2:$O$1001,MATCH(ROWS($N$2:N791),$N$2:$N$1001,0),1)&gt;=100000,INDEX($U$1005:$AC$1005,1,MATCH(COLUMNS($U$1006:AA1006),$U$1006:$AC$1006,0))&gt;=100000), " ",IF(INDEX($U$2:$AC$1001,MATCH(ROWS($N$2:N791),$N$2:$N$1001,0),MATCH(COLUMNS($U$1006:AA1006),$U$1006:$AC$1006,0)), HYPERLINK("#",""), HYPERLINK(CONCATENATE("#metadata!", ADDRESS(INDEX($P$2:$P$1001,MATCH(ROWS($N$2:N791),$N$2:$N$1001,0),0), INDEX($U$1004:$AC$1004,1,MATCH(COLUMNS($U$1006:AA1006),$U$1006:$AC$1006,0)))),"Fix")))</f>
        <v>0</v>
      </c>
      <c r="I791" s="3">
        <f>IF(OR(INDEX($O$2:$O$1001,MATCH(ROWS($N$2:N791),$N$2:$N$1001,0),1)&gt;=100000,INDEX($U$1005:$AC$1005,1,MATCH(COLUMNS($U$1006:AB1006),$U$1006:$AC$1006,0))&gt;=100000), " ",IF(INDEX($U$2:$AC$1001,MATCH(ROWS($N$2:N791),$N$2:$N$1001,0),MATCH(COLUMNS($U$1006:AB1006),$U$1006:$AC$1006,0)), HYPERLINK("#",""), HYPERLINK(CONCATENATE("#metadata!", ADDRESS(INDEX($P$2:$P$1001,MATCH(ROWS($N$2:N791),$N$2:$N$1001,0),0), INDEX($U$1004:$AC$1004,1,MATCH(COLUMNS($U$1006:AB1006),$U$1006:$AC$1006,0)))),"Fix")))</f>
        <v>0</v>
      </c>
      <c r="J791" s="3">
        <f>IF(OR(INDEX($O$2:$O$1001,MATCH(ROWS($N$2:N791),$N$2:$N$1001,0),1)&gt;=100000,INDEX($U$1005:$AC$1005,1,MATCH(COLUMNS($U$1006:AC1006),$U$1006:$AC$1006,0))&gt;=100000), " ",IF(INDEX($U$2:$AC$1001,MATCH(ROWS($N$2:N791),$N$2:$N$1001,0),MATCH(COLUMNS($U$1006:AC1006),$U$1006:$AC$1006,0)), HYPERLINK("#",""), HYPERLINK(CONCATENATE("#metadata!", ADDRESS(INDEX($P$2:$P$1001,MATCH(ROWS($N$2:N791),$N$2:$N$1001,0),0), INDEX($U$1004:$AC$1004,1,MATCH(COLUMNS($U$1006:AC1006),$U$1006:$AC$1006,0)))),"Fix")))</f>
        <v>0</v>
      </c>
      <c r="N791">
        <v>0</v>
      </c>
      <c r="O791">
        <v>0</v>
      </c>
      <c r="P791">
        <v>0</v>
      </c>
      <c r="Q791">
        <f>IF(R791,TRUE,AND(U791:AC791))</f>
        <v>0</v>
      </c>
      <c r="R791">
        <f>COUNTBLANK(metadata!B791:J791)=COLUMNS(metadata!B791:J791)</f>
        <v>0</v>
      </c>
      <c r="S791">
        <v>0</v>
      </c>
      <c r="U791">
        <f>AND(IF(metadata!B791="",FALSE,TRUE),COUNTIF(metadata!B:B, metadata!B791) = 1,NOT(ISERROR(SUMPRODUCT(SEARCH(MID(metadata!B791,ROW(INDIRECT("1:"&amp;LEN(metadata!B791))), 1),"0123456789abcdefghijklmnopqrstuvwxyzABCDEFGHIJKLMNOPQRSTUVWXYZ.")))))</f>
        <v>0</v>
      </c>
      <c r="V791">
        <f>AND(IF(metadata!C791="",FALSE,TRUE),exact(metadata!C791,"UBERON:genitourinary"))</f>
        <v>0</v>
      </c>
      <c r="W791">
        <f>AND(IF(metadata!D791="",FALSE,TRUE),exact(metadata!D791,"UBERON:urine"))</f>
        <v>0</v>
      </c>
      <c r="X791">
        <f>AND(IF(metadata!E791="",FALSE,TRUE),exact(metadata!E791,"UBERON:kidney"))</f>
        <v>0</v>
      </c>
      <c r="Y791">
        <f>AND(IF(metadata!F791="",FALSE,TRUE),exact(metadata!F791,"animal corpus"))</f>
        <v>0</v>
      </c>
      <c r="Z791">
        <f>AND(IF(metadata!G791="",FALSE,TRUE),exact(metadata!G791,"urine"))</f>
        <v>0</v>
      </c>
      <c r="AA791">
        <f>AND(IF(metadata!H791="",FALSE,TRUE),exact(metadata!H791,"urine"))</f>
        <v>0</v>
      </c>
      <c r="AB791">
        <f>AND(IF(metadata!I791="",FALSE,TRUE),exact(metadata!I791,"urine metagenome"))</f>
        <v>0</v>
      </c>
      <c r="AC791">
        <f>AND(IF(metadata!J791="",FALSE,TRUE),exact(metadata!J791,"1346744"))</f>
        <v>0</v>
      </c>
    </row>
    <row r="792" spans="1:29">
      <c r="A792" s="4">
        <f>IF(B792=" "," ",HYPERLINK(CONCATENATE("#metadata!",ADDRESS(INDEX($P$2:$P$1001,MATCH(ROWS($N$2:N792),$N$2:$N$1001,0),0),1)),INDEX($S$2:$S$1001,MATCH(ROWS($N$2:N792),$N$2:$N$1001,0),0)))</f>
        <v>0</v>
      </c>
      <c r="B792" s="3">
        <f>IF(OR(INDEX($O$2:$O$1001,MATCH(ROWS($N$2:N792),$N$2:$N$1001,0),1)&gt;=100000,INDEX($U$1005:$AC$1005,1,MATCH(COLUMNS($U$1006:U1006),$U$1006:$AC$1006,0))&gt;=100000), " ",IF(INDEX($U$2:$AC$1001,MATCH(ROWS($N$2:N792),$N$2:$N$1001,0),MATCH(COLUMNS($U$1006:U1006),$U$1006:$AC$1006,0)), HYPERLINK("#",""), HYPERLINK(CONCATENATE("#metadata!", ADDRESS(INDEX($P$2:$P$1001,MATCH(ROWS($N$2:N792),$N$2:$N$1001,0),0), INDEX($U$1004:$AC$1004,1,MATCH(COLUMNS($U$1006:U1006),$U$1006:$AC$1006,0)))),"Fix")))</f>
        <v>0</v>
      </c>
      <c r="C792" s="3">
        <f>IF(OR(INDEX($O$2:$O$1001,MATCH(ROWS($N$2:N792),$N$2:$N$1001,0),1)&gt;=100000,INDEX($U$1005:$AC$1005,1,MATCH(COLUMNS($U$1006:V1006),$U$1006:$AC$1006,0))&gt;=100000), " ",IF(INDEX($U$2:$AC$1001,MATCH(ROWS($N$2:N792),$N$2:$N$1001,0),MATCH(COLUMNS($U$1006:V1006),$U$1006:$AC$1006,0)), HYPERLINK("#",""), HYPERLINK(CONCATENATE("#metadata!", ADDRESS(INDEX($P$2:$P$1001,MATCH(ROWS($N$2:N792),$N$2:$N$1001,0),0), INDEX($U$1004:$AC$1004,1,MATCH(COLUMNS($U$1006:V1006),$U$1006:$AC$1006,0)))),"Fix")))</f>
        <v>0</v>
      </c>
      <c r="D792" s="3">
        <f>IF(OR(INDEX($O$2:$O$1001,MATCH(ROWS($N$2:N792),$N$2:$N$1001,0),1)&gt;=100000,INDEX($U$1005:$AC$1005,1,MATCH(COLUMNS($U$1006:W1006),$U$1006:$AC$1006,0))&gt;=100000), " ",IF(INDEX($U$2:$AC$1001,MATCH(ROWS($N$2:N792),$N$2:$N$1001,0),MATCH(COLUMNS($U$1006:W1006),$U$1006:$AC$1006,0)), HYPERLINK("#",""), HYPERLINK(CONCATENATE("#metadata!", ADDRESS(INDEX($P$2:$P$1001,MATCH(ROWS($N$2:N792),$N$2:$N$1001,0),0), INDEX($U$1004:$AC$1004,1,MATCH(COLUMNS($U$1006:W1006),$U$1006:$AC$1006,0)))),"Fix")))</f>
        <v>0</v>
      </c>
      <c r="E792" s="3">
        <f>IF(OR(INDEX($O$2:$O$1001,MATCH(ROWS($N$2:N792),$N$2:$N$1001,0),1)&gt;=100000,INDEX($U$1005:$AC$1005,1,MATCH(COLUMNS($U$1006:X1006),$U$1006:$AC$1006,0))&gt;=100000), " ",IF(INDEX($U$2:$AC$1001,MATCH(ROWS($N$2:N792),$N$2:$N$1001,0),MATCH(COLUMNS($U$1006:X1006),$U$1006:$AC$1006,0)), HYPERLINK("#",""), HYPERLINK(CONCATENATE("#metadata!", ADDRESS(INDEX($P$2:$P$1001,MATCH(ROWS($N$2:N792),$N$2:$N$1001,0),0), INDEX($U$1004:$AC$1004,1,MATCH(COLUMNS($U$1006:X1006),$U$1006:$AC$1006,0)))),"Fix")))</f>
        <v>0</v>
      </c>
      <c r="F792" s="3">
        <f>IF(OR(INDEX($O$2:$O$1001,MATCH(ROWS($N$2:N792),$N$2:$N$1001,0),1)&gt;=100000,INDEX($U$1005:$AC$1005,1,MATCH(COLUMNS($U$1006:Y1006),$U$1006:$AC$1006,0))&gt;=100000), " ",IF(INDEX($U$2:$AC$1001,MATCH(ROWS($N$2:N792),$N$2:$N$1001,0),MATCH(COLUMNS($U$1006:Y1006),$U$1006:$AC$1006,0)), HYPERLINK("#",""), HYPERLINK(CONCATENATE("#metadata!", ADDRESS(INDEX($P$2:$P$1001,MATCH(ROWS($N$2:N792),$N$2:$N$1001,0),0), INDEX($U$1004:$AC$1004,1,MATCH(COLUMNS($U$1006:Y1006),$U$1006:$AC$1006,0)))),"Fix")))</f>
        <v>0</v>
      </c>
      <c r="G792" s="3">
        <f>IF(OR(INDEX($O$2:$O$1001,MATCH(ROWS($N$2:N792),$N$2:$N$1001,0),1)&gt;=100000,INDEX($U$1005:$AC$1005,1,MATCH(COLUMNS($U$1006:Z1006),$U$1006:$AC$1006,0))&gt;=100000), " ",IF(INDEX($U$2:$AC$1001,MATCH(ROWS($N$2:N792),$N$2:$N$1001,0),MATCH(COLUMNS($U$1006:Z1006),$U$1006:$AC$1006,0)), HYPERLINK("#",""), HYPERLINK(CONCATENATE("#metadata!", ADDRESS(INDEX($P$2:$P$1001,MATCH(ROWS($N$2:N792),$N$2:$N$1001,0),0), INDEX($U$1004:$AC$1004,1,MATCH(COLUMNS($U$1006:Z1006),$U$1006:$AC$1006,0)))),"Fix")))</f>
        <v>0</v>
      </c>
      <c r="H792" s="3">
        <f>IF(OR(INDEX($O$2:$O$1001,MATCH(ROWS($N$2:N792),$N$2:$N$1001,0),1)&gt;=100000,INDEX($U$1005:$AC$1005,1,MATCH(COLUMNS($U$1006:AA1006),$U$1006:$AC$1006,0))&gt;=100000), " ",IF(INDEX($U$2:$AC$1001,MATCH(ROWS($N$2:N792),$N$2:$N$1001,0),MATCH(COLUMNS($U$1006:AA1006),$U$1006:$AC$1006,0)), HYPERLINK("#",""), HYPERLINK(CONCATENATE("#metadata!", ADDRESS(INDEX($P$2:$P$1001,MATCH(ROWS($N$2:N792),$N$2:$N$1001,0),0), INDEX($U$1004:$AC$1004,1,MATCH(COLUMNS($U$1006:AA1006),$U$1006:$AC$1006,0)))),"Fix")))</f>
        <v>0</v>
      </c>
      <c r="I792" s="3">
        <f>IF(OR(INDEX($O$2:$O$1001,MATCH(ROWS($N$2:N792),$N$2:$N$1001,0),1)&gt;=100000,INDEX($U$1005:$AC$1005,1,MATCH(COLUMNS($U$1006:AB1006),$U$1006:$AC$1006,0))&gt;=100000), " ",IF(INDEX($U$2:$AC$1001,MATCH(ROWS($N$2:N792),$N$2:$N$1001,0),MATCH(COLUMNS($U$1006:AB1006),$U$1006:$AC$1006,0)), HYPERLINK("#",""), HYPERLINK(CONCATENATE("#metadata!", ADDRESS(INDEX($P$2:$P$1001,MATCH(ROWS($N$2:N792),$N$2:$N$1001,0),0), INDEX($U$1004:$AC$1004,1,MATCH(COLUMNS($U$1006:AB1006),$U$1006:$AC$1006,0)))),"Fix")))</f>
        <v>0</v>
      </c>
      <c r="J792" s="3">
        <f>IF(OR(INDEX($O$2:$O$1001,MATCH(ROWS($N$2:N792),$N$2:$N$1001,0),1)&gt;=100000,INDEX($U$1005:$AC$1005,1,MATCH(COLUMNS($U$1006:AC1006),$U$1006:$AC$1006,0))&gt;=100000), " ",IF(INDEX($U$2:$AC$1001,MATCH(ROWS($N$2:N792),$N$2:$N$1001,0),MATCH(COLUMNS($U$1006:AC1006),$U$1006:$AC$1006,0)), HYPERLINK("#",""), HYPERLINK(CONCATENATE("#metadata!", ADDRESS(INDEX($P$2:$P$1001,MATCH(ROWS($N$2:N792),$N$2:$N$1001,0),0), INDEX($U$1004:$AC$1004,1,MATCH(COLUMNS($U$1006:AC1006),$U$1006:$AC$1006,0)))),"Fix")))</f>
        <v>0</v>
      </c>
      <c r="N792">
        <v>0</v>
      </c>
      <c r="O792">
        <v>0</v>
      </c>
      <c r="P792">
        <v>0</v>
      </c>
      <c r="Q792">
        <f>IF(R792,TRUE,AND(U792:AC792))</f>
        <v>0</v>
      </c>
      <c r="R792">
        <f>COUNTBLANK(metadata!B792:J792)=COLUMNS(metadata!B792:J792)</f>
        <v>0</v>
      </c>
      <c r="S792">
        <v>0</v>
      </c>
      <c r="U792">
        <f>AND(IF(metadata!B792="",FALSE,TRUE),COUNTIF(metadata!B:B, metadata!B792) = 1,NOT(ISERROR(SUMPRODUCT(SEARCH(MID(metadata!B792,ROW(INDIRECT("1:"&amp;LEN(metadata!B792))), 1),"0123456789abcdefghijklmnopqrstuvwxyzABCDEFGHIJKLMNOPQRSTUVWXYZ.")))))</f>
        <v>0</v>
      </c>
      <c r="V792">
        <f>AND(IF(metadata!C792="",FALSE,TRUE),exact(metadata!C792,"UBERON:genitourinary"))</f>
        <v>0</v>
      </c>
      <c r="W792">
        <f>AND(IF(metadata!D792="",FALSE,TRUE),exact(metadata!D792,"UBERON:urine"))</f>
        <v>0</v>
      </c>
      <c r="X792">
        <f>AND(IF(metadata!E792="",FALSE,TRUE),exact(metadata!E792,"UBERON:kidney"))</f>
        <v>0</v>
      </c>
      <c r="Y792">
        <f>AND(IF(metadata!F792="",FALSE,TRUE),exact(metadata!F792,"animal corpus"))</f>
        <v>0</v>
      </c>
      <c r="Z792">
        <f>AND(IF(metadata!G792="",FALSE,TRUE),exact(metadata!G792,"urine"))</f>
        <v>0</v>
      </c>
      <c r="AA792">
        <f>AND(IF(metadata!H792="",FALSE,TRUE),exact(metadata!H792,"urine"))</f>
        <v>0</v>
      </c>
      <c r="AB792">
        <f>AND(IF(metadata!I792="",FALSE,TRUE),exact(metadata!I792,"urine metagenome"))</f>
        <v>0</v>
      </c>
      <c r="AC792">
        <f>AND(IF(metadata!J792="",FALSE,TRUE),exact(metadata!J792,"1346744"))</f>
        <v>0</v>
      </c>
    </row>
    <row r="793" spans="1:29">
      <c r="A793" s="4">
        <f>IF(B793=" "," ",HYPERLINK(CONCATENATE("#metadata!",ADDRESS(INDEX($P$2:$P$1001,MATCH(ROWS($N$2:N793),$N$2:$N$1001,0),0),1)),INDEX($S$2:$S$1001,MATCH(ROWS($N$2:N793),$N$2:$N$1001,0),0)))</f>
        <v>0</v>
      </c>
      <c r="B793" s="3">
        <f>IF(OR(INDEX($O$2:$O$1001,MATCH(ROWS($N$2:N793),$N$2:$N$1001,0),1)&gt;=100000,INDEX($U$1005:$AC$1005,1,MATCH(COLUMNS($U$1006:U1006),$U$1006:$AC$1006,0))&gt;=100000), " ",IF(INDEX($U$2:$AC$1001,MATCH(ROWS($N$2:N793),$N$2:$N$1001,0),MATCH(COLUMNS($U$1006:U1006),$U$1006:$AC$1006,0)), HYPERLINK("#",""), HYPERLINK(CONCATENATE("#metadata!", ADDRESS(INDEX($P$2:$P$1001,MATCH(ROWS($N$2:N793),$N$2:$N$1001,0),0), INDEX($U$1004:$AC$1004,1,MATCH(COLUMNS($U$1006:U1006),$U$1006:$AC$1006,0)))),"Fix")))</f>
        <v>0</v>
      </c>
      <c r="C793" s="3">
        <f>IF(OR(INDEX($O$2:$O$1001,MATCH(ROWS($N$2:N793),$N$2:$N$1001,0),1)&gt;=100000,INDEX($U$1005:$AC$1005,1,MATCH(COLUMNS($U$1006:V1006),$U$1006:$AC$1006,0))&gt;=100000), " ",IF(INDEX($U$2:$AC$1001,MATCH(ROWS($N$2:N793),$N$2:$N$1001,0),MATCH(COLUMNS($U$1006:V1006),$U$1006:$AC$1006,0)), HYPERLINK("#",""), HYPERLINK(CONCATENATE("#metadata!", ADDRESS(INDEX($P$2:$P$1001,MATCH(ROWS($N$2:N793),$N$2:$N$1001,0),0), INDEX($U$1004:$AC$1004,1,MATCH(COLUMNS($U$1006:V1006),$U$1006:$AC$1006,0)))),"Fix")))</f>
        <v>0</v>
      </c>
      <c r="D793" s="3">
        <f>IF(OR(INDEX($O$2:$O$1001,MATCH(ROWS($N$2:N793),$N$2:$N$1001,0),1)&gt;=100000,INDEX($U$1005:$AC$1005,1,MATCH(COLUMNS($U$1006:W1006),$U$1006:$AC$1006,0))&gt;=100000), " ",IF(INDEX($U$2:$AC$1001,MATCH(ROWS($N$2:N793),$N$2:$N$1001,0),MATCH(COLUMNS($U$1006:W1006),$U$1006:$AC$1006,0)), HYPERLINK("#",""), HYPERLINK(CONCATENATE("#metadata!", ADDRESS(INDEX($P$2:$P$1001,MATCH(ROWS($N$2:N793),$N$2:$N$1001,0),0), INDEX($U$1004:$AC$1004,1,MATCH(COLUMNS($U$1006:W1006),$U$1006:$AC$1006,0)))),"Fix")))</f>
        <v>0</v>
      </c>
      <c r="E793" s="3">
        <f>IF(OR(INDEX($O$2:$O$1001,MATCH(ROWS($N$2:N793),$N$2:$N$1001,0),1)&gt;=100000,INDEX($U$1005:$AC$1005,1,MATCH(COLUMNS($U$1006:X1006),$U$1006:$AC$1006,0))&gt;=100000), " ",IF(INDEX($U$2:$AC$1001,MATCH(ROWS($N$2:N793),$N$2:$N$1001,0),MATCH(COLUMNS($U$1006:X1006),$U$1006:$AC$1006,0)), HYPERLINK("#",""), HYPERLINK(CONCATENATE("#metadata!", ADDRESS(INDEX($P$2:$P$1001,MATCH(ROWS($N$2:N793),$N$2:$N$1001,0),0), INDEX($U$1004:$AC$1004,1,MATCH(COLUMNS($U$1006:X1006),$U$1006:$AC$1006,0)))),"Fix")))</f>
        <v>0</v>
      </c>
      <c r="F793" s="3">
        <f>IF(OR(INDEX($O$2:$O$1001,MATCH(ROWS($N$2:N793),$N$2:$N$1001,0),1)&gt;=100000,INDEX($U$1005:$AC$1005,1,MATCH(COLUMNS($U$1006:Y1006),$U$1006:$AC$1006,0))&gt;=100000), " ",IF(INDEX($U$2:$AC$1001,MATCH(ROWS($N$2:N793),$N$2:$N$1001,0),MATCH(COLUMNS($U$1006:Y1006),$U$1006:$AC$1006,0)), HYPERLINK("#",""), HYPERLINK(CONCATENATE("#metadata!", ADDRESS(INDEX($P$2:$P$1001,MATCH(ROWS($N$2:N793),$N$2:$N$1001,0),0), INDEX($U$1004:$AC$1004,1,MATCH(COLUMNS($U$1006:Y1006),$U$1006:$AC$1006,0)))),"Fix")))</f>
        <v>0</v>
      </c>
      <c r="G793" s="3">
        <f>IF(OR(INDEX($O$2:$O$1001,MATCH(ROWS($N$2:N793),$N$2:$N$1001,0),1)&gt;=100000,INDEX($U$1005:$AC$1005,1,MATCH(COLUMNS($U$1006:Z1006),$U$1006:$AC$1006,0))&gt;=100000), " ",IF(INDEX($U$2:$AC$1001,MATCH(ROWS($N$2:N793),$N$2:$N$1001,0),MATCH(COLUMNS($U$1006:Z1006),$U$1006:$AC$1006,0)), HYPERLINK("#",""), HYPERLINK(CONCATENATE("#metadata!", ADDRESS(INDEX($P$2:$P$1001,MATCH(ROWS($N$2:N793),$N$2:$N$1001,0),0), INDEX($U$1004:$AC$1004,1,MATCH(COLUMNS($U$1006:Z1006),$U$1006:$AC$1006,0)))),"Fix")))</f>
        <v>0</v>
      </c>
      <c r="H793" s="3">
        <f>IF(OR(INDEX($O$2:$O$1001,MATCH(ROWS($N$2:N793),$N$2:$N$1001,0),1)&gt;=100000,INDEX($U$1005:$AC$1005,1,MATCH(COLUMNS($U$1006:AA1006),$U$1006:$AC$1006,0))&gt;=100000), " ",IF(INDEX($U$2:$AC$1001,MATCH(ROWS($N$2:N793),$N$2:$N$1001,0),MATCH(COLUMNS($U$1006:AA1006),$U$1006:$AC$1006,0)), HYPERLINK("#",""), HYPERLINK(CONCATENATE("#metadata!", ADDRESS(INDEX($P$2:$P$1001,MATCH(ROWS($N$2:N793),$N$2:$N$1001,0),0), INDEX($U$1004:$AC$1004,1,MATCH(COLUMNS($U$1006:AA1006),$U$1006:$AC$1006,0)))),"Fix")))</f>
        <v>0</v>
      </c>
      <c r="I793" s="3">
        <f>IF(OR(INDEX($O$2:$O$1001,MATCH(ROWS($N$2:N793),$N$2:$N$1001,0),1)&gt;=100000,INDEX($U$1005:$AC$1005,1,MATCH(COLUMNS($U$1006:AB1006),$U$1006:$AC$1006,0))&gt;=100000), " ",IF(INDEX($U$2:$AC$1001,MATCH(ROWS($N$2:N793),$N$2:$N$1001,0),MATCH(COLUMNS($U$1006:AB1006),$U$1006:$AC$1006,0)), HYPERLINK("#",""), HYPERLINK(CONCATENATE("#metadata!", ADDRESS(INDEX($P$2:$P$1001,MATCH(ROWS($N$2:N793),$N$2:$N$1001,0),0), INDEX($U$1004:$AC$1004,1,MATCH(COLUMNS($U$1006:AB1006),$U$1006:$AC$1006,0)))),"Fix")))</f>
        <v>0</v>
      </c>
      <c r="J793" s="3">
        <f>IF(OR(INDEX($O$2:$O$1001,MATCH(ROWS($N$2:N793),$N$2:$N$1001,0),1)&gt;=100000,INDEX($U$1005:$AC$1005,1,MATCH(COLUMNS($U$1006:AC1006),$U$1006:$AC$1006,0))&gt;=100000), " ",IF(INDEX($U$2:$AC$1001,MATCH(ROWS($N$2:N793),$N$2:$N$1001,0),MATCH(COLUMNS($U$1006:AC1006),$U$1006:$AC$1006,0)), HYPERLINK("#",""), HYPERLINK(CONCATENATE("#metadata!", ADDRESS(INDEX($P$2:$P$1001,MATCH(ROWS($N$2:N793),$N$2:$N$1001,0),0), INDEX($U$1004:$AC$1004,1,MATCH(COLUMNS($U$1006:AC1006),$U$1006:$AC$1006,0)))),"Fix")))</f>
        <v>0</v>
      </c>
      <c r="N793">
        <v>0</v>
      </c>
      <c r="O793">
        <v>0</v>
      </c>
      <c r="P793">
        <v>0</v>
      </c>
      <c r="Q793">
        <f>IF(R793,TRUE,AND(U793:AC793))</f>
        <v>0</v>
      </c>
      <c r="R793">
        <f>COUNTBLANK(metadata!B793:J793)=COLUMNS(metadata!B793:J793)</f>
        <v>0</v>
      </c>
      <c r="S793">
        <v>0</v>
      </c>
      <c r="U793">
        <f>AND(IF(metadata!B793="",FALSE,TRUE),COUNTIF(metadata!B:B, metadata!B793) = 1,NOT(ISERROR(SUMPRODUCT(SEARCH(MID(metadata!B793,ROW(INDIRECT("1:"&amp;LEN(metadata!B793))), 1),"0123456789abcdefghijklmnopqrstuvwxyzABCDEFGHIJKLMNOPQRSTUVWXYZ.")))))</f>
        <v>0</v>
      </c>
      <c r="V793">
        <f>AND(IF(metadata!C793="",FALSE,TRUE),exact(metadata!C793,"UBERON:genitourinary"))</f>
        <v>0</v>
      </c>
      <c r="W793">
        <f>AND(IF(metadata!D793="",FALSE,TRUE),exact(metadata!D793,"UBERON:urine"))</f>
        <v>0</v>
      </c>
      <c r="X793">
        <f>AND(IF(metadata!E793="",FALSE,TRUE),exact(metadata!E793,"UBERON:kidney"))</f>
        <v>0</v>
      </c>
      <c r="Y793">
        <f>AND(IF(metadata!F793="",FALSE,TRUE),exact(metadata!F793,"animal corpus"))</f>
        <v>0</v>
      </c>
      <c r="Z793">
        <f>AND(IF(metadata!G793="",FALSE,TRUE),exact(metadata!G793,"urine"))</f>
        <v>0</v>
      </c>
      <c r="AA793">
        <f>AND(IF(metadata!H793="",FALSE,TRUE),exact(metadata!H793,"urine"))</f>
        <v>0</v>
      </c>
      <c r="AB793">
        <f>AND(IF(metadata!I793="",FALSE,TRUE),exact(metadata!I793,"urine metagenome"))</f>
        <v>0</v>
      </c>
      <c r="AC793">
        <f>AND(IF(metadata!J793="",FALSE,TRUE),exact(metadata!J793,"1346744"))</f>
        <v>0</v>
      </c>
    </row>
    <row r="794" spans="1:29">
      <c r="A794" s="4">
        <f>IF(B794=" "," ",HYPERLINK(CONCATENATE("#metadata!",ADDRESS(INDEX($P$2:$P$1001,MATCH(ROWS($N$2:N794),$N$2:$N$1001,0),0),1)),INDEX($S$2:$S$1001,MATCH(ROWS($N$2:N794),$N$2:$N$1001,0),0)))</f>
        <v>0</v>
      </c>
      <c r="B794" s="3">
        <f>IF(OR(INDEX($O$2:$O$1001,MATCH(ROWS($N$2:N794),$N$2:$N$1001,0),1)&gt;=100000,INDEX($U$1005:$AC$1005,1,MATCH(COLUMNS($U$1006:U1006),$U$1006:$AC$1006,0))&gt;=100000), " ",IF(INDEX($U$2:$AC$1001,MATCH(ROWS($N$2:N794),$N$2:$N$1001,0),MATCH(COLUMNS($U$1006:U1006),$U$1006:$AC$1006,0)), HYPERLINK("#",""), HYPERLINK(CONCATENATE("#metadata!", ADDRESS(INDEX($P$2:$P$1001,MATCH(ROWS($N$2:N794),$N$2:$N$1001,0),0), INDEX($U$1004:$AC$1004,1,MATCH(COLUMNS($U$1006:U1006),$U$1006:$AC$1006,0)))),"Fix")))</f>
        <v>0</v>
      </c>
      <c r="C794" s="3">
        <f>IF(OR(INDEX($O$2:$O$1001,MATCH(ROWS($N$2:N794),$N$2:$N$1001,0),1)&gt;=100000,INDEX($U$1005:$AC$1005,1,MATCH(COLUMNS($U$1006:V1006),$U$1006:$AC$1006,0))&gt;=100000), " ",IF(INDEX($U$2:$AC$1001,MATCH(ROWS($N$2:N794),$N$2:$N$1001,0),MATCH(COLUMNS($U$1006:V1006),$U$1006:$AC$1006,0)), HYPERLINK("#",""), HYPERLINK(CONCATENATE("#metadata!", ADDRESS(INDEX($P$2:$P$1001,MATCH(ROWS($N$2:N794),$N$2:$N$1001,0),0), INDEX($U$1004:$AC$1004,1,MATCH(COLUMNS($U$1006:V1006),$U$1006:$AC$1006,0)))),"Fix")))</f>
        <v>0</v>
      </c>
      <c r="D794" s="3">
        <f>IF(OR(INDEX($O$2:$O$1001,MATCH(ROWS($N$2:N794),$N$2:$N$1001,0),1)&gt;=100000,INDEX($U$1005:$AC$1005,1,MATCH(COLUMNS($U$1006:W1006),$U$1006:$AC$1006,0))&gt;=100000), " ",IF(INDEX($U$2:$AC$1001,MATCH(ROWS($N$2:N794),$N$2:$N$1001,0),MATCH(COLUMNS($U$1006:W1006),$U$1006:$AC$1006,0)), HYPERLINK("#",""), HYPERLINK(CONCATENATE("#metadata!", ADDRESS(INDEX($P$2:$P$1001,MATCH(ROWS($N$2:N794),$N$2:$N$1001,0),0), INDEX($U$1004:$AC$1004,1,MATCH(COLUMNS($U$1006:W1006),$U$1006:$AC$1006,0)))),"Fix")))</f>
        <v>0</v>
      </c>
      <c r="E794" s="3">
        <f>IF(OR(INDEX($O$2:$O$1001,MATCH(ROWS($N$2:N794),$N$2:$N$1001,0),1)&gt;=100000,INDEX($U$1005:$AC$1005,1,MATCH(COLUMNS($U$1006:X1006),$U$1006:$AC$1006,0))&gt;=100000), " ",IF(INDEX($U$2:$AC$1001,MATCH(ROWS($N$2:N794),$N$2:$N$1001,0),MATCH(COLUMNS($U$1006:X1006),$U$1006:$AC$1006,0)), HYPERLINK("#",""), HYPERLINK(CONCATENATE("#metadata!", ADDRESS(INDEX($P$2:$P$1001,MATCH(ROWS($N$2:N794),$N$2:$N$1001,0),0), INDEX($U$1004:$AC$1004,1,MATCH(COLUMNS($U$1006:X1006),$U$1006:$AC$1006,0)))),"Fix")))</f>
        <v>0</v>
      </c>
      <c r="F794" s="3">
        <f>IF(OR(INDEX($O$2:$O$1001,MATCH(ROWS($N$2:N794),$N$2:$N$1001,0),1)&gt;=100000,INDEX($U$1005:$AC$1005,1,MATCH(COLUMNS($U$1006:Y1006),$U$1006:$AC$1006,0))&gt;=100000), " ",IF(INDEX($U$2:$AC$1001,MATCH(ROWS($N$2:N794),$N$2:$N$1001,0),MATCH(COLUMNS($U$1006:Y1006),$U$1006:$AC$1006,0)), HYPERLINK("#",""), HYPERLINK(CONCATENATE("#metadata!", ADDRESS(INDEX($P$2:$P$1001,MATCH(ROWS($N$2:N794),$N$2:$N$1001,0),0), INDEX($U$1004:$AC$1004,1,MATCH(COLUMNS($U$1006:Y1006),$U$1006:$AC$1006,0)))),"Fix")))</f>
        <v>0</v>
      </c>
      <c r="G794" s="3">
        <f>IF(OR(INDEX($O$2:$O$1001,MATCH(ROWS($N$2:N794),$N$2:$N$1001,0),1)&gt;=100000,INDEX($U$1005:$AC$1005,1,MATCH(COLUMNS($U$1006:Z1006),$U$1006:$AC$1006,0))&gt;=100000), " ",IF(INDEX($U$2:$AC$1001,MATCH(ROWS($N$2:N794),$N$2:$N$1001,0),MATCH(COLUMNS($U$1006:Z1006),$U$1006:$AC$1006,0)), HYPERLINK("#",""), HYPERLINK(CONCATENATE("#metadata!", ADDRESS(INDEX($P$2:$P$1001,MATCH(ROWS($N$2:N794),$N$2:$N$1001,0),0), INDEX($U$1004:$AC$1004,1,MATCH(COLUMNS($U$1006:Z1006),$U$1006:$AC$1006,0)))),"Fix")))</f>
        <v>0</v>
      </c>
      <c r="H794" s="3">
        <f>IF(OR(INDEX($O$2:$O$1001,MATCH(ROWS($N$2:N794),$N$2:$N$1001,0),1)&gt;=100000,INDEX($U$1005:$AC$1005,1,MATCH(COLUMNS($U$1006:AA1006),$U$1006:$AC$1006,0))&gt;=100000), " ",IF(INDEX($U$2:$AC$1001,MATCH(ROWS($N$2:N794),$N$2:$N$1001,0),MATCH(COLUMNS($U$1006:AA1006),$U$1006:$AC$1006,0)), HYPERLINK("#",""), HYPERLINK(CONCATENATE("#metadata!", ADDRESS(INDEX($P$2:$P$1001,MATCH(ROWS($N$2:N794),$N$2:$N$1001,0),0), INDEX($U$1004:$AC$1004,1,MATCH(COLUMNS($U$1006:AA1006),$U$1006:$AC$1006,0)))),"Fix")))</f>
        <v>0</v>
      </c>
      <c r="I794" s="3">
        <f>IF(OR(INDEX($O$2:$O$1001,MATCH(ROWS($N$2:N794),$N$2:$N$1001,0),1)&gt;=100000,INDEX($U$1005:$AC$1005,1,MATCH(COLUMNS($U$1006:AB1006),$U$1006:$AC$1006,0))&gt;=100000), " ",IF(INDEX($U$2:$AC$1001,MATCH(ROWS($N$2:N794),$N$2:$N$1001,0),MATCH(COLUMNS($U$1006:AB1006),$U$1006:$AC$1006,0)), HYPERLINK("#",""), HYPERLINK(CONCATENATE("#metadata!", ADDRESS(INDEX($P$2:$P$1001,MATCH(ROWS($N$2:N794),$N$2:$N$1001,0),0), INDEX($U$1004:$AC$1004,1,MATCH(COLUMNS($U$1006:AB1006),$U$1006:$AC$1006,0)))),"Fix")))</f>
        <v>0</v>
      </c>
      <c r="J794" s="3">
        <f>IF(OR(INDEX($O$2:$O$1001,MATCH(ROWS($N$2:N794),$N$2:$N$1001,0),1)&gt;=100000,INDEX($U$1005:$AC$1005,1,MATCH(COLUMNS($U$1006:AC1006),$U$1006:$AC$1006,0))&gt;=100000), " ",IF(INDEX($U$2:$AC$1001,MATCH(ROWS($N$2:N794),$N$2:$N$1001,0),MATCH(COLUMNS($U$1006:AC1006),$U$1006:$AC$1006,0)), HYPERLINK("#",""), HYPERLINK(CONCATENATE("#metadata!", ADDRESS(INDEX($P$2:$P$1001,MATCH(ROWS($N$2:N794),$N$2:$N$1001,0),0), INDEX($U$1004:$AC$1004,1,MATCH(COLUMNS($U$1006:AC1006),$U$1006:$AC$1006,0)))),"Fix")))</f>
        <v>0</v>
      </c>
      <c r="N794">
        <v>0</v>
      </c>
      <c r="O794">
        <v>0</v>
      </c>
      <c r="P794">
        <v>0</v>
      </c>
      <c r="Q794">
        <f>IF(R794,TRUE,AND(U794:AC794))</f>
        <v>0</v>
      </c>
      <c r="R794">
        <f>COUNTBLANK(metadata!B794:J794)=COLUMNS(metadata!B794:J794)</f>
        <v>0</v>
      </c>
      <c r="S794">
        <v>0</v>
      </c>
      <c r="U794">
        <f>AND(IF(metadata!B794="",FALSE,TRUE),COUNTIF(metadata!B:B, metadata!B794) = 1,NOT(ISERROR(SUMPRODUCT(SEARCH(MID(metadata!B794,ROW(INDIRECT("1:"&amp;LEN(metadata!B794))), 1),"0123456789abcdefghijklmnopqrstuvwxyzABCDEFGHIJKLMNOPQRSTUVWXYZ.")))))</f>
        <v>0</v>
      </c>
      <c r="V794">
        <f>AND(IF(metadata!C794="",FALSE,TRUE),exact(metadata!C794,"UBERON:genitourinary"))</f>
        <v>0</v>
      </c>
      <c r="W794">
        <f>AND(IF(metadata!D794="",FALSE,TRUE),exact(metadata!D794,"UBERON:urine"))</f>
        <v>0</v>
      </c>
      <c r="X794">
        <f>AND(IF(metadata!E794="",FALSE,TRUE),exact(metadata!E794,"UBERON:kidney"))</f>
        <v>0</v>
      </c>
      <c r="Y794">
        <f>AND(IF(metadata!F794="",FALSE,TRUE),exact(metadata!F794,"animal corpus"))</f>
        <v>0</v>
      </c>
      <c r="Z794">
        <f>AND(IF(metadata!G794="",FALSE,TRUE),exact(metadata!G794,"urine"))</f>
        <v>0</v>
      </c>
      <c r="AA794">
        <f>AND(IF(metadata!H794="",FALSE,TRUE),exact(metadata!H794,"urine"))</f>
        <v>0</v>
      </c>
      <c r="AB794">
        <f>AND(IF(metadata!I794="",FALSE,TRUE),exact(metadata!I794,"urine metagenome"))</f>
        <v>0</v>
      </c>
      <c r="AC794">
        <f>AND(IF(metadata!J794="",FALSE,TRUE),exact(metadata!J794,"1346744"))</f>
        <v>0</v>
      </c>
    </row>
    <row r="795" spans="1:29">
      <c r="A795" s="4">
        <f>IF(B795=" "," ",HYPERLINK(CONCATENATE("#metadata!",ADDRESS(INDEX($P$2:$P$1001,MATCH(ROWS($N$2:N795),$N$2:$N$1001,0),0),1)),INDEX($S$2:$S$1001,MATCH(ROWS($N$2:N795),$N$2:$N$1001,0),0)))</f>
        <v>0</v>
      </c>
      <c r="B795" s="3">
        <f>IF(OR(INDEX($O$2:$O$1001,MATCH(ROWS($N$2:N795),$N$2:$N$1001,0),1)&gt;=100000,INDEX($U$1005:$AC$1005,1,MATCH(COLUMNS($U$1006:U1006),$U$1006:$AC$1006,0))&gt;=100000), " ",IF(INDEX($U$2:$AC$1001,MATCH(ROWS($N$2:N795),$N$2:$N$1001,0),MATCH(COLUMNS($U$1006:U1006),$U$1006:$AC$1006,0)), HYPERLINK("#",""), HYPERLINK(CONCATENATE("#metadata!", ADDRESS(INDEX($P$2:$P$1001,MATCH(ROWS($N$2:N795),$N$2:$N$1001,0),0), INDEX($U$1004:$AC$1004,1,MATCH(COLUMNS($U$1006:U1006),$U$1006:$AC$1006,0)))),"Fix")))</f>
        <v>0</v>
      </c>
      <c r="C795" s="3">
        <f>IF(OR(INDEX($O$2:$O$1001,MATCH(ROWS($N$2:N795),$N$2:$N$1001,0),1)&gt;=100000,INDEX($U$1005:$AC$1005,1,MATCH(COLUMNS($U$1006:V1006),$U$1006:$AC$1006,0))&gt;=100000), " ",IF(INDEX($U$2:$AC$1001,MATCH(ROWS($N$2:N795),$N$2:$N$1001,0),MATCH(COLUMNS($U$1006:V1006),$U$1006:$AC$1006,0)), HYPERLINK("#",""), HYPERLINK(CONCATENATE("#metadata!", ADDRESS(INDEX($P$2:$P$1001,MATCH(ROWS($N$2:N795),$N$2:$N$1001,0),0), INDEX($U$1004:$AC$1004,1,MATCH(COLUMNS($U$1006:V1006),$U$1006:$AC$1006,0)))),"Fix")))</f>
        <v>0</v>
      </c>
      <c r="D795" s="3">
        <f>IF(OR(INDEX($O$2:$O$1001,MATCH(ROWS($N$2:N795),$N$2:$N$1001,0),1)&gt;=100000,INDEX($U$1005:$AC$1005,1,MATCH(COLUMNS($U$1006:W1006),$U$1006:$AC$1006,0))&gt;=100000), " ",IF(INDEX($U$2:$AC$1001,MATCH(ROWS($N$2:N795),$N$2:$N$1001,0),MATCH(COLUMNS($U$1006:W1006),$U$1006:$AC$1006,0)), HYPERLINK("#",""), HYPERLINK(CONCATENATE("#metadata!", ADDRESS(INDEX($P$2:$P$1001,MATCH(ROWS($N$2:N795),$N$2:$N$1001,0),0), INDEX($U$1004:$AC$1004,1,MATCH(COLUMNS($U$1006:W1006),$U$1006:$AC$1006,0)))),"Fix")))</f>
        <v>0</v>
      </c>
      <c r="E795" s="3">
        <f>IF(OR(INDEX($O$2:$O$1001,MATCH(ROWS($N$2:N795),$N$2:$N$1001,0),1)&gt;=100000,INDEX($U$1005:$AC$1005,1,MATCH(COLUMNS($U$1006:X1006),$U$1006:$AC$1006,0))&gt;=100000), " ",IF(INDEX($U$2:$AC$1001,MATCH(ROWS($N$2:N795),$N$2:$N$1001,0),MATCH(COLUMNS($U$1006:X1006),$U$1006:$AC$1006,0)), HYPERLINK("#",""), HYPERLINK(CONCATENATE("#metadata!", ADDRESS(INDEX($P$2:$P$1001,MATCH(ROWS($N$2:N795),$N$2:$N$1001,0),0), INDEX($U$1004:$AC$1004,1,MATCH(COLUMNS($U$1006:X1006),$U$1006:$AC$1006,0)))),"Fix")))</f>
        <v>0</v>
      </c>
      <c r="F795" s="3">
        <f>IF(OR(INDEX($O$2:$O$1001,MATCH(ROWS($N$2:N795),$N$2:$N$1001,0),1)&gt;=100000,INDEX($U$1005:$AC$1005,1,MATCH(COLUMNS($U$1006:Y1006),$U$1006:$AC$1006,0))&gt;=100000), " ",IF(INDEX($U$2:$AC$1001,MATCH(ROWS($N$2:N795),$N$2:$N$1001,0),MATCH(COLUMNS($U$1006:Y1006),$U$1006:$AC$1006,0)), HYPERLINK("#",""), HYPERLINK(CONCATENATE("#metadata!", ADDRESS(INDEX($P$2:$P$1001,MATCH(ROWS($N$2:N795),$N$2:$N$1001,0),0), INDEX($U$1004:$AC$1004,1,MATCH(COLUMNS($U$1006:Y1006),$U$1006:$AC$1006,0)))),"Fix")))</f>
        <v>0</v>
      </c>
      <c r="G795" s="3">
        <f>IF(OR(INDEX($O$2:$O$1001,MATCH(ROWS($N$2:N795),$N$2:$N$1001,0),1)&gt;=100000,INDEX($U$1005:$AC$1005,1,MATCH(COLUMNS($U$1006:Z1006),$U$1006:$AC$1006,0))&gt;=100000), " ",IF(INDEX($U$2:$AC$1001,MATCH(ROWS($N$2:N795),$N$2:$N$1001,0),MATCH(COLUMNS($U$1006:Z1006),$U$1006:$AC$1006,0)), HYPERLINK("#",""), HYPERLINK(CONCATENATE("#metadata!", ADDRESS(INDEX($P$2:$P$1001,MATCH(ROWS($N$2:N795),$N$2:$N$1001,0),0), INDEX($U$1004:$AC$1004,1,MATCH(COLUMNS($U$1006:Z1006),$U$1006:$AC$1006,0)))),"Fix")))</f>
        <v>0</v>
      </c>
      <c r="H795" s="3">
        <f>IF(OR(INDEX($O$2:$O$1001,MATCH(ROWS($N$2:N795),$N$2:$N$1001,0),1)&gt;=100000,INDEX($U$1005:$AC$1005,1,MATCH(COLUMNS($U$1006:AA1006),$U$1006:$AC$1006,0))&gt;=100000), " ",IF(INDEX($U$2:$AC$1001,MATCH(ROWS($N$2:N795),$N$2:$N$1001,0),MATCH(COLUMNS($U$1006:AA1006),$U$1006:$AC$1006,0)), HYPERLINK("#",""), HYPERLINK(CONCATENATE("#metadata!", ADDRESS(INDEX($P$2:$P$1001,MATCH(ROWS($N$2:N795),$N$2:$N$1001,0),0), INDEX($U$1004:$AC$1004,1,MATCH(COLUMNS($U$1006:AA1006),$U$1006:$AC$1006,0)))),"Fix")))</f>
        <v>0</v>
      </c>
      <c r="I795" s="3">
        <f>IF(OR(INDEX($O$2:$O$1001,MATCH(ROWS($N$2:N795),$N$2:$N$1001,0),1)&gt;=100000,INDEX($U$1005:$AC$1005,1,MATCH(COLUMNS($U$1006:AB1006),$U$1006:$AC$1006,0))&gt;=100000), " ",IF(INDEX($U$2:$AC$1001,MATCH(ROWS($N$2:N795),$N$2:$N$1001,0),MATCH(COLUMNS($U$1006:AB1006),$U$1006:$AC$1006,0)), HYPERLINK("#",""), HYPERLINK(CONCATENATE("#metadata!", ADDRESS(INDEX($P$2:$P$1001,MATCH(ROWS($N$2:N795),$N$2:$N$1001,0),0), INDEX($U$1004:$AC$1004,1,MATCH(COLUMNS($U$1006:AB1006),$U$1006:$AC$1006,0)))),"Fix")))</f>
        <v>0</v>
      </c>
      <c r="J795" s="3">
        <f>IF(OR(INDEX($O$2:$O$1001,MATCH(ROWS($N$2:N795),$N$2:$N$1001,0),1)&gt;=100000,INDEX($U$1005:$AC$1005,1,MATCH(COLUMNS($U$1006:AC1006),$U$1006:$AC$1006,0))&gt;=100000), " ",IF(INDEX($U$2:$AC$1001,MATCH(ROWS($N$2:N795),$N$2:$N$1001,0),MATCH(COLUMNS($U$1006:AC1006),$U$1006:$AC$1006,0)), HYPERLINK("#",""), HYPERLINK(CONCATENATE("#metadata!", ADDRESS(INDEX($P$2:$P$1001,MATCH(ROWS($N$2:N795),$N$2:$N$1001,0),0), INDEX($U$1004:$AC$1004,1,MATCH(COLUMNS($U$1006:AC1006),$U$1006:$AC$1006,0)))),"Fix")))</f>
        <v>0</v>
      </c>
      <c r="N795">
        <v>0</v>
      </c>
      <c r="O795">
        <v>0</v>
      </c>
      <c r="P795">
        <v>0</v>
      </c>
      <c r="Q795">
        <f>IF(R795,TRUE,AND(U795:AC795))</f>
        <v>0</v>
      </c>
      <c r="R795">
        <f>COUNTBLANK(metadata!B795:J795)=COLUMNS(metadata!B795:J795)</f>
        <v>0</v>
      </c>
      <c r="S795">
        <v>0</v>
      </c>
      <c r="U795">
        <f>AND(IF(metadata!B795="",FALSE,TRUE),COUNTIF(metadata!B:B, metadata!B795) = 1,NOT(ISERROR(SUMPRODUCT(SEARCH(MID(metadata!B795,ROW(INDIRECT("1:"&amp;LEN(metadata!B795))), 1),"0123456789abcdefghijklmnopqrstuvwxyzABCDEFGHIJKLMNOPQRSTUVWXYZ.")))))</f>
        <v>0</v>
      </c>
      <c r="V795">
        <f>AND(IF(metadata!C795="",FALSE,TRUE),exact(metadata!C795,"UBERON:genitourinary"))</f>
        <v>0</v>
      </c>
      <c r="W795">
        <f>AND(IF(metadata!D795="",FALSE,TRUE),exact(metadata!D795,"UBERON:urine"))</f>
        <v>0</v>
      </c>
      <c r="X795">
        <f>AND(IF(metadata!E795="",FALSE,TRUE),exact(metadata!E795,"UBERON:kidney"))</f>
        <v>0</v>
      </c>
      <c r="Y795">
        <f>AND(IF(metadata!F795="",FALSE,TRUE),exact(metadata!F795,"animal corpus"))</f>
        <v>0</v>
      </c>
      <c r="Z795">
        <f>AND(IF(metadata!G795="",FALSE,TRUE),exact(metadata!G795,"urine"))</f>
        <v>0</v>
      </c>
      <c r="AA795">
        <f>AND(IF(metadata!H795="",FALSE,TRUE),exact(metadata!H795,"urine"))</f>
        <v>0</v>
      </c>
      <c r="AB795">
        <f>AND(IF(metadata!I795="",FALSE,TRUE),exact(metadata!I795,"urine metagenome"))</f>
        <v>0</v>
      </c>
      <c r="AC795">
        <f>AND(IF(metadata!J795="",FALSE,TRUE),exact(metadata!J795,"1346744"))</f>
        <v>0</v>
      </c>
    </row>
    <row r="796" spans="1:29">
      <c r="A796" s="4">
        <f>IF(B796=" "," ",HYPERLINK(CONCATENATE("#metadata!",ADDRESS(INDEX($P$2:$P$1001,MATCH(ROWS($N$2:N796),$N$2:$N$1001,0),0),1)),INDEX($S$2:$S$1001,MATCH(ROWS($N$2:N796),$N$2:$N$1001,0),0)))</f>
        <v>0</v>
      </c>
      <c r="B796" s="3">
        <f>IF(OR(INDEX($O$2:$O$1001,MATCH(ROWS($N$2:N796),$N$2:$N$1001,0),1)&gt;=100000,INDEX($U$1005:$AC$1005,1,MATCH(COLUMNS($U$1006:U1006),$U$1006:$AC$1006,0))&gt;=100000), " ",IF(INDEX($U$2:$AC$1001,MATCH(ROWS($N$2:N796),$N$2:$N$1001,0),MATCH(COLUMNS($U$1006:U1006),$U$1006:$AC$1006,0)), HYPERLINK("#",""), HYPERLINK(CONCATENATE("#metadata!", ADDRESS(INDEX($P$2:$P$1001,MATCH(ROWS($N$2:N796),$N$2:$N$1001,0),0), INDEX($U$1004:$AC$1004,1,MATCH(COLUMNS($U$1006:U1006),$U$1006:$AC$1006,0)))),"Fix")))</f>
        <v>0</v>
      </c>
      <c r="C796" s="3">
        <f>IF(OR(INDEX($O$2:$O$1001,MATCH(ROWS($N$2:N796),$N$2:$N$1001,0),1)&gt;=100000,INDEX($U$1005:$AC$1005,1,MATCH(COLUMNS($U$1006:V1006),$U$1006:$AC$1006,0))&gt;=100000), " ",IF(INDEX($U$2:$AC$1001,MATCH(ROWS($N$2:N796),$N$2:$N$1001,0),MATCH(COLUMNS($U$1006:V1006),$U$1006:$AC$1006,0)), HYPERLINK("#",""), HYPERLINK(CONCATENATE("#metadata!", ADDRESS(INDEX($P$2:$P$1001,MATCH(ROWS($N$2:N796),$N$2:$N$1001,0),0), INDEX($U$1004:$AC$1004,1,MATCH(COLUMNS($U$1006:V1006),$U$1006:$AC$1006,0)))),"Fix")))</f>
        <v>0</v>
      </c>
      <c r="D796" s="3">
        <f>IF(OR(INDEX($O$2:$O$1001,MATCH(ROWS($N$2:N796),$N$2:$N$1001,0),1)&gt;=100000,INDEX($U$1005:$AC$1005,1,MATCH(COLUMNS($U$1006:W1006),$U$1006:$AC$1006,0))&gt;=100000), " ",IF(INDEX($U$2:$AC$1001,MATCH(ROWS($N$2:N796),$N$2:$N$1001,0),MATCH(COLUMNS($U$1006:W1006),$U$1006:$AC$1006,0)), HYPERLINK("#",""), HYPERLINK(CONCATENATE("#metadata!", ADDRESS(INDEX($P$2:$P$1001,MATCH(ROWS($N$2:N796),$N$2:$N$1001,0),0), INDEX($U$1004:$AC$1004,1,MATCH(COLUMNS($U$1006:W1006),$U$1006:$AC$1006,0)))),"Fix")))</f>
        <v>0</v>
      </c>
      <c r="E796" s="3">
        <f>IF(OR(INDEX($O$2:$O$1001,MATCH(ROWS($N$2:N796),$N$2:$N$1001,0),1)&gt;=100000,INDEX($U$1005:$AC$1005,1,MATCH(COLUMNS($U$1006:X1006),$U$1006:$AC$1006,0))&gt;=100000), " ",IF(INDEX($U$2:$AC$1001,MATCH(ROWS($N$2:N796),$N$2:$N$1001,0),MATCH(COLUMNS($U$1006:X1006),$U$1006:$AC$1006,0)), HYPERLINK("#",""), HYPERLINK(CONCATENATE("#metadata!", ADDRESS(INDEX($P$2:$P$1001,MATCH(ROWS($N$2:N796),$N$2:$N$1001,0),0), INDEX($U$1004:$AC$1004,1,MATCH(COLUMNS($U$1006:X1006),$U$1006:$AC$1006,0)))),"Fix")))</f>
        <v>0</v>
      </c>
      <c r="F796" s="3">
        <f>IF(OR(INDEX($O$2:$O$1001,MATCH(ROWS($N$2:N796),$N$2:$N$1001,0),1)&gt;=100000,INDEX($U$1005:$AC$1005,1,MATCH(COLUMNS($U$1006:Y1006),$U$1006:$AC$1006,0))&gt;=100000), " ",IF(INDEX($U$2:$AC$1001,MATCH(ROWS($N$2:N796),$N$2:$N$1001,0),MATCH(COLUMNS($U$1006:Y1006),$U$1006:$AC$1006,0)), HYPERLINK("#",""), HYPERLINK(CONCATENATE("#metadata!", ADDRESS(INDEX($P$2:$P$1001,MATCH(ROWS($N$2:N796),$N$2:$N$1001,0),0), INDEX($U$1004:$AC$1004,1,MATCH(COLUMNS($U$1006:Y1006),$U$1006:$AC$1006,0)))),"Fix")))</f>
        <v>0</v>
      </c>
      <c r="G796" s="3">
        <f>IF(OR(INDEX($O$2:$O$1001,MATCH(ROWS($N$2:N796),$N$2:$N$1001,0),1)&gt;=100000,INDEX($U$1005:$AC$1005,1,MATCH(COLUMNS($U$1006:Z1006),$U$1006:$AC$1006,0))&gt;=100000), " ",IF(INDEX($U$2:$AC$1001,MATCH(ROWS($N$2:N796),$N$2:$N$1001,0),MATCH(COLUMNS($U$1006:Z1006),$U$1006:$AC$1006,0)), HYPERLINK("#",""), HYPERLINK(CONCATENATE("#metadata!", ADDRESS(INDEX($P$2:$P$1001,MATCH(ROWS($N$2:N796),$N$2:$N$1001,0),0), INDEX($U$1004:$AC$1004,1,MATCH(COLUMNS($U$1006:Z1006),$U$1006:$AC$1006,0)))),"Fix")))</f>
        <v>0</v>
      </c>
      <c r="H796" s="3">
        <f>IF(OR(INDEX($O$2:$O$1001,MATCH(ROWS($N$2:N796),$N$2:$N$1001,0),1)&gt;=100000,INDEX($U$1005:$AC$1005,1,MATCH(COLUMNS($U$1006:AA1006),$U$1006:$AC$1006,0))&gt;=100000), " ",IF(INDEX($U$2:$AC$1001,MATCH(ROWS($N$2:N796),$N$2:$N$1001,0),MATCH(COLUMNS($U$1006:AA1006),$U$1006:$AC$1006,0)), HYPERLINK("#",""), HYPERLINK(CONCATENATE("#metadata!", ADDRESS(INDEX($P$2:$P$1001,MATCH(ROWS($N$2:N796),$N$2:$N$1001,0),0), INDEX($U$1004:$AC$1004,1,MATCH(COLUMNS($U$1006:AA1006),$U$1006:$AC$1006,0)))),"Fix")))</f>
        <v>0</v>
      </c>
      <c r="I796" s="3">
        <f>IF(OR(INDEX($O$2:$O$1001,MATCH(ROWS($N$2:N796),$N$2:$N$1001,0),1)&gt;=100000,INDEX($U$1005:$AC$1005,1,MATCH(COLUMNS($U$1006:AB1006),$U$1006:$AC$1006,0))&gt;=100000), " ",IF(INDEX($U$2:$AC$1001,MATCH(ROWS($N$2:N796),$N$2:$N$1001,0),MATCH(COLUMNS($U$1006:AB1006),$U$1006:$AC$1006,0)), HYPERLINK("#",""), HYPERLINK(CONCATENATE("#metadata!", ADDRESS(INDEX($P$2:$P$1001,MATCH(ROWS($N$2:N796),$N$2:$N$1001,0),0), INDEX($U$1004:$AC$1004,1,MATCH(COLUMNS($U$1006:AB1006),$U$1006:$AC$1006,0)))),"Fix")))</f>
        <v>0</v>
      </c>
      <c r="J796" s="3">
        <f>IF(OR(INDEX($O$2:$O$1001,MATCH(ROWS($N$2:N796),$N$2:$N$1001,0),1)&gt;=100000,INDEX($U$1005:$AC$1005,1,MATCH(COLUMNS($U$1006:AC1006),$U$1006:$AC$1006,0))&gt;=100000), " ",IF(INDEX($U$2:$AC$1001,MATCH(ROWS($N$2:N796),$N$2:$N$1001,0),MATCH(COLUMNS($U$1006:AC1006),$U$1006:$AC$1006,0)), HYPERLINK("#",""), HYPERLINK(CONCATENATE("#metadata!", ADDRESS(INDEX($P$2:$P$1001,MATCH(ROWS($N$2:N796),$N$2:$N$1001,0),0), INDEX($U$1004:$AC$1004,1,MATCH(COLUMNS($U$1006:AC1006),$U$1006:$AC$1006,0)))),"Fix")))</f>
        <v>0</v>
      </c>
      <c r="N796">
        <v>0</v>
      </c>
      <c r="O796">
        <v>0</v>
      </c>
      <c r="P796">
        <v>0</v>
      </c>
      <c r="Q796">
        <f>IF(R796,TRUE,AND(U796:AC796))</f>
        <v>0</v>
      </c>
      <c r="R796">
        <f>COUNTBLANK(metadata!B796:J796)=COLUMNS(metadata!B796:J796)</f>
        <v>0</v>
      </c>
      <c r="S796">
        <v>0</v>
      </c>
      <c r="U796">
        <f>AND(IF(metadata!B796="",FALSE,TRUE),COUNTIF(metadata!B:B, metadata!B796) = 1,NOT(ISERROR(SUMPRODUCT(SEARCH(MID(metadata!B796,ROW(INDIRECT("1:"&amp;LEN(metadata!B796))), 1),"0123456789abcdefghijklmnopqrstuvwxyzABCDEFGHIJKLMNOPQRSTUVWXYZ.")))))</f>
        <v>0</v>
      </c>
      <c r="V796">
        <f>AND(IF(metadata!C796="",FALSE,TRUE),exact(metadata!C796,"UBERON:genitourinary"))</f>
        <v>0</v>
      </c>
      <c r="W796">
        <f>AND(IF(metadata!D796="",FALSE,TRUE),exact(metadata!D796,"UBERON:urine"))</f>
        <v>0</v>
      </c>
      <c r="X796">
        <f>AND(IF(metadata!E796="",FALSE,TRUE),exact(metadata!E796,"UBERON:kidney"))</f>
        <v>0</v>
      </c>
      <c r="Y796">
        <f>AND(IF(metadata!F796="",FALSE,TRUE),exact(metadata!F796,"animal corpus"))</f>
        <v>0</v>
      </c>
      <c r="Z796">
        <f>AND(IF(metadata!G796="",FALSE,TRUE),exact(metadata!G796,"urine"))</f>
        <v>0</v>
      </c>
      <c r="AA796">
        <f>AND(IF(metadata!H796="",FALSE,TRUE),exact(metadata!H796,"urine"))</f>
        <v>0</v>
      </c>
      <c r="AB796">
        <f>AND(IF(metadata!I796="",FALSE,TRUE),exact(metadata!I796,"urine metagenome"))</f>
        <v>0</v>
      </c>
      <c r="AC796">
        <f>AND(IF(metadata!J796="",FALSE,TRUE),exact(metadata!J796,"1346744"))</f>
        <v>0</v>
      </c>
    </row>
    <row r="797" spans="1:29">
      <c r="A797" s="4">
        <f>IF(B797=" "," ",HYPERLINK(CONCATENATE("#metadata!",ADDRESS(INDEX($P$2:$P$1001,MATCH(ROWS($N$2:N797),$N$2:$N$1001,0),0),1)),INDEX($S$2:$S$1001,MATCH(ROWS($N$2:N797),$N$2:$N$1001,0),0)))</f>
        <v>0</v>
      </c>
      <c r="B797" s="3">
        <f>IF(OR(INDEX($O$2:$O$1001,MATCH(ROWS($N$2:N797),$N$2:$N$1001,0),1)&gt;=100000,INDEX($U$1005:$AC$1005,1,MATCH(COLUMNS($U$1006:U1006),$U$1006:$AC$1006,0))&gt;=100000), " ",IF(INDEX($U$2:$AC$1001,MATCH(ROWS($N$2:N797),$N$2:$N$1001,0),MATCH(COLUMNS($U$1006:U1006),$U$1006:$AC$1006,0)), HYPERLINK("#",""), HYPERLINK(CONCATENATE("#metadata!", ADDRESS(INDEX($P$2:$P$1001,MATCH(ROWS($N$2:N797),$N$2:$N$1001,0),0), INDEX($U$1004:$AC$1004,1,MATCH(COLUMNS($U$1006:U1006),$U$1006:$AC$1006,0)))),"Fix")))</f>
        <v>0</v>
      </c>
      <c r="C797" s="3">
        <f>IF(OR(INDEX($O$2:$O$1001,MATCH(ROWS($N$2:N797),$N$2:$N$1001,0),1)&gt;=100000,INDEX($U$1005:$AC$1005,1,MATCH(COLUMNS($U$1006:V1006),$U$1006:$AC$1006,0))&gt;=100000), " ",IF(INDEX($U$2:$AC$1001,MATCH(ROWS($N$2:N797),$N$2:$N$1001,0),MATCH(COLUMNS($U$1006:V1006),$U$1006:$AC$1006,0)), HYPERLINK("#",""), HYPERLINK(CONCATENATE("#metadata!", ADDRESS(INDEX($P$2:$P$1001,MATCH(ROWS($N$2:N797),$N$2:$N$1001,0),0), INDEX($U$1004:$AC$1004,1,MATCH(COLUMNS($U$1006:V1006),$U$1006:$AC$1006,0)))),"Fix")))</f>
        <v>0</v>
      </c>
      <c r="D797" s="3">
        <f>IF(OR(INDEX($O$2:$O$1001,MATCH(ROWS($N$2:N797),$N$2:$N$1001,0),1)&gt;=100000,INDEX($U$1005:$AC$1005,1,MATCH(COLUMNS($U$1006:W1006),$U$1006:$AC$1006,0))&gt;=100000), " ",IF(INDEX($U$2:$AC$1001,MATCH(ROWS($N$2:N797),$N$2:$N$1001,0),MATCH(COLUMNS($U$1006:W1006),$U$1006:$AC$1006,0)), HYPERLINK("#",""), HYPERLINK(CONCATENATE("#metadata!", ADDRESS(INDEX($P$2:$P$1001,MATCH(ROWS($N$2:N797),$N$2:$N$1001,0),0), INDEX($U$1004:$AC$1004,1,MATCH(COLUMNS($U$1006:W1006),$U$1006:$AC$1006,0)))),"Fix")))</f>
        <v>0</v>
      </c>
      <c r="E797" s="3">
        <f>IF(OR(INDEX($O$2:$O$1001,MATCH(ROWS($N$2:N797),$N$2:$N$1001,0),1)&gt;=100000,INDEX($U$1005:$AC$1005,1,MATCH(COLUMNS($U$1006:X1006),$U$1006:$AC$1006,0))&gt;=100000), " ",IF(INDEX($U$2:$AC$1001,MATCH(ROWS($N$2:N797),$N$2:$N$1001,0),MATCH(COLUMNS($U$1006:X1006),$U$1006:$AC$1006,0)), HYPERLINK("#",""), HYPERLINK(CONCATENATE("#metadata!", ADDRESS(INDEX($P$2:$P$1001,MATCH(ROWS($N$2:N797),$N$2:$N$1001,0),0), INDEX($U$1004:$AC$1004,1,MATCH(COLUMNS($U$1006:X1006),$U$1006:$AC$1006,0)))),"Fix")))</f>
        <v>0</v>
      </c>
      <c r="F797" s="3">
        <f>IF(OR(INDEX($O$2:$O$1001,MATCH(ROWS($N$2:N797),$N$2:$N$1001,0),1)&gt;=100000,INDEX($U$1005:$AC$1005,1,MATCH(COLUMNS($U$1006:Y1006),$U$1006:$AC$1006,0))&gt;=100000), " ",IF(INDEX($U$2:$AC$1001,MATCH(ROWS($N$2:N797),$N$2:$N$1001,0),MATCH(COLUMNS($U$1006:Y1006),$U$1006:$AC$1006,0)), HYPERLINK("#",""), HYPERLINK(CONCATENATE("#metadata!", ADDRESS(INDEX($P$2:$P$1001,MATCH(ROWS($N$2:N797),$N$2:$N$1001,0),0), INDEX($U$1004:$AC$1004,1,MATCH(COLUMNS($U$1006:Y1006),$U$1006:$AC$1006,0)))),"Fix")))</f>
        <v>0</v>
      </c>
      <c r="G797" s="3">
        <f>IF(OR(INDEX($O$2:$O$1001,MATCH(ROWS($N$2:N797),$N$2:$N$1001,0),1)&gt;=100000,INDEX($U$1005:$AC$1005,1,MATCH(COLUMNS($U$1006:Z1006),$U$1006:$AC$1006,0))&gt;=100000), " ",IF(INDEX($U$2:$AC$1001,MATCH(ROWS($N$2:N797),$N$2:$N$1001,0),MATCH(COLUMNS($U$1006:Z1006),$U$1006:$AC$1006,0)), HYPERLINK("#",""), HYPERLINK(CONCATENATE("#metadata!", ADDRESS(INDEX($P$2:$P$1001,MATCH(ROWS($N$2:N797),$N$2:$N$1001,0),0), INDEX($U$1004:$AC$1004,1,MATCH(COLUMNS($U$1006:Z1006),$U$1006:$AC$1006,0)))),"Fix")))</f>
        <v>0</v>
      </c>
      <c r="H797" s="3">
        <f>IF(OR(INDEX($O$2:$O$1001,MATCH(ROWS($N$2:N797),$N$2:$N$1001,0),1)&gt;=100000,INDEX($U$1005:$AC$1005,1,MATCH(COLUMNS($U$1006:AA1006),$U$1006:$AC$1006,0))&gt;=100000), " ",IF(INDEX($U$2:$AC$1001,MATCH(ROWS($N$2:N797),$N$2:$N$1001,0),MATCH(COLUMNS($U$1006:AA1006),$U$1006:$AC$1006,0)), HYPERLINK("#",""), HYPERLINK(CONCATENATE("#metadata!", ADDRESS(INDEX($P$2:$P$1001,MATCH(ROWS($N$2:N797),$N$2:$N$1001,0),0), INDEX($U$1004:$AC$1004,1,MATCH(COLUMNS($U$1006:AA1006),$U$1006:$AC$1006,0)))),"Fix")))</f>
        <v>0</v>
      </c>
      <c r="I797" s="3">
        <f>IF(OR(INDEX($O$2:$O$1001,MATCH(ROWS($N$2:N797),$N$2:$N$1001,0),1)&gt;=100000,INDEX($U$1005:$AC$1005,1,MATCH(COLUMNS($U$1006:AB1006),$U$1006:$AC$1006,0))&gt;=100000), " ",IF(INDEX($U$2:$AC$1001,MATCH(ROWS($N$2:N797),$N$2:$N$1001,0),MATCH(COLUMNS($U$1006:AB1006),$U$1006:$AC$1006,0)), HYPERLINK("#",""), HYPERLINK(CONCATENATE("#metadata!", ADDRESS(INDEX($P$2:$P$1001,MATCH(ROWS($N$2:N797),$N$2:$N$1001,0),0), INDEX($U$1004:$AC$1004,1,MATCH(COLUMNS($U$1006:AB1006),$U$1006:$AC$1006,0)))),"Fix")))</f>
        <v>0</v>
      </c>
      <c r="J797" s="3">
        <f>IF(OR(INDEX($O$2:$O$1001,MATCH(ROWS($N$2:N797),$N$2:$N$1001,0),1)&gt;=100000,INDEX($U$1005:$AC$1005,1,MATCH(COLUMNS($U$1006:AC1006),$U$1006:$AC$1006,0))&gt;=100000), " ",IF(INDEX($U$2:$AC$1001,MATCH(ROWS($N$2:N797),$N$2:$N$1001,0),MATCH(COLUMNS($U$1006:AC1006),$U$1006:$AC$1006,0)), HYPERLINK("#",""), HYPERLINK(CONCATENATE("#metadata!", ADDRESS(INDEX($P$2:$P$1001,MATCH(ROWS($N$2:N797),$N$2:$N$1001,0),0), INDEX($U$1004:$AC$1004,1,MATCH(COLUMNS($U$1006:AC1006),$U$1006:$AC$1006,0)))),"Fix")))</f>
        <v>0</v>
      </c>
      <c r="N797">
        <v>0</v>
      </c>
      <c r="O797">
        <v>0</v>
      </c>
      <c r="P797">
        <v>0</v>
      </c>
      <c r="Q797">
        <f>IF(R797,TRUE,AND(U797:AC797))</f>
        <v>0</v>
      </c>
      <c r="R797">
        <f>COUNTBLANK(metadata!B797:J797)=COLUMNS(metadata!B797:J797)</f>
        <v>0</v>
      </c>
      <c r="S797">
        <v>0</v>
      </c>
      <c r="U797">
        <f>AND(IF(metadata!B797="",FALSE,TRUE),COUNTIF(metadata!B:B, metadata!B797) = 1,NOT(ISERROR(SUMPRODUCT(SEARCH(MID(metadata!B797,ROW(INDIRECT("1:"&amp;LEN(metadata!B797))), 1),"0123456789abcdefghijklmnopqrstuvwxyzABCDEFGHIJKLMNOPQRSTUVWXYZ.")))))</f>
        <v>0</v>
      </c>
      <c r="V797">
        <f>AND(IF(metadata!C797="",FALSE,TRUE),exact(metadata!C797,"UBERON:genitourinary"))</f>
        <v>0</v>
      </c>
      <c r="W797">
        <f>AND(IF(metadata!D797="",FALSE,TRUE),exact(metadata!D797,"UBERON:urine"))</f>
        <v>0</v>
      </c>
      <c r="X797">
        <f>AND(IF(metadata!E797="",FALSE,TRUE),exact(metadata!E797,"UBERON:kidney"))</f>
        <v>0</v>
      </c>
      <c r="Y797">
        <f>AND(IF(metadata!F797="",FALSE,TRUE),exact(metadata!F797,"animal corpus"))</f>
        <v>0</v>
      </c>
      <c r="Z797">
        <f>AND(IF(metadata!G797="",FALSE,TRUE),exact(metadata!G797,"urine"))</f>
        <v>0</v>
      </c>
      <c r="AA797">
        <f>AND(IF(metadata!H797="",FALSE,TRUE),exact(metadata!H797,"urine"))</f>
        <v>0</v>
      </c>
      <c r="AB797">
        <f>AND(IF(metadata!I797="",FALSE,TRUE),exact(metadata!I797,"urine metagenome"))</f>
        <v>0</v>
      </c>
      <c r="AC797">
        <f>AND(IF(metadata!J797="",FALSE,TRUE),exact(metadata!J797,"1346744"))</f>
        <v>0</v>
      </c>
    </row>
    <row r="798" spans="1:29">
      <c r="A798" s="4">
        <f>IF(B798=" "," ",HYPERLINK(CONCATENATE("#metadata!",ADDRESS(INDEX($P$2:$P$1001,MATCH(ROWS($N$2:N798),$N$2:$N$1001,0),0),1)),INDEX($S$2:$S$1001,MATCH(ROWS($N$2:N798),$N$2:$N$1001,0),0)))</f>
        <v>0</v>
      </c>
      <c r="B798" s="3">
        <f>IF(OR(INDEX($O$2:$O$1001,MATCH(ROWS($N$2:N798),$N$2:$N$1001,0),1)&gt;=100000,INDEX($U$1005:$AC$1005,1,MATCH(COLUMNS($U$1006:U1006),$U$1006:$AC$1006,0))&gt;=100000), " ",IF(INDEX($U$2:$AC$1001,MATCH(ROWS($N$2:N798),$N$2:$N$1001,0),MATCH(COLUMNS($U$1006:U1006),$U$1006:$AC$1006,0)), HYPERLINK("#",""), HYPERLINK(CONCATENATE("#metadata!", ADDRESS(INDEX($P$2:$P$1001,MATCH(ROWS($N$2:N798),$N$2:$N$1001,0),0), INDEX($U$1004:$AC$1004,1,MATCH(COLUMNS($U$1006:U1006),$U$1006:$AC$1006,0)))),"Fix")))</f>
        <v>0</v>
      </c>
      <c r="C798" s="3">
        <f>IF(OR(INDEX($O$2:$O$1001,MATCH(ROWS($N$2:N798),$N$2:$N$1001,0),1)&gt;=100000,INDEX($U$1005:$AC$1005,1,MATCH(COLUMNS($U$1006:V1006),$U$1006:$AC$1006,0))&gt;=100000), " ",IF(INDEX($U$2:$AC$1001,MATCH(ROWS($N$2:N798),$N$2:$N$1001,0),MATCH(COLUMNS($U$1006:V1006),$U$1006:$AC$1006,0)), HYPERLINK("#",""), HYPERLINK(CONCATENATE("#metadata!", ADDRESS(INDEX($P$2:$P$1001,MATCH(ROWS($N$2:N798),$N$2:$N$1001,0),0), INDEX($U$1004:$AC$1004,1,MATCH(COLUMNS($U$1006:V1006),$U$1006:$AC$1006,0)))),"Fix")))</f>
        <v>0</v>
      </c>
      <c r="D798" s="3">
        <f>IF(OR(INDEX($O$2:$O$1001,MATCH(ROWS($N$2:N798),$N$2:$N$1001,0),1)&gt;=100000,INDEX($U$1005:$AC$1005,1,MATCH(COLUMNS($U$1006:W1006),$U$1006:$AC$1006,0))&gt;=100000), " ",IF(INDEX($U$2:$AC$1001,MATCH(ROWS($N$2:N798),$N$2:$N$1001,0),MATCH(COLUMNS($U$1006:W1006),$U$1006:$AC$1006,0)), HYPERLINK("#",""), HYPERLINK(CONCATENATE("#metadata!", ADDRESS(INDEX($P$2:$P$1001,MATCH(ROWS($N$2:N798),$N$2:$N$1001,0),0), INDEX($U$1004:$AC$1004,1,MATCH(COLUMNS($U$1006:W1006),$U$1006:$AC$1006,0)))),"Fix")))</f>
        <v>0</v>
      </c>
      <c r="E798" s="3">
        <f>IF(OR(INDEX($O$2:$O$1001,MATCH(ROWS($N$2:N798),$N$2:$N$1001,0),1)&gt;=100000,INDEX($U$1005:$AC$1005,1,MATCH(COLUMNS($U$1006:X1006),$U$1006:$AC$1006,0))&gt;=100000), " ",IF(INDEX($U$2:$AC$1001,MATCH(ROWS($N$2:N798),$N$2:$N$1001,0),MATCH(COLUMNS($U$1006:X1006),$U$1006:$AC$1006,0)), HYPERLINK("#",""), HYPERLINK(CONCATENATE("#metadata!", ADDRESS(INDEX($P$2:$P$1001,MATCH(ROWS($N$2:N798),$N$2:$N$1001,0),0), INDEX($U$1004:$AC$1004,1,MATCH(COLUMNS($U$1006:X1006),$U$1006:$AC$1006,0)))),"Fix")))</f>
        <v>0</v>
      </c>
      <c r="F798" s="3">
        <f>IF(OR(INDEX($O$2:$O$1001,MATCH(ROWS($N$2:N798),$N$2:$N$1001,0),1)&gt;=100000,INDEX($U$1005:$AC$1005,1,MATCH(COLUMNS($U$1006:Y1006),$U$1006:$AC$1006,0))&gt;=100000), " ",IF(INDEX($U$2:$AC$1001,MATCH(ROWS($N$2:N798),$N$2:$N$1001,0),MATCH(COLUMNS($U$1006:Y1006),$U$1006:$AC$1006,0)), HYPERLINK("#",""), HYPERLINK(CONCATENATE("#metadata!", ADDRESS(INDEX($P$2:$P$1001,MATCH(ROWS($N$2:N798),$N$2:$N$1001,0),0), INDEX($U$1004:$AC$1004,1,MATCH(COLUMNS($U$1006:Y1006),$U$1006:$AC$1006,0)))),"Fix")))</f>
        <v>0</v>
      </c>
      <c r="G798" s="3">
        <f>IF(OR(INDEX($O$2:$O$1001,MATCH(ROWS($N$2:N798),$N$2:$N$1001,0),1)&gt;=100000,INDEX($U$1005:$AC$1005,1,MATCH(COLUMNS($U$1006:Z1006),$U$1006:$AC$1006,0))&gt;=100000), " ",IF(INDEX($U$2:$AC$1001,MATCH(ROWS($N$2:N798),$N$2:$N$1001,0),MATCH(COLUMNS($U$1006:Z1006),$U$1006:$AC$1006,0)), HYPERLINK("#",""), HYPERLINK(CONCATENATE("#metadata!", ADDRESS(INDEX($P$2:$P$1001,MATCH(ROWS($N$2:N798),$N$2:$N$1001,0),0), INDEX($U$1004:$AC$1004,1,MATCH(COLUMNS($U$1006:Z1006),$U$1006:$AC$1006,0)))),"Fix")))</f>
        <v>0</v>
      </c>
      <c r="H798" s="3">
        <f>IF(OR(INDEX($O$2:$O$1001,MATCH(ROWS($N$2:N798),$N$2:$N$1001,0),1)&gt;=100000,INDEX($U$1005:$AC$1005,1,MATCH(COLUMNS($U$1006:AA1006),$U$1006:$AC$1006,0))&gt;=100000), " ",IF(INDEX($U$2:$AC$1001,MATCH(ROWS($N$2:N798),$N$2:$N$1001,0),MATCH(COLUMNS($U$1006:AA1006),$U$1006:$AC$1006,0)), HYPERLINK("#",""), HYPERLINK(CONCATENATE("#metadata!", ADDRESS(INDEX($P$2:$P$1001,MATCH(ROWS($N$2:N798),$N$2:$N$1001,0),0), INDEX($U$1004:$AC$1004,1,MATCH(COLUMNS($U$1006:AA1006),$U$1006:$AC$1006,0)))),"Fix")))</f>
        <v>0</v>
      </c>
      <c r="I798" s="3">
        <f>IF(OR(INDEX($O$2:$O$1001,MATCH(ROWS($N$2:N798),$N$2:$N$1001,0),1)&gt;=100000,INDEX($U$1005:$AC$1005,1,MATCH(COLUMNS($U$1006:AB1006),$U$1006:$AC$1006,0))&gt;=100000), " ",IF(INDEX($U$2:$AC$1001,MATCH(ROWS($N$2:N798),$N$2:$N$1001,0),MATCH(COLUMNS($U$1006:AB1006),$U$1006:$AC$1006,0)), HYPERLINK("#",""), HYPERLINK(CONCATENATE("#metadata!", ADDRESS(INDEX($P$2:$P$1001,MATCH(ROWS($N$2:N798),$N$2:$N$1001,0),0), INDEX($U$1004:$AC$1004,1,MATCH(COLUMNS($U$1006:AB1006),$U$1006:$AC$1006,0)))),"Fix")))</f>
        <v>0</v>
      </c>
      <c r="J798" s="3">
        <f>IF(OR(INDEX($O$2:$O$1001,MATCH(ROWS($N$2:N798),$N$2:$N$1001,0),1)&gt;=100000,INDEX($U$1005:$AC$1005,1,MATCH(COLUMNS($U$1006:AC1006),$U$1006:$AC$1006,0))&gt;=100000), " ",IF(INDEX($U$2:$AC$1001,MATCH(ROWS($N$2:N798),$N$2:$N$1001,0),MATCH(COLUMNS($U$1006:AC1006),$U$1006:$AC$1006,0)), HYPERLINK("#",""), HYPERLINK(CONCATENATE("#metadata!", ADDRESS(INDEX($P$2:$P$1001,MATCH(ROWS($N$2:N798),$N$2:$N$1001,0),0), INDEX($U$1004:$AC$1004,1,MATCH(COLUMNS($U$1006:AC1006),$U$1006:$AC$1006,0)))),"Fix")))</f>
        <v>0</v>
      </c>
      <c r="N798">
        <v>0</v>
      </c>
      <c r="O798">
        <v>0</v>
      </c>
      <c r="P798">
        <v>0</v>
      </c>
      <c r="Q798">
        <f>IF(R798,TRUE,AND(U798:AC798))</f>
        <v>0</v>
      </c>
      <c r="R798">
        <f>COUNTBLANK(metadata!B798:J798)=COLUMNS(metadata!B798:J798)</f>
        <v>0</v>
      </c>
      <c r="S798">
        <v>0</v>
      </c>
      <c r="U798">
        <f>AND(IF(metadata!B798="",FALSE,TRUE),COUNTIF(metadata!B:B, metadata!B798) = 1,NOT(ISERROR(SUMPRODUCT(SEARCH(MID(metadata!B798,ROW(INDIRECT("1:"&amp;LEN(metadata!B798))), 1),"0123456789abcdefghijklmnopqrstuvwxyzABCDEFGHIJKLMNOPQRSTUVWXYZ.")))))</f>
        <v>0</v>
      </c>
      <c r="V798">
        <f>AND(IF(metadata!C798="",FALSE,TRUE),exact(metadata!C798,"UBERON:genitourinary"))</f>
        <v>0</v>
      </c>
      <c r="W798">
        <f>AND(IF(metadata!D798="",FALSE,TRUE),exact(metadata!D798,"UBERON:urine"))</f>
        <v>0</v>
      </c>
      <c r="X798">
        <f>AND(IF(metadata!E798="",FALSE,TRUE),exact(metadata!E798,"UBERON:kidney"))</f>
        <v>0</v>
      </c>
      <c r="Y798">
        <f>AND(IF(metadata!F798="",FALSE,TRUE),exact(metadata!F798,"animal corpus"))</f>
        <v>0</v>
      </c>
      <c r="Z798">
        <f>AND(IF(metadata!G798="",FALSE,TRUE),exact(metadata!G798,"urine"))</f>
        <v>0</v>
      </c>
      <c r="AA798">
        <f>AND(IF(metadata!H798="",FALSE,TRUE),exact(metadata!H798,"urine"))</f>
        <v>0</v>
      </c>
      <c r="AB798">
        <f>AND(IF(metadata!I798="",FALSE,TRUE),exact(metadata!I798,"urine metagenome"))</f>
        <v>0</v>
      </c>
      <c r="AC798">
        <f>AND(IF(metadata!J798="",FALSE,TRUE),exact(metadata!J798,"1346744"))</f>
        <v>0</v>
      </c>
    </row>
    <row r="799" spans="1:29">
      <c r="A799" s="4">
        <f>IF(B799=" "," ",HYPERLINK(CONCATENATE("#metadata!",ADDRESS(INDEX($P$2:$P$1001,MATCH(ROWS($N$2:N799),$N$2:$N$1001,0),0),1)),INDEX($S$2:$S$1001,MATCH(ROWS($N$2:N799),$N$2:$N$1001,0),0)))</f>
        <v>0</v>
      </c>
      <c r="B799" s="3">
        <f>IF(OR(INDEX($O$2:$O$1001,MATCH(ROWS($N$2:N799),$N$2:$N$1001,0),1)&gt;=100000,INDEX($U$1005:$AC$1005,1,MATCH(COLUMNS($U$1006:U1006),$U$1006:$AC$1006,0))&gt;=100000), " ",IF(INDEX($U$2:$AC$1001,MATCH(ROWS($N$2:N799),$N$2:$N$1001,0),MATCH(COLUMNS($U$1006:U1006),$U$1006:$AC$1006,0)), HYPERLINK("#",""), HYPERLINK(CONCATENATE("#metadata!", ADDRESS(INDEX($P$2:$P$1001,MATCH(ROWS($N$2:N799),$N$2:$N$1001,0),0), INDEX($U$1004:$AC$1004,1,MATCH(COLUMNS($U$1006:U1006),$U$1006:$AC$1006,0)))),"Fix")))</f>
        <v>0</v>
      </c>
      <c r="C799" s="3">
        <f>IF(OR(INDEX($O$2:$O$1001,MATCH(ROWS($N$2:N799),$N$2:$N$1001,0),1)&gt;=100000,INDEX($U$1005:$AC$1005,1,MATCH(COLUMNS($U$1006:V1006),$U$1006:$AC$1006,0))&gt;=100000), " ",IF(INDEX($U$2:$AC$1001,MATCH(ROWS($N$2:N799),$N$2:$N$1001,0),MATCH(COLUMNS($U$1006:V1006),$U$1006:$AC$1006,0)), HYPERLINK("#",""), HYPERLINK(CONCATENATE("#metadata!", ADDRESS(INDEX($P$2:$P$1001,MATCH(ROWS($N$2:N799),$N$2:$N$1001,0),0), INDEX($U$1004:$AC$1004,1,MATCH(COLUMNS($U$1006:V1006),$U$1006:$AC$1006,0)))),"Fix")))</f>
        <v>0</v>
      </c>
      <c r="D799" s="3">
        <f>IF(OR(INDEX($O$2:$O$1001,MATCH(ROWS($N$2:N799),$N$2:$N$1001,0),1)&gt;=100000,INDEX($U$1005:$AC$1005,1,MATCH(COLUMNS($U$1006:W1006),$U$1006:$AC$1006,0))&gt;=100000), " ",IF(INDEX($U$2:$AC$1001,MATCH(ROWS($N$2:N799),$N$2:$N$1001,0),MATCH(COLUMNS($U$1006:W1006),$U$1006:$AC$1006,0)), HYPERLINK("#",""), HYPERLINK(CONCATENATE("#metadata!", ADDRESS(INDEX($P$2:$P$1001,MATCH(ROWS($N$2:N799),$N$2:$N$1001,0),0), INDEX($U$1004:$AC$1004,1,MATCH(COLUMNS($U$1006:W1006),$U$1006:$AC$1006,0)))),"Fix")))</f>
        <v>0</v>
      </c>
      <c r="E799" s="3">
        <f>IF(OR(INDEX($O$2:$O$1001,MATCH(ROWS($N$2:N799),$N$2:$N$1001,0),1)&gt;=100000,INDEX($U$1005:$AC$1005,1,MATCH(COLUMNS($U$1006:X1006),$U$1006:$AC$1006,0))&gt;=100000), " ",IF(INDEX($U$2:$AC$1001,MATCH(ROWS($N$2:N799),$N$2:$N$1001,0),MATCH(COLUMNS($U$1006:X1006),$U$1006:$AC$1006,0)), HYPERLINK("#",""), HYPERLINK(CONCATENATE("#metadata!", ADDRESS(INDEX($P$2:$P$1001,MATCH(ROWS($N$2:N799),$N$2:$N$1001,0),0), INDEX($U$1004:$AC$1004,1,MATCH(COLUMNS($U$1006:X1006),$U$1006:$AC$1006,0)))),"Fix")))</f>
        <v>0</v>
      </c>
      <c r="F799" s="3">
        <f>IF(OR(INDEX($O$2:$O$1001,MATCH(ROWS($N$2:N799),$N$2:$N$1001,0),1)&gt;=100000,INDEX($U$1005:$AC$1005,1,MATCH(COLUMNS($U$1006:Y1006),$U$1006:$AC$1006,0))&gt;=100000), " ",IF(INDEX($U$2:$AC$1001,MATCH(ROWS($N$2:N799),$N$2:$N$1001,0),MATCH(COLUMNS($U$1006:Y1006),$U$1006:$AC$1006,0)), HYPERLINK("#",""), HYPERLINK(CONCATENATE("#metadata!", ADDRESS(INDEX($P$2:$P$1001,MATCH(ROWS($N$2:N799),$N$2:$N$1001,0),0), INDEX($U$1004:$AC$1004,1,MATCH(COLUMNS($U$1006:Y1006),$U$1006:$AC$1006,0)))),"Fix")))</f>
        <v>0</v>
      </c>
      <c r="G799" s="3">
        <f>IF(OR(INDEX($O$2:$O$1001,MATCH(ROWS($N$2:N799),$N$2:$N$1001,0),1)&gt;=100000,INDEX($U$1005:$AC$1005,1,MATCH(COLUMNS($U$1006:Z1006),$U$1006:$AC$1006,0))&gt;=100000), " ",IF(INDEX($U$2:$AC$1001,MATCH(ROWS($N$2:N799),$N$2:$N$1001,0),MATCH(COLUMNS($U$1006:Z1006),$U$1006:$AC$1006,0)), HYPERLINK("#",""), HYPERLINK(CONCATENATE("#metadata!", ADDRESS(INDEX($P$2:$P$1001,MATCH(ROWS($N$2:N799),$N$2:$N$1001,0),0), INDEX($U$1004:$AC$1004,1,MATCH(COLUMNS($U$1006:Z1006),$U$1006:$AC$1006,0)))),"Fix")))</f>
        <v>0</v>
      </c>
      <c r="H799" s="3">
        <f>IF(OR(INDEX($O$2:$O$1001,MATCH(ROWS($N$2:N799),$N$2:$N$1001,0),1)&gt;=100000,INDEX($U$1005:$AC$1005,1,MATCH(COLUMNS($U$1006:AA1006),$U$1006:$AC$1006,0))&gt;=100000), " ",IF(INDEX($U$2:$AC$1001,MATCH(ROWS($N$2:N799),$N$2:$N$1001,0),MATCH(COLUMNS($U$1006:AA1006),$U$1006:$AC$1006,0)), HYPERLINK("#",""), HYPERLINK(CONCATENATE("#metadata!", ADDRESS(INDEX($P$2:$P$1001,MATCH(ROWS($N$2:N799),$N$2:$N$1001,0),0), INDEX($U$1004:$AC$1004,1,MATCH(COLUMNS($U$1006:AA1006),$U$1006:$AC$1006,0)))),"Fix")))</f>
        <v>0</v>
      </c>
      <c r="I799" s="3">
        <f>IF(OR(INDEX($O$2:$O$1001,MATCH(ROWS($N$2:N799),$N$2:$N$1001,0),1)&gt;=100000,INDEX($U$1005:$AC$1005,1,MATCH(COLUMNS($U$1006:AB1006),$U$1006:$AC$1006,0))&gt;=100000), " ",IF(INDEX($U$2:$AC$1001,MATCH(ROWS($N$2:N799),$N$2:$N$1001,0),MATCH(COLUMNS($U$1006:AB1006),$U$1006:$AC$1006,0)), HYPERLINK("#",""), HYPERLINK(CONCATENATE("#metadata!", ADDRESS(INDEX($P$2:$P$1001,MATCH(ROWS($N$2:N799),$N$2:$N$1001,0),0), INDEX($U$1004:$AC$1004,1,MATCH(COLUMNS($U$1006:AB1006),$U$1006:$AC$1006,0)))),"Fix")))</f>
        <v>0</v>
      </c>
      <c r="J799" s="3">
        <f>IF(OR(INDEX($O$2:$O$1001,MATCH(ROWS($N$2:N799),$N$2:$N$1001,0),1)&gt;=100000,INDEX($U$1005:$AC$1005,1,MATCH(COLUMNS($U$1006:AC1006),$U$1006:$AC$1006,0))&gt;=100000), " ",IF(INDEX($U$2:$AC$1001,MATCH(ROWS($N$2:N799),$N$2:$N$1001,0),MATCH(COLUMNS($U$1006:AC1006),$U$1006:$AC$1006,0)), HYPERLINK("#",""), HYPERLINK(CONCATENATE("#metadata!", ADDRESS(INDEX($P$2:$P$1001,MATCH(ROWS($N$2:N799),$N$2:$N$1001,0),0), INDEX($U$1004:$AC$1004,1,MATCH(COLUMNS($U$1006:AC1006),$U$1006:$AC$1006,0)))),"Fix")))</f>
        <v>0</v>
      </c>
      <c r="N799">
        <v>0</v>
      </c>
      <c r="O799">
        <v>0</v>
      </c>
      <c r="P799">
        <v>0</v>
      </c>
      <c r="Q799">
        <f>IF(R799,TRUE,AND(U799:AC799))</f>
        <v>0</v>
      </c>
      <c r="R799">
        <f>COUNTBLANK(metadata!B799:J799)=COLUMNS(metadata!B799:J799)</f>
        <v>0</v>
      </c>
      <c r="S799">
        <v>0</v>
      </c>
      <c r="U799">
        <f>AND(IF(metadata!B799="",FALSE,TRUE),COUNTIF(metadata!B:B, metadata!B799) = 1,NOT(ISERROR(SUMPRODUCT(SEARCH(MID(metadata!B799,ROW(INDIRECT("1:"&amp;LEN(metadata!B799))), 1),"0123456789abcdefghijklmnopqrstuvwxyzABCDEFGHIJKLMNOPQRSTUVWXYZ.")))))</f>
        <v>0</v>
      </c>
      <c r="V799">
        <f>AND(IF(metadata!C799="",FALSE,TRUE),exact(metadata!C799,"UBERON:genitourinary"))</f>
        <v>0</v>
      </c>
      <c r="W799">
        <f>AND(IF(metadata!D799="",FALSE,TRUE),exact(metadata!D799,"UBERON:urine"))</f>
        <v>0</v>
      </c>
      <c r="X799">
        <f>AND(IF(metadata!E799="",FALSE,TRUE),exact(metadata!E799,"UBERON:kidney"))</f>
        <v>0</v>
      </c>
      <c r="Y799">
        <f>AND(IF(metadata!F799="",FALSE,TRUE),exact(metadata!F799,"animal corpus"))</f>
        <v>0</v>
      </c>
      <c r="Z799">
        <f>AND(IF(metadata!G799="",FALSE,TRUE),exact(metadata!G799,"urine"))</f>
        <v>0</v>
      </c>
      <c r="AA799">
        <f>AND(IF(metadata!H799="",FALSE,TRUE),exact(metadata!H799,"urine"))</f>
        <v>0</v>
      </c>
      <c r="AB799">
        <f>AND(IF(metadata!I799="",FALSE,TRUE),exact(metadata!I799,"urine metagenome"))</f>
        <v>0</v>
      </c>
      <c r="AC799">
        <f>AND(IF(metadata!J799="",FALSE,TRUE),exact(metadata!J799,"1346744"))</f>
        <v>0</v>
      </c>
    </row>
    <row r="800" spans="1:29">
      <c r="A800" s="4">
        <f>IF(B800=" "," ",HYPERLINK(CONCATENATE("#metadata!",ADDRESS(INDEX($P$2:$P$1001,MATCH(ROWS($N$2:N800),$N$2:$N$1001,0),0),1)),INDEX($S$2:$S$1001,MATCH(ROWS($N$2:N800),$N$2:$N$1001,0),0)))</f>
        <v>0</v>
      </c>
      <c r="B800" s="3">
        <f>IF(OR(INDEX($O$2:$O$1001,MATCH(ROWS($N$2:N800),$N$2:$N$1001,0),1)&gt;=100000,INDEX($U$1005:$AC$1005,1,MATCH(COLUMNS($U$1006:U1006),$U$1006:$AC$1006,0))&gt;=100000), " ",IF(INDEX($U$2:$AC$1001,MATCH(ROWS($N$2:N800),$N$2:$N$1001,0),MATCH(COLUMNS($U$1006:U1006),$U$1006:$AC$1006,0)), HYPERLINK("#",""), HYPERLINK(CONCATENATE("#metadata!", ADDRESS(INDEX($P$2:$P$1001,MATCH(ROWS($N$2:N800),$N$2:$N$1001,0),0), INDEX($U$1004:$AC$1004,1,MATCH(COLUMNS($U$1006:U1006),$U$1006:$AC$1006,0)))),"Fix")))</f>
        <v>0</v>
      </c>
      <c r="C800" s="3">
        <f>IF(OR(INDEX($O$2:$O$1001,MATCH(ROWS($N$2:N800),$N$2:$N$1001,0),1)&gt;=100000,INDEX($U$1005:$AC$1005,1,MATCH(COLUMNS($U$1006:V1006),$U$1006:$AC$1006,0))&gt;=100000), " ",IF(INDEX($U$2:$AC$1001,MATCH(ROWS($N$2:N800),$N$2:$N$1001,0),MATCH(COLUMNS($U$1006:V1006),$U$1006:$AC$1006,0)), HYPERLINK("#",""), HYPERLINK(CONCATENATE("#metadata!", ADDRESS(INDEX($P$2:$P$1001,MATCH(ROWS($N$2:N800),$N$2:$N$1001,0),0), INDEX($U$1004:$AC$1004,1,MATCH(COLUMNS($U$1006:V1006),$U$1006:$AC$1006,0)))),"Fix")))</f>
        <v>0</v>
      </c>
      <c r="D800" s="3">
        <f>IF(OR(INDEX($O$2:$O$1001,MATCH(ROWS($N$2:N800),$N$2:$N$1001,0),1)&gt;=100000,INDEX($U$1005:$AC$1005,1,MATCH(COLUMNS($U$1006:W1006),$U$1006:$AC$1006,0))&gt;=100000), " ",IF(INDEX($U$2:$AC$1001,MATCH(ROWS($N$2:N800),$N$2:$N$1001,0),MATCH(COLUMNS($U$1006:W1006),$U$1006:$AC$1006,0)), HYPERLINK("#",""), HYPERLINK(CONCATENATE("#metadata!", ADDRESS(INDEX($P$2:$P$1001,MATCH(ROWS($N$2:N800),$N$2:$N$1001,0),0), INDEX($U$1004:$AC$1004,1,MATCH(COLUMNS($U$1006:W1006),$U$1006:$AC$1006,0)))),"Fix")))</f>
        <v>0</v>
      </c>
      <c r="E800" s="3">
        <f>IF(OR(INDEX($O$2:$O$1001,MATCH(ROWS($N$2:N800),$N$2:$N$1001,0),1)&gt;=100000,INDEX($U$1005:$AC$1005,1,MATCH(COLUMNS($U$1006:X1006),$U$1006:$AC$1006,0))&gt;=100000), " ",IF(INDEX($U$2:$AC$1001,MATCH(ROWS($N$2:N800),$N$2:$N$1001,0),MATCH(COLUMNS($U$1006:X1006),$U$1006:$AC$1006,0)), HYPERLINK("#",""), HYPERLINK(CONCATENATE("#metadata!", ADDRESS(INDEX($P$2:$P$1001,MATCH(ROWS($N$2:N800),$N$2:$N$1001,0),0), INDEX($U$1004:$AC$1004,1,MATCH(COLUMNS($U$1006:X1006),$U$1006:$AC$1006,0)))),"Fix")))</f>
        <v>0</v>
      </c>
      <c r="F800" s="3">
        <f>IF(OR(INDEX($O$2:$O$1001,MATCH(ROWS($N$2:N800),$N$2:$N$1001,0),1)&gt;=100000,INDEX($U$1005:$AC$1005,1,MATCH(COLUMNS($U$1006:Y1006),$U$1006:$AC$1006,0))&gt;=100000), " ",IF(INDEX($U$2:$AC$1001,MATCH(ROWS($N$2:N800),$N$2:$N$1001,0),MATCH(COLUMNS($U$1006:Y1006),$U$1006:$AC$1006,0)), HYPERLINK("#",""), HYPERLINK(CONCATENATE("#metadata!", ADDRESS(INDEX($P$2:$P$1001,MATCH(ROWS($N$2:N800),$N$2:$N$1001,0),0), INDEX($U$1004:$AC$1004,1,MATCH(COLUMNS($U$1006:Y1006),$U$1006:$AC$1006,0)))),"Fix")))</f>
        <v>0</v>
      </c>
      <c r="G800" s="3">
        <f>IF(OR(INDEX($O$2:$O$1001,MATCH(ROWS($N$2:N800),$N$2:$N$1001,0),1)&gt;=100000,INDEX($U$1005:$AC$1005,1,MATCH(COLUMNS($U$1006:Z1006),$U$1006:$AC$1006,0))&gt;=100000), " ",IF(INDEX($U$2:$AC$1001,MATCH(ROWS($N$2:N800),$N$2:$N$1001,0),MATCH(COLUMNS($U$1006:Z1006),$U$1006:$AC$1006,0)), HYPERLINK("#",""), HYPERLINK(CONCATENATE("#metadata!", ADDRESS(INDEX($P$2:$P$1001,MATCH(ROWS($N$2:N800),$N$2:$N$1001,0),0), INDEX($U$1004:$AC$1004,1,MATCH(COLUMNS($U$1006:Z1006),$U$1006:$AC$1006,0)))),"Fix")))</f>
        <v>0</v>
      </c>
      <c r="H800" s="3">
        <f>IF(OR(INDEX($O$2:$O$1001,MATCH(ROWS($N$2:N800),$N$2:$N$1001,0),1)&gt;=100000,INDEX($U$1005:$AC$1005,1,MATCH(COLUMNS($U$1006:AA1006),$U$1006:$AC$1006,0))&gt;=100000), " ",IF(INDEX($U$2:$AC$1001,MATCH(ROWS($N$2:N800),$N$2:$N$1001,0),MATCH(COLUMNS($U$1006:AA1006),$U$1006:$AC$1006,0)), HYPERLINK("#",""), HYPERLINK(CONCATENATE("#metadata!", ADDRESS(INDEX($P$2:$P$1001,MATCH(ROWS($N$2:N800),$N$2:$N$1001,0),0), INDEX($U$1004:$AC$1004,1,MATCH(COLUMNS($U$1006:AA1006),$U$1006:$AC$1006,0)))),"Fix")))</f>
        <v>0</v>
      </c>
      <c r="I800" s="3">
        <f>IF(OR(INDEX($O$2:$O$1001,MATCH(ROWS($N$2:N800),$N$2:$N$1001,0),1)&gt;=100000,INDEX($U$1005:$AC$1005,1,MATCH(COLUMNS($U$1006:AB1006),$U$1006:$AC$1006,0))&gt;=100000), " ",IF(INDEX($U$2:$AC$1001,MATCH(ROWS($N$2:N800),$N$2:$N$1001,0),MATCH(COLUMNS($U$1006:AB1006),$U$1006:$AC$1006,0)), HYPERLINK("#",""), HYPERLINK(CONCATENATE("#metadata!", ADDRESS(INDEX($P$2:$P$1001,MATCH(ROWS($N$2:N800),$N$2:$N$1001,0),0), INDEX($U$1004:$AC$1004,1,MATCH(COLUMNS($U$1006:AB1006),$U$1006:$AC$1006,0)))),"Fix")))</f>
        <v>0</v>
      </c>
      <c r="J800" s="3">
        <f>IF(OR(INDEX($O$2:$O$1001,MATCH(ROWS($N$2:N800),$N$2:$N$1001,0),1)&gt;=100000,INDEX($U$1005:$AC$1005,1,MATCH(COLUMNS($U$1006:AC1006),$U$1006:$AC$1006,0))&gt;=100000), " ",IF(INDEX($U$2:$AC$1001,MATCH(ROWS($N$2:N800),$N$2:$N$1001,0),MATCH(COLUMNS($U$1006:AC1006),$U$1006:$AC$1006,0)), HYPERLINK("#",""), HYPERLINK(CONCATENATE("#metadata!", ADDRESS(INDEX($P$2:$P$1001,MATCH(ROWS($N$2:N800),$N$2:$N$1001,0),0), INDEX($U$1004:$AC$1004,1,MATCH(COLUMNS($U$1006:AC1006),$U$1006:$AC$1006,0)))),"Fix")))</f>
        <v>0</v>
      </c>
      <c r="N800">
        <v>0</v>
      </c>
      <c r="O800">
        <v>0</v>
      </c>
      <c r="P800">
        <v>0</v>
      </c>
      <c r="Q800">
        <f>IF(R800,TRUE,AND(U800:AC800))</f>
        <v>0</v>
      </c>
      <c r="R800">
        <f>COUNTBLANK(metadata!B800:J800)=COLUMNS(metadata!B800:J800)</f>
        <v>0</v>
      </c>
      <c r="S800">
        <v>0</v>
      </c>
      <c r="U800">
        <f>AND(IF(metadata!B800="",FALSE,TRUE),COUNTIF(metadata!B:B, metadata!B800) = 1,NOT(ISERROR(SUMPRODUCT(SEARCH(MID(metadata!B800,ROW(INDIRECT("1:"&amp;LEN(metadata!B800))), 1),"0123456789abcdefghijklmnopqrstuvwxyzABCDEFGHIJKLMNOPQRSTUVWXYZ.")))))</f>
        <v>0</v>
      </c>
      <c r="V800">
        <f>AND(IF(metadata!C800="",FALSE,TRUE),exact(metadata!C800,"UBERON:genitourinary"))</f>
        <v>0</v>
      </c>
      <c r="W800">
        <f>AND(IF(metadata!D800="",FALSE,TRUE),exact(metadata!D800,"UBERON:urine"))</f>
        <v>0</v>
      </c>
      <c r="X800">
        <f>AND(IF(metadata!E800="",FALSE,TRUE),exact(metadata!E800,"UBERON:kidney"))</f>
        <v>0</v>
      </c>
      <c r="Y800">
        <f>AND(IF(metadata!F800="",FALSE,TRUE),exact(metadata!F800,"animal corpus"))</f>
        <v>0</v>
      </c>
      <c r="Z800">
        <f>AND(IF(metadata!G800="",FALSE,TRUE),exact(metadata!G800,"urine"))</f>
        <v>0</v>
      </c>
      <c r="AA800">
        <f>AND(IF(metadata!H800="",FALSE,TRUE),exact(metadata!H800,"urine"))</f>
        <v>0</v>
      </c>
      <c r="AB800">
        <f>AND(IF(metadata!I800="",FALSE,TRUE),exact(metadata!I800,"urine metagenome"))</f>
        <v>0</v>
      </c>
      <c r="AC800">
        <f>AND(IF(metadata!J800="",FALSE,TRUE),exact(metadata!J800,"1346744"))</f>
        <v>0</v>
      </c>
    </row>
    <row r="801" spans="1:29">
      <c r="A801" s="4">
        <f>IF(B801=" "," ",HYPERLINK(CONCATENATE("#metadata!",ADDRESS(INDEX($P$2:$P$1001,MATCH(ROWS($N$2:N801),$N$2:$N$1001,0),0),1)),INDEX($S$2:$S$1001,MATCH(ROWS($N$2:N801),$N$2:$N$1001,0),0)))</f>
        <v>0</v>
      </c>
      <c r="B801" s="3">
        <f>IF(OR(INDEX($O$2:$O$1001,MATCH(ROWS($N$2:N801),$N$2:$N$1001,0),1)&gt;=100000,INDEX($U$1005:$AC$1005,1,MATCH(COLUMNS($U$1006:U1006),$U$1006:$AC$1006,0))&gt;=100000), " ",IF(INDEX($U$2:$AC$1001,MATCH(ROWS($N$2:N801),$N$2:$N$1001,0),MATCH(COLUMNS($U$1006:U1006),$U$1006:$AC$1006,0)), HYPERLINK("#",""), HYPERLINK(CONCATENATE("#metadata!", ADDRESS(INDEX($P$2:$P$1001,MATCH(ROWS($N$2:N801),$N$2:$N$1001,0),0), INDEX($U$1004:$AC$1004,1,MATCH(COLUMNS($U$1006:U1006),$U$1006:$AC$1006,0)))),"Fix")))</f>
        <v>0</v>
      </c>
      <c r="C801" s="3">
        <f>IF(OR(INDEX($O$2:$O$1001,MATCH(ROWS($N$2:N801),$N$2:$N$1001,0),1)&gt;=100000,INDEX($U$1005:$AC$1005,1,MATCH(COLUMNS($U$1006:V1006),$U$1006:$AC$1006,0))&gt;=100000), " ",IF(INDEX($U$2:$AC$1001,MATCH(ROWS($N$2:N801),$N$2:$N$1001,0),MATCH(COLUMNS($U$1006:V1006),$U$1006:$AC$1006,0)), HYPERLINK("#",""), HYPERLINK(CONCATENATE("#metadata!", ADDRESS(INDEX($P$2:$P$1001,MATCH(ROWS($N$2:N801),$N$2:$N$1001,0),0), INDEX($U$1004:$AC$1004,1,MATCH(COLUMNS($U$1006:V1006),$U$1006:$AC$1006,0)))),"Fix")))</f>
        <v>0</v>
      </c>
      <c r="D801" s="3">
        <f>IF(OR(INDEX($O$2:$O$1001,MATCH(ROWS($N$2:N801),$N$2:$N$1001,0),1)&gt;=100000,INDEX($U$1005:$AC$1005,1,MATCH(COLUMNS($U$1006:W1006),$U$1006:$AC$1006,0))&gt;=100000), " ",IF(INDEX($U$2:$AC$1001,MATCH(ROWS($N$2:N801),$N$2:$N$1001,0),MATCH(COLUMNS($U$1006:W1006),$U$1006:$AC$1006,0)), HYPERLINK("#",""), HYPERLINK(CONCATENATE("#metadata!", ADDRESS(INDEX($P$2:$P$1001,MATCH(ROWS($N$2:N801),$N$2:$N$1001,0),0), INDEX($U$1004:$AC$1004,1,MATCH(COLUMNS($U$1006:W1006),$U$1006:$AC$1006,0)))),"Fix")))</f>
        <v>0</v>
      </c>
      <c r="E801" s="3">
        <f>IF(OR(INDEX($O$2:$O$1001,MATCH(ROWS($N$2:N801),$N$2:$N$1001,0),1)&gt;=100000,INDEX($U$1005:$AC$1005,1,MATCH(COLUMNS($U$1006:X1006),$U$1006:$AC$1006,0))&gt;=100000), " ",IF(INDEX($U$2:$AC$1001,MATCH(ROWS($N$2:N801),$N$2:$N$1001,0),MATCH(COLUMNS($U$1006:X1006),$U$1006:$AC$1006,0)), HYPERLINK("#",""), HYPERLINK(CONCATENATE("#metadata!", ADDRESS(INDEX($P$2:$P$1001,MATCH(ROWS($N$2:N801),$N$2:$N$1001,0),0), INDEX($U$1004:$AC$1004,1,MATCH(COLUMNS($U$1006:X1006),$U$1006:$AC$1006,0)))),"Fix")))</f>
        <v>0</v>
      </c>
      <c r="F801" s="3">
        <f>IF(OR(INDEX($O$2:$O$1001,MATCH(ROWS($N$2:N801),$N$2:$N$1001,0),1)&gt;=100000,INDEX($U$1005:$AC$1005,1,MATCH(COLUMNS($U$1006:Y1006),$U$1006:$AC$1006,0))&gt;=100000), " ",IF(INDEX($U$2:$AC$1001,MATCH(ROWS($N$2:N801),$N$2:$N$1001,0),MATCH(COLUMNS($U$1006:Y1006),$U$1006:$AC$1006,0)), HYPERLINK("#",""), HYPERLINK(CONCATENATE("#metadata!", ADDRESS(INDEX($P$2:$P$1001,MATCH(ROWS($N$2:N801),$N$2:$N$1001,0),0), INDEX($U$1004:$AC$1004,1,MATCH(COLUMNS($U$1006:Y1006),$U$1006:$AC$1006,0)))),"Fix")))</f>
        <v>0</v>
      </c>
      <c r="G801" s="3">
        <f>IF(OR(INDEX($O$2:$O$1001,MATCH(ROWS($N$2:N801),$N$2:$N$1001,0),1)&gt;=100000,INDEX($U$1005:$AC$1005,1,MATCH(COLUMNS($U$1006:Z1006),$U$1006:$AC$1006,0))&gt;=100000), " ",IF(INDEX($U$2:$AC$1001,MATCH(ROWS($N$2:N801),$N$2:$N$1001,0),MATCH(COLUMNS($U$1006:Z1006),$U$1006:$AC$1006,0)), HYPERLINK("#",""), HYPERLINK(CONCATENATE("#metadata!", ADDRESS(INDEX($P$2:$P$1001,MATCH(ROWS($N$2:N801),$N$2:$N$1001,0),0), INDEX($U$1004:$AC$1004,1,MATCH(COLUMNS($U$1006:Z1006),$U$1006:$AC$1006,0)))),"Fix")))</f>
        <v>0</v>
      </c>
      <c r="H801" s="3">
        <f>IF(OR(INDEX($O$2:$O$1001,MATCH(ROWS($N$2:N801),$N$2:$N$1001,0),1)&gt;=100000,INDEX($U$1005:$AC$1005,1,MATCH(COLUMNS($U$1006:AA1006),$U$1006:$AC$1006,0))&gt;=100000), " ",IF(INDEX($U$2:$AC$1001,MATCH(ROWS($N$2:N801),$N$2:$N$1001,0),MATCH(COLUMNS($U$1006:AA1006),$U$1006:$AC$1006,0)), HYPERLINK("#",""), HYPERLINK(CONCATENATE("#metadata!", ADDRESS(INDEX($P$2:$P$1001,MATCH(ROWS($N$2:N801),$N$2:$N$1001,0),0), INDEX($U$1004:$AC$1004,1,MATCH(COLUMNS($U$1006:AA1006),$U$1006:$AC$1006,0)))),"Fix")))</f>
        <v>0</v>
      </c>
      <c r="I801" s="3">
        <f>IF(OR(INDEX($O$2:$O$1001,MATCH(ROWS($N$2:N801),$N$2:$N$1001,0),1)&gt;=100000,INDEX($U$1005:$AC$1005,1,MATCH(COLUMNS($U$1006:AB1006),$U$1006:$AC$1006,0))&gt;=100000), " ",IF(INDEX($U$2:$AC$1001,MATCH(ROWS($N$2:N801),$N$2:$N$1001,0),MATCH(COLUMNS($U$1006:AB1006),$U$1006:$AC$1006,0)), HYPERLINK("#",""), HYPERLINK(CONCATENATE("#metadata!", ADDRESS(INDEX($P$2:$P$1001,MATCH(ROWS($N$2:N801),$N$2:$N$1001,0),0), INDEX($U$1004:$AC$1004,1,MATCH(COLUMNS($U$1006:AB1006),$U$1006:$AC$1006,0)))),"Fix")))</f>
        <v>0</v>
      </c>
      <c r="J801" s="3">
        <f>IF(OR(INDEX($O$2:$O$1001,MATCH(ROWS($N$2:N801),$N$2:$N$1001,0),1)&gt;=100000,INDEX($U$1005:$AC$1005,1,MATCH(COLUMNS($U$1006:AC1006),$U$1006:$AC$1006,0))&gt;=100000), " ",IF(INDEX($U$2:$AC$1001,MATCH(ROWS($N$2:N801),$N$2:$N$1001,0),MATCH(COLUMNS($U$1006:AC1006),$U$1006:$AC$1006,0)), HYPERLINK("#",""), HYPERLINK(CONCATENATE("#metadata!", ADDRESS(INDEX($P$2:$P$1001,MATCH(ROWS($N$2:N801),$N$2:$N$1001,0),0), INDEX($U$1004:$AC$1004,1,MATCH(COLUMNS($U$1006:AC1006),$U$1006:$AC$1006,0)))),"Fix")))</f>
        <v>0</v>
      </c>
      <c r="N801">
        <v>0</v>
      </c>
      <c r="O801">
        <v>0</v>
      </c>
      <c r="P801">
        <v>0</v>
      </c>
      <c r="Q801">
        <f>IF(R801,TRUE,AND(U801:AC801))</f>
        <v>0</v>
      </c>
      <c r="R801">
        <f>COUNTBLANK(metadata!B801:J801)=COLUMNS(metadata!B801:J801)</f>
        <v>0</v>
      </c>
      <c r="S801">
        <v>0</v>
      </c>
      <c r="U801">
        <f>AND(IF(metadata!B801="",FALSE,TRUE),COUNTIF(metadata!B:B, metadata!B801) = 1,NOT(ISERROR(SUMPRODUCT(SEARCH(MID(metadata!B801,ROW(INDIRECT("1:"&amp;LEN(metadata!B801))), 1),"0123456789abcdefghijklmnopqrstuvwxyzABCDEFGHIJKLMNOPQRSTUVWXYZ.")))))</f>
        <v>0</v>
      </c>
      <c r="V801">
        <f>AND(IF(metadata!C801="",FALSE,TRUE),exact(metadata!C801,"UBERON:genitourinary"))</f>
        <v>0</v>
      </c>
      <c r="W801">
        <f>AND(IF(metadata!D801="",FALSE,TRUE),exact(metadata!D801,"UBERON:urine"))</f>
        <v>0</v>
      </c>
      <c r="X801">
        <f>AND(IF(metadata!E801="",FALSE,TRUE),exact(metadata!E801,"UBERON:kidney"))</f>
        <v>0</v>
      </c>
      <c r="Y801">
        <f>AND(IF(metadata!F801="",FALSE,TRUE),exact(metadata!F801,"animal corpus"))</f>
        <v>0</v>
      </c>
      <c r="Z801">
        <f>AND(IF(metadata!G801="",FALSE,TRUE),exact(metadata!G801,"urine"))</f>
        <v>0</v>
      </c>
      <c r="AA801">
        <f>AND(IF(metadata!H801="",FALSE,TRUE),exact(metadata!H801,"urine"))</f>
        <v>0</v>
      </c>
      <c r="AB801">
        <f>AND(IF(metadata!I801="",FALSE,TRUE),exact(metadata!I801,"urine metagenome"))</f>
        <v>0</v>
      </c>
      <c r="AC801">
        <f>AND(IF(metadata!J801="",FALSE,TRUE),exact(metadata!J801,"1346744"))</f>
        <v>0</v>
      </c>
    </row>
    <row r="802" spans="1:29">
      <c r="A802" s="4">
        <f>IF(B802=" "," ",HYPERLINK(CONCATENATE("#metadata!",ADDRESS(INDEX($P$2:$P$1001,MATCH(ROWS($N$2:N802),$N$2:$N$1001,0),0),1)),INDEX($S$2:$S$1001,MATCH(ROWS($N$2:N802),$N$2:$N$1001,0),0)))</f>
        <v>0</v>
      </c>
      <c r="B802" s="3">
        <f>IF(OR(INDEX($O$2:$O$1001,MATCH(ROWS($N$2:N802),$N$2:$N$1001,0),1)&gt;=100000,INDEX($U$1005:$AC$1005,1,MATCH(COLUMNS($U$1006:U1006),$U$1006:$AC$1006,0))&gt;=100000), " ",IF(INDEX($U$2:$AC$1001,MATCH(ROWS($N$2:N802),$N$2:$N$1001,0),MATCH(COLUMNS($U$1006:U1006),$U$1006:$AC$1006,0)), HYPERLINK("#",""), HYPERLINK(CONCATENATE("#metadata!", ADDRESS(INDEX($P$2:$P$1001,MATCH(ROWS($N$2:N802),$N$2:$N$1001,0),0), INDEX($U$1004:$AC$1004,1,MATCH(COLUMNS($U$1006:U1006),$U$1006:$AC$1006,0)))),"Fix")))</f>
        <v>0</v>
      </c>
      <c r="C802" s="3">
        <f>IF(OR(INDEX($O$2:$O$1001,MATCH(ROWS($N$2:N802),$N$2:$N$1001,0),1)&gt;=100000,INDEX($U$1005:$AC$1005,1,MATCH(COLUMNS($U$1006:V1006),$U$1006:$AC$1006,0))&gt;=100000), " ",IF(INDEX($U$2:$AC$1001,MATCH(ROWS($N$2:N802),$N$2:$N$1001,0),MATCH(COLUMNS($U$1006:V1006),$U$1006:$AC$1006,0)), HYPERLINK("#",""), HYPERLINK(CONCATENATE("#metadata!", ADDRESS(INDEX($P$2:$P$1001,MATCH(ROWS($N$2:N802),$N$2:$N$1001,0),0), INDEX($U$1004:$AC$1004,1,MATCH(COLUMNS($U$1006:V1006),$U$1006:$AC$1006,0)))),"Fix")))</f>
        <v>0</v>
      </c>
      <c r="D802" s="3">
        <f>IF(OR(INDEX($O$2:$O$1001,MATCH(ROWS($N$2:N802),$N$2:$N$1001,0),1)&gt;=100000,INDEX($U$1005:$AC$1005,1,MATCH(COLUMNS($U$1006:W1006),$U$1006:$AC$1006,0))&gt;=100000), " ",IF(INDEX($U$2:$AC$1001,MATCH(ROWS($N$2:N802),$N$2:$N$1001,0),MATCH(COLUMNS($U$1006:W1006),$U$1006:$AC$1006,0)), HYPERLINK("#",""), HYPERLINK(CONCATENATE("#metadata!", ADDRESS(INDEX($P$2:$P$1001,MATCH(ROWS($N$2:N802),$N$2:$N$1001,0),0), INDEX($U$1004:$AC$1004,1,MATCH(COLUMNS($U$1006:W1006),$U$1006:$AC$1006,0)))),"Fix")))</f>
        <v>0</v>
      </c>
      <c r="E802" s="3">
        <f>IF(OR(INDEX($O$2:$O$1001,MATCH(ROWS($N$2:N802),$N$2:$N$1001,0),1)&gt;=100000,INDEX($U$1005:$AC$1005,1,MATCH(COLUMNS($U$1006:X1006),$U$1006:$AC$1006,0))&gt;=100000), " ",IF(INDEX($U$2:$AC$1001,MATCH(ROWS($N$2:N802),$N$2:$N$1001,0),MATCH(COLUMNS($U$1006:X1006),$U$1006:$AC$1006,0)), HYPERLINK("#",""), HYPERLINK(CONCATENATE("#metadata!", ADDRESS(INDEX($P$2:$P$1001,MATCH(ROWS($N$2:N802),$N$2:$N$1001,0),0), INDEX($U$1004:$AC$1004,1,MATCH(COLUMNS($U$1006:X1006),$U$1006:$AC$1006,0)))),"Fix")))</f>
        <v>0</v>
      </c>
      <c r="F802" s="3">
        <f>IF(OR(INDEX($O$2:$O$1001,MATCH(ROWS($N$2:N802),$N$2:$N$1001,0),1)&gt;=100000,INDEX($U$1005:$AC$1005,1,MATCH(COLUMNS($U$1006:Y1006),$U$1006:$AC$1006,0))&gt;=100000), " ",IF(INDEX($U$2:$AC$1001,MATCH(ROWS($N$2:N802),$N$2:$N$1001,0),MATCH(COLUMNS($U$1006:Y1006),$U$1006:$AC$1006,0)), HYPERLINK("#",""), HYPERLINK(CONCATENATE("#metadata!", ADDRESS(INDEX($P$2:$P$1001,MATCH(ROWS($N$2:N802),$N$2:$N$1001,0),0), INDEX($U$1004:$AC$1004,1,MATCH(COLUMNS($U$1006:Y1006),$U$1006:$AC$1006,0)))),"Fix")))</f>
        <v>0</v>
      </c>
      <c r="G802" s="3">
        <f>IF(OR(INDEX($O$2:$O$1001,MATCH(ROWS($N$2:N802),$N$2:$N$1001,0),1)&gt;=100000,INDEX($U$1005:$AC$1005,1,MATCH(COLUMNS($U$1006:Z1006),$U$1006:$AC$1006,0))&gt;=100000), " ",IF(INDEX($U$2:$AC$1001,MATCH(ROWS($N$2:N802),$N$2:$N$1001,0),MATCH(COLUMNS($U$1006:Z1006),$U$1006:$AC$1006,0)), HYPERLINK("#",""), HYPERLINK(CONCATENATE("#metadata!", ADDRESS(INDEX($P$2:$P$1001,MATCH(ROWS($N$2:N802),$N$2:$N$1001,0),0), INDEX($U$1004:$AC$1004,1,MATCH(COLUMNS($U$1006:Z1006),$U$1006:$AC$1006,0)))),"Fix")))</f>
        <v>0</v>
      </c>
      <c r="H802" s="3">
        <f>IF(OR(INDEX($O$2:$O$1001,MATCH(ROWS($N$2:N802),$N$2:$N$1001,0),1)&gt;=100000,INDEX($U$1005:$AC$1005,1,MATCH(COLUMNS($U$1006:AA1006),$U$1006:$AC$1006,0))&gt;=100000), " ",IF(INDEX($U$2:$AC$1001,MATCH(ROWS($N$2:N802),$N$2:$N$1001,0),MATCH(COLUMNS($U$1006:AA1006),$U$1006:$AC$1006,0)), HYPERLINK("#",""), HYPERLINK(CONCATENATE("#metadata!", ADDRESS(INDEX($P$2:$P$1001,MATCH(ROWS($N$2:N802),$N$2:$N$1001,0),0), INDEX($U$1004:$AC$1004,1,MATCH(COLUMNS($U$1006:AA1006),$U$1006:$AC$1006,0)))),"Fix")))</f>
        <v>0</v>
      </c>
      <c r="I802" s="3">
        <f>IF(OR(INDEX($O$2:$O$1001,MATCH(ROWS($N$2:N802),$N$2:$N$1001,0),1)&gt;=100000,INDEX($U$1005:$AC$1005,1,MATCH(COLUMNS($U$1006:AB1006),$U$1006:$AC$1006,0))&gt;=100000), " ",IF(INDEX($U$2:$AC$1001,MATCH(ROWS($N$2:N802),$N$2:$N$1001,0),MATCH(COLUMNS($U$1006:AB1006),$U$1006:$AC$1006,0)), HYPERLINK("#",""), HYPERLINK(CONCATENATE("#metadata!", ADDRESS(INDEX($P$2:$P$1001,MATCH(ROWS($N$2:N802),$N$2:$N$1001,0),0), INDEX($U$1004:$AC$1004,1,MATCH(COLUMNS($U$1006:AB1006),$U$1006:$AC$1006,0)))),"Fix")))</f>
        <v>0</v>
      </c>
      <c r="J802" s="3">
        <f>IF(OR(INDEX($O$2:$O$1001,MATCH(ROWS($N$2:N802),$N$2:$N$1001,0),1)&gt;=100000,INDEX($U$1005:$AC$1005,1,MATCH(COLUMNS($U$1006:AC1006),$U$1006:$AC$1006,0))&gt;=100000), " ",IF(INDEX($U$2:$AC$1001,MATCH(ROWS($N$2:N802),$N$2:$N$1001,0),MATCH(COLUMNS($U$1006:AC1006),$U$1006:$AC$1006,0)), HYPERLINK("#",""), HYPERLINK(CONCATENATE("#metadata!", ADDRESS(INDEX($P$2:$P$1001,MATCH(ROWS($N$2:N802),$N$2:$N$1001,0),0), INDEX($U$1004:$AC$1004,1,MATCH(COLUMNS($U$1006:AC1006),$U$1006:$AC$1006,0)))),"Fix")))</f>
        <v>0</v>
      </c>
      <c r="N802">
        <v>0</v>
      </c>
      <c r="O802">
        <v>0</v>
      </c>
      <c r="P802">
        <v>0</v>
      </c>
      <c r="Q802">
        <f>IF(R802,TRUE,AND(U802:AC802))</f>
        <v>0</v>
      </c>
      <c r="R802">
        <f>COUNTBLANK(metadata!B802:J802)=COLUMNS(metadata!B802:J802)</f>
        <v>0</v>
      </c>
      <c r="S802">
        <v>0</v>
      </c>
      <c r="U802">
        <f>AND(IF(metadata!B802="",FALSE,TRUE),COUNTIF(metadata!B:B, metadata!B802) = 1,NOT(ISERROR(SUMPRODUCT(SEARCH(MID(metadata!B802,ROW(INDIRECT("1:"&amp;LEN(metadata!B802))), 1),"0123456789abcdefghijklmnopqrstuvwxyzABCDEFGHIJKLMNOPQRSTUVWXYZ.")))))</f>
        <v>0</v>
      </c>
      <c r="V802">
        <f>AND(IF(metadata!C802="",FALSE,TRUE),exact(metadata!C802,"UBERON:genitourinary"))</f>
        <v>0</v>
      </c>
      <c r="W802">
        <f>AND(IF(metadata!D802="",FALSE,TRUE),exact(metadata!D802,"UBERON:urine"))</f>
        <v>0</v>
      </c>
      <c r="X802">
        <f>AND(IF(metadata!E802="",FALSE,TRUE),exact(metadata!E802,"UBERON:kidney"))</f>
        <v>0</v>
      </c>
      <c r="Y802">
        <f>AND(IF(metadata!F802="",FALSE,TRUE),exact(metadata!F802,"animal corpus"))</f>
        <v>0</v>
      </c>
      <c r="Z802">
        <f>AND(IF(metadata!G802="",FALSE,TRUE),exact(metadata!G802,"urine"))</f>
        <v>0</v>
      </c>
      <c r="AA802">
        <f>AND(IF(metadata!H802="",FALSE,TRUE),exact(metadata!H802,"urine"))</f>
        <v>0</v>
      </c>
      <c r="AB802">
        <f>AND(IF(metadata!I802="",FALSE,TRUE),exact(metadata!I802,"urine metagenome"))</f>
        <v>0</v>
      </c>
      <c r="AC802">
        <f>AND(IF(metadata!J802="",FALSE,TRUE),exact(metadata!J802,"1346744"))</f>
        <v>0</v>
      </c>
    </row>
    <row r="803" spans="1:29">
      <c r="A803" s="4">
        <f>IF(B803=" "," ",HYPERLINK(CONCATENATE("#metadata!",ADDRESS(INDEX($P$2:$P$1001,MATCH(ROWS($N$2:N803),$N$2:$N$1001,0),0),1)),INDEX($S$2:$S$1001,MATCH(ROWS($N$2:N803),$N$2:$N$1001,0),0)))</f>
        <v>0</v>
      </c>
      <c r="B803" s="3">
        <f>IF(OR(INDEX($O$2:$O$1001,MATCH(ROWS($N$2:N803),$N$2:$N$1001,0),1)&gt;=100000,INDEX($U$1005:$AC$1005,1,MATCH(COLUMNS($U$1006:U1006),$U$1006:$AC$1006,0))&gt;=100000), " ",IF(INDEX($U$2:$AC$1001,MATCH(ROWS($N$2:N803),$N$2:$N$1001,0),MATCH(COLUMNS($U$1006:U1006),$U$1006:$AC$1006,0)), HYPERLINK("#",""), HYPERLINK(CONCATENATE("#metadata!", ADDRESS(INDEX($P$2:$P$1001,MATCH(ROWS($N$2:N803),$N$2:$N$1001,0),0), INDEX($U$1004:$AC$1004,1,MATCH(COLUMNS($U$1006:U1006),$U$1006:$AC$1006,0)))),"Fix")))</f>
        <v>0</v>
      </c>
      <c r="C803" s="3">
        <f>IF(OR(INDEX($O$2:$O$1001,MATCH(ROWS($N$2:N803),$N$2:$N$1001,0),1)&gt;=100000,INDEX($U$1005:$AC$1005,1,MATCH(COLUMNS($U$1006:V1006),$U$1006:$AC$1006,0))&gt;=100000), " ",IF(INDEX($U$2:$AC$1001,MATCH(ROWS($N$2:N803),$N$2:$N$1001,0),MATCH(COLUMNS($U$1006:V1006),$U$1006:$AC$1006,0)), HYPERLINK("#",""), HYPERLINK(CONCATENATE("#metadata!", ADDRESS(INDEX($P$2:$P$1001,MATCH(ROWS($N$2:N803),$N$2:$N$1001,0),0), INDEX($U$1004:$AC$1004,1,MATCH(COLUMNS($U$1006:V1006),$U$1006:$AC$1006,0)))),"Fix")))</f>
        <v>0</v>
      </c>
      <c r="D803" s="3">
        <f>IF(OR(INDEX($O$2:$O$1001,MATCH(ROWS($N$2:N803),$N$2:$N$1001,0),1)&gt;=100000,INDEX($U$1005:$AC$1005,1,MATCH(COLUMNS($U$1006:W1006),$U$1006:$AC$1006,0))&gt;=100000), " ",IF(INDEX($U$2:$AC$1001,MATCH(ROWS($N$2:N803),$N$2:$N$1001,0),MATCH(COLUMNS($U$1006:W1006),$U$1006:$AC$1006,0)), HYPERLINK("#",""), HYPERLINK(CONCATENATE("#metadata!", ADDRESS(INDEX($P$2:$P$1001,MATCH(ROWS($N$2:N803),$N$2:$N$1001,0),0), INDEX($U$1004:$AC$1004,1,MATCH(COLUMNS($U$1006:W1006),$U$1006:$AC$1006,0)))),"Fix")))</f>
        <v>0</v>
      </c>
      <c r="E803" s="3">
        <f>IF(OR(INDEX($O$2:$O$1001,MATCH(ROWS($N$2:N803),$N$2:$N$1001,0),1)&gt;=100000,INDEX($U$1005:$AC$1005,1,MATCH(COLUMNS($U$1006:X1006),$U$1006:$AC$1006,0))&gt;=100000), " ",IF(INDEX($U$2:$AC$1001,MATCH(ROWS($N$2:N803),$N$2:$N$1001,0),MATCH(COLUMNS($U$1006:X1006),$U$1006:$AC$1006,0)), HYPERLINK("#",""), HYPERLINK(CONCATENATE("#metadata!", ADDRESS(INDEX($P$2:$P$1001,MATCH(ROWS($N$2:N803),$N$2:$N$1001,0),0), INDEX($U$1004:$AC$1004,1,MATCH(COLUMNS($U$1006:X1006),$U$1006:$AC$1006,0)))),"Fix")))</f>
        <v>0</v>
      </c>
      <c r="F803" s="3">
        <f>IF(OR(INDEX($O$2:$O$1001,MATCH(ROWS($N$2:N803),$N$2:$N$1001,0),1)&gt;=100000,INDEX($U$1005:$AC$1005,1,MATCH(COLUMNS($U$1006:Y1006),$U$1006:$AC$1006,0))&gt;=100000), " ",IF(INDEX($U$2:$AC$1001,MATCH(ROWS($N$2:N803),$N$2:$N$1001,0),MATCH(COLUMNS($U$1006:Y1006),$U$1006:$AC$1006,0)), HYPERLINK("#",""), HYPERLINK(CONCATENATE("#metadata!", ADDRESS(INDEX($P$2:$P$1001,MATCH(ROWS($N$2:N803),$N$2:$N$1001,0),0), INDEX($U$1004:$AC$1004,1,MATCH(COLUMNS($U$1006:Y1006),$U$1006:$AC$1006,0)))),"Fix")))</f>
        <v>0</v>
      </c>
      <c r="G803" s="3">
        <f>IF(OR(INDEX($O$2:$O$1001,MATCH(ROWS($N$2:N803),$N$2:$N$1001,0),1)&gt;=100000,INDEX($U$1005:$AC$1005,1,MATCH(COLUMNS($U$1006:Z1006),$U$1006:$AC$1006,0))&gt;=100000), " ",IF(INDEX($U$2:$AC$1001,MATCH(ROWS($N$2:N803),$N$2:$N$1001,0),MATCH(COLUMNS($U$1006:Z1006),$U$1006:$AC$1006,0)), HYPERLINK("#",""), HYPERLINK(CONCATENATE("#metadata!", ADDRESS(INDEX($P$2:$P$1001,MATCH(ROWS($N$2:N803),$N$2:$N$1001,0),0), INDEX($U$1004:$AC$1004,1,MATCH(COLUMNS($U$1006:Z1006),$U$1006:$AC$1006,0)))),"Fix")))</f>
        <v>0</v>
      </c>
      <c r="H803" s="3">
        <f>IF(OR(INDEX($O$2:$O$1001,MATCH(ROWS($N$2:N803),$N$2:$N$1001,0),1)&gt;=100000,INDEX($U$1005:$AC$1005,1,MATCH(COLUMNS($U$1006:AA1006),$U$1006:$AC$1006,0))&gt;=100000), " ",IF(INDEX($U$2:$AC$1001,MATCH(ROWS($N$2:N803),$N$2:$N$1001,0),MATCH(COLUMNS($U$1006:AA1006),$U$1006:$AC$1006,0)), HYPERLINK("#",""), HYPERLINK(CONCATENATE("#metadata!", ADDRESS(INDEX($P$2:$P$1001,MATCH(ROWS($N$2:N803),$N$2:$N$1001,0),0), INDEX($U$1004:$AC$1004,1,MATCH(COLUMNS($U$1006:AA1006),$U$1006:$AC$1006,0)))),"Fix")))</f>
        <v>0</v>
      </c>
      <c r="I803" s="3">
        <f>IF(OR(INDEX($O$2:$O$1001,MATCH(ROWS($N$2:N803),$N$2:$N$1001,0),1)&gt;=100000,INDEX($U$1005:$AC$1005,1,MATCH(COLUMNS($U$1006:AB1006),$U$1006:$AC$1006,0))&gt;=100000), " ",IF(INDEX($U$2:$AC$1001,MATCH(ROWS($N$2:N803),$N$2:$N$1001,0),MATCH(COLUMNS($U$1006:AB1006),$U$1006:$AC$1006,0)), HYPERLINK("#",""), HYPERLINK(CONCATENATE("#metadata!", ADDRESS(INDEX($P$2:$P$1001,MATCH(ROWS($N$2:N803),$N$2:$N$1001,0),0), INDEX($U$1004:$AC$1004,1,MATCH(COLUMNS($U$1006:AB1006),$U$1006:$AC$1006,0)))),"Fix")))</f>
        <v>0</v>
      </c>
      <c r="J803" s="3">
        <f>IF(OR(INDEX($O$2:$O$1001,MATCH(ROWS($N$2:N803),$N$2:$N$1001,0),1)&gt;=100000,INDEX($U$1005:$AC$1005,1,MATCH(COLUMNS($U$1006:AC1006),$U$1006:$AC$1006,0))&gt;=100000), " ",IF(INDEX($U$2:$AC$1001,MATCH(ROWS($N$2:N803),$N$2:$N$1001,0),MATCH(COLUMNS($U$1006:AC1006),$U$1006:$AC$1006,0)), HYPERLINK("#",""), HYPERLINK(CONCATENATE("#metadata!", ADDRESS(INDEX($P$2:$P$1001,MATCH(ROWS($N$2:N803),$N$2:$N$1001,0),0), INDEX($U$1004:$AC$1004,1,MATCH(COLUMNS($U$1006:AC1006),$U$1006:$AC$1006,0)))),"Fix")))</f>
        <v>0</v>
      </c>
      <c r="N803">
        <v>0</v>
      </c>
      <c r="O803">
        <v>0</v>
      </c>
      <c r="P803">
        <v>0</v>
      </c>
      <c r="Q803">
        <f>IF(R803,TRUE,AND(U803:AC803))</f>
        <v>0</v>
      </c>
      <c r="R803">
        <f>COUNTBLANK(metadata!B803:J803)=COLUMNS(metadata!B803:J803)</f>
        <v>0</v>
      </c>
      <c r="S803">
        <v>0</v>
      </c>
      <c r="U803">
        <f>AND(IF(metadata!B803="",FALSE,TRUE),COUNTIF(metadata!B:B, metadata!B803) = 1,NOT(ISERROR(SUMPRODUCT(SEARCH(MID(metadata!B803,ROW(INDIRECT("1:"&amp;LEN(metadata!B803))), 1),"0123456789abcdefghijklmnopqrstuvwxyzABCDEFGHIJKLMNOPQRSTUVWXYZ.")))))</f>
        <v>0</v>
      </c>
      <c r="V803">
        <f>AND(IF(metadata!C803="",FALSE,TRUE),exact(metadata!C803,"UBERON:genitourinary"))</f>
        <v>0</v>
      </c>
      <c r="W803">
        <f>AND(IF(metadata!D803="",FALSE,TRUE),exact(metadata!D803,"UBERON:urine"))</f>
        <v>0</v>
      </c>
      <c r="X803">
        <f>AND(IF(metadata!E803="",FALSE,TRUE),exact(metadata!E803,"UBERON:kidney"))</f>
        <v>0</v>
      </c>
      <c r="Y803">
        <f>AND(IF(metadata!F803="",FALSE,TRUE),exact(metadata!F803,"animal corpus"))</f>
        <v>0</v>
      </c>
      <c r="Z803">
        <f>AND(IF(metadata!G803="",FALSE,TRUE),exact(metadata!G803,"urine"))</f>
        <v>0</v>
      </c>
      <c r="AA803">
        <f>AND(IF(metadata!H803="",FALSE,TRUE),exact(metadata!H803,"urine"))</f>
        <v>0</v>
      </c>
      <c r="AB803">
        <f>AND(IF(metadata!I803="",FALSE,TRUE),exact(metadata!I803,"urine metagenome"))</f>
        <v>0</v>
      </c>
      <c r="AC803">
        <f>AND(IF(metadata!J803="",FALSE,TRUE),exact(metadata!J803,"1346744"))</f>
        <v>0</v>
      </c>
    </row>
    <row r="804" spans="1:29">
      <c r="A804" s="4">
        <f>IF(B804=" "," ",HYPERLINK(CONCATENATE("#metadata!",ADDRESS(INDEX($P$2:$P$1001,MATCH(ROWS($N$2:N804),$N$2:$N$1001,0),0),1)),INDEX($S$2:$S$1001,MATCH(ROWS($N$2:N804),$N$2:$N$1001,0),0)))</f>
        <v>0</v>
      </c>
      <c r="B804" s="3">
        <f>IF(OR(INDEX($O$2:$O$1001,MATCH(ROWS($N$2:N804),$N$2:$N$1001,0),1)&gt;=100000,INDEX($U$1005:$AC$1005,1,MATCH(COLUMNS($U$1006:U1006),$U$1006:$AC$1006,0))&gt;=100000), " ",IF(INDEX($U$2:$AC$1001,MATCH(ROWS($N$2:N804),$N$2:$N$1001,0),MATCH(COLUMNS($U$1006:U1006),$U$1006:$AC$1006,0)), HYPERLINK("#",""), HYPERLINK(CONCATENATE("#metadata!", ADDRESS(INDEX($P$2:$P$1001,MATCH(ROWS($N$2:N804),$N$2:$N$1001,0),0), INDEX($U$1004:$AC$1004,1,MATCH(COLUMNS($U$1006:U1006),$U$1006:$AC$1006,0)))),"Fix")))</f>
        <v>0</v>
      </c>
      <c r="C804" s="3">
        <f>IF(OR(INDEX($O$2:$O$1001,MATCH(ROWS($N$2:N804),$N$2:$N$1001,0),1)&gt;=100000,INDEX($U$1005:$AC$1005,1,MATCH(COLUMNS($U$1006:V1006),$U$1006:$AC$1006,0))&gt;=100000), " ",IF(INDEX($U$2:$AC$1001,MATCH(ROWS($N$2:N804),$N$2:$N$1001,0),MATCH(COLUMNS($U$1006:V1006),$U$1006:$AC$1006,0)), HYPERLINK("#",""), HYPERLINK(CONCATENATE("#metadata!", ADDRESS(INDEX($P$2:$P$1001,MATCH(ROWS($N$2:N804),$N$2:$N$1001,0),0), INDEX($U$1004:$AC$1004,1,MATCH(COLUMNS($U$1006:V1006),$U$1006:$AC$1006,0)))),"Fix")))</f>
        <v>0</v>
      </c>
      <c r="D804" s="3">
        <f>IF(OR(INDEX($O$2:$O$1001,MATCH(ROWS($N$2:N804),$N$2:$N$1001,0),1)&gt;=100000,INDEX($U$1005:$AC$1005,1,MATCH(COLUMNS($U$1006:W1006),$U$1006:$AC$1006,0))&gt;=100000), " ",IF(INDEX($U$2:$AC$1001,MATCH(ROWS($N$2:N804),$N$2:$N$1001,0),MATCH(COLUMNS($U$1006:W1006),$U$1006:$AC$1006,0)), HYPERLINK("#",""), HYPERLINK(CONCATENATE("#metadata!", ADDRESS(INDEX($P$2:$P$1001,MATCH(ROWS($N$2:N804),$N$2:$N$1001,0),0), INDEX($U$1004:$AC$1004,1,MATCH(COLUMNS($U$1006:W1006),$U$1006:$AC$1006,0)))),"Fix")))</f>
        <v>0</v>
      </c>
      <c r="E804" s="3">
        <f>IF(OR(INDEX($O$2:$O$1001,MATCH(ROWS($N$2:N804),$N$2:$N$1001,0),1)&gt;=100000,INDEX($U$1005:$AC$1005,1,MATCH(COLUMNS($U$1006:X1006),$U$1006:$AC$1006,0))&gt;=100000), " ",IF(INDEX($U$2:$AC$1001,MATCH(ROWS($N$2:N804),$N$2:$N$1001,0),MATCH(COLUMNS($U$1006:X1006),$U$1006:$AC$1006,0)), HYPERLINK("#",""), HYPERLINK(CONCATENATE("#metadata!", ADDRESS(INDEX($P$2:$P$1001,MATCH(ROWS($N$2:N804),$N$2:$N$1001,0),0), INDEX($U$1004:$AC$1004,1,MATCH(COLUMNS($U$1006:X1006),$U$1006:$AC$1006,0)))),"Fix")))</f>
        <v>0</v>
      </c>
      <c r="F804" s="3">
        <f>IF(OR(INDEX($O$2:$O$1001,MATCH(ROWS($N$2:N804),$N$2:$N$1001,0),1)&gt;=100000,INDEX($U$1005:$AC$1005,1,MATCH(COLUMNS($U$1006:Y1006),$U$1006:$AC$1006,0))&gt;=100000), " ",IF(INDEX($U$2:$AC$1001,MATCH(ROWS($N$2:N804),$N$2:$N$1001,0),MATCH(COLUMNS($U$1006:Y1006),$U$1006:$AC$1006,0)), HYPERLINK("#",""), HYPERLINK(CONCATENATE("#metadata!", ADDRESS(INDEX($P$2:$P$1001,MATCH(ROWS($N$2:N804),$N$2:$N$1001,0),0), INDEX($U$1004:$AC$1004,1,MATCH(COLUMNS($U$1006:Y1006),$U$1006:$AC$1006,0)))),"Fix")))</f>
        <v>0</v>
      </c>
      <c r="G804" s="3">
        <f>IF(OR(INDEX($O$2:$O$1001,MATCH(ROWS($N$2:N804),$N$2:$N$1001,0),1)&gt;=100000,INDEX($U$1005:$AC$1005,1,MATCH(COLUMNS($U$1006:Z1006),$U$1006:$AC$1006,0))&gt;=100000), " ",IF(INDEX($U$2:$AC$1001,MATCH(ROWS($N$2:N804),$N$2:$N$1001,0),MATCH(COLUMNS($U$1006:Z1006),$U$1006:$AC$1006,0)), HYPERLINK("#",""), HYPERLINK(CONCATENATE("#metadata!", ADDRESS(INDEX($P$2:$P$1001,MATCH(ROWS($N$2:N804),$N$2:$N$1001,0),0), INDEX($U$1004:$AC$1004,1,MATCH(COLUMNS($U$1006:Z1006),$U$1006:$AC$1006,0)))),"Fix")))</f>
        <v>0</v>
      </c>
      <c r="H804" s="3">
        <f>IF(OR(INDEX($O$2:$O$1001,MATCH(ROWS($N$2:N804),$N$2:$N$1001,0),1)&gt;=100000,INDEX($U$1005:$AC$1005,1,MATCH(COLUMNS($U$1006:AA1006),$U$1006:$AC$1006,0))&gt;=100000), " ",IF(INDEX($U$2:$AC$1001,MATCH(ROWS($N$2:N804),$N$2:$N$1001,0),MATCH(COLUMNS($U$1006:AA1006),$U$1006:$AC$1006,0)), HYPERLINK("#",""), HYPERLINK(CONCATENATE("#metadata!", ADDRESS(INDEX($P$2:$P$1001,MATCH(ROWS($N$2:N804),$N$2:$N$1001,0),0), INDEX($U$1004:$AC$1004,1,MATCH(COLUMNS($U$1006:AA1006),$U$1006:$AC$1006,0)))),"Fix")))</f>
        <v>0</v>
      </c>
      <c r="I804" s="3">
        <f>IF(OR(INDEX($O$2:$O$1001,MATCH(ROWS($N$2:N804),$N$2:$N$1001,0),1)&gt;=100000,INDEX($U$1005:$AC$1005,1,MATCH(COLUMNS($U$1006:AB1006),$U$1006:$AC$1006,0))&gt;=100000), " ",IF(INDEX($U$2:$AC$1001,MATCH(ROWS($N$2:N804),$N$2:$N$1001,0),MATCH(COLUMNS($U$1006:AB1006),$U$1006:$AC$1006,0)), HYPERLINK("#",""), HYPERLINK(CONCATENATE("#metadata!", ADDRESS(INDEX($P$2:$P$1001,MATCH(ROWS($N$2:N804),$N$2:$N$1001,0),0), INDEX($U$1004:$AC$1004,1,MATCH(COLUMNS($U$1006:AB1006),$U$1006:$AC$1006,0)))),"Fix")))</f>
        <v>0</v>
      </c>
      <c r="J804" s="3">
        <f>IF(OR(INDEX($O$2:$O$1001,MATCH(ROWS($N$2:N804),$N$2:$N$1001,0),1)&gt;=100000,INDEX($U$1005:$AC$1005,1,MATCH(COLUMNS($U$1006:AC1006),$U$1006:$AC$1006,0))&gt;=100000), " ",IF(INDEX($U$2:$AC$1001,MATCH(ROWS($N$2:N804),$N$2:$N$1001,0),MATCH(COLUMNS($U$1006:AC1006),$U$1006:$AC$1006,0)), HYPERLINK("#",""), HYPERLINK(CONCATENATE("#metadata!", ADDRESS(INDEX($P$2:$P$1001,MATCH(ROWS($N$2:N804),$N$2:$N$1001,0),0), INDEX($U$1004:$AC$1004,1,MATCH(COLUMNS($U$1006:AC1006),$U$1006:$AC$1006,0)))),"Fix")))</f>
        <v>0</v>
      </c>
      <c r="N804">
        <v>0</v>
      </c>
      <c r="O804">
        <v>0</v>
      </c>
      <c r="P804">
        <v>0</v>
      </c>
      <c r="Q804">
        <f>IF(R804,TRUE,AND(U804:AC804))</f>
        <v>0</v>
      </c>
      <c r="R804">
        <f>COUNTBLANK(metadata!B804:J804)=COLUMNS(metadata!B804:J804)</f>
        <v>0</v>
      </c>
      <c r="S804">
        <v>0</v>
      </c>
      <c r="U804">
        <f>AND(IF(metadata!B804="",FALSE,TRUE),COUNTIF(metadata!B:B, metadata!B804) = 1,NOT(ISERROR(SUMPRODUCT(SEARCH(MID(metadata!B804,ROW(INDIRECT("1:"&amp;LEN(metadata!B804))), 1),"0123456789abcdefghijklmnopqrstuvwxyzABCDEFGHIJKLMNOPQRSTUVWXYZ.")))))</f>
        <v>0</v>
      </c>
      <c r="V804">
        <f>AND(IF(metadata!C804="",FALSE,TRUE),exact(metadata!C804,"UBERON:genitourinary"))</f>
        <v>0</v>
      </c>
      <c r="W804">
        <f>AND(IF(metadata!D804="",FALSE,TRUE),exact(metadata!D804,"UBERON:urine"))</f>
        <v>0</v>
      </c>
      <c r="X804">
        <f>AND(IF(metadata!E804="",FALSE,TRUE),exact(metadata!E804,"UBERON:kidney"))</f>
        <v>0</v>
      </c>
      <c r="Y804">
        <f>AND(IF(metadata!F804="",FALSE,TRUE),exact(metadata!F804,"animal corpus"))</f>
        <v>0</v>
      </c>
      <c r="Z804">
        <f>AND(IF(metadata!G804="",FALSE,TRUE),exact(metadata!G804,"urine"))</f>
        <v>0</v>
      </c>
      <c r="AA804">
        <f>AND(IF(metadata!H804="",FALSE,TRUE),exact(metadata!H804,"urine"))</f>
        <v>0</v>
      </c>
      <c r="AB804">
        <f>AND(IF(metadata!I804="",FALSE,TRUE),exact(metadata!I804,"urine metagenome"))</f>
        <v>0</v>
      </c>
      <c r="AC804">
        <f>AND(IF(metadata!J804="",FALSE,TRUE),exact(metadata!J804,"1346744"))</f>
        <v>0</v>
      </c>
    </row>
    <row r="805" spans="1:29">
      <c r="A805" s="4">
        <f>IF(B805=" "," ",HYPERLINK(CONCATENATE("#metadata!",ADDRESS(INDEX($P$2:$P$1001,MATCH(ROWS($N$2:N805),$N$2:$N$1001,0),0),1)),INDEX($S$2:$S$1001,MATCH(ROWS($N$2:N805),$N$2:$N$1001,0),0)))</f>
        <v>0</v>
      </c>
      <c r="B805" s="3">
        <f>IF(OR(INDEX($O$2:$O$1001,MATCH(ROWS($N$2:N805),$N$2:$N$1001,0),1)&gt;=100000,INDEX($U$1005:$AC$1005,1,MATCH(COLUMNS($U$1006:U1006),$U$1006:$AC$1006,0))&gt;=100000), " ",IF(INDEX($U$2:$AC$1001,MATCH(ROWS($N$2:N805),$N$2:$N$1001,0),MATCH(COLUMNS($U$1006:U1006),$U$1006:$AC$1006,0)), HYPERLINK("#",""), HYPERLINK(CONCATENATE("#metadata!", ADDRESS(INDEX($P$2:$P$1001,MATCH(ROWS($N$2:N805),$N$2:$N$1001,0),0), INDEX($U$1004:$AC$1004,1,MATCH(COLUMNS($U$1006:U1006),$U$1006:$AC$1006,0)))),"Fix")))</f>
        <v>0</v>
      </c>
      <c r="C805" s="3">
        <f>IF(OR(INDEX($O$2:$O$1001,MATCH(ROWS($N$2:N805),$N$2:$N$1001,0),1)&gt;=100000,INDEX($U$1005:$AC$1005,1,MATCH(COLUMNS($U$1006:V1006),$U$1006:$AC$1006,0))&gt;=100000), " ",IF(INDEX($U$2:$AC$1001,MATCH(ROWS($N$2:N805),$N$2:$N$1001,0),MATCH(COLUMNS($U$1006:V1006),$U$1006:$AC$1006,0)), HYPERLINK("#",""), HYPERLINK(CONCATENATE("#metadata!", ADDRESS(INDEX($P$2:$P$1001,MATCH(ROWS($N$2:N805),$N$2:$N$1001,0),0), INDEX($U$1004:$AC$1004,1,MATCH(COLUMNS($U$1006:V1006),$U$1006:$AC$1006,0)))),"Fix")))</f>
        <v>0</v>
      </c>
      <c r="D805" s="3">
        <f>IF(OR(INDEX($O$2:$O$1001,MATCH(ROWS($N$2:N805),$N$2:$N$1001,0),1)&gt;=100000,INDEX($U$1005:$AC$1005,1,MATCH(COLUMNS($U$1006:W1006),$U$1006:$AC$1006,0))&gt;=100000), " ",IF(INDEX($U$2:$AC$1001,MATCH(ROWS($N$2:N805),$N$2:$N$1001,0),MATCH(COLUMNS($U$1006:W1006),$U$1006:$AC$1006,0)), HYPERLINK("#",""), HYPERLINK(CONCATENATE("#metadata!", ADDRESS(INDEX($P$2:$P$1001,MATCH(ROWS($N$2:N805),$N$2:$N$1001,0),0), INDEX($U$1004:$AC$1004,1,MATCH(COLUMNS($U$1006:W1006),$U$1006:$AC$1006,0)))),"Fix")))</f>
        <v>0</v>
      </c>
      <c r="E805" s="3">
        <f>IF(OR(INDEX($O$2:$O$1001,MATCH(ROWS($N$2:N805),$N$2:$N$1001,0),1)&gt;=100000,INDEX($U$1005:$AC$1005,1,MATCH(COLUMNS($U$1006:X1006),$U$1006:$AC$1006,0))&gt;=100000), " ",IF(INDEX($U$2:$AC$1001,MATCH(ROWS($N$2:N805),$N$2:$N$1001,0),MATCH(COLUMNS($U$1006:X1006),$U$1006:$AC$1006,0)), HYPERLINK("#",""), HYPERLINK(CONCATENATE("#metadata!", ADDRESS(INDEX($P$2:$P$1001,MATCH(ROWS($N$2:N805),$N$2:$N$1001,0),0), INDEX($U$1004:$AC$1004,1,MATCH(COLUMNS($U$1006:X1006),$U$1006:$AC$1006,0)))),"Fix")))</f>
        <v>0</v>
      </c>
      <c r="F805" s="3">
        <f>IF(OR(INDEX($O$2:$O$1001,MATCH(ROWS($N$2:N805),$N$2:$N$1001,0),1)&gt;=100000,INDEX($U$1005:$AC$1005,1,MATCH(COLUMNS($U$1006:Y1006),$U$1006:$AC$1006,0))&gt;=100000), " ",IF(INDEX($U$2:$AC$1001,MATCH(ROWS($N$2:N805),$N$2:$N$1001,0),MATCH(COLUMNS($U$1006:Y1006),$U$1006:$AC$1006,0)), HYPERLINK("#",""), HYPERLINK(CONCATENATE("#metadata!", ADDRESS(INDEX($P$2:$P$1001,MATCH(ROWS($N$2:N805),$N$2:$N$1001,0),0), INDEX($U$1004:$AC$1004,1,MATCH(COLUMNS($U$1006:Y1006),$U$1006:$AC$1006,0)))),"Fix")))</f>
        <v>0</v>
      </c>
      <c r="G805" s="3">
        <f>IF(OR(INDEX($O$2:$O$1001,MATCH(ROWS($N$2:N805),$N$2:$N$1001,0),1)&gt;=100000,INDEX($U$1005:$AC$1005,1,MATCH(COLUMNS($U$1006:Z1006),$U$1006:$AC$1006,0))&gt;=100000), " ",IF(INDEX($U$2:$AC$1001,MATCH(ROWS($N$2:N805),$N$2:$N$1001,0),MATCH(COLUMNS($U$1006:Z1006),$U$1006:$AC$1006,0)), HYPERLINK("#",""), HYPERLINK(CONCATENATE("#metadata!", ADDRESS(INDEX($P$2:$P$1001,MATCH(ROWS($N$2:N805),$N$2:$N$1001,0),0), INDEX($U$1004:$AC$1004,1,MATCH(COLUMNS($U$1006:Z1006),$U$1006:$AC$1006,0)))),"Fix")))</f>
        <v>0</v>
      </c>
      <c r="H805" s="3">
        <f>IF(OR(INDEX($O$2:$O$1001,MATCH(ROWS($N$2:N805),$N$2:$N$1001,0),1)&gt;=100000,INDEX($U$1005:$AC$1005,1,MATCH(COLUMNS($U$1006:AA1006),$U$1006:$AC$1006,0))&gt;=100000), " ",IF(INDEX($U$2:$AC$1001,MATCH(ROWS($N$2:N805),$N$2:$N$1001,0),MATCH(COLUMNS($U$1006:AA1006),$U$1006:$AC$1006,0)), HYPERLINK("#",""), HYPERLINK(CONCATENATE("#metadata!", ADDRESS(INDEX($P$2:$P$1001,MATCH(ROWS($N$2:N805),$N$2:$N$1001,0),0), INDEX($U$1004:$AC$1004,1,MATCH(COLUMNS($U$1006:AA1006),$U$1006:$AC$1006,0)))),"Fix")))</f>
        <v>0</v>
      </c>
      <c r="I805" s="3">
        <f>IF(OR(INDEX($O$2:$O$1001,MATCH(ROWS($N$2:N805),$N$2:$N$1001,0),1)&gt;=100000,INDEX($U$1005:$AC$1005,1,MATCH(COLUMNS($U$1006:AB1006),$U$1006:$AC$1006,0))&gt;=100000), " ",IF(INDEX($U$2:$AC$1001,MATCH(ROWS($N$2:N805),$N$2:$N$1001,0),MATCH(COLUMNS($U$1006:AB1006),$U$1006:$AC$1006,0)), HYPERLINK("#",""), HYPERLINK(CONCATENATE("#metadata!", ADDRESS(INDEX($P$2:$P$1001,MATCH(ROWS($N$2:N805),$N$2:$N$1001,0),0), INDEX($U$1004:$AC$1004,1,MATCH(COLUMNS($U$1006:AB1006),$U$1006:$AC$1006,0)))),"Fix")))</f>
        <v>0</v>
      </c>
      <c r="J805" s="3">
        <f>IF(OR(INDEX($O$2:$O$1001,MATCH(ROWS($N$2:N805),$N$2:$N$1001,0),1)&gt;=100000,INDEX($U$1005:$AC$1005,1,MATCH(COLUMNS($U$1006:AC1006),$U$1006:$AC$1006,0))&gt;=100000), " ",IF(INDEX($U$2:$AC$1001,MATCH(ROWS($N$2:N805),$N$2:$N$1001,0),MATCH(COLUMNS($U$1006:AC1006),$U$1006:$AC$1006,0)), HYPERLINK("#",""), HYPERLINK(CONCATENATE("#metadata!", ADDRESS(INDEX($P$2:$P$1001,MATCH(ROWS($N$2:N805),$N$2:$N$1001,0),0), INDEX($U$1004:$AC$1004,1,MATCH(COLUMNS($U$1006:AC1006),$U$1006:$AC$1006,0)))),"Fix")))</f>
        <v>0</v>
      </c>
      <c r="N805">
        <v>0</v>
      </c>
      <c r="O805">
        <v>0</v>
      </c>
      <c r="P805">
        <v>0</v>
      </c>
      <c r="Q805">
        <f>IF(R805,TRUE,AND(U805:AC805))</f>
        <v>0</v>
      </c>
      <c r="R805">
        <f>COUNTBLANK(metadata!B805:J805)=COLUMNS(metadata!B805:J805)</f>
        <v>0</v>
      </c>
      <c r="S805">
        <v>0</v>
      </c>
      <c r="U805">
        <f>AND(IF(metadata!B805="",FALSE,TRUE),COUNTIF(metadata!B:B, metadata!B805) = 1,NOT(ISERROR(SUMPRODUCT(SEARCH(MID(metadata!B805,ROW(INDIRECT("1:"&amp;LEN(metadata!B805))), 1),"0123456789abcdefghijklmnopqrstuvwxyzABCDEFGHIJKLMNOPQRSTUVWXYZ.")))))</f>
        <v>0</v>
      </c>
      <c r="V805">
        <f>AND(IF(metadata!C805="",FALSE,TRUE),exact(metadata!C805,"UBERON:genitourinary"))</f>
        <v>0</v>
      </c>
      <c r="W805">
        <f>AND(IF(metadata!D805="",FALSE,TRUE),exact(metadata!D805,"UBERON:urine"))</f>
        <v>0</v>
      </c>
      <c r="X805">
        <f>AND(IF(metadata!E805="",FALSE,TRUE),exact(metadata!E805,"UBERON:kidney"))</f>
        <v>0</v>
      </c>
      <c r="Y805">
        <f>AND(IF(metadata!F805="",FALSE,TRUE),exact(metadata!F805,"animal corpus"))</f>
        <v>0</v>
      </c>
      <c r="Z805">
        <f>AND(IF(metadata!G805="",FALSE,TRUE),exact(metadata!G805,"urine"))</f>
        <v>0</v>
      </c>
      <c r="AA805">
        <f>AND(IF(metadata!H805="",FALSE,TRUE),exact(metadata!H805,"urine"))</f>
        <v>0</v>
      </c>
      <c r="AB805">
        <f>AND(IF(metadata!I805="",FALSE,TRUE),exact(metadata!I805,"urine metagenome"))</f>
        <v>0</v>
      </c>
      <c r="AC805">
        <f>AND(IF(metadata!J805="",FALSE,TRUE),exact(metadata!J805,"1346744"))</f>
        <v>0</v>
      </c>
    </row>
    <row r="806" spans="1:29">
      <c r="A806" s="4">
        <f>IF(B806=" "," ",HYPERLINK(CONCATENATE("#metadata!",ADDRESS(INDEX($P$2:$P$1001,MATCH(ROWS($N$2:N806),$N$2:$N$1001,0),0),1)),INDEX($S$2:$S$1001,MATCH(ROWS($N$2:N806),$N$2:$N$1001,0),0)))</f>
        <v>0</v>
      </c>
      <c r="B806" s="3">
        <f>IF(OR(INDEX($O$2:$O$1001,MATCH(ROWS($N$2:N806),$N$2:$N$1001,0),1)&gt;=100000,INDEX($U$1005:$AC$1005,1,MATCH(COLUMNS($U$1006:U1006),$U$1006:$AC$1006,0))&gt;=100000), " ",IF(INDEX($U$2:$AC$1001,MATCH(ROWS($N$2:N806),$N$2:$N$1001,0),MATCH(COLUMNS($U$1006:U1006),$U$1006:$AC$1006,0)), HYPERLINK("#",""), HYPERLINK(CONCATENATE("#metadata!", ADDRESS(INDEX($P$2:$P$1001,MATCH(ROWS($N$2:N806),$N$2:$N$1001,0),0), INDEX($U$1004:$AC$1004,1,MATCH(COLUMNS($U$1006:U1006),$U$1006:$AC$1006,0)))),"Fix")))</f>
        <v>0</v>
      </c>
      <c r="C806" s="3">
        <f>IF(OR(INDEX($O$2:$O$1001,MATCH(ROWS($N$2:N806),$N$2:$N$1001,0),1)&gt;=100000,INDEX($U$1005:$AC$1005,1,MATCH(COLUMNS($U$1006:V1006),$U$1006:$AC$1006,0))&gt;=100000), " ",IF(INDEX($U$2:$AC$1001,MATCH(ROWS($N$2:N806),$N$2:$N$1001,0),MATCH(COLUMNS($U$1006:V1006),$U$1006:$AC$1006,0)), HYPERLINK("#",""), HYPERLINK(CONCATENATE("#metadata!", ADDRESS(INDEX($P$2:$P$1001,MATCH(ROWS($N$2:N806),$N$2:$N$1001,0),0), INDEX($U$1004:$AC$1004,1,MATCH(COLUMNS($U$1006:V1006),$U$1006:$AC$1006,0)))),"Fix")))</f>
        <v>0</v>
      </c>
      <c r="D806" s="3">
        <f>IF(OR(INDEX($O$2:$O$1001,MATCH(ROWS($N$2:N806),$N$2:$N$1001,0),1)&gt;=100000,INDEX($U$1005:$AC$1005,1,MATCH(COLUMNS($U$1006:W1006),$U$1006:$AC$1006,0))&gt;=100000), " ",IF(INDEX($U$2:$AC$1001,MATCH(ROWS($N$2:N806),$N$2:$N$1001,0),MATCH(COLUMNS($U$1006:W1006),$U$1006:$AC$1006,0)), HYPERLINK("#",""), HYPERLINK(CONCATENATE("#metadata!", ADDRESS(INDEX($P$2:$P$1001,MATCH(ROWS($N$2:N806),$N$2:$N$1001,0),0), INDEX($U$1004:$AC$1004,1,MATCH(COLUMNS($U$1006:W1006),$U$1006:$AC$1006,0)))),"Fix")))</f>
        <v>0</v>
      </c>
      <c r="E806" s="3">
        <f>IF(OR(INDEX($O$2:$O$1001,MATCH(ROWS($N$2:N806),$N$2:$N$1001,0),1)&gt;=100000,INDEX($U$1005:$AC$1005,1,MATCH(COLUMNS($U$1006:X1006),$U$1006:$AC$1006,0))&gt;=100000), " ",IF(INDEX($U$2:$AC$1001,MATCH(ROWS($N$2:N806),$N$2:$N$1001,0),MATCH(COLUMNS($U$1006:X1006),$U$1006:$AC$1006,0)), HYPERLINK("#",""), HYPERLINK(CONCATENATE("#metadata!", ADDRESS(INDEX($P$2:$P$1001,MATCH(ROWS($N$2:N806),$N$2:$N$1001,0),0), INDEX($U$1004:$AC$1004,1,MATCH(COLUMNS($U$1006:X1006),$U$1006:$AC$1006,0)))),"Fix")))</f>
        <v>0</v>
      </c>
      <c r="F806" s="3">
        <f>IF(OR(INDEX($O$2:$O$1001,MATCH(ROWS($N$2:N806),$N$2:$N$1001,0),1)&gt;=100000,INDEX($U$1005:$AC$1005,1,MATCH(COLUMNS($U$1006:Y1006),$U$1006:$AC$1006,0))&gt;=100000), " ",IF(INDEX($U$2:$AC$1001,MATCH(ROWS($N$2:N806),$N$2:$N$1001,0),MATCH(COLUMNS($U$1006:Y1006),$U$1006:$AC$1006,0)), HYPERLINK("#",""), HYPERLINK(CONCATENATE("#metadata!", ADDRESS(INDEX($P$2:$P$1001,MATCH(ROWS($N$2:N806),$N$2:$N$1001,0),0), INDEX($U$1004:$AC$1004,1,MATCH(COLUMNS($U$1006:Y1006),$U$1006:$AC$1006,0)))),"Fix")))</f>
        <v>0</v>
      </c>
      <c r="G806" s="3">
        <f>IF(OR(INDEX($O$2:$O$1001,MATCH(ROWS($N$2:N806),$N$2:$N$1001,0),1)&gt;=100000,INDEX($U$1005:$AC$1005,1,MATCH(COLUMNS($U$1006:Z1006),$U$1006:$AC$1006,0))&gt;=100000), " ",IF(INDEX($U$2:$AC$1001,MATCH(ROWS($N$2:N806),$N$2:$N$1001,0),MATCH(COLUMNS($U$1006:Z1006),$U$1006:$AC$1006,0)), HYPERLINK("#",""), HYPERLINK(CONCATENATE("#metadata!", ADDRESS(INDEX($P$2:$P$1001,MATCH(ROWS($N$2:N806),$N$2:$N$1001,0),0), INDEX($U$1004:$AC$1004,1,MATCH(COLUMNS($U$1006:Z1006),$U$1006:$AC$1006,0)))),"Fix")))</f>
        <v>0</v>
      </c>
      <c r="H806" s="3">
        <f>IF(OR(INDEX($O$2:$O$1001,MATCH(ROWS($N$2:N806),$N$2:$N$1001,0),1)&gt;=100000,INDEX($U$1005:$AC$1005,1,MATCH(COLUMNS($U$1006:AA1006),$U$1006:$AC$1006,0))&gt;=100000), " ",IF(INDEX($U$2:$AC$1001,MATCH(ROWS($N$2:N806),$N$2:$N$1001,0),MATCH(COLUMNS($U$1006:AA1006),$U$1006:$AC$1006,0)), HYPERLINK("#",""), HYPERLINK(CONCATENATE("#metadata!", ADDRESS(INDEX($P$2:$P$1001,MATCH(ROWS($N$2:N806),$N$2:$N$1001,0),0), INDEX($U$1004:$AC$1004,1,MATCH(COLUMNS($U$1006:AA1006),$U$1006:$AC$1006,0)))),"Fix")))</f>
        <v>0</v>
      </c>
      <c r="I806" s="3">
        <f>IF(OR(INDEX($O$2:$O$1001,MATCH(ROWS($N$2:N806),$N$2:$N$1001,0),1)&gt;=100000,INDEX($U$1005:$AC$1005,1,MATCH(COLUMNS($U$1006:AB1006),$U$1006:$AC$1006,0))&gt;=100000), " ",IF(INDEX($U$2:$AC$1001,MATCH(ROWS($N$2:N806),$N$2:$N$1001,0),MATCH(COLUMNS($U$1006:AB1006),$U$1006:$AC$1006,0)), HYPERLINK("#",""), HYPERLINK(CONCATENATE("#metadata!", ADDRESS(INDEX($P$2:$P$1001,MATCH(ROWS($N$2:N806),$N$2:$N$1001,0),0), INDEX($U$1004:$AC$1004,1,MATCH(COLUMNS($U$1006:AB1006),$U$1006:$AC$1006,0)))),"Fix")))</f>
        <v>0</v>
      </c>
      <c r="J806" s="3">
        <f>IF(OR(INDEX($O$2:$O$1001,MATCH(ROWS($N$2:N806),$N$2:$N$1001,0),1)&gt;=100000,INDEX($U$1005:$AC$1005,1,MATCH(COLUMNS($U$1006:AC1006),$U$1006:$AC$1006,0))&gt;=100000), " ",IF(INDEX($U$2:$AC$1001,MATCH(ROWS($N$2:N806),$N$2:$N$1001,0),MATCH(COLUMNS($U$1006:AC1006),$U$1006:$AC$1006,0)), HYPERLINK("#",""), HYPERLINK(CONCATENATE("#metadata!", ADDRESS(INDEX($P$2:$P$1001,MATCH(ROWS($N$2:N806),$N$2:$N$1001,0),0), INDEX($U$1004:$AC$1004,1,MATCH(COLUMNS($U$1006:AC1006),$U$1006:$AC$1006,0)))),"Fix")))</f>
        <v>0</v>
      </c>
      <c r="N806">
        <v>0</v>
      </c>
      <c r="O806">
        <v>0</v>
      </c>
      <c r="P806">
        <v>0</v>
      </c>
      <c r="Q806">
        <f>IF(R806,TRUE,AND(U806:AC806))</f>
        <v>0</v>
      </c>
      <c r="R806">
        <f>COUNTBLANK(metadata!B806:J806)=COLUMNS(metadata!B806:J806)</f>
        <v>0</v>
      </c>
      <c r="S806">
        <v>0</v>
      </c>
      <c r="U806">
        <f>AND(IF(metadata!B806="",FALSE,TRUE),COUNTIF(metadata!B:B, metadata!B806) = 1,NOT(ISERROR(SUMPRODUCT(SEARCH(MID(metadata!B806,ROW(INDIRECT("1:"&amp;LEN(metadata!B806))), 1),"0123456789abcdefghijklmnopqrstuvwxyzABCDEFGHIJKLMNOPQRSTUVWXYZ.")))))</f>
        <v>0</v>
      </c>
      <c r="V806">
        <f>AND(IF(metadata!C806="",FALSE,TRUE),exact(metadata!C806,"UBERON:genitourinary"))</f>
        <v>0</v>
      </c>
      <c r="W806">
        <f>AND(IF(metadata!D806="",FALSE,TRUE),exact(metadata!D806,"UBERON:urine"))</f>
        <v>0</v>
      </c>
      <c r="X806">
        <f>AND(IF(metadata!E806="",FALSE,TRUE),exact(metadata!E806,"UBERON:kidney"))</f>
        <v>0</v>
      </c>
      <c r="Y806">
        <f>AND(IF(metadata!F806="",FALSE,TRUE),exact(metadata!F806,"animal corpus"))</f>
        <v>0</v>
      </c>
      <c r="Z806">
        <f>AND(IF(metadata!G806="",FALSE,TRUE),exact(metadata!G806,"urine"))</f>
        <v>0</v>
      </c>
      <c r="AA806">
        <f>AND(IF(metadata!H806="",FALSE,TRUE),exact(metadata!H806,"urine"))</f>
        <v>0</v>
      </c>
      <c r="AB806">
        <f>AND(IF(metadata!I806="",FALSE,TRUE),exact(metadata!I806,"urine metagenome"))</f>
        <v>0</v>
      </c>
      <c r="AC806">
        <f>AND(IF(metadata!J806="",FALSE,TRUE),exact(metadata!J806,"1346744"))</f>
        <v>0</v>
      </c>
    </row>
    <row r="807" spans="1:29">
      <c r="A807" s="4">
        <f>IF(B807=" "," ",HYPERLINK(CONCATENATE("#metadata!",ADDRESS(INDEX($P$2:$P$1001,MATCH(ROWS($N$2:N807),$N$2:$N$1001,0),0),1)),INDEX($S$2:$S$1001,MATCH(ROWS($N$2:N807),$N$2:$N$1001,0),0)))</f>
        <v>0</v>
      </c>
      <c r="B807" s="3">
        <f>IF(OR(INDEX($O$2:$O$1001,MATCH(ROWS($N$2:N807),$N$2:$N$1001,0),1)&gt;=100000,INDEX($U$1005:$AC$1005,1,MATCH(COLUMNS($U$1006:U1006),$U$1006:$AC$1006,0))&gt;=100000), " ",IF(INDEX($U$2:$AC$1001,MATCH(ROWS($N$2:N807),$N$2:$N$1001,0),MATCH(COLUMNS($U$1006:U1006),$U$1006:$AC$1006,0)), HYPERLINK("#",""), HYPERLINK(CONCATENATE("#metadata!", ADDRESS(INDEX($P$2:$P$1001,MATCH(ROWS($N$2:N807),$N$2:$N$1001,0),0), INDEX($U$1004:$AC$1004,1,MATCH(COLUMNS($U$1006:U1006),$U$1006:$AC$1006,0)))),"Fix")))</f>
        <v>0</v>
      </c>
      <c r="C807" s="3">
        <f>IF(OR(INDEX($O$2:$O$1001,MATCH(ROWS($N$2:N807),$N$2:$N$1001,0),1)&gt;=100000,INDEX($U$1005:$AC$1005,1,MATCH(COLUMNS($U$1006:V1006),$U$1006:$AC$1006,0))&gt;=100000), " ",IF(INDEX($U$2:$AC$1001,MATCH(ROWS($N$2:N807),$N$2:$N$1001,0),MATCH(COLUMNS($U$1006:V1006),$U$1006:$AC$1006,0)), HYPERLINK("#",""), HYPERLINK(CONCATENATE("#metadata!", ADDRESS(INDEX($P$2:$P$1001,MATCH(ROWS($N$2:N807),$N$2:$N$1001,0),0), INDEX($U$1004:$AC$1004,1,MATCH(COLUMNS($U$1006:V1006),$U$1006:$AC$1006,0)))),"Fix")))</f>
        <v>0</v>
      </c>
      <c r="D807" s="3">
        <f>IF(OR(INDEX($O$2:$O$1001,MATCH(ROWS($N$2:N807),$N$2:$N$1001,0),1)&gt;=100000,INDEX($U$1005:$AC$1005,1,MATCH(COLUMNS($U$1006:W1006),$U$1006:$AC$1006,0))&gt;=100000), " ",IF(INDEX($U$2:$AC$1001,MATCH(ROWS($N$2:N807),$N$2:$N$1001,0),MATCH(COLUMNS($U$1006:W1006),$U$1006:$AC$1006,0)), HYPERLINK("#",""), HYPERLINK(CONCATENATE("#metadata!", ADDRESS(INDEX($P$2:$P$1001,MATCH(ROWS($N$2:N807),$N$2:$N$1001,0),0), INDEX($U$1004:$AC$1004,1,MATCH(COLUMNS($U$1006:W1006),$U$1006:$AC$1006,0)))),"Fix")))</f>
        <v>0</v>
      </c>
      <c r="E807" s="3">
        <f>IF(OR(INDEX($O$2:$O$1001,MATCH(ROWS($N$2:N807),$N$2:$N$1001,0),1)&gt;=100000,INDEX($U$1005:$AC$1005,1,MATCH(COLUMNS($U$1006:X1006),$U$1006:$AC$1006,0))&gt;=100000), " ",IF(INDEX($U$2:$AC$1001,MATCH(ROWS($N$2:N807),$N$2:$N$1001,0),MATCH(COLUMNS($U$1006:X1006),$U$1006:$AC$1006,0)), HYPERLINK("#",""), HYPERLINK(CONCATENATE("#metadata!", ADDRESS(INDEX($P$2:$P$1001,MATCH(ROWS($N$2:N807),$N$2:$N$1001,0),0), INDEX($U$1004:$AC$1004,1,MATCH(COLUMNS($U$1006:X1006),$U$1006:$AC$1006,0)))),"Fix")))</f>
        <v>0</v>
      </c>
      <c r="F807" s="3">
        <f>IF(OR(INDEX($O$2:$O$1001,MATCH(ROWS($N$2:N807),$N$2:$N$1001,0),1)&gt;=100000,INDEX($U$1005:$AC$1005,1,MATCH(COLUMNS($U$1006:Y1006),$U$1006:$AC$1006,0))&gt;=100000), " ",IF(INDEX($U$2:$AC$1001,MATCH(ROWS($N$2:N807),$N$2:$N$1001,0),MATCH(COLUMNS($U$1006:Y1006),$U$1006:$AC$1006,0)), HYPERLINK("#",""), HYPERLINK(CONCATENATE("#metadata!", ADDRESS(INDEX($P$2:$P$1001,MATCH(ROWS($N$2:N807),$N$2:$N$1001,0),0), INDEX($U$1004:$AC$1004,1,MATCH(COLUMNS($U$1006:Y1006),$U$1006:$AC$1006,0)))),"Fix")))</f>
        <v>0</v>
      </c>
      <c r="G807" s="3">
        <f>IF(OR(INDEX($O$2:$O$1001,MATCH(ROWS($N$2:N807),$N$2:$N$1001,0),1)&gt;=100000,INDEX($U$1005:$AC$1005,1,MATCH(COLUMNS($U$1006:Z1006),$U$1006:$AC$1006,0))&gt;=100000), " ",IF(INDEX($U$2:$AC$1001,MATCH(ROWS($N$2:N807),$N$2:$N$1001,0),MATCH(COLUMNS($U$1006:Z1006),$U$1006:$AC$1006,0)), HYPERLINK("#",""), HYPERLINK(CONCATENATE("#metadata!", ADDRESS(INDEX($P$2:$P$1001,MATCH(ROWS($N$2:N807),$N$2:$N$1001,0),0), INDEX($U$1004:$AC$1004,1,MATCH(COLUMNS($U$1006:Z1006),$U$1006:$AC$1006,0)))),"Fix")))</f>
        <v>0</v>
      </c>
      <c r="H807" s="3">
        <f>IF(OR(INDEX($O$2:$O$1001,MATCH(ROWS($N$2:N807),$N$2:$N$1001,0),1)&gt;=100000,INDEX($U$1005:$AC$1005,1,MATCH(COLUMNS($U$1006:AA1006),$U$1006:$AC$1006,0))&gt;=100000), " ",IF(INDEX($U$2:$AC$1001,MATCH(ROWS($N$2:N807),$N$2:$N$1001,0),MATCH(COLUMNS($U$1006:AA1006),$U$1006:$AC$1006,0)), HYPERLINK("#",""), HYPERLINK(CONCATENATE("#metadata!", ADDRESS(INDEX($P$2:$P$1001,MATCH(ROWS($N$2:N807),$N$2:$N$1001,0),0), INDEX($U$1004:$AC$1004,1,MATCH(COLUMNS($U$1006:AA1006),$U$1006:$AC$1006,0)))),"Fix")))</f>
        <v>0</v>
      </c>
      <c r="I807" s="3">
        <f>IF(OR(INDEX($O$2:$O$1001,MATCH(ROWS($N$2:N807),$N$2:$N$1001,0),1)&gt;=100000,INDEX($U$1005:$AC$1005,1,MATCH(COLUMNS($U$1006:AB1006),$U$1006:$AC$1006,0))&gt;=100000), " ",IF(INDEX($U$2:$AC$1001,MATCH(ROWS($N$2:N807),$N$2:$N$1001,0),MATCH(COLUMNS($U$1006:AB1006),$U$1006:$AC$1006,0)), HYPERLINK("#",""), HYPERLINK(CONCATENATE("#metadata!", ADDRESS(INDEX($P$2:$P$1001,MATCH(ROWS($N$2:N807),$N$2:$N$1001,0),0), INDEX($U$1004:$AC$1004,1,MATCH(COLUMNS($U$1006:AB1006),$U$1006:$AC$1006,0)))),"Fix")))</f>
        <v>0</v>
      </c>
      <c r="J807" s="3">
        <f>IF(OR(INDEX($O$2:$O$1001,MATCH(ROWS($N$2:N807),$N$2:$N$1001,0),1)&gt;=100000,INDEX($U$1005:$AC$1005,1,MATCH(COLUMNS($U$1006:AC1006),$U$1006:$AC$1006,0))&gt;=100000), " ",IF(INDEX($U$2:$AC$1001,MATCH(ROWS($N$2:N807),$N$2:$N$1001,0),MATCH(COLUMNS($U$1006:AC1006),$U$1006:$AC$1006,0)), HYPERLINK("#",""), HYPERLINK(CONCATENATE("#metadata!", ADDRESS(INDEX($P$2:$P$1001,MATCH(ROWS($N$2:N807),$N$2:$N$1001,0),0), INDEX($U$1004:$AC$1004,1,MATCH(COLUMNS($U$1006:AC1006),$U$1006:$AC$1006,0)))),"Fix")))</f>
        <v>0</v>
      </c>
      <c r="N807">
        <v>0</v>
      </c>
      <c r="O807">
        <v>0</v>
      </c>
      <c r="P807">
        <v>0</v>
      </c>
      <c r="Q807">
        <f>IF(R807,TRUE,AND(U807:AC807))</f>
        <v>0</v>
      </c>
      <c r="R807">
        <f>COUNTBLANK(metadata!B807:J807)=COLUMNS(metadata!B807:J807)</f>
        <v>0</v>
      </c>
      <c r="S807">
        <v>0</v>
      </c>
      <c r="U807">
        <f>AND(IF(metadata!B807="",FALSE,TRUE),COUNTIF(metadata!B:B, metadata!B807) = 1,NOT(ISERROR(SUMPRODUCT(SEARCH(MID(metadata!B807,ROW(INDIRECT("1:"&amp;LEN(metadata!B807))), 1),"0123456789abcdefghijklmnopqrstuvwxyzABCDEFGHIJKLMNOPQRSTUVWXYZ.")))))</f>
        <v>0</v>
      </c>
      <c r="V807">
        <f>AND(IF(metadata!C807="",FALSE,TRUE),exact(metadata!C807,"UBERON:genitourinary"))</f>
        <v>0</v>
      </c>
      <c r="W807">
        <f>AND(IF(metadata!D807="",FALSE,TRUE),exact(metadata!D807,"UBERON:urine"))</f>
        <v>0</v>
      </c>
      <c r="X807">
        <f>AND(IF(metadata!E807="",FALSE,TRUE),exact(metadata!E807,"UBERON:kidney"))</f>
        <v>0</v>
      </c>
      <c r="Y807">
        <f>AND(IF(metadata!F807="",FALSE,TRUE),exact(metadata!F807,"animal corpus"))</f>
        <v>0</v>
      </c>
      <c r="Z807">
        <f>AND(IF(metadata!G807="",FALSE,TRUE),exact(metadata!G807,"urine"))</f>
        <v>0</v>
      </c>
      <c r="AA807">
        <f>AND(IF(metadata!H807="",FALSE,TRUE),exact(metadata!H807,"urine"))</f>
        <v>0</v>
      </c>
      <c r="AB807">
        <f>AND(IF(metadata!I807="",FALSE,TRUE),exact(metadata!I807,"urine metagenome"))</f>
        <v>0</v>
      </c>
      <c r="AC807">
        <f>AND(IF(metadata!J807="",FALSE,TRUE),exact(metadata!J807,"1346744"))</f>
        <v>0</v>
      </c>
    </row>
    <row r="808" spans="1:29">
      <c r="A808" s="4">
        <f>IF(B808=" "," ",HYPERLINK(CONCATENATE("#metadata!",ADDRESS(INDEX($P$2:$P$1001,MATCH(ROWS($N$2:N808),$N$2:$N$1001,0),0),1)),INDEX($S$2:$S$1001,MATCH(ROWS($N$2:N808),$N$2:$N$1001,0),0)))</f>
        <v>0</v>
      </c>
      <c r="B808" s="3">
        <f>IF(OR(INDEX($O$2:$O$1001,MATCH(ROWS($N$2:N808),$N$2:$N$1001,0),1)&gt;=100000,INDEX($U$1005:$AC$1005,1,MATCH(COLUMNS($U$1006:U1006),$U$1006:$AC$1006,0))&gt;=100000), " ",IF(INDEX($U$2:$AC$1001,MATCH(ROWS($N$2:N808),$N$2:$N$1001,0),MATCH(COLUMNS($U$1006:U1006),$U$1006:$AC$1006,0)), HYPERLINK("#",""), HYPERLINK(CONCATENATE("#metadata!", ADDRESS(INDEX($P$2:$P$1001,MATCH(ROWS($N$2:N808),$N$2:$N$1001,0),0), INDEX($U$1004:$AC$1004,1,MATCH(COLUMNS($U$1006:U1006),$U$1006:$AC$1006,0)))),"Fix")))</f>
        <v>0</v>
      </c>
      <c r="C808" s="3">
        <f>IF(OR(INDEX($O$2:$O$1001,MATCH(ROWS($N$2:N808),$N$2:$N$1001,0),1)&gt;=100000,INDEX($U$1005:$AC$1005,1,MATCH(COLUMNS($U$1006:V1006),$U$1006:$AC$1006,0))&gt;=100000), " ",IF(INDEX($U$2:$AC$1001,MATCH(ROWS($N$2:N808),$N$2:$N$1001,0),MATCH(COLUMNS($U$1006:V1006),$U$1006:$AC$1006,0)), HYPERLINK("#",""), HYPERLINK(CONCATENATE("#metadata!", ADDRESS(INDEX($P$2:$P$1001,MATCH(ROWS($N$2:N808),$N$2:$N$1001,0),0), INDEX($U$1004:$AC$1004,1,MATCH(COLUMNS($U$1006:V1006),$U$1006:$AC$1006,0)))),"Fix")))</f>
        <v>0</v>
      </c>
      <c r="D808" s="3">
        <f>IF(OR(INDEX($O$2:$O$1001,MATCH(ROWS($N$2:N808),$N$2:$N$1001,0),1)&gt;=100000,INDEX($U$1005:$AC$1005,1,MATCH(COLUMNS($U$1006:W1006),$U$1006:$AC$1006,0))&gt;=100000), " ",IF(INDEX($U$2:$AC$1001,MATCH(ROWS($N$2:N808),$N$2:$N$1001,0),MATCH(COLUMNS($U$1006:W1006),$U$1006:$AC$1006,0)), HYPERLINK("#",""), HYPERLINK(CONCATENATE("#metadata!", ADDRESS(INDEX($P$2:$P$1001,MATCH(ROWS($N$2:N808),$N$2:$N$1001,0),0), INDEX($U$1004:$AC$1004,1,MATCH(COLUMNS($U$1006:W1006),$U$1006:$AC$1006,0)))),"Fix")))</f>
        <v>0</v>
      </c>
      <c r="E808" s="3">
        <f>IF(OR(INDEX($O$2:$O$1001,MATCH(ROWS($N$2:N808),$N$2:$N$1001,0),1)&gt;=100000,INDEX($U$1005:$AC$1005,1,MATCH(COLUMNS($U$1006:X1006),$U$1006:$AC$1006,0))&gt;=100000), " ",IF(INDEX($U$2:$AC$1001,MATCH(ROWS($N$2:N808),$N$2:$N$1001,0),MATCH(COLUMNS($U$1006:X1006),$U$1006:$AC$1006,0)), HYPERLINK("#",""), HYPERLINK(CONCATENATE("#metadata!", ADDRESS(INDEX($P$2:$P$1001,MATCH(ROWS($N$2:N808),$N$2:$N$1001,0),0), INDEX($U$1004:$AC$1004,1,MATCH(COLUMNS($U$1006:X1006),$U$1006:$AC$1006,0)))),"Fix")))</f>
        <v>0</v>
      </c>
      <c r="F808" s="3">
        <f>IF(OR(INDEX($O$2:$O$1001,MATCH(ROWS($N$2:N808),$N$2:$N$1001,0),1)&gt;=100000,INDEX($U$1005:$AC$1005,1,MATCH(COLUMNS($U$1006:Y1006),$U$1006:$AC$1006,0))&gt;=100000), " ",IF(INDEX($U$2:$AC$1001,MATCH(ROWS($N$2:N808),$N$2:$N$1001,0),MATCH(COLUMNS($U$1006:Y1006),$U$1006:$AC$1006,0)), HYPERLINK("#",""), HYPERLINK(CONCATENATE("#metadata!", ADDRESS(INDEX($P$2:$P$1001,MATCH(ROWS($N$2:N808),$N$2:$N$1001,0),0), INDEX($U$1004:$AC$1004,1,MATCH(COLUMNS($U$1006:Y1006),$U$1006:$AC$1006,0)))),"Fix")))</f>
        <v>0</v>
      </c>
      <c r="G808" s="3">
        <f>IF(OR(INDEX($O$2:$O$1001,MATCH(ROWS($N$2:N808),$N$2:$N$1001,0),1)&gt;=100000,INDEX($U$1005:$AC$1005,1,MATCH(COLUMNS($U$1006:Z1006),$U$1006:$AC$1006,0))&gt;=100000), " ",IF(INDEX($U$2:$AC$1001,MATCH(ROWS($N$2:N808),$N$2:$N$1001,0),MATCH(COLUMNS($U$1006:Z1006),$U$1006:$AC$1006,0)), HYPERLINK("#",""), HYPERLINK(CONCATENATE("#metadata!", ADDRESS(INDEX($P$2:$P$1001,MATCH(ROWS($N$2:N808),$N$2:$N$1001,0),0), INDEX($U$1004:$AC$1004,1,MATCH(COLUMNS($U$1006:Z1006),$U$1006:$AC$1006,0)))),"Fix")))</f>
        <v>0</v>
      </c>
      <c r="H808" s="3">
        <f>IF(OR(INDEX($O$2:$O$1001,MATCH(ROWS($N$2:N808),$N$2:$N$1001,0),1)&gt;=100000,INDEX($U$1005:$AC$1005,1,MATCH(COLUMNS($U$1006:AA1006),$U$1006:$AC$1006,0))&gt;=100000), " ",IF(INDEX($U$2:$AC$1001,MATCH(ROWS($N$2:N808),$N$2:$N$1001,0),MATCH(COLUMNS($U$1006:AA1006),$U$1006:$AC$1006,0)), HYPERLINK("#",""), HYPERLINK(CONCATENATE("#metadata!", ADDRESS(INDEX($P$2:$P$1001,MATCH(ROWS($N$2:N808),$N$2:$N$1001,0),0), INDEX($U$1004:$AC$1004,1,MATCH(COLUMNS($U$1006:AA1006),$U$1006:$AC$1006,0)))),"Fix")))</f>
        <v>0</v>
      </c>
      <c r="I808" s="3">
        <f>IF(OR(INDEX($O$2:$O$1001,MATCH(ROWS($N$2:N808),$N$2:$N$1001,0),1)&gt;=100000,INDEX($U$1005:$AC$1005,1,MATCH(COLUMNS($U$1006:AB1006),$U$1006:$AC$1006,0))&gt;=100000), " ",IF(INDEX($U$2:$AC$1001,MATCH(ROWS($N$2:N808),$N$2:$N$1001,0),MATCH(COLUMNS($U$1006:AB1006),$U$1006:$AC$1006,0)), HYPERLINK("#",""), HYPERLINK(CONCATENATE("#metadata!", ADDRESS(INDEX($P$2:$P$1001,MATCH(ROWS($N$2:N808),$N$2:$N$1001,0),0), INDEX($U$1004:$AC$1004,1,MATCH(COLUMNS($U$1006:AB1006),$U$1006:$AC$1006,0)))),"Fix")))</f>
        <v>0</v>
      </c>
      <c r="J808" s="3">
        <f>IF(OR(INDEX($O$2:$O$1001,MATCH(ROWS($N$2:N808),$N$2:$N$1001,0),1)&gt;=100000,INDEX($U$1005:$AC$1005,1,MATCH(COLUMNS($U$1006:AC1006),$U$1006:$AC$1006,0))&gt;=100000), " ",IF(INDEX($U$2:$AC$1001,MATCH(ROWS($N$2:N808),$N$2:$N$1001,0),MATCH(COLUMNS($U$1006:AC1006),$U$1006:$AC$1006,0)), HYPERLINK("#",""), HYPERLINK(CONCATENATE("#metadata!", ADDRESS(INDEX($P$2:$P$1001,MATCH(ROWS($N$2:N808),$N$2:$N$1001,0),0), INDEX($U$1004:$AC$1004,1,MATCH(COLUMNS($U$1006:AC1006),$U$1006:$AC$1006,0)))),"Fix")))</f>
        <v>0</v>
      </c>
      <c r="N808">
        <v>0</v>
      </c>
      <c r="O808">
        <v>0</v>
      </c>
      <c r="P808">
        <v>0</v>
      </c>
      <c r="Q808">
        <f>IF(R808,TRUE,AND(U808:AC808))</f>
        <v>0</v>
      </c>
      <c r="R808">
        <f>COUNTBLANK(metadata!B808:J808)=COLUMNS(metadata!B808:J808)</f>
        <v>0</v>
      </c>
      <c r="S808">
        <v>0</v>
      </c>
      <c r="U808">
        <f>AND(IF(metadata!B808="",FALSE,TRUE),COUNTIF(metadata!B:B, metadata!B808) = 1,NOT(ISERROR(SUMPRODUCT(SEARCH(MID(metadata!B808,ROW(INDIRECT("1:"&amp;LEN(metadata!B808))), 1),"0123456789abcdefghijklmnopqrstuvwxyzABCDEFGHIJKLMNOPQRSTUVWXYZ.")))))</f>
        <v>0</v>
      </c>
      <c r="V808">
        <f>AND(IF(metadata!C808="",FALSE,TRUE),exact(metadata!C808,"UBERON:genitourinary"))</f>
        <v>0</v>
      </c>
      <c r="W808">
        <f>AND(IF(metadata!D808="",FALSE,TRUE),exact(metadata!D808,"UBERON:urine"))</f>
        <v>0</v>
      </c>
      <c r="X808">
        <f>AND(IF(metadata!E808="",FALSE,TRUE),exact(metadata!E808,"UBERON:kidney"))</f>
        <v>0</v>
      </c>
      <c r="Y808">
        <f>AND(IF(metadata!F808="",FALSE,TRUE),exact(metadata!F808,"animal corpus"))</f>
        <v>0</v>
      </c>
      <c r="Z808">
        <f>AND(IF(metadata!G808="",FALSE,TRUE),exact(metadata!G808,"urine"))</f>
        <v>0</v>
      </c>
      <c r="AA808">
        <f>AND(IF(metadata!H808="",FALSE,TRUE),exact(metadata!H808,"urine"))</f>
        <v>0</v>
      </c>
      <c r="AB808">
        <f>AND(IF(metadata!I808="",FALSE,TRUE),exact(metadata!I808,"urine metagenome"))</f>
        <v>0</v>
      </c>
      <c r="AC808">
        <f>AND(IF(metadata!J808="",FALSE,TRUE),exact(metadata!J808,"1346744"))</f>
        <v>0</v>
      </c>
    </row>
    <row r="809" spans="1:29">
      <c r="A809" s="4">
        <f>IF(B809=" "," ",HYPERLINK(CONCATENATE("#metadata!",ADDRESS(INDEX($P$2:$P$1001,MATCH(ROWS($N$2:N809),$N$2:$N$1001,0),0),1)),INDEX($S$2:$S$1001,MATCH(ROWS($N$2:N809),$N$2:$N$1001,0),0)))</f>
        <v>0</v>
      </c>
      <c r="B809" s="3">
        <f>IF(OR(INDEX($O$2:$O$1001,MATCH(ROWS($N$2:N809),$N$2:$N$1001,0),1)&gt;=100000,INDEX($U$1005:$AC$1005,1,MATCH(COLUMNS($U$1006:U1006),$U$1006:$AC$1006,0))&gt;=100000), " ",IF(INDEX($U$2:$AC$1001,MATCH(ROWS($N$2:N809),$N$2:$N$1001,0),MATCH(COLUMNS($U$1006:U1006),$U$1006:$AC$1006,0)), HYPERLINK("#",""), HYPERLINK(CONCATENATE("#metadata!", ADDRESS(INDEX($P$2:$P$1001,MATCH(ROWS($N$2:N809),$N$2:$N$1001,0),0), INDEX($U$1004:$AC$1004,1,MATCH(COLUMNS($U$1006:U1006),$U$1006:$AC$1006,0)))),"Fix")))</f>
        <v>0</v>
      </c>
      <c r="C809" s="3">
        <f>IF(OR(INDEX($O$2:$O$1001,MATCH(ROWS($N$2:N809),$N$2:$N$1001,0),1)&gt;=100000,INDEX($U$1005:$AC$1005,1,MATCH(COLUMNS($U$1006:V1006),$U$1006:$AC$1006,0))&gt;=100000), " ",IF(INDEX($U$2:$AC$1001,MATCH(ROWS($N$2:N809),$N$2:$N$1001,0),MATCH(COLUMNS($U$1006:V1006),$U$1006:$AC$1006,0)), HYPERLINK("#",""), HYPERLINK(CONCATENATE("#metadata!", ADDRESS(INDEX($P$2:$P$1001,MATCH(ROWS($N$2:N809),$N$2:$N$1001,0),0), INDEX($U$1004:$AC$1004,1,MATCH(COLUMNS($U$1006:V1006),$U$1006:$AC$1006,0)))),"Fix")))</f>
        <v>0</v>
      </c>
      <c r="D809" s="3">
        <f>IF(OR(INDEX($O$2:$O$1001,MATCH(ROWS($N$2:N809),$N$2:$N$1001,0),1)&gt;=100000,INDEX($U$1005:$AC$1005,1,MATCH(COLUMNS($U$1006:W1006),$U$1006:$AC$1006,0))&gt;=100000), " ",IF(INDEX($U$2:$AC$1001,MATCH(ROWS($N$2:N809),$N$2:$N$1001,0),MATCH(COLUMNS($U$1006:W1006),$U$1006:$AC$1006,0)), HYPERLINK("#",""), HYPERLINK(CONCATENATE("#metadata!", ADDRESS(INDEX($P$2:$P$1001,MATCH(ROWS($N$2:N809),$N$2:$N$1001,0),0), INDEX($U$1004:$AC$1004,1,MATCH(COLUMNS($U$1006:W1006),$U$1006:$AC$1006,0)))),"Fix")))</f>
        <v>0</v>
      </c>
      <c r="E809" s="3">
        <f>IF(OR(INDEX($O$2:$O$1001,MATCH(ROWS($N$2:N809),$N$2:$N$1001,0),1)&gt;=100000,INDEX($U$1005:$AC$1005,1,MATCH(COLUMNS($U$1006:X1006),$U$1006:$AC$1006,0))&gt;=100000), " ",IF(INDEX($U$2:$AC$1001,MATCH(ROWS($N$2:N809),$N$2:$N$1001,0),MATCH(COLUMNS($U$1006:X1006),$U$1006:$AC$1006,0)), HYPERLINK("#",""), HYPERLINK(CONCATENATE("#metadata!", ADDRESS(INDEX($P$2:$P$1001,MATCH(ROWS($N$2:N809),$N$2:$N$1001,0),0), INDEX($U$1004:$AC$1004,1,MATCH(COLUMNS($U$1006:X1006),$U$1006:$AC$1006,0)))),"Fix")))</f>
        <v>0</v>
      </c>
      <c r="F809" s="3">
        <f>IF(OR(INDEX($O$2:$O$1001,MATCH(ROWS($N$2:N809),$N$2:$N$1001,0),1)&gt;=100000,INDEX($U$1005:$AC$1005,1,MATCH(COLUMNS($U$1006:Y1006),$U$1006:$AC$1006,0))&gt;=100000), " ",IF(INDEX($U$2:$AC$1001,MATCH(ROWS($N$2:N809),$N$2:$N$1001,0),MATCH(COLUMNS($U$1006:Y1006),$U$1006:$AC$1006,0)), HYPERLINK("#",""), HYPERLINK(CONCATENATE("#metadata!", ADDRESS(INDEX($P$2:$P$1001,MATCH(ROWS($N$2:N809),$N$2:$N$1001,0),0), INDEX($U$1004:$AC$1004,1,MATCH(COLUMNS($U$1006:Y1006),$U$1006:$AC$1006,0)))),"Fix")))</f>
        <v>0</v>
      </c>
      <c r="G809" s="3">
        <f>IF(OR(INDEX($O$2:$O$1001,MATCH(ROWS($N$2:N809),$N$2:$N$1001,0),1)&gt;=100000,INDEX($U$1005:$AC$1005,1,MATCH(COLUMNS($U$1006:Z1006),$U$1006:$AC$1006,0))&gt;=100000), " ",IF(INDEX($U$2:$AC$1001,MATCH(ROWS($N$2:N809),$N$2:$N$1001,0),MATCH(COLUMNS($U$1006:Z1006),$U$1006:$AC$1006,0)), HYPERLINK("#",""), HYPERLINK(CONCATENATE("#metadata!", ADDRESS(INDEX($P$2:$P$1001,MATCH(ROWS($N$2:N809),$N$2:$N$1001,0),0), INDEX($U$1004:$AC$1004,1,MATCH(COLUMNS($U$1006:Z1006),$U$1006:$AC$1006,0)))),"Fix")))</f>
        <v>0</v>
      </c>
      <c r="H809" s="3">
        <f>IF(OR(INDEX($O$2:$O$1001,MATCH(ROWS($N$2:N809),$N$2:$N$1001,0),1)&gt;=100000,INDEX($U$1005:$AC$1005,1,MATCH(COLUMNS($U$1006:AA1006),$U$1006:$AC$1006,0))&gt;=100000), " ",IF(INDEX($U$2:$AC$1001,MATCH(ROWS($N$2:N809),$N$2:$N$1001,0),MATCH(COLUMNS($U$1006:AA1006),$U$1006:$AC$1006,0)), HYPERLINK("#",""), HYPERLINK(CONCATENATE("#metadata!", ADDRESS(INDEX($P$2:$P$1001,MATCH(ROWS($N$2:N809),$N$2:$N$1001,0),0), INDEX($U$1004:$AC$1004,1,MATCH(COLUMNS($U$1006:AA1006),$U$1006:$AC$1006,0)))),"Fix")))</f>
        <v>0</v>
      </c>
      <c r="I809" s="3">
        <f>IF(OR(INDEX($O$2:$O$1001,MATCH(ROWS($N$2:N809),$N$2:$N$1001,0),1)&gt;=100000,INDEX($U$1005:$AC$1005,1,MATCH(COLUMNS($U$1006:AB1006),$U$1006:$AC$1006,0))&gt;=100000), " ",IF(INDEX($U$2:$AC$1001,MATCH(ROWS($N$2:N809),$N$2:$N$1001,0),MATCH(COLUMNS($U$1006:AB1006),$U$1006:$AC$1006,0)), HYPERLINK("#",""), HYPERLINK(CONCATENATE("#metadata!", ADDRESS(INDEX($P$2:$P$1001,MATCH(ROWS($N$2:N809),$N$2:$N$1001,0),0), INDEX($U$1004:$AC$1004,1,MATCH(COLUMNS($U$1006:AB1006),$U$1006:$AC$1006,0)))),"Fix")))</f>
        <v>0</v>
      </c>
      <c r="J809" s="3">
        <f>IF(OR(INDEX($O$2:$O$1001,MATCH(ROWS($N$2:N809),$N$2:$N$1001,0),1)&gt;=100000,INDEX($U$1005:$AC$1005,1,MATCH(COLUMNS($U$1006:AC1006),$U$1006:$AC$1006,0))&gt;=100000), " ",IF(INDEX($U$2:$AC$1001,MATCH(ROWS($N$2:N809),$N$2:$N$1001,0),MATCH(COLUMNS($U$1006:AC1006),$U$1006:$AC$1006,0)), HYPERLINK("#",""), HYPERLINK(CONCATENATE("#metadata!", ADDRESS(INDEX($P$2:$P$1001,MATCH(ROWS($N$2:N809),$N$2:$N$1001,0),0), INDEX($U$1004:$AC$1004,1,MATCH(COLUMNS($U$1006:AC1006),$U$1006:$AC$1006,0)))),"Fix")))</f>
        <v>0</v>
      </c>
      <c r="N809">
        <v>0</v>
      </c>
      <c r="O809">
        <v>0</v>
      </c>
      <c r="P809">
        <v>0</v>
      </c>
      <c r="Q809">
        <f>IF(R809,TRUE,AND(U809:AC809))</f>
        <v>0</v>
      </c>
      <c r="R809">
        <f>COUNTBLANK(metadata!B809:J809)=COLUMNS(metadata!B809:J809)</f>
        <v>0</v>
      </c>
      <c r="S809">
        <v>0</v>
      </c>
      <c r="U809">
        <f>AND(IF(metadata!B809="",FALSE,TRUE),COUNTIF(metadata!B:B, metadata!B809) = 1,NOT(ISERROR(SUMPRODUCT(SEARCH(MID(metadata!B809,ROW(INDIRECT("1:"&amp;LEN(metadata!B809))), 1),"0123456789abcdefghijklmnopqrstuvwxyzABCDEFGHIJKLMNOPQRSTUVWXYZ.")))))</f>
        <v>0</v>
      </c>
      <c r="V809">
        <f>AND(IF(metadata!C809="",FALSE,TRUE),exact(metadata!C809,"UBERON:genitourinary"))</f>
        <v>0</v>
      </c>
      <c r="W809">
        <f>AND(IF(metadata!D809="",FALSE,TRUE),exact(metadata!D809,"UBERON:urine"))</f>
        <v>0</v>
      </c>
      <c r="X809">
        <f>AND(IF(metadata!E809="",FALSE,TRUE),exact(metadata!E809,"UBERON:kidney"))</f>
        <v>0</v>
      </c>
      <c r="Y809">
        <f>AND(IF(metadata!F809="",FALSE,TRUE),exact(metadata!F809,"animal corpus"))</f>
        <v>0</v>
      </c>
      <c r="Z809">
        <f>AND(IF(metadata!G809="",FALSE,TRUE),exact(metadata!G809,"urine"))</f>
        <v>0</v>
      </c>
      <c r="AA809">
        <f>AND(IF(metadata!H809="",FALSE,TRUE),exact(metadata!H809,"urine"))</f>
        <v>0</v>
      </c>
      <c r="AB809">
        <f>AND(IF(metadata!I809="",FALSE,TRUE),exact(metadata!I809,"urine metagenome"))</f>
        <v>0</v>
      </c>
      <c r="AC809">
        <f>AND(IF(metadata!J809="",FALSE,TRUE),exact(metadata!J809,"1346744"))</f>
        <v>0</v>
      </c>
    </row>
    <row r="810" spans="1:29">
      <c r="A810" s="4">
        <f>IF(B810=" "," ",HYPERLINK(CONCATENATE("#metadata!",ADDRESS(INDEX($P$2:$P$1001,MATCH(ROWS($N$2:N810),$N$2:$N$1001,0),0),1)),INDEX($S$2:$S$1001,MATCH(ROWS($N$2:N810),$N$2:$N$1001,0),0)))</f>
        <v>0</v>
      </c>
      <c r="B810" s="3">
        <f>IF(OR(INDEX($O$2:$O$1001,MATCH(ROWS($N$2:N810),$N$2:$N$1001,0),1)&gt;=100000,INDEX($U$1005:$AC$1005,1,MATCH(COLUMNS($U$1006:U1006),$U$1006:$AC$1006,0))&gt;=100000), " ",IF(INDEX($U$2:$AC$1001,MATCH(ROWS($N$2:N810),$N$2:$N$1001,0),MATCH(COLUMNS($U$1006:U1006),$U$1006:$AC$1006,0)), HYPERLINK("#",""), HYPERLINK(CONCATENATE("#metadata!", ADDRESS(INDEX($P$2:$P$1001,MATCH(ROWS($N$2:N810),$N$2:$N$1001,0),0), INDEX($U$1004:$AC$1004,1,MATCH(COLUMNS($U$1006:U1006),$U$1006:$AC$1006,0)))),"Fix")))</f>
        <v>0</v>
      </c>
      <c r="C810" s="3">
        <f>IF(OR(INDEX($O$2:$O$1001,MATCH(ROWS($N$2:N810),$N$2:$N$1001,0),1)&gt;=100000,INDEX($U$1005:$AC$1005,1,MATCH(COLUMNS($U$1006:V1006),$U$1006:$AC$1006,0))&gt;=100000), " ",IF(INDEX($U$2:$AC$1001,MATCH(ROWS($N$2:N810),$N$2:$N$1001,0),MATCH(COLUMNS($U$1006:V1006),$U$1006:$AC$1006,0)), HYPERLINK("#",""), HYPERLINK(CONCATENATE("#metadata!", ADDRESS(INDEX($P$2:$P$1001,MATCH(ROWS($N$2:N810),$N$2:$N$1001,0),0), INDEX($U$1004:$AC$1004,1,MATCH(COLUMNS($U$1006:V1006),$U$1006:$AC$1006,0)))),"Fix")))</f>
        <v>0</v>
      </c>
      <c r="D810" s="3">
        <f>IF(OR(INDEX($O$2:$O$1001,MATCH(ROWS($N$2:N810),$N$2:$N$1001,0),1)&gt;=100000,INDEX($U$1005:$AC$1005,1,MATCH(COLUMNS($U$1006:W1006),$U$1006:$AC$1006,0))&gt;=100000), " ",IF(INDEX($U$2:$AC$1001,MATCH(ROWS($N$2:N810),$N$2:$N$1001,0),MATCH(COLUMNS($U$1006:W1006),$U$1006:$AC$1006,0)), HYPERLINK("#",""), HYPERLINK(CONCATENATE("#metadata!", ADDRESS(INDEX($P$2:$P$1001,MATCH(ROWS($N$2:N810),$N$2:$N$1001,0),0), INDEX($U$1004:$AC$1004,1,MATCH(COLUMNS($U$1006:W1006),$U$1006:$AC$1006,0)))),"Fix")))</f>
        <v>0</v>
      </c>
      <c r="E810" s="3">
        <f>IF(OR(INDEX($O$2:$O$1001,MATCH(ROWS($N$2:N810),$N$2:$N$1001,0),1)&gt;=100000,INDEX($U$1005:$AC$1005,1,MATCH(COLUMNS($U$1006:X1006),$U$1006:$AC$1006,0))&gt;=100000), " ",IF(INDEX($U$2:$AC$1001,MATCH(ROWS($N$2:N810),$N$2:$N$1001,0),MATCH(COLUMNS($U$1006:X1006),$U$1006:$AC$1006,0)), HYPERLINK("#",""), HYPERLINK(CONCATENATE("#metadata!", ADDRESS(INDEX($P$2:$P$1001,MATCH(ROWS($N$2:N810),$N$2:$N$1001,0),0), INDEX($U$1004:$AC$1004,1,MATCH(COLUMNS($U$1006:X1006),$U$1006:$AC$1006,0)))),"Fix")))</f>
        <v>0</v>
      </c>
      <c r="F810" s="3">
        <f>IF(OR(INDEX($O$2:$O$1001,MATCH(ROWS($N$2:N810),$N$2:$N$1001,0),1)&gt;=100000,INDEX($U$1005:$AC$1005,1,MATCH(COLUMNS($U$1006:Y1006),$U$1006:$AC$1006,0))&gt;=100000), " ",IF(INDEX($U$2:$AC$1001,MATCH(ROWS($N$2:N810),$N$2:$N$1001,0),MATCH(COLUMNS($U$1006:Y1006),$U$1006:$AC$1006,0)), HYPERLINK("#",""), HYPERLINK(CONCATENATE("#metadata!", ADDRESS(INDEX($P$2:$P$1001,MATCH(ROWS($N$2:N810),$N$2:$N$1001,0),0), INDEX($U$1004:$AC$1004,1,MATCH(COLUMNS($U$1006:Y1006),$U$1006:$AC$1006,0)))),"Fix")))</f>
        <v>0</v>
      </c>
      <c r="G810" s="3">
        <f>IF(OR(INDEX($O$2:$O$1001,MATCH(ROWS($N$2:N810),$N$2:$N$1001,0),1)&gt;=100000,INDEX($U$1005:$AC$1005,1,MATCH(COLUMNS($U$1006:Z1006),$U$1006:$AC$1006,0))&gt;=100000), " ",IF(INDEX($U$2:$AC$1001,MATCH(ROWS($N$2:N810),$N$2:$N$1001,0),MATCH(COLUMNS($U$1006:Z1006),$U$1006:$AC$1006,0)), HYPERLINK("#",""), HYPERLINK(CONCATENATE("#metadata!", ADDRESS(INDEX($P$2:$P$1001,MATCH(ROWS($N$2:N810),$N$2:$N$1001,0),0), INDEX($U$1004:$AC$1004,1,MATCH(COLUMNS($U$1006:Z1006),$U$1006:$AC$1006,0)))),"Fix")))</f>
        <v>0</v>
      </c>
      <c r="H810" s="3">
        <f>IF(OR(INDEX($O$2:$O$1001,MATCH(ROWS($N$2:N810),$N$2:$N$1001,0),1)&gt;=100000,INDEX($U$1005:$AC$1005,1,MATCH(COLUMNS($U$1006:AA1006),$U$1006:$AC$1006,0))&gt;=100000), " ",IF(INDEX($U$2:$AC$1001,MATCH(ROWS($N$2:N810),$N$2:$N$1001,0),MATCH(COLUMNS($U$1006:AA1006),$U$1006:$AC$1006,0)), HYPERLINK("#",""), HYPERLINK(CONCATENATE("#metadata!", ADDRESS(INDEX($P$2:$P$1001,MATCH(ROWS($N$2:N810),$N$2:$N$1001,0),0), INDEX($U$1004:$AC$1004,1,MATCH(COLUMNS($U$1006:AA1006),$U$1006:$AC$1006,0)))),"Fix")))</f>
        <v>0</v>
      </c>
      <c r="I810" s="3">
        <f>IF(OR(INDEX($O$2:$O$1001,MATCH(ROWS($N$2:N810),$N$2:$N$1001,0),1)&gt;=100000,INDEX($U$1005:$AC$1005,1,MATCH(COLUMNS($U$1006:AB1006),$U$1006:$AC$1006,0))&gt;=100000), " ",IF(INDEX($U$2:$AC$1001,MATCH(ROWS($N$2:N810),$N$2:$N$1001,0),MATCH(COLUMNS($U$1006:AB1006),$U$1006:$AC$1006,0)), HYPERLINK("#",""), HYPERLINK(CONCATENATE("#metadata!", ADDRESS(INDEX($P$2:$P$1001,MATCH(ROWS($N$2:N810),$N$2:$N$1001,0),0), INDEX($U$1004:$AC$1004,1,MATCH(COLUMNS($U$1006:AB1006),$U$1006:$AC$1006,0)))),"Fix")))</f>
        <v>0</v>
      </c>
      <c r="J810" s="3">
        <f>IF(OR(INDEX($O$2:$O$1001,MATCH(ROWS($N$2:N810),$N$2:$N$1001,0),1)&gt;=100000,INDEX($U$1005:$AC$1005,1,MATCH(COLUMNS($U$1006:AC1006),$U$1006:$AC$1006,0))&gt;=100000), " ",IF(INDEX($U$2:$AC$1001,MATCH(ROWS($N$2:N810),$N$2:$N$1001,0),MATCH(COLUMNS($U$1006:AC1006),$U$1006:$AC$1006,0)), HYPERLINK("#",""), HYPERLINK(CONCATENATE("#metadata!", ADDRESS(INDEX($P$2:$P$1001,MATCH(ROWS($N$2:N810),$N$2:$N$1001,0),0), INDEX($U$1004:$AC$1004,1,MATCH(COLUMNS($U$1006:AC1006),$U$1006:$AC$1006,0)))),"Fix")))</f>
        <v>0</v>
      </c>
      <c r="N810">
        <v>0</v>
      </c>
      <c r="O810">
        <v>0</v>
      </c>
      <c r="P810">
        <v>0</v>
      </c>
      <c r="Q810">
        <f>IF(R810,TRUE,AND(U810:AC810))</f>
        <v>0</v>
      </c>
      <c r="R810">
        <f>COUNTBLANK(metadata!B810:J810)=COLUMNS(metadata!B810:J810)</f>
        <v>0</v>
      </c>
      <c r="S810">
        <v>0</v>
      </c>
      <c r="U810">
        <f>AND(IF(metadata!B810="",FALSE,TRUE),COUNTIF(metadata!B:B, metadata!B810) = 1,NOT(ISERROR(SUMPRODUCT(SEARCH(MID(metadata!B810,ROW(INDIRECT("1:"&amp;LEN(metadata!B810))), 1),"0123456789abcdefghijklmnopqrstuvwxyzABCDEFGHIJKLMNOPQRSTUVWXYZ.")))))</f>
        <v>0</v>
      </c>
      <c r="V810">
        <f>AND(IF(metadata!C810="",FALSE,TRUE),exact(metadata!C810,"UBERON:genitourinary"))</f>
        <v>0</v>
      </c>
      <c r="W810">
        <f>AND(IF(metadata!D810="",FALSE,TRUE),exact(metadata!D810,"UBERON:urine"))</f>
        <v>0</v>
      </c>
      <c r="X810">
        <f>AND(IF(metadata!E810="",FALSE,TRUE),exact(metadata!E810,"UBERON:kidney"))</f>
        <v>0</v>
      </c>
      <c r="Y810">
        <f>AND(IF(metadata!F810="",FALSE,TRUE),exact(metadata!F810,"animal corpus"))</f>
        <v>0</v>
      </c>
      <c r="Z810">
        <f>AND(IF(metadata!G810="",FALSE,TRUE),exact(metadata!G810,"urine"))</f>
        <v>0</v>
      </c>
      <c r="AA810">
        <f>AND(IF(metadata!H810="",FALSE,TRUE),exact(metadata!H810,"urine"))</f>
        <v>0</v>
      </c>
      <c r="AB810">
        <f>AND(IF(metadata!I810="",FALSE,TRUE),exact(metadata!I810,"urine metagenome"))</f>
        <v>0</v>
      </c>
      <c r="AC810">
        <f>AND(IF(metadata!J810="",FALSE,TRUE),exact(metadata!J810,"1346744"))</f>
        <v>0</v>
      </c>
    </row>
    <row r="811" spans="1:29">
      <c r="A811" s="4">
        <f>IF(B811=" "," ",HYPERLINK(CONCATENATE("#metadata!",ADDRESS(INDEX($P$2:$P$1001,MATCH(ROWS($N$2:N811),$N$2:$N$1001,0),0),1)),INDEX($S$2:$S$1001,MATCH(ROWS($N$2:N811),$N$2:$N$1001,0),0)))</f>
        <v>0</v>
      </c>
      <c r="B811" s="3">
        <f>IF(OR(INDEX($O$2:$O$1001,MATCH(ROWS($N$2:N811),$N$2:$N$1001,0),1)&gt;=100000,INDEX($U$1005:$AC$1005,1,MATCH(COLUMNS($U$1006:U1006),$U$1006:$AC$1006,0))&gt;=100000), " ",IF(INDEX($U$2:$AC$1001,MATCH(ROWS($N$2:N811),$N$2:$N$1001,0),MATCH(COLUMNS($U$1006:U1006),$U$1006:$AC$1006,0)), HYPERLINK("#",""), HYPERLINK(CONCATENATE("#metadata!", ADDRESS(INDEX($P$2:$P$1001,MATCH(ROWS($N$2:N811),$N$2:$N$1001,0),0), INDEX($U$1004:$AC$1004,1,MATCH(COLUMNS($U$1006:U1006),$U$1006:$AC$1006,0)))),"Fix")))</f>
        <v>0</v>
      </c>
      <c r="C811" s="3">
        <f>IF(OR(INDEX($O$2:$O$1001,MATCH(ROWS($N$2:N811),$N$2:$N$1001,0),1)&gt;=100000,INDEX($U$1005:$AC$1005,1,MATCH(COLUMNS($U$1006:V1006),$U$1006:$AC$1006,0))&gt;=100000), " ",IF(INDEX($U$2:$AC$1001,MATCH(ROWS($N$2:N811),$N$2:$N$1001,0),MATCH(COLUMNS($U$1006:V1006),$U$1006:$AC$1006,0)), HYPERLINK("#",""), HYPERLINK(CONCATENATE("#metadata!", ADDRESS(INDEX($P$2:$P$1001,MATCH(ROWS($N$2:N811),$N$2:$N$1001,0),0), INDEX($U$1004:$AC$1004,1,MATCH(COLUMNS($U$1006:V1006),$U$1006:$AC$1006,0)))),"Fix")))</f>
        <v>0</v>
      </c>
      <c r="D811" s="3">
        <f>IF(OR(INDEX($O$2:$O$1001,MATCH(ROWS($N$2:N811),$N$2:$N$1001,0),1)&gt;=100000,INDEX($U$1005:$AC$1005,1,MATCH(COLUMNS($U$1006:W1006),$U$1006:$AC$1006,0))&gt;=100000), " ",IF(INDEX($U$2:$AC$1001,MATCH(ROWS($N$2:N811),$N$2:$N$1001,0),MATCH(COLUMNS($U$1006:W1006),$U$1006:$AC$1006,0)), HYPERLINK("#",""), HYPERLINK(CONCATENATE("#metadata!", ADDRESS(INDEX($P$2:$P$1001,MATCH(ROWS($N$2:N811),$N$2:$N$1001,0),0), INDEX($U$1004:$AC$1004,1,MATCH(COLUMNS($U$1006:W1006),$U$1006:$AC$1006,0)))),"Fix")))</f>
        <v>0</v>
      </c>
      <c r="E811" s="3">
        <f>IF(OR(INDEX($O$2:$O$1001,MATCH(ROWS($N$2:N811),$N$2:$N$1001,0),1)&gt;=100000,INDEX($U$1005:$AC$1005,1,MATCH(COLUMNS($U$1006:X1006),$U$1006:$AC$1006,0))&gt;=100000), " ",IF(INDEX($U$2:$AC$1001,MATCH(ROWS($N$2:N811),$N$2:$N$1001,0),MATCH(COLUMNS($U$1006:X1006),$U$1006:$AC$1006,0)), HYPERLINK("#",""), HYPERLINK(CONCATENATE("#metadata!", ADDRESS(INDEX($P$2:$P$1001,MATCH(ROWS($N$2:N811),$N$2:$N$1001,0),0), INDEX($U$1004:$AC$1004,1,MATCH(COLUMNS($U$1006:X1006),$U$1006:$AC$1006,0)))),"Fix")))</f>
        <v>0</v>
      </c>
      <c r="F811" s="3">
        <f>IF(OR(INDEX($O$2:$O$1001,MATCH(ROWS($N$2:N811),$N$2:$N$1001,0),1)&gt;=100000,INDEX($U$1005:$AC$1005,1,MATCH(COLUMNS($U$1006:Y1006),$U$1006:$AC$1006,0))&gt;=100000), " ",IF(INDEX($U$2:$AC$1001,MATCH(ROWS($N$2:N811),$N$2:$N$1001,0),MATCH(COLUMNS($U$1006:Y1006),$U$1006:$AC$1006,0)), HYPERLINK("#",""), HYPERLINK(CONCATENATE("#metadata!", ADDRESS(INDEX($P$2:$P$1001,MATCH(ROWS($N$2:N811),$N$2:$N$1001,0),0), INDEX($U$1004:$AC$1004,1,MATCH(COLUMNS($U$1006:Y1006),$U$1006:$AC$1006,0)))),"Fix")))</f>
        <v>0</v>
      </c>
      <c r="G811" s="3">
        <f>IF(OR(INDEX($O$2:$O$1001,MATCH(ROWS($N$2:N811),$N$2:$N$1001,0),1)&gt;=100000,INDEX($U$1005:$AC$1005,1,MATCH(COLUMNS($U$1006:Z1006),$U$1006:$AC$1006,0))&gt;=100000), " ",IF(INDEX($U$2:$AC$1001,MATCH(ROWS($N$2:N811),$N$2:$N$1001,0),MATCH(COLUMNS($U$1006:Z1006),$U$1006:$AC$1006,0)), HYPERLINK("#",""), HYPERLINK(CONCATENATE("#metadata!", ADDRESS(INDEX($P$2:$P$1001,MATCH(ROWS($N$2:N811),$N$2:$N$1001,0),0), INDEX($U$1004:$AC$1004,1,MATCH(COLUMNS($U$1006:Z1006),$U$1006:$AC$1006,0)))),"Fix")))</f>
        <v>0</v>
      </c>
      <c r="H811" s="3">
        <f>IF(OR(INDEX($O$2:$O$1001,MATCH(ROWS($N$2:N811),$N$2:$N$1001,0),1)&gt;=100000,INDEX($U$1005:$AC$1005,1,MATCH(COLUMNS($U$1006:AA1006),$U$1006:$AC$1006,0))&gt;=100000), " ",IF(INDEX($U$2:$AC$1001,MATCH(ROWS($N$2:N811),$N$2:$N$1001,0),MATCH(COLUMNS($U$1006:AA1006),$U$1006:$AC$1006,0)), HYPERLINK("#",""), HYPERLINK(CONCATENATE("#metadata!", ADDRESS(INDEX($P$2:$P$1001,MATCH(ROWS($N$2:N811),$N$2:$N$1001,0),0), INDEX($U$1004:$AC$1004,1,MATCH(COLUMNS($U$1006:AA1006),$U$1006:$AC$1006,0)))),"Fix")))</f>
        <v>0</v>
      </c>
      <c r="I811" s="3">
        <f>IF(OR(INDEX($O$2:$O$1001,MATCH(ROWS($N$2:N811),$N$2:$N$1001,0),1)&gt;=100000,INDEX($U$1005:$AC$1005,1,MATCH(COLUMNS($U$1006:AB1006),$U$1006:$AC$1006,0))&gt;=100000), " ",IF(INDEX($U$2:$AC$1001,MATCH(ROWS($N$2:N811),$N$2:$N$1001,0),MATCH(COLUMNS($U$1006:AB1006),$U$1006:$AC$1006,0)), HYPERLINK("#",""), HYPERLINK(CONCATENATE("#metadata!", ADDRESS(INDEX($P$2:$P$1001,MATCH(ROWS($N$2:N811),$N$2:$N$1001,0),0), INDEX($U$1004:$AC$1004,1,MATCH(COLUMNS($U$1006:AB1006),$U$1006:$AC$1006,0)))),"Fix")))</f>
        <v>0</v>
      </c>
      <c r="J811" s="3">
        <f>IF(OR(INDEX($O$2:$O$1001,MATCH(ROWS($N$2:N811),$N$2:$N$1001,0),1)&gt;=100000,INDEX($U$1005:$AC$1005,1,MATCH(COLUMNS($U$1006:AC1006),$U$1006:$AC$1006,0))&gt;=100000), " ",IF(INDEX($U$2:$AC$1001,MATCH(ROWS($N$2:N811),$N$2:$N$1001,0),MATCH(COLUMNS($U$1006:AC1006),$U$1006:$AC$1006,0)), HYPERLINK("#",""), HYPERLINK(CONCATENATE("#metadata!", ADDRESS(INDEX($P$2:$P$1001,MATCH(ROWS($N$2:N811),$N$2:$N$1001,0),0), INDEX($U$1004:$AC$1004,1,MATCH(COLUMNS($U$1006:AC1006),$U$1006:$AC$1006,0)))),"Fix")))</f>
        <v>0</v>
      </c>
      <c r="N811">
        <v>0</v>
      </c>
      <c r="O811">
        <v>0</v>
      </c>
      <c r="P811">
        <v>0</v>
      </c>
      <c r="Q811">
        <f>IF(R811,TRUE,AND(U811:AC811))</f>
        <v>0</v>
      </c>
      <c r="R811">
        <f>COUNTBLANK(metadata!B811:J811)=COLUMNS(metadata!B811:J811)</f>
        <v>0</v>
      </c>
      <c r="S811">
        <v>0</v>
      </c>
      <c r="U811">
        <f>AND(IF(metadata!B811="",FALSE,TRUE),COUNTIF(metadata!B:B, metadata!B811) = 1,NOT(ISERROR(SUMPRODUCT(SEARCH(MID(metadata!B811,ROW(INDIRECT("1:"&amp;LEN(metadata!B811))), 1),"0123456789abcdefghijklmnopqrstuvwxyzABCDEFGHIJKLMNOPQRSTUVWXYZ.")))))</f>
        <v>0</v>
      </c>
      <c r="V811">
        <f>AND(IF(metadata!C811="",FALSE,TRUE),exact(metadata!C811,"UBERON:genitourinary"))</f>
        <v>0</v>
      </c>
      <c r="W811">
        <f>AND(IF(metadata!D811="",FALSE,TRUE),exact(metadata!D811,"UBERON:urine"))</f>
        <v>0</v>
      </c>
      <c r="X811">
        <f>AND(IF(metadata!E811="",FALSE,TRUE),exact(metadata!E811,"UBERON:kidney"))</f>
        <v>0</v>
      </c>
      <c r="Y811">
        <f>AND(IF(metadata!F811="",FALSE,TRUE),exact(metadata!F811,"animal corpus"))</f>
        <v>0</v>
      </c>
      <c r="Z811">
        <f>AND(IF(metadata!G811="",FALSE,TRUE),exact(metadata!G811,"urine"))</f>
        <v>0</v>
      </c>
      <c r="AA811">
        <f>AND(IF(metadata!H811="",FALSE,TRUE),exact(metadata!H811,"urine"))</f>
        <v>0</v>
      </c>
      <c r="AB811">
        <f>AND(IF(metadata!I811="",FALSE,TRUE),exact(metadata!I811,"urine metagenome"))</f>
        <v>0</v>
      </c>
      <c r="AC811">
        <f>AND(IF(metadata!J811="",FALSE,TRUE),exact(metadata!J811,"1346744"))</f>
        <v>0</v>
      </c>
    </row>
    <row r="812" spans="1:29">
      <c r="A812" s="4">
        <f>IF(B812=" "," ",HYPERLINK(CONCATENATE("#metadata!",ADDRESS(INDEX($P$2:$P$1001,MATCH(ROWS($N$2:N812),$N$2:$N$1001,0),0),1)),INDEX($S$2:$S$1001,MATCH(ROWS($N$2:N812),$N$2:$N$1001,0),0)))</f>
        <v>0</v>
      </c>
      <c r="B812" s="3">
        <f>IF(OR(INDEX($O$2:$O$1001,MATCH(ROWS($N$2:N812),$N$2:$N$1001,0),1)&gt;=100000,INDEX($U$1005:$AC$1005,1,MATCH(COLUMNS($U$1006:U1006),$U$1006:$AC$1006,0))&gt;=100000), " ",IF(INDEX($U$2:$AC$1001,MATCH(ROWS($N$2:N812),$N$2:$N$1001,0),MATCH(COLUMNS($U$1006:U1006),$U$1006:$AC$1006,0)), HYPERLINK("#",""), HYPERLINK(CONCATENATE("#metadata!", ADDRESS(INDEX($P$2:$P$1001,MATCH(ROWS($N$2:N812),$N$2:$N$1001,0),0), INDEX($U$1004:$AC$1004,1,MATCH(COLUMNS($U$1006:U1006),$U$1006:$AC$1006,0)))),"Fix")))</f>
        <v>0</v>
      </c>
      <c r="C812" s="3">
        <f>IF(OR(INDEX($O$2:$O$1001,MATCH(ROWS($N$2:N812),$N$2:$N$1001,0),1)&gt;=100000,INDEX($U$1005:$AC$1005,1,MATCH(COLUMNS($U$1006:V1006),$U$1006:$AC$1006,0))&gt;=100000), " ",IF(INDEX($U$2:$AC$1001,MATCH(ROWS($N$2:N812),$N$2:$N$1001,0),MATCH(COLUMNS($U$1006:V1006),$U$1006:$AC$1006,0)), HYPERLINK("#",""), HYPERLINK(CONCATENATE("#metadata!", ADDRESS(INDEX($P$2:$P$1001,MATCH(ROWS($N$2:N812),$N$2:$N$1001,0),0), INDEX($U$1004:$AC$1004,1,MATCH(COLUMNS($U$1006:V1006),$U$1006:$AC$1006,0)))),"Fix")))</f>
        <v>0</v>
      </c>
      <c r="D812" s="3">
        <f>IF(OR(INDEX($O$2:$O$1001,MATCH(ROWS($N$2:N812),$N$2:$N$1001,0),1)&gt;=100000,INDEX($U$1005:$AC$1005,1,MATCH(COLUMNS($U$1006:W1006),$U$1006:$AC$1006,0))&gt;=100000), " ",IF(INDEX($U$2:$AC$1001,MATCH(ROWS($N$2:N812),$N$2:$N$1001,0),MATCH(COLUMNS($U$1006:W1006),$U$1006:$AC$1006,0)), HYPERLINK("#",""), HYPERLINK(CONCATENATE("#metadata!", ADDRESS(INDEX($P$2:$P$1001,MATCH(ROWS($N$2:N812),$N$2:$N$1001,0),0), INDEX($U$1004:$AC$1004,1,MATCH(COLUMNS($U$1006:W1006),$U$1006:$AC$1006,0)))),"Fix")))</f>
        <v>0</v>
      </c>
      <c r="E812" s="3">
        <f>IF(OR(INDEX($O$2:$O$1001,MATCH(ROWS($N$2:N812),$N$2:$N$1001,0),1)&gt;=100000,INDEX($U$1005:$AC$1005,1,MATCH(COLUMNS($U$1006:X1006),$U$1006:$AC$1006,0))&gt;=100000), " ",IF(INDEX($U$2:$AC$1001,MATCH(ROWS($N$2:N812),$N$2:$N$1001,0),MATCH(COLUMNS($U$1006:X1006),$U$1006:$AC$1006,0)), HYPERLINK("#",""), HYPERLINK(CONCATENATE("#metadata!", ADDRESS(INDEX($P$2:$P$1001,MATCH(ROWS($N$2:N812),$N$2:$N$1001,0),0), INDEX($U$1004:$AC$1004,1,MATCH(COLUMNS($U$1006:X1006),$U$1006:$AC$1006,0)))),"Fix")))</f>
        <v>0</v>
      </c>
      <c r="F812" s="3">
        <f>IF(OR(INDEX($O$2:$O$1001,MATCH(ROWS($N$2:N812),$N$2:$N$1001,0),1)&gt;=100000,INDEX($U$1005:$AC$1005,1,MATCH(COLUMNS($U$1006:Y1006),$U$1006:$AC$1006,0))&gt;=100000), " ",IF(INDEX($U$2:$AC$1001,MATCH(ROWS($N$2:N812),$N$2:$N$1001,0),MATCH(COLUMNS($U$1006:Y1006),$U$1006:$AC$1006,0)), HYPERLINK("#",""), HYPERLINK(CONCATENATE("#metadata!", ADDRESS(INDEX($P$2:$P$1001,MATCH(ROWS($N$2:N812),$N$2:$N$1001,0),0), INDEX($U$1004:$AC$1004,1,MATCH(COLUMNS($U$1006:Y1006),$U$1006:$AC$1006,0)))),"Fix")))</f>
        <v>0</v>
      </c>
      <c r="G812" s="3">
        <f>IF(OR(INDEX($O$2:$O$1001,MATCH(ROWS($N$2:N812),$N$2:$N$1001,0),1)&gt;=100000,INDEX($U$1005:$AC$1005,1,MATCH(COLUMNS($U$1006:Z1006),$U$1006:$AC$1006,0))&gt;=100000), " ",IF(INDEX($U$2:$AC$1001,MATCH(ROWS($N$2:N812),$N$2:$N$1001,0),MATCH(COLUMNS($U$1006:Z1006),$U$1006:$AC$1006,0)), HYPERLINK("#",""), HYPERLINK(CONCATENATE("#metadata!", ADDRESS(INDEX($P$2:$P$1001,MATCH(ROWS($N$2:N812),$N$2:$N$1001,0),0), INDEX($U$1004:$AC$1004,1,MATCH(COLUMNS($U$1006:Z1006),$U$1006:$AC$1006,0)))),"Fix")))</f>
        <v>0</v>
      </c>
      <c r="H812" s="3">
        <f>IF(OR(INDEX($O$2:$O$1001,MATCH(ROWS($N$2:N812),$N$2:$N$1001,0),1)&gt;=100000,INDEX($U$1005:$AC$1005,1,MATCH(COLUMNS($U$1006:AA1006),$U$1006:$AC$1006,0))&gt;=100000), " ",IF(INDEX($U$2:$AC$1001,MATCH(ROWS($N$2:N812),$N$2:$N$1001,0),MATCH(COLUMNS($U$1006:AA1006),$U$1006:$AC$1006,0)), HYPERLINK("#",""), HYPERLINK(CONCATENATE("#metadata!", ADDRESS(INDEX($P$2:$P$1001,MATCH(ROWS($N$2:N812),$N$2:$N$1001,0),0), INDEX($U$1004:$AC$1004,1,MATCH(COLUMNS($U$1006:AA1006),$U$1006:$AC$1006,0)))),"Fix")))</f>
        <v>0</v>
      </c>
      <c r="I812" s="3">
        <f>IF(OR(INDEX($O$2:$O$1001,MATCH(ROWS($N$2:N812),$N$2:$N$1001,0),1)&gt;=100000,INDEX($U$1005:$AC$1005,1,MATCH(COLUMNS($U$1006:AB1006),$U$1006:$AC$1006,0))&gt;=100000), " ",IF(INDEX($U$2:$AC$1001,MATCH(ROWS($N$2:N812),$N$2:$N$1001,0),MATCH(COLUMNS($U$1006:AB1006),$U$1006:$AC$1006,0)), HYPERLINK("#",""), HYPERLINK(CONCATENATE("#metadata!", ADDRESS(INDEX($P$2:$P$1001,MATCH(ROWS($N$2:N812),$N$2:$N$1001,0),0), INDEX($U$1004:$AC$1004,1,MATCH(COLUMNS($U$1006:AB1006),$U$1006:$AC$1006,0)))),"Fix")))</f>
        <v>0</v>
      </c>
      <c r="J812" s="3">
        <f>IF(OR(INDEX($O$2:$O$1001,MATCH(ROWS($N$2:N812),$N$2:$N$1001,0),1)&gt;=100000,INDEX($U$1005:$AC$1005,1,MATCH(COLUMNS($U$1006:AC1006),$U$1006:$AC$1006,0))&gt;=100000), " ",IF(INDEX($U$2:$AC$1001,MATCH(ROWS($N$2:N812),$N$2:$N$1001,0),MATCH(COLUMNS($U$1006:AC1006),$U$1006:$AC$1006,0)), HYPERLINK("#",""), HYPERLINK(CONCATENATE("#metadata!", ADDRESS(INDEX($P$2:$P$1001,MATCH(ROWS($N$2:N812),$N$2:$N$1001,0),0), INDEX($U$1004:$AC$1004,1,MATCH(COLUMNS($U$1006:AC1006),$U$1006:$AC$1006,0)))),"Fix")))</f>
        <v>0</v>
      </c>
      <c r="N812">
        <v>0</v>
      </c>
      <c r="O812">
        <v>0</v>
      </c>
      <c r="P812">
        <v>0</v>
      </c>
      <c r="Q812">
        <f>IF(R812,TRUE,AND(U812:AC812))</f>
        <v>0</v>
      </c>
      <c r="R812">
        <f>COUNTBLANK(metadata!B812:J812)=COLUMNS(metadata!B812:J812)</f>
        <v>0</v>
      </c>
      <c r="S812">
        <v>0</v>
      </c>
      <c r="U812">
        <f>AND(IF(metadata!B812="",FALSE,TRUE),COUNTIF(metadata!B:B, metadata!B812) = 1,NOT(ISERROR(SUMPRODUCT(SEARCH(MID(metadata!B812,ROW(INDIRECT("1:"&amp;LEN(metadata!B812))), 1),"0123456789abcdefghijklmnopqrstuvwxyzABCDEFGHIJKLMNOPQRSTUVWXYZ.")))))</f>
        <v>0</v>
      </c>
      <c r="V812">
        <f>AND(IF(metadata!C812="",FALSE,TRUE),exact(metadata!C812,"UBERON:genitourinary"))</f>
        <v>0</v>
      </c>
      <c r="W812">
        <f>AND(IF(metadata!D812="",FALSE,TRUE),exact(metadata!D812,"UBERON:urine"))</f>
        <v>0</v>
      </c>
      <c r="X812">
        <f>AND(IF(metadata!E812="",FALSE,TRUE),exact(metadata!E812,"UBERON:kidney"))</f>
        <v>0</v>
      </c>
      <c r="Y812">
        <f>AND(IF(metadata!F812="",FALSE,TRUE),exact(metadata!F812,"animal corpus"))</f>
        <v>0</v>
      </c>
      <c r="Z812">
        <f>AND(IF(metadata!G812="",FALSE,TRUE),exact(metadata!G812,"urine"))</f>
        <v>0</v>
      </c>
      <c r="AA812">
        <f>AND(IF(metadata!H812="",FALSE,TRUE),exact(metadata!H812,"urine"))</f>
        <v>0</v>
      </c>
      <c r="AB812">
        <f>AND(IF(metadata!I812="",FALSE,TRUE),exact(metadata!I812,"urine metagenome"))</f>
        <v>0</v>
      </c>
      <c r="AC812">
        <f>AND(IF(metadata!J812="",FALSE,TRUE),exact(metadata!J812,"1346744"))</f>
        <v>0</v>
      </c>
    </row>
    <row r="813" spans="1:29">
      <c r="A813" s="4">
        <f>IF(B813=" "," ",HYPERLINK(CONCATENATE("#metadata!",ADDRESS(INDEX($P$2:$P$1001,MATCH(ROWS($N$2:N813),$N$2:$N$1001,0),0),1)),INDEX($S$2:$S$1001,MATCH(ROWS($N$2:N813),$N$2:$N$1001,0),0)))</f>
        <v>0</v>
      </c>
      <c r="B813" s="3">
        <f>IF(OR(INDEX($O$2:$O$1001,MATCH(ROWS($N$2:N813),$N$2:$N$1001,0),1)&gt;=100000,INDEX($U$1005:$AC$1005,1,MATCH(COLUMNS($U$1006:U1006),$U$1006:$AC$1006,0))&gt;=100000), " ",IF(INDEX($U$2:$AC$1001,MATCH(ROWS($N$2:N813),$N$2:$N$1001,0),MATCH(COLUMNS($U$1006:U1006),$U$1006:$AC$1006,0)), HYPERLINK("#",""), HYPERLINK(CONCATENATE("#metadata!", ADDRESS(INDEX($P$2:$P$1001,MATCH(ROWS($N$2:N813),$N$2:$N$1001,0),0), INDEX($U$1004:$AC$1004,1,MATCH(COLUMNS($U$1006:U1006),$U$1006:$AC$1006,0)))),"Fix")))</f>
        <v>0</v>
      </c>
      <c r="C813" s="3">
        <f>IF(OR(INDEX($O$2:$O$1001,MATCH(ROWS($N$2:N813),$N$2:$N$1001,0),1)&gt;=100000,INDEX($U$1005:$AC$1005,1,MATCH(COLUMNS($U$1006:V1006),$U$1006:$AC$1006,0))&gt;=100000), " ",IF(INDEX($U$2:$AC$1001,MATCH(ROWS($N$2:N813),$N$2:$N$1001,0),MATCH(COLUMNS($U$1006:V1006),$U$1006:$AC$1006,0)), HYPERLINK("#",""), HYPERLINK(CONCATENATE("#metadata!", ADDRESS(INDEX($P$2:$P$1001,MATCH(ROWS($N$2:N813),$N$2:$N$1001,0),0), INDEX($U$1004:$AC$1004,1,MATCH(COLUMNS($U$1006:V1006),$U$1006:$AC$1006,0)))),"Fix")))</f>
        <v>0</v>
      </c>
      <c r="D813" s="3">
        <f>IF(OR(INDEX($O$2:$O$1001,MATCH(ROWS($N$2:N813),$N$2:$N$1001,0),1)&gt;=100000,INDEX($U$1005:$AC$1005,1,MATCH(COLUMNS($U$1006:W1006),$U$1006:$AC$1006,0))&gt;=100000), " ",IF(INDEX($U$2:$AC$1001,MATCH(ROWS($N$2:N813),$N$2:$N$1001,0),MATCH(COLUMNS($U$1006:W1006),$U$1006:$AC$1006,0)), HYPERLINK("#",""), HYPERLINK(CONCATENATE("#metadata!", ADDRESS(INDEX($P$2:$P$1001,MATCH(ROWS($N$2:N813),$N$2:$N$1001,0),0), INDEX($U$1004:$AC$1004,1,MATCH(COLUMNS($U$1006:W1006),$U$1006:$AC$1006,0)))),"Fix")))</f>
        <v>0</v>
      </c>
      <c r="E813" s="3">
        <f>IF(OR(INDEX($O$2:$O$1001,MATCH(ROWS($N$2:N813),$N$2:$N$1001,0),1)&gt;=100000,INDEX($U$1005:$AC$1005,1,MATCH(COLUMNS($U$1006:X1006),$U$1006:$AC$1006,0))&gt;=100000), " ",IF(INDEX($U$2:$AC$1001,MATCH(ROWS($N$2:N813),$N$2:$N$1001,0),MATCH(COLUMNS($U$1006:X1006),$U$1006:$AC$1006,0)), HYPERLINK("#",""), HYPERLINK(CONCATENATE("#metadata!", ADDRESS(INDEX($P$2:$P$1001,MATCH(ROWS($N$2:N813),$N$2:$N$1001,0),0), INDEX($U$1004:$AC$1004,1,MATCH(COLUMNS($U$1006:X1006),$U$1006:$AC$1006,0)))),"Fix")))</f>
        <v>0</v>
      </c>
      <c r="F813" s="3">
        <f>IF(OR(INDEX($O$2:$O$1001,MATCH(ROWS($N$2:N813),$N$2:$N$1001,0),1)&gt;=100000,INDEX($U$1005:$AC$1005,1,MATCH(COLUMNS($U$1006:Y1006),$U$1006:$AC$1006,0))&gt;=100000), " ",IF(INDEX($U$2:$AC$1001,MATCH(ROWS($N$2:N813),$N$2:$N$1001,0),MATCH(COLUMNS($U$1006:Y1006),$U$1006:$AC$1006,0)), HYPERLINK("#",""), HYPERLINK(CONCATENATE("#metadata!", ADDRESS(INDEX($P$2:$P$1001,MATCH(ROWS($N$2:N813),$N$2:$N$1001,0),0), INDEX($U$1004:$AC$1004,1,MATCH(COLUMNS($U$1006:Y1006),$U$1006:$AC$1006,0)))),"Fix")))</f>
        <v>0</v>
      </c>
      <c r="G813" s="3">
        <f>IF(OR(INDEX($O$2:$O$1001,MATCH(ROWS($N$2:N813),$N$2:$N$1001,0),1)&gt;=100000,INDEX($U$1005:$AC$1005,1,MATCH(COLUMNS($U$1006:Z1006),$U$1006:$AC$1006,0))&gt;=100000), " ",IF(INDEX($U$2:$AC$1001,MATCH(ROWS($N$2:N813),$N$2:$N$1001,0),MATCH(COLUMNS($U$1006:Z1006),$U$1006:$AC$1006,0)), HYPERLINK("#",""), HYPERLINK(CONCATENATE("#metadata!", ADDRESS(INDEX($P$2:$P$1001,MATCH(ROWS($N$2:N813),$N$2:$N$1001,0),0), INDEX($U$1004:$AC$1004,1,MATCH(COLUMNS($U$1006:Z1006),$U$1006:$AC$1006,0)))),"Fix")))</f>
        <v>0</v>
      </c>
      <c r="H813" s="3">
        <f>IF(OR(INDEX($O$2:$O$1001,MATCH(ROWS($N$2:N813),$N$2:$N$1001,0),1)&gt;=100000,INDEX($U$1005:$AC$1005,1,MATCH(COLUMNS($U$1006:AA1006),$U$1006:$AC$1006,0))&gt;=100000), " ",IF(INDEX($U$2:$AC$1001,MATCH(ROWS($N$2:N813),$N$2:$N$1001,0),MATCH(COLUMNS($U$1006:AA1006),$U$1006:$AC$1006,0)), HYPERLINK("#",""), HYPERLINK(CONCATENATE("#metadata!", ADDRESS(INDEX($P$2:$P$1001,MATCH(ROWS($N$2:N813),$N$2:$N$1001,0),0), INDEX($U$1004:$AC$1004,1,MATCH(COLUMNS($U$1006:AA1006),$U$1006:$AC$1006,0)))),"Fix")))</f>
        <v>0</v>
      </c>
      <c r="I813" s="3">
        <f>IF(OR(INDEX($O$2:$O$1001,MATCH(ROWS($N$2:N813),$N$2:$N$1001,0),1)&gt;=100000,INDEX($U$1005:$AC$1005,1,MATCH(COLUMNS($U$1006:AB1006),$U$1006:$AC$1006,0))&gt;=100000), " ",IF(INDEX($U$2:$AC$1001,MATCH(ROWS($N$2:N813),$N$2:$N$1001,0),MATCH(COLUMNS($U$1006:AB1006),$U$1006:$AC$1006,0)), HYPERLINK("#",""), HYPERLINK(CONCATENATE("#metadata!", ADDRESS(INDEX($P$2:$P$1001,MATCH(ROWS($N$2:N813),$N$2:$N$1001,0),0), INDEX($U$1004:$AC$1004,1,MATCH(COLUMNS($U$1006:AB1006),$U$1006:$AC$1006,0)))),"Fix")))</f>
        <v>0</v>
      </c>
      <c r="J813" s="3">
        <f>IF(OR(INDEX($O$2:$O$1001,MATCH(ROWS($N$2:N813),$N$2:$N$1001,0),1)&gt;=100000,INDEX($U$1005:$AC$1005,1,MATCH(COLUMNS($U$1006:AC1006),$U$1006:$AC$1006,0))&gt;=100000), " ",IF(INDEX($U$2:$AC$1001,MATCH(ROWS($N$2:N813),$N$2:$N$1001,0),MATCH(COLUMNS($U$1006:AC1006),$U$1006:$AC$1006,0)), HYPERLINK("#",""), HYPERLINK(CONCATENATE("#metadata!", ADDRESS(INDEX($P$2:$P$1001,MATCH(ROWS($N$2:N813),$N$2:$N$1001,0),0), INDEX($U$1004:$AC$1004,1,MATCH(COLUMNS($U$1006:AC1006),$U$1006:$AC$1006,0)))),"Fix")))</f>
        <v>0</v>
      </c>
      <c r="N813">
        <v>0</v>
      </c>
      <c r="O813">
        <v>0</v>
      </c>
      <c r="P813">
        <v>0</v>
      </c>
      <c r="Q813">
        <f>IF(R813,TRUE,AND(U813:AC813))</f>
        <v>0</v>
      </c>
      <c r="R813">
        <f>COUNTBLANK(metadata!B813:J813)=COLUMNS(metadata!B813:J813)</f>
        <v>0</v>
      </c>
      <c r="S813">
        <v>0</v>
      </c>
      <c r="U813">
        <f>AND(IF(metadata!B813="",FALSE,TRUE),COUNTIF(metadata!B:B, metadata!B813) = 1,NOT(ISERROR(SUMPRODUCT(SEARCH(MID(metadata!B813,ROW(INDIRECT("1:"&amp;LEN(metadata!B813))), 1),"0123456789abcdefghijklmnopqrstuvwxyzABCDEFGHIJKLMNOPQRSTUVWXYZ.")))))</f>
        <v>0</v>
      </c>
      <c r="V813">
        <f>AND(IF(metadata!C813="",FALSE,TRUE),exact(metadata!C813,"UBERON:genitourinary"))</f>
        <v>0</v>
      </c>
      <c r="W813">
        <f>AND(IF(metadata!D813="",FALSE,TRUE),exact(metadata!D813,"UBERON:urine"))</f>
        <v>0</v>
      </c>
      <c r="X813">
        <f>AND(IF(metadata!E813="",FALSE,TRUE),exact(metadata!E813,"UBERON:kidney"))</f>
        <v>0</v>
      </c>
      <c r="Y813">
        <f>AND(IF(metadata!F813="",FALSE,TRUE),exact(metadata!F813,"animal corpus"))</f>
        <v>0</v>
      </c>
      <c r="Z813">
        <f>AND(IF(metadata!G813="",FALSE,TRUE),exact(metadata!G813,"urine"))</f>
        <v>0</v>
      </c>
      <c r="AA813">
        <f>AND(IF(metadata!H813="",FALSE,TRUE),exact(metadata!H813,"urine"))</f>
        <v>0</v>
      </c>
      <c r="AB813">
        <f>AND(IF(metadata!I813="",FALSE,TRUE),exact(metadata!I813,"urine metagenome"))</f>
        <v>0</v>
      </c>
      <c r="AC813">
        <f>AND(IF(metadata!J813="",FALSE,TRUE),exact(metadata!J813,"1346744"))</f>
        <v>0</v>
      </c>
    </row>
    <row r="814" spans="1:29">
      <c r="A814" s="4">
        <f>IF(B814=" "," ",HYPERLINK(CONCATENATE("#metadata!",ADDRESS(INDEX($P$2:$P$1001,MATCH(ROWS($N$2:N814),$N$2:$N$1001,0),0),1)),INDEX($S$2:$S$1001,MATCH(ROWS($N$2:N814),$N$2:$N$1001,0),0)))</f>
        <v>0</v>
      </c>
      <c r="B814" s="3">
        <f>IF(OR(INDEX($O$2:$O$1001,MATCH(ROWS($N$2:N814),$N$2:$N$1001,0),1)&gt;=100000,INDEX($U$1005:$AC$1005,1,MATCH(COLUMNS($U$1006:U1006),$U$1006:$AC$1006,0))&gt;=100000), " ",IF(INDEX($U$2:$AC$1001,MATCH(ROWS($N$2:N814),$N$2:$N$1001,0),MATCH(COLUMNS($U$1006:U1006),$U$1006:$AC$1006,0)), HYPERLINK("#",""), HYPERLINK(CONCATENATE("#metadata!", ADDRESS(INDEX($P$2:$P$1001,MATCH(ROWS($N$2:N814),$N$2:$N$1001,0),0), INDEX($U$1004:$AC$1004,1,MATCH(COLUMNS($U$1006:U1006),$U$1006:$AC$1006,0)))),"Fix")))</f>
        <v>0</v>
      </c>
      <c r="C814" s="3">
        <f>IF(OR(INDEX($O$2:$O$1001,MATCH(ROWS($N$2:N814),$N$2:$N$1001,0),1)&gt;=100000,INDEX($U$1005:$AC$1005,1,MATCH(COLUMNS($U$1006:V1006),$U$1006:$AC$1006,0))&gt;=100000), " ",IF(INDEX($U$2:$AC$1001,MATCH(ROWS($N$2:N814),$N$2:$N$1001,0),MATCH(COLUMNS($U$1006:V1006),$U$1006:$AC$1006,0)), HYPERLINK("#",""), HYPERLINK(CONCATENATE("#metadata!", ADDRESS(INDEX($P$2:$P$1001,MATCH(ROWS($N$2:N814),$N$2:$N$1001,0),0), INDEX($U$1004:$AC$1004,1,MATCH(COLUMNS($U$1006:V1006),$U$1006:$AC$1006,0)))),"Fix")))</f>
        <v>0</v>
      </c>
      <c r="D814" s="3">
        <f>IF(OR(INDEX($O$2:$O$1001,MATCH(ROWS($N$2:N814),$N$2:$N$1001,0),1)&gt;=100000,INDEX($U$1005:$AC$1005,1,MATCH(COLUMNS($U$1006:W1006),$U$1006:$AC$1006,0))&gt;=100000), " ",IF(INDEX($U$2:$AC$1001,MATCH(ROWS($N$2:N814),$N$2:$N$1001,0),MATCH(COLUMNS($U$1006:W1006),$U$1006:$AC$1006,0)), HYPERLINK("#",""), HYPERLINK(CONCATENATE("#metadata!", ADDRESS(INDEX($P$2:$P$1001,MATCH(ROWS($N$2:N814),$N$2:$N$1001,0),0), INDEX($U$1004:$AC$1004,1,MATCH(COLUMNS($U$1006:W1006),$U$1006:$AC$1006,0)))),"Fix")))</f>
        <v>0</v>
      </c>
      <c r="E814" s="3">
        <f>IF(OR(INDEX($O$2:$O$1001,MATCH(ROWS($N$2:N814),$N$2:$N$1001,0),1)&gt;=100000,INDEX($U$1005:$AC$1005,1,MATCH(COLUMNS($U$1006:X1006),$U$1006:$AC$1006,0))&gt;=100000), " ",IF(INDEX($U$2:$AC$1001,MATCH(ROWS($N$2:N814),$N$2:$N$1001,0),MATCH(COLUMNS($U$1006:X1006),$U$1006:$AC$1006,0)), HYPERLINK("#",""), HYPERLINK(CONCATENATE("#metadata!", ADDRESS(INDEX($P$2:$P$1001,MATCH(ROWS($N$2:N814),$N$2:$N$1001,0),0), INDEX($U$1004:$AC$1004,1,MATCH(COLUMNS($U$1006:X1006),$U$1006:$AC$1006,0)))),"Fix")))</f>
        <v>0</v>
      </c>
      <c r="F814" s="3">
        <f>IF(OR(INDEX($O$2:$O$1001,MATCH(ROWS($N$2:N814),$N$2:$N$1001,0),1)&gt;=100000,INDEX($U$1005:$AC$1005,1,MATCH(COLUMNS($U$1006:Y1006),$U$1006:$AC$1006,0))&gt;=100000), " ",IF(INDEX($U$2:$AC$1001,MATCH(ROWS($N$2:N814),$N$2:$N$1001,0),MATCH(COLUMNS($U$1006:Y1006),$U$1006:$AC$1006,0)), HYPERLINK("#",""), HYPERLINK(CONCATENATE("#metadata!", ADDRESS(INDEX($P$2:$P$1001,MATCH(ROWS($N$2:N814),$N$2:$N$1001,0),0), INDEX($U$1004:$AC$1004,1,MATCH(COLUMNS($U$1006:Y1006),$U$1006:$AC$1006,0)))),"Fix")))</f>
        <v>0</v>
      </c>
      <c r="G814" s="3">
        <f>IF(OR(INDEX($O$2:$O$1001,MATCH(ROWS($N$2:N814),$N$2:$N$1001,0),1)&gt;=100000,INDEX($U$1005:$AC$1005,1,MATCH(COLUMNS($U$1006:Z1006),$U$1006:$AC$1006,0))&gt;=100000), " ",IF(INDEX($U$2:$AC$1001,MATCH(ROWS($N$2:N814),$N$2:$N$1001,0),MATCH(COLUMNS($U$1006:Z1006),$U$1006:$AC$1006,0)), HYPERLINK("#",""), HYPERLINK(CONCATENATE("#metadata!", ADDRESS(INDEX($P$2:$P$1001,MATCH(ROWS($N$2:N814),$N$2:$N$1001,0),0), INDEX($U$1004:$AC$1004,1,MATCH(COLUMNS($U$1006:Z1006),$U$1006:$AC$1006,0)))),"Fix")))</f>
        <v>0</v>
      </c>
      <c r="H814" s="3">
        <f>IF(OR(INDEX($O$2:$O$1001,MATCH(ROWS($N$2:N814),$N$2:$N$1001,0),1)&gt;=100000,INDEX($U$1005:$AC$1005,1,MATCH(COLUMNS($U$1006:AA1006),$U$1006:$AC$1006,0))&gt;=100000), " ",IF(INDEX($U$2:$AC$1001,MATCH(ROWS($N$2:N814),$N$2:$N$1001,0),MATCH(COLUMNS($U$1006:AA1006),$U$1006:$AC$1006,0)), HYPERLINK("#",""), HYPERLINK(CONCATENATE("#metadata!", ADDRESS(INDEX($P$2:$P$1001,MATCH(ROWS($N$2:N814),$N$2:$N$1001,0),0), INDEX($U$1004:$AC$1004,1,MATCH(COLUMNS($U$1006:AA1006),$U$1006:$AC$1006,0)))),"Fix")))</f>
        <v>0</v>
      </c>
      <c r="I814" s="3">
        <f>IF(OR(INDEX($O$2:$O$1001,MATCH(ROWS($N$2:N814),$N$2:$N$1001,0),1)&gt;=100000,INDEX($U$1005:$AC$1005,1,MATCH(COLUMNS($U$1006:AB1006),$U$1006:$AC$1006,0))&gt;=100000), " ",IF(INDEX($U$2:$AC$1001,MATCH(ROWS($N$2:N814),$N$2:$N$1001,0),MATCH(COLUMNS($U$1006:AB1006),$U$1006:$AC$1006,0)), HYPERLINK("#",""), HYPERLINK(CONCATENATE("#metadata!", ADDRESS(INDEX($P$2:$P$1001,MATCH(ROWS($N$2:N814),$N$2:$N$1001,0),0), INDEX($U$1004:$AC$1004,1,MATCH(COLUMNS($U$1006:AB1006),$U$1006:$AC$1006,0)))),"Fix")))</f>
        <v>0</v>
      </c>
      <c r="J814" s="3">
        <f>IF(OR(INDEX($O$2:$O$1001,MATCH(ROWS($N$2:N814),$N$2:$N$1001,0),1)&gt;=100000,INDEX($U$1005:$AC$1005,1,MATCH(COLUMNS($U$1006:AC1006),$U$1006:$AC$1006,0))&gt;=100000), " ",IF(INDEX($U$2:$AC$1001,MATCH(ROWS($N$2:N814),$N$2:$N$1001,0),MATCH(COLUMNS($U$1006:AC1006),$U$1006:$AC$1006,0)), HYPERLINK("#",""), HYPERLINK(CONCATENATE("#metadata!", ADDRESS(INDEX($P$2:$P$1001,MATCH(ROWS($N$2:N814),$N$2:$N$1001,0),0), INDEX($U$1004:$AC$1004,1,MATCH(COLUMNS($U$1006:AC1006),$U$1006:$AC$1006,0)))),"Fix")))</f>
        <v>0</v>
      </c>
      <c r="N814">
        <v>0</v>
      </c>
      <c r="O814">
        <v>0</v>
      </c>
      <c r="P814">
        <v>0</v>
      </c>
      <c r="Q814">
        <f>IF(R814,TRUE,AND(U814:AC814))</f>
        <v>0</v>
      </c>
      <c r="R814">
        <f>COUNTBLANK(metadata!B814:J814)=COLUMNS(metadata!B814:J814)</f>
        <v>0</v>
      </c>
      <c r="S814">
        <v>0</v>
      </c>
      <c r="U814">
        <f>AND(IF(metadata!B814="",FALSE,TRUE),COUNTIF(metadata!B:B, metadata!B814) = 1,NOT(ISERROR(SUMPRODUCT(SEARCH(MID(metadata!B814,ROW(INDIRECT("1:"&amp;LEN(metadata!B814))), 1),"0123456789abcdefghijklmnopqrstuvwxyzABCDEFGHIJKLMNOPQRSTUVWXYZ.")))))</f>
        <v>0</v>
      </c>
      <c r="V814">
        <f>AND(IF(metadata!C814="",FALSE,TRUE),exact(metadata!C814,"UBERON:genitourinary"))</f>
        <v>0</v>
      </c>
      <c r="W814">
        <f>AND(IF(metadata!D814="",FALSE,TRUE),exact(metadata!D814,"UBERON:urine"))</f>
        <v>0</v>
      </c>
      <c r="X814">
        <f>AND(IF(metadata!E814="",FALSE,TRUE),exact(metadata!E814,"UBERON:kidney"))</f>
        <v>0</v>
      </c>
      <c r="Y814">
        <f>AND(IF(metadata!F814="",FALSE,TRUE),exact(metadata!F814,"animal corpus"))</f>
        <v>0</v>
      </c>
      <c r="Z814">
        <f>AND(IF(metadata!G814="",FALSE,TRUE),exact(metadata!G814,"urine"))</f>
        <v>0</v>
      </c>
      <c r="AA814">
        <f>AND(IF(metadata!H814="",FALSE,TRUE),exact(metadata!H814,"urine"))</f>
        <v>0</v>
      </c>
      <c r="AB814">
        <f>AND(IF(metadata!I814="",FALSE,TRUE),exact(metadata!I814,"urine metagenome"))</f>
        <v>0</v>
      </c>
      <c r="AC814">
        <f>AND(IF(metadata!J814="",FALSE,TRUE),exact(metadata!J814,"1346744"))</f>
        <v>0</v>
      </c>
    </row>
    <row r="815" spans="1:29">
      <c r="A815" s="4">
        <f>IF(B815=" "," ",HYPERLINK(CONCATENATE("#metadata!",ADDRESS(INDEX($P$2:$P$1001,MATCH(ROWS($N$2:N815),$N$2:$N$1001,0),0),1)),INDEX($S$2:$S$1001,MATCH(ROWS($N$2:N815),$N$2:$N$1001,0),0)))</f>
        <v>0</v>
      </c>
      <c r="B815" s="3">
        <f>IF(OR(INDEX($O$2:$O$1001,MATCH(ROWS($N$2:N815),$N$2:$N$1001,0),1)&gt;=100000,INDEX($U$1005:$AC$1005,1,MATCH(COLUMNS($U$1006:U1006),$U$1006:$AC$1006,0))&gt;=100000), " ",IF(INDEX($U$2:$AC$1001,MATCH(ROWS($N$2:N815),$N$2:$N$1001,0),MATCH(COLUMNS($U$1006:U1006),$U$1006:$AC$1006,0)), HYPERLINK("#",""), HYPERLINK(CONCATENATE("#metadata!", ADDRESS(INDEX($P$2:$P$1001,MATCH(ROWS($N$2:N815),$N$2:$N$1001,0),0), INDEX($U$1004:$AC$1004,1,MATCH(COLUMNS($U$1006:U1006),$U$1006:$AC$1006,0)))),"Fix")))</f>
        <v>0</v>
      </c>
      <c r="C815" s="3">
        <f>IF(OR(INDEX($O$2:$O$1001,MATCH(ROWS($N$2:N815),$N$2:$N$1001,0),1)&gt;=100000,INDEX($U$1005:$AC$1005,1,MATCH(COLUMNS($U$1006:V1006),$U$1006:$AC$1006,0))&gt;=100000), " ",IF(INDEX($U$2:$AC$1001,MATCH(ROWS($N$2:N815),$N$2:$N$1001,0),MATCH(COLUMNS($U$1006:V1006),$U$1006:$AC$1006,0)), HYPERLINK("#",""), HYPERLINK(CONCATENATE("#metadata!", ADDRESS(INDEX($P$2:$P$1001,MATCH(ROWS($N$2:N815),$N$2:$N$1001,0),0), INDEX($U$1004:$AC$1004,1,MATCH(COLUMNS($U$1006:V1006),$U$1006:$AC$1006,0)))),"Fix")))</f>
        <v>0</v>
      </c>
      <c r="D815" s="3">
        <f>IF(OR(INDEX($O$2:$O$1001,MATCH(ROWS($N$2:N815),$N$2:$N$1001,0),1)&gt;=100000,INDEX($U$1005:$AC$1005,1,MATCH(COLUMNS($U$1006:W1006),$U$1006:$AC$1006,0))&gt;=100000), " ",IF(INDEX($U$2:$AC$1001,MATCH(ROWS($N$2:N815),$N$2:$N$1001,0),MATCH(COLUMNS($U$1006:W1006),$U$1006:$AC$1006,0)), HYPERLINK("#",""), HYPERLINK(CONCATENATE("#metadata!", ADDRESS(INDEX($P$2:$P$1001,MATCH(ROWS($N$2:N815),$N$2:$N$1001,0),0), INDEX($U$1004:$AC$1004,1,MATCH(COLUMNS($U$1006:W1006),$U$1006:$AC$1006,0)))),"Fix")))</f>
        <v>0</v>
      </c>
      <c r="E815" s="3">
        <f>IF(OR(INDEX($O$2:$O$1001,MATCH(ROWS($N$2:N815),$N$2:$N$1001,0),1)&gt;=100000,INDEX($U$1005:$AC$1005,1,MATCH(COLUMNS($U$1006:X1006),$U$1006:$AC$1006,0))&gt;=100000), " ",IF(INDEX($U$2:$AC$1001,MATCH(ROWS($N$2:N815),$N$2:$N$1001,0),MATCH(COLUMNS($U$1006:X1006),$U$1006:$AC$1006,0)), HYPERLINK("#",""), HYPERLINK(CONCATENATE("#metadata!", ADDRESS(INDEX($P$2:$P$1001,MATCH(ROWS($N$2:N815),$N$2:$N$1001,0),0), INDEX($U$1004:$AC$1004,1,MATCH(COLUMNS($U$1006:X1006),$U$1006:$AC$1006,0)))),"Fix")))</f>
        <v>0</v>
      </c>
      <c r="F815" s="3">
        <f>IF(OR(INDEX($O$2:$O$1001,MATCH(ROWS($N$2:N815),$N$2:$N$1001,0),1)&gt;=100000,INDEX($U$1005:$AC$1005,1,MATCH(COLUMNS($U$1006:Y1006),$U$1006:$AC$1006,0))&gt;=100000), " ",IF(INDEX($U$2:$AC$1001,MATCH(ROWS($N$2:N815),$N$2:$N$1001,0),MATCH(COLUMNS($U$1006:Y1006),$U$1006:$AC$1006,0)), HYPERLINK("#",""), HYPERLINK(CONCATENATE("#metadata!", ADDRESS(INDEX($P$2:$P$1001,MATCH(ROWS($N$2:N815),$N$2:$N$1001,0),0), INDEX($U$1004:$AC$1004,1,MATCH(COLUMNS($U$1006:Y1006),$U$1006:$AC$1006,0)))),"Fix")))</f>
        <v>0</v>
      </c>
      <c r="G815" s="3">
        <f>IF(OR(INDEX($O$2:$O$1001,MATCH(ROWS($N$2:N815),$N$2:$N$1001,0),1)&gt;=100000,INDEX($U$1005:$AC$1005,1,MATCH(COLUMNS($U$1006:Z1006),$U$1006:$AC$1006,0))&gt;=100000), " ",IF(INDEX($U$2:$AC$1001,MATCH(ROWS($N$2:N815),$N$2:$N$1001,0),MATCH(COLUMNS($U$1006:Z1006),$U$1006:$AC$1006,0)), HYPERLINK("#",""), HYPERLINK(CONCATENATE("#metadata!", ADDRESS(INDEX($P$2:$P$1001,MATCH(ROWS($N$2:N815),$N$2:$N$1001,0),0), INDEX($U$1004:$AC$1004,1,MATCH(COLUMNS($U$1006:Z1006),$U$1006:$AC$1006,0)))),"Fix")))</f>
        <v>0</v>
      </c>
      <c r="H815" s="3">
        <f>IF(OR(INDEX($O$2:$O$1001,MATCH(ROWS($N$2:N815),$N$2:$N$1001,0),1)&gt;=100000,INDEX($U$1005:$AC$1005,1,MATCH(COLUMNS($U$1006:AA1006),$U$1006:$AC$1006,0))&gt;=100000), " ",IF(INDEX($U$2:$AC$1001,MATCH(ROWS($N$2:N815),$N$2:$N$1001,0),MATCH(COLUMNS($U$1006:AA1006),$U$1006:$AC$1006,0)), HYPERLINK("#",""), HYPERLINK(CONCATENATE("#metadata!", ADDRESS(INDEX($P$2:$P$1001,MATCH(ROWS($N$2:N815),$N$2:$N$1001,0),0), INDEX($U$1004:$AC$1004,1,MATCH(COLUMNS($U$1006:AA1006),$U$1006:$AC$1006,0)))),"Fix")))</f>
        <v>0</v>
      </c>
      <c r="I815" s="3">
        <f>IF(OR(INDEX($O$2:$O$1001,MATCH(ROWS($N$2:N815),$N$2:$N$1001,0),1)&gt;=100000,INDEX($U$1005:$AC$1005,1,MATCH(COLUMNS($U$1006:AB1006),$U$1006:$AC$1006,0))&gt;=100000), " ",IF(INDEX($U$2:$AC$1001,MATCH(ROWS($N$2:N815),$N$2:$N$1001,0),MATCH(COLUMNS($U$1006:AB1006),$U$1006:$AC$1006,0)), HYPERLINK("#",""), HYPERLINK(CONCATENATE("#metadata!", ADDRESS(INDEX($P$2:$P$1001,MATCH(ROWS($N$2:N815),$N$2:$N$1001,0),0), INDEX($U$1004:$AC$1004,1,MATCH(COLUMNS($U$1006:AB1006),$U$1006:$AC$1006,0)))),"Fix")))</f>
        <v>0</v>
      </c>
      <c r="J815" s="3">
        <f>IF(OR(INDEX($O$2:$O$1001,MATCH(ROWS($N$2:N815),$N$2:$N$1001,0),1)&gt;=100000,INDEX($U$1005:$AC$1005,1,MATCH(COLUMNS($U$1006:AC1006),$U$1006:$AC$1006,0))&gt;=100000), " ",IF(INDEX($U$2:$AC$1001,MATCH(ROWS($N$2:N815),$N$2:$N$1001,0),MATCH(COLUMNS($U$1006:AC1006),$U$1006:$AC$1006,0)), HYPERLINK("#",""), HYPERLINK(CONCATENATE("#metadata!", ADDRESS(INDEX($P$2:$P$1001,MATCH(ROWS($N$2:N815),$N$2:$N$1001,0),0), INDEX($U$1004:$AC$1004,1,MATCH(COLUMNS($U$1006:AC1006),$U$1006:$AC$1006,0)))),"Fix")))</f>
        <v>0</v>
      </c>
      <c r="N815">
        <v>0</v>
      </c>
      <c r="O815">
        <v>0</v>
      </c>
      <c r="P815">
        <v>0</v>
      </c>
      <c r="Q815">
        <f>IF(R815,TRUE,AND(U815:AC815))</f>
        <v>0</v>
      </c>
      <c r="R815">
        <f>COUNTBLANK(metadata!B815:J815)=COLUMNS(metadata!B815:J815)</f>
        <v>0</v>
      </c>
      <c r="S815">
        <v>0</v>
      </c>
      <c r="U815">
        <f>AND(IF(metadata!B815="",FALSE,TRUE),COUNTIF(metadata!B:B, metadata!B815) = 1,NOT(ISERROR(SUMPRODUCT(SEARCH(MID(metadata!B815,ROW(INDIRECT("1:"&amp;LEN(metadata!B815))), 1),"0123456789abcdefghijklmnopqrstuvwxyzABCDEFGHIJKLMNOPQRSTUVWXYZ.")))))</f>
        <v>0</v>
      </c>
      <c r="V815">
        <f>AND(IF(metadata!C815="",FALSE,TRUE),exact(metadata!C815,"UBERON:genitourinary"))</f>
        <v>0</v>
      </c>
      <c r="W815">
        <f>AND(IF(metadata!D815="",FALSE,TRUE),exact(metadata!D815,"UBERON:urine"))</f>
        <v>0</v>
      </c>
      <c r="X815">
        <f>AND(IF(metadata!E815="",FALSE,TRUE),exact(metadata!E815,"UBERON:kidney"))</f>
        <v>0</v>
      </c>
      <c r="Y815">
        <f>AND(IF(metadata!F815="",FALSE,TRUE),exact(metadata!F815,"animal corpus"))</f>
        <v>0</v>
      </c>
      <c r="Z815">
        <f>AND(IF(metadata!G815="",FALSE,TRUE),exact(metadata!G815,"urine"))</f>
        <v>0</v>
      </c>
      <c r="AA815">
        <f>AND(IF(metadata!H815="",FALSE,TRUE),exact(metadata!H815,"urine"))</f>
        <v>0</v>
      </c>
      <c r="AB815">
        <f>AND(IF(metadata!I815="",FALSE,TRUE),exact(metadata!I815,"urine metagenome"))</f>
        <v>0</v>
      </c>
      <c r="AC815">
        <f>AND(IF(metadata!J815="",FALSE,TRUE),exact(metadata!J815,"1346744"))</f>
        <v>0</v>
      </c>
    </row>
    <row r="816" spans="1:29">
      <c r="A816" s="4">
        <f>IF(B816=" "," ",HYPERLINK(CONCATENATE("#metadata!",ADDRESS(INDEX($P$2:$P$1001,MATCH(ROWS($N$2:N816),$N$2:$N$1001,0),0),1)),INDEX($S$2:$S$1001,MATCH(ROWS($N$2:N816),$N$2:$N$1001,0),0)))</f>
        <v>0</v>
      </c>
      <c r="B816" s="3">
        <f>IF(OR(INDEX($O$2:$O$1001,MATCH(ROWS($N$2:N816),$N$2:$N$1001,0),1)&gt;=100000,INDEX($U$1005:$AC$1005,1,MATCH(COLUMNS($U$1006:U1006),$U$1006:$AC$1006,0))&gt;=100000), " ",IF(INDEX($U$2:$AC$1001,MATCH(ROWS($N$2:N816),$N$2:$N$1001,0),MATCH(COLUMNS($U$1006:U1006),$U$1006:$AC$1006,0)), HYPERLINK("#",""), HYPERLINK(CONCATENATE("#metadata!", ADDRESS(INDEX($P$2:$P$1001,MATCH(ROWS($N$2:N816),$N$2:$N$1001,0),0), INDEX($U$1004:$AC$1004,1,MATCH(COLUMNS($U$1006:U1006),$U$1006:$AC$1006,0)))),"Fix")))</f>
        <v>0</v>
      </c>
      <c r="C816" s="3">
        <f>IF(OR(INDEX($O$2:$O$1001,MATCH(ROWS($N$2:N816),$N$2:$N$1001,0),1)&gt;=100000,INDEX($U$1005:$AC$1005,1,MATCH(COLUMNS($U$1006:V1006),$U$1006:$AC$1006,0))&gt;=100000), " ",IF(INDEX($U$2:$AC$1001,MATCH(ROWS($N$2:N816),$N$2:$N$1001,0),MATCH(COLUMNS($U$1006:V1006),$U$1006:$AC$1006,0)), HYPERLINK("#",""), HYPERLINK(CONCATENATE("#metadata!", ADDRESS(INDEX($P$2:$P$1001,MATCH(ROWS($N$2:N816),$N$2:$N$1001,0),0), INDEX($U$1004:$AC$1004,1,MATCH(COLUMNS($U$1006:V1006),$U$1006:$AC$1006,0)))),"Fix")))</f>
        <v>0</v>
      </c>
      <c r="D816" s="3">
        <f>IF(OR(INDEX($O$2:$O$1001,MATCH(ROWS($N$2:N816),$N$2:$N$1001,0),1)&gt;=100000,INDEX($U$1005:$AC$1005,1,MATCH(COLUMNS($U$1006:W1006),$U$1006:$AC$1006,0))&gt;=100000), " ",IF(INDEX($U$2:$AC$1001,MATCH(ROWS($N$2:N816),$N$2:$N$1001,0),MATCH(COLUMNS($U$1006:W1006),$U$1006:$AC$1006,0)), HYPERLINK("#",""), HYPERLINK(CONCATENATE("#metadata!", ADDRESS(INDEX($P$2:$P$1001,MATCH(ROWS($N$2:N816),$N$2:$N$1001,0),0), INDEX($U$1004:$AC$1004,1,MATCH(COLUMNS($U$1006:W1006),$U$1006:$AC$1006,0)))),"Fix")))</f>
        <v>0</v>
      </c>
      <c r="E816" s="3">
        <f>IF(OR(INDEX($O$2:$O$1001,MATCH(ROWS($N$2:N816),$N$2:$N$1001,0),1)&gt;=100000,INDEX($U$1005:$AC$1005,1,MATCH(COLUMNS($U$1006:X1006),$U$1006:$AC$1006,0))&gt;=100000), " ",IF(INDEX($U$2:$AC$1001,MATCH(ROWS($N$2:N816),$N$2:$N$1001,0),MATCH(COLUMNS($U$1006:X1006),$U$1006:$AC$1006,0)), HYPERLINK("#",""), HYPERLINK(CONCATENATE("#metadata!", ADDRESS(INDEX($P$2:$P$1001,MATCH(ROWS($N$2:N816),$N$2:$N$1001,0),0), INDEX($U$1004:$AC$1004,1,MATCH(COLUMNS($U$1006:X1006),$U$1006:$AC$1006,0)))),"Fix")))</f>
        <v>0</v>
      </c>
      <c r="F816" s="3">
        <f>IF(OR(INDEX($O$2:$O$1001,MATCH(ROWS($N$2:N816),$N$2:$N$1001,0),1)&gt;=100000,INDEX($U$1005:$AC$1005,1,MATCH(COLUMNS($U$1006:Y1006),$U$1006:$AC$1006,0))&gt;=100000), " ",IF(INDEX($U$2:$AC$1001,MATCH(ROWS($N$2:N816),$N$2:$N$1001,0),MATCH(COLUMNS($U$1006:Y1006),$U$1006:$AC$1006,0)), HYPERLINK("#",""), HYPERLINK(CONCATENATE("#metadata!", ADDRESS(INDEX($P$2:$P$1001,MATCH(ROWS($N$2:N816),$N$2:$N$1001,0),0), INDEX($U$1004:$AC$1004,1,MATCH(COLUMNS($U$1006:Y1006),$U$1006:$AC$1006,0)))),"Fix")))</f>
        <v>0</v>
      </c>
      <c r="G816" s="3">
        <f>IF(OR(INDEX($O$2:$O$1001,MATCH(ROWS($N$2:N816),$N$2:$N$1001,0),1)&gt;=100000,INDEX($U$1005:$AC$1005,1,MATCH(COLUMNS($U$1006:Z1006),$U$1006:$AC$1006,0))&gt;=100000), " ",IF(INDEX($U$2:$AC$1001,MATCH(ROWS($N$2:N816),$N$2:$N$1001,0),MATCH(COLUMNS($U$1006:Z1006),$U$1006:$AC$1006,0)), HYPERLINK("#",""), HYPERLINK(CONCATENATE("#metadata!", ADDRESS(INDEX($P$2:$P$1001,MATCH(ROWS($N$2:N816),$N$2:$N$1001,0),0), INDEX($U$1004:$AC$1004,1,MATCH(COLUMNS($U$1006:Z1006),$U$1006:$AC$1006,0)))),"Fix")))</f>
        <v>0</v>
      </c>
      <c r="H816" s="3">
        <f>IF(OR(INDEX($O$2:$O$1001,MATCH(ROWS($N$2:N816),$N$2:$N$1001,0),1)&gt;=100000,INDEX($U$1005:$AC$1005,1,MATCH(COLUMNS($U$1006:AA1006),$U$1006:$AC$1006,0))&gt;=100000), " ",IF(INDEX($U$2:$AC$1001,MATCH(ROWS($N$2:N816),$N$2:$N$1001,0),MATCH(COLUMNS($U$1006:AA1006),$U$1006:$AC$1006,0)), HYPERLINK("#",""), HYPERLINK(CONCATENATE("#metadata!", ADDRESS(INDEX($P$2:$P$1001,MATCH(ROWS($N$2:N816),$N$2:$N$1001,0),0), INDEX($U$1004:$AC$1004,1,MATCH(COLUMNS($U$1006:AA1006),$U$1006:$AC$1006,0)))),"Fix")))</f>
        <v>0</v>
      </c>
      <c r="I816" s="3">
        <f>IF(OR(INDEX($O$2:$O$1001,MATCH(ROWS($N$2:N816),$N$2:$N$1001,0),1)&gt;=100000,INDEX($U$1005:$AC$1005,1,MATCH(COLUMNS($U$1006:AB1006),$U$1006:$AC$1006,0))&gt;=100000), " ",IF(INDEX($U$2:$AC$1001,MATCH(ROWS($N$2:N816),$N$2:$N$1001,0),MATCH(COLUMNS($U$1006:AB1006),$U$1006:$AC$1006,0)), HYPERLINK("#",""), HYPERLINK(CONCATENATE("#metadata!", ADDRESS(INDEX($P$2:$P$1001,MATCH(ROWS($N$2:N816),$N$2:$N$1001,0),0), INDEX($U$1004:$AC$1004,1,MATCH(COLUMNS($U$1006:AB1006),$U$1006:$AC$1006,0)))),"Fix")))</f>
        <v>0</v>
      </c>
      <c r="J816" s="3">
        <f>IF(OR(INDEX($O$2:$O$1001,MATCH(ROWS($N$2:N816),$N$2:$N$1001,0),1)&gt;=100000,INDEX($U$1005:$AC$1005,1,MATCH(COLUMNS($U$1006:AC1006),$U$1006:$AC$1006,0))&gt;=100000), " ",IF(INDEX($U$2:$AC$1001,MATCH(ROWS($N$2:N816),$N$2:$N$1001,0),MATCH(COLUMNS($U$1006:AC1006),$U$1006:$AC$1006,0)), HYPERLINK("#",""), HYPERLINK(CONCATENATE("#metadata!", ADDRESS(INDEX($P$2:$P$1001,MATCH(ROWS($N$2:N816),$N$2:$N$1001,0),0), INDEX($U$1004:$AC$1004,1,MATCH(COLUMNS($U$1006:AC1006),$U$1006:$AC$1006,0)))),"Fix")))</f>
        <v>0</v>
      </c>
      <c r="N816">
        <v>0</v>
      </c>
      <c r="O816">
        <v>0</v>
      </c>
      <c r="P816">
        <v>0</v>
      </c>
      <c r="Q816">
        <f>IF(R816,TRUE,AND(U816:AC816))</f>
        <v>0</v>
      </c>
      <c r="R816">
        <f>COUNTBLANK(metadata!B816:J816)=COLUMNS(metadata!B816:J816)</f>
        <v>0</v>
      </c>
      <c r="S816">
        <v>0</v>
      </c>
      <c r="U816">
        <f>AND(IF(metadata!B816="",FALSE,TRUE),COUNTIF(metadata!B:B, metadata!B816) = 1,NOT(ISERROR(SUMPRODUCT(SEARCH(MID(metadata!B816,ROW(INDIRECT("1:"&amp;LEN(metadata!B816))), 1),"0123456789abcdefghijklmnopqrstuvwxyzABCDEFGHIJKLMNOPQRSTUVWXYZ.")))))</f>
        <v>0</v>
      </c>
      <c r="V816">
        <f>AND(IF(metadata!C816="",FALSE,TRUE),exact(metadata!C816,"UBERON:genitourinary"))</f>
        <v>0</v>
      </c>
      <c r="W816">
        <f>AND(IF(metadata!D816="",FALSE,TRUE),exact(metadata!D816,"UBERON:urine"))</f>
        <v>0</v>
      </c>
      <c r="X816">
        <f>AND(IF(metadata!E816="",FALSE,TRUE),exact(metadata!E816,"UBERON:kidney"))</f>
        <v>0</v>
      </c>
      <c r="Y816">
        <f>AND(IF(metadata!F816="",FALSE,TRUE),exact(metadata!F816,"animal corpus"))</f>
        <v>0</v>
      </c>
      <c r="Z816">
        <f>AND(IF(metadata!G816="",FALSE,TRUE),exact(metadata!G816,"urine"))</f>
        <v>0</v>
      </c>
      <c r="AA816">
        <f>AND(IF(metadata!H816="",FALSE,TRUE),exact(metadata!H816,"urine"))</f>
        <v>0</v>
      </c>
      <c r="AB816">
        <f>AND(IF(metadata!I816="",FALSE,TRUE),exact(metadata!I816,"urine metagenome"))</f>
        <v>0</v>
      </c>
      <c r="AC816">
        <f>AND(IF(metadata!J816="",FALSE,TRUE),exact(metadata!J816,"1346744"))</f>
        <v>0</v>
      </c>
    </row>
    <row r="817" spans="1:29">
      <c r="A817" s="4">
        <f>IF(B817=" "," ",HYPERLINK(CONCATENATE("#metadata!",ADDRESS(INDEX($P$2:$P$1001,MATCH(ROWS($N$2:N817),$N$2:$N$1001,0),0),1)),INDEX($S$2:$S$1001,MATCH(ROWS($N$2:N817),$N$2:$N$1001,0),0)))</f>
        <v>0</v>
      </c>
      <c r="B817" s="3">
        <f>IF(OR(INDEX($O$2:$O$1001,MATCH(ROWS($N$2:N817),$N$2:$N$1001,0),1)&gt;=100000,INDEX($U$1005:$AC$1005,1,MATCH(COLUMNS($U$1006:U1006),$U$1006:$AC$1006,0))&gt;=100000), " ",IF(INDEX($U$2:$AC$1001,MATCH(ROWS($N$2:N817),$N$2:$N$1001,0),MATCH(COLUMNS($U$1006:U1006),$U$1006:$AC$1006,0)), HYPERLINK("#",""), HYPERLINK(CONCATENATE("#metadata!", ADDRESS(INDEX($P$2:$P$1001,MATCH(ROWS($N$2:N817),$N$2:$N$1001,0),0), INDEX($U$1004:$AC$1004,1,MATCH(COLUMNS($U$1006:U1006),$U$1006:$AC$1006,0)))),"Fix")))</f>
        <v>0</v>
      </c>
      <c r="C817" s="3">
        <f>IF(OR(INDEX($O$2:$O$1001,MATCH(ROWS($N$2:N817),$N$2:$N$1001,0),1)&gt;=100000,INDEX($U$1005:$AC$1005,1,MATCH(COLUMNS($U$1006:V1006),$U$1006:$AC$1006,0))&gt;=100000), " ",IF(INDEX($U$2:$AC$1001,MATCH(ROWS($N$2:N817),$N$2:$N$1001,0),MATCH(COLUMNS($U$1006:V1006),$U$1006:$AC$1006,0)), HYPERLINK("#",""), HYPERLINK(CONCATENATE("#metadata!", ADDRESS(INDEX($P$2:$P$1001,MATCH(ROWS($N$2:N817),$N$2:$N$1001,0),0), INDEX($U$1004:$AC$1004,1,MATCH(COLUMNS($U$1006:V1006),$U$1006:$AC$1006,0)))),"Fix")))</f>
        <v>0</v>
      </c>
      <c r="D817" s="3">
        <f>IF(OR(INDEX($O$2:$O$1001,MATCH(ROWS($N$2:N817),$N$2:$N$1001,0),1)&gt;=100000,INDEX($U$1005:$AC$1005,1,MATCH(COLUMNS($U$1006:W1006),$U$1006:$AC$1006,0))&gt;=100000), " ",IF(INDEX($U$2:$AC$1001,MATCH(ROWS($N$2:N817),$N$2:$N$1001,0),MATCH(COLUMNS($U$1006:W1006),$U$1006:$AC$1006,0)), HYPERLINK("#",""), HYPERLINK(CONCATENATE("#metadata!", ADDRESS(INDEX($P$2:$P$1001,MATCH(ROWS($N$2:N817),$N$2:$N$1001,0),0), INDEX($U$1004:$AC$1004,1,MATCH(COLUMNS($U$1006:W1006),$U$1006:$AC$1006,0)))),"Fix")))</f>
        <v>0</v>
      </c>
      <c r="E817" s="3">
        <f>IF(OR(INDEX($O$2:$O$1001,MATCH(ROWS($N$2:N817),$N$2:$N$1001,0),1)&gt;=100000,INDEX($U$1005:$AC$1005,1,MATCH(COLUMNS($U$1006:X1006),$U$1006:$AC$1006,0))&gt;=100000), " ",IF(INDEX($U$2:$AC$1001,MATCH(ROWS($N$2:N817),$N$2:$N$1001,0),MATCH(COLUMNS($U$1006:X1006),$U$1006:$AC$1006,0)), HYPERLINK("#",""), HYPERLINK(CONCATENATE("#metadata!", ADDRESS(INDEX($P$2:$P$1001,MATCH(ROWS($N$2:N817),$N$2:$N$1001,0),0), INDEX($U$1004:$AC$1004,1,MATCH(COLUMNS($U$1006:X1006),$U$1006:$AC$1006,0)))),"Fix")))</f>
        <v>0</v>
      </c>
      <c r="F817" s="3">
        <f>IF(OR(INDEX($O$2:$O$1001,MATCH(ROWS($N$2:N817),$N$2:$N$1001,0),1)&gt;=100000,INDEX($U$1005:$AC$1005,1,MATCH(COLUMNS($U$1006:Y1006),$U$1006:$AC$1006,0))&gt;=100000), " ",IF(INDEX($U$2:$AC$1001,MATCH(ROWS($N$2:N817),$N$2:$N$1001,0),MATCH(COLUMNS($U$1006:Y1006),$U$1006:$AC$1006,0)), HYPERLINK("#",""), HYPERLINK(CONCATENATE("#metadata!", ADDRESS(INDEX($P$2:$P$1001,MATCH(ROWS($N$2:N817),$N$2:$N$1001,0),0), INDEX($U$1004:$AC$1004,1,MATCH(COLUMNS($U$1006:Y1006),$U$1006:$AC$1006,0)))),"Fix")))</f>
        <v>0</v>
      </c>
      <c r="G817" s="3">
        <f>IF(OR(INDEX($O$2:$O$1001,MATCH(ROWS($N$2:N817),$N$2:$N$1001,0),1)&gt;=100000,INDEX($U$1005:$AC$1005,1,MATCH(COLUMNS($U$1006:Z1006),$U$1006:$AC$1006,0))&gt;=100000), " ",IF(INDEX($U$2:$AC$1001,MATCH(ROWS($N$2:N817),$N$2:$N$1001,0),MATCH(COLUMNS($U$1006:Z1006),$U$1006:$AC$1006,0)), HYPERLINK("#",""), HYPERLINK(CONCATENATE("#metadata!", ADDRESS(INDEX($P$2:$P$1001,MATCH(ROWS($N$2:N817),$N$2:$N$1001,0),0), INDEX($U$1004:$AC$1004,1,MATCH(COLUMNS($U$1006:Z1006),$U$1006:$AC$1006,0)))),"Fix")))</f>
        <v>0</v>
      </c>
      <c r="H817" s="3">
        <f>IF(OR(INDEX($O$2:$O$1001,MATCH(ROWS($N$2:N817),$N$2:$N$1001,0),1)&gt;=100000,INDEX($U$1005:$AC$1005,1,MATCH(COLUMNS($U$1006:AA1006),$U$1006:$AC$1006,0))&gt;=100000), " ",IF(INDEX($U$2:$AC$1001,MATCH(ROWS($N$2:N817),$N$2:$N$1001,0),MATCH(COLUMNS($U$1006:AA1006),$U$1006:$AC$1006,0)), HYPERLINK("#",""), HYPERLINK(CONCATENATE("#metadata!", ADDRESS(INDEX($P$2:$P$1001,MATCH(ROWS($N$2:N817),$N$2:$N$1001,0),0), INDEX($U$1004:$AC$1004,1,MATCH(COLUMNS($U$1006:AA1006),$U$1006:$AC$1006,0)))),"Fix")))</f>
        <v>0</v>
      </c>
      <c r="I817" s="3">
        <f>IF(OR(INDEX($O$2:$O$1001,MATCH(ROWS($N$2:N817),$N$2:$N$1001,0),1)&gt;=100000,INDEX($U$1005:$AC$1005,1,MATCH(COLUMNS($U$1006:AB1006),$U$1006:$AC$1006,0))&gt;=100000), " ",IF(INDEX($U$2:$AC$1001,MATCH(ROWS($N$2:N817),$N$2:$N$1001,0),MATCH(COLUMNS($U$1006:AB1006),$U$1006:$AC$1006,0)), HYPERLINK("#",""), HYPERLINK(CONCATENATE("#metadata!", ADDRESS(INDEX($P$2:$P$1001,MATCH(ROWS($N$2:N817),$N$2:$N$1001,0),0), INDEX($U$1004:$AC$1004,1,MATCH(COLUMNS($U$1006:AB1006),$U$1006:$AC$1006,0)))),"Fix")))</f>
        <v>0</v>
      </c>
      <c r="J817" s="3">
        <f>IF(OR(INDEX($O$2:$O$1001,MATCH(ROWS($N$2:N817),$N$2:$N$1001,0),1)&gt;=100000,INDEX($U$1005:$AC$1005,1,MATCH(COLUMNS($U$1006:AC1006),$U$1006:$AC$1006,0))&gt;=100000), " ",IF(INDEX($U$2:$AC$1001,MATCH(ROWS($N$2:N817),$N$2:$N$1001,0),MATCH(COLUMNS($U$1006:AC1006),$U$1006:$AC$1006,0)), HYPERLINK("#",""), HYPERLINK(CONCATENATE("#metadata!", ADDRESS(INDEX($P$2:$P$1001,MATCH(ROWS($N$2:N817),$N$2:$N$1001,0),0), INDEX($U$1004:$AC$1004,1,MATCH(COLUMNS($U$1006:AC1006),$U$1006:$AC$1006,0)))),"Fix")))</f>
        <v>0</v>
      </c>
      <c r="N817">
        <v>0</v>
      </c>
      <c r="O817">
        <v>0</v>
      </c>
      <c r="P817">
        <v>0</v>
      </c>
      <c r="Q817">
        <f>IF(R817,TRUE,AND(U817:AC817))</f>
        <v>0</v>
      </c>
      <c r="R817">
        <f>COUNTBLANK(metadata!B817:J817)=COLUMNS(metadata!B817:J817)</f>
        <v>0</v>
      </c>
      <c r="S817">
        <v>0</v>
      </c>
      <c r="U817">
        <f>AND(IF(metadata!B817="",FALSE,TRUE),COUNTIF(metadata!B:B, metadata!B817) = 1,NOT(ISERROR(SUMPRODUCT(SEARCH(MID(metadata!B817,ROW(INDIRECT("1:"&amp;LEN(metadata!B817))), 1),"0123456789abcdefghijklmnopqrstuvwxyzABCDEFGHIJKLMNOPQRSTUVWXYZ.")))))</f>
        <v>0</v>
      </c>
      <c r="V817">
        <f>AND(IF(metadata!C817="",FALSE,TRUE),exact(metadata!C817,"UBERON:genitourinary"))</f>
        <v>0</v>
      </c>
      <c r="W817">
        <f>AND(IF(metadata!D817="",FALSE,TRUE),exact(metadata!D817,"UBERON:urine"))</f>
        <v>0</v>
      </c>
      <c r="X817">
        <f>AND(IF(metadata!E817="",FALSE,TRUE),exact(metadata!E817,"UBERON:kidney"))</f>
        <v>0</v>
      </c>
      <c r="Y817">
        <f>AND(IF(metadata!F817="",FALSE,TRUE),exact(metadata!F817,"animal corpus"))</f>
        <v>0</v>
      </c>
      <c r="Z817">
        <f>AND(IF(metadata!G817="",FALSE,TRUE),exact(metadata!G817,"urine"))</f>
        <v>0</v>
      </c>
      <c r="AA817">
        <f>AND(IF(metadata!H817="",FALSE,TRUE),exact(metadata!H817,"urine"))</f>
        <v>0</v>
      </c>
      <c r="AB817">
        <f>AND(IF(metadata!I817="",FALSE,TRUE),exact(metadata!I817,"urine metagenome"))</f>
        <v>0</v>
      </c>
      <c r="AC817">
        <f>AND(IF(metadata!J817="",FALSE,TRUE),exact(metadata!J817,"1346744"))</f>
        <v>0</v>
      </c>
    </row>
    <row r="818" spans="1:29">
      <c r="A818" s="4">
        <f>IF(B818=" "," ",HYPERLINK(CONCATENATE("#metadata!",ADDRESS(INDEX($P$2:$P$1001,MATCH(ROWS($N$2:N818),$N$2:$N$1001,0),0),1)),INDEX($S$2:$S$1001,MATCH(ROWS($N$2:N818),$N$2:$N$1001,0),0)))</f>
        <v>0</v>
      </c>
      <c r="B818" s="3">
        <f>IF(OR(INDEX($O$2:$O$1001,MATCH(ROWS($N$2:N818),$N$2:$N$1001,0),1)&gt;=100000,INDEX($U$1005:$AC$1005,1,MATCH(COLUMNS($U$1006:U1006),$U$1006:$AC$1006,0))&gt;=100000), " ",IF(INDEX($U$2:$AC$1001,MATCH(ROWS($N$2:N818),$N$2:$N$1001,0),MATCH(COLUMNS($U$1006:U1006),$U$1006:$AC$1006,0)), HYPERLINK("#",""), HYPERLINK(CONCATENATE("#metadata!", ADDRESS(INDEX($P$2:$P$1001,MATCH(ROWS($N$2:N818),$N$2:$N$1001,0),0), INDEX($U$1004:$AC$1004,1,MATCH(COLUMNS($U$1006:U1006),$U$1006:$AC$1006,0)))),"Fix")))</f>
        <v>0</v>
      </c>
      <c r="C818" s="3">
        <f>IF(OR(INDEX($O$2:$O$1001,MATCH(ROWS($N$2:N818),$N$2:$N$1001,0),1)&gt;=100000,INDEX($U$1005:$AC$1005,1,MATCH(COLUMNS($U$1006:V1006),$U$1006:$AC$1006,0))&gt;=100000), " ",IF(INDEX($U$2:$AC$1001,MATCH(ROWS($N$2:N818),$N$2:$N$1001,0),MATCH(COLUMNS($U$1006:V1006),$U$1006:$AC$1006,0)), HYPERLINK("#",""), HYPERLINK(CONCATENATE("#metadata!", ADDRESS(INDEX($P$2:$P$1001,MATCH(ROWS($N$2:N818),$N$2:$N$1001,0),0), INDEX($U$1004:$AC$1004,1,MATCH(COLUMNS($U$1006:V1006),$U$1006:$AC$1006,0)))),"Fix")))</f>
        <v>0</v>
      </c>
      <c r="D818" s="3">
        <f>IF(OR(INDEX($O$2:$O$1001,MATCH(ROWS($N$2:N818),$N$2:$N$1001,0),1)&gt;=100000,INDEX($U$1005:$AC$1005,1,MATCH(COLUMNS($U$1006:W1006),$U$1006:$AC$1006,0))&gt;=100000), " ",IF(INDEX($U$2:$AC$1001,MATCH(ROWS($N$2:N818),$N$2:$N$1001,0),MATCH(COLUMNS($U$1006:W1006),$U$1006:$AC$1006,0)), HYPERLINK("#",""), HYPERLINK(CONCATENATE("#metadata!", ADDRESS(INDEX($P$2:$P$1001,MATCH(ROWS($N$2:N818),$N$2:$N$1001,0),0), INDEX($U$1004:$AC$1004,1,MATCH(COLUMNS($U$1006:W1006),$U$1006:$AC$1006,0)))),"Fix")))</f>
        <v>0</v>
      </c>
      <c r="E818" s="3">
        <f>IF(OR(INDEX($O$2:$O$1001,MATCH(ROWS($N$2:N818),$N$2:$N$1001,0),1)&gt;=100000,INDEX($U$1005:$AC$1005,1,MATCH(COLUMNS($U$1006:X1006),$U$1006:$AC$1006,0))&gt;=100000), " ",IF(INDEX($U$2:$AC$1001,MATCH(ROWS($N$2:N818),$N$2:$N$1001,0),MATCH(COLUMNS($U$1006:X1006),$U$1006:$AC$1006,0)), HYPERLINK("#",""), HYPERLINK(CONCATENATE("#metadata!", ADDRESS(INDEX($P$2:$P$1001,MATCH(ROWS($N$2:N818),$N$2:$N$1001,0),0), INDEX($U$1004:$AC$1004,1,MATCH(COLUMNS($U$1006:X1006),$U$1006:$AC$1006,0)))),"Fix")))</f>
        <v>0</v>
      </c>
      <c r="F818" s="3">
        <f>IF(OR(INDEX($O$2:$O$1001,MATCH(ROWS($N$2:N818),$N$2:$N$1001,0),1)&gt;=100000,INDEX($U$1005:$AC$1005,1,MATCH(COLUMNS($U$1006:Y1006),$U$1006:$AC$1006,0))&gt;=100000), " ",IF(INDEX($U$2:$AC$1001,MATCH(ROWS($N$2:N818),$N$2:$N$1001,0),MATCH(COLUMNS($U$1006:Y1006),$U$1006:$AC$1006,0)), HYPERLINK("#",""), HYPERLINK(CONCATENATE("#metadata!", ADDRESS(INDEX($P$2:$P$1001,MATCH(ROWS($N$2:N818),$N$2:$N$1001,0),0), INDEX($U$1004:$AC$1004,1,MATCH(COLUMNS($U$1006:Y1006),$U$1006:$AC$1006,0)))),"Fix")))</f>
        <v>0</v>
      </c>
      <c r="G818" s="3">
        <f>IF(OR(INDEX($O$2:$O$1001,MATCH(ROWS($N$2:N818),$N$2:$N$1001,0),1)&gt;=100000,INDEX($U$1005:$AC$1005,1,MATCH(COLUMNS($U$1006:Z1006),$U$1006:$AC$1006,0))&gt;=100000), " ",IF(INDEX($U$2:$AC$1001,MATCH(ROWS($N$2:N818),$N$2:$N$1001,0),MATCH(COLUMNS($U$1006:Z1006),$U$1006:$AC$1006,0)), HYPERLINK("#",""), HYPERLINK(CONCATENATE("#metadata!", ADDRESS(INDEX($P$2:$P$1001,MATCH(ROWS($N$2:N818),$N$2:$N$1001,0),0), INDEX($U$1004:$AC$1004,1,MATCH(COLUMNS($U$1006:Z1006),$U$1006:$AC$1006,0)))),"Fix")))</f>
        <v>0</v>
      </c>
      <c r="H818" s="3">
        <f>IF(OR(INDEX($O$2:$O$1001,MATCH(ROWS($N$2:N818),$N$2:$N$1001,0),1)&gt;=100000,INDEX($U$1005:$AC$1005,1,MATCH(COLUMNS($U$1006:AA1006),$U$1006:$AC$1006,0))&gt;=100000), " ",IF(INDEX($U$2:$AC$1001,MATCH(ROWS($N$2:N818),$N$2:$N$1001,0),MATCH(COLUMNS($U$1006:AA1006),$U$1006:$AC$1006,0)), HYPERLINK("#",""), HYPERLINK(CONCATENATE("#metadata!", ADDRESS(INDEX($P$2:$P$1001,MATCH(ROWS($N$2:N818),$N$2:$N$1001,0),0), INDEX($U$1004:$AC$1004,1,MATCH(COLUMNS($U$1006:AA1006),$U$1006:$AC$1006,0)))),"Fix")))</f>
        <v>0</v>
      </c>
      <c r="I818" s="3">
        <f>IF(OR(INDEX($O$2:$O$1001,MATCH(ROWS($N$2:N818),$N$2:$N$1001,0),1)&gt;=100000,INDEX($U$1005:$AC$1005,1,MATCH(COLUMNS($U$1006:AB1006),$U$1006:$AC$1006,0))&gt;=100000), " ",IF(INDEX($U$2:$AC$1001,MATCH(ROWS($N$2:N818),$N$2:$N$1001,0),MATCH(COLUMNS($U$1006:AB1006),$U$1006:$AC$1006,0)), HYPERLINK("#",""), HYPERLINK(CONCATENATE("#metadata!", ADDRESS(INDEX($P$2:$P$1001,MATCH(ROWS($N$2:N818),$N$2:$N$1001,0),0), INDEX($U$1004:$AC$1004,1,MATCH(COLUMNS($U$1006:AB1006),$U$1006:$AC$1006,0)))),"Fix")))</f>
        <v>0</v>
      </c>
      <c r="J818" s="3">
        <f>IF(OR(INDEX($O$2:$O$1001,MATCH(ROWS($N$2:N818),$N$2:$N$1001,0),1)&gt;=100000,INDEX($U$1005:$AC$1005,1,MATCH(COLUMNS($U$1006:AC1006),$U$1006:$AC$1006,0))&gt;=100000), " ",IF(INDEX($U$2:$AC$1001,MATCH(ROWS($N$2:N818),$N$2:$N$1001,0),MATCH(COLUMNS($U$1006:AC1006),$U$1006:$AC$1006,0)), HYPERLINK("#",""), HYPERLINK(CONCATENATE("#metadata!", ADDRESS(INDEX($P$2:$P$1001,MATCH(ROWS($N$2:N818),$N$2:$N$1001,0),0), INDEX($U$1004:$AC$1004,1,MATCH(COLUMNS($U$1006:AC1006),$U$1006:$AC$1006,0)))),"Fix")))</f>
        <v>0</v>
      </c>
      <c r="N818">
        <v>0</v>
      </c>
      <c r="O818">
        <v>0</v>
      </c>
      <c r="P818">
        <v>0</v>
      </c>
      <c r="Q818">
        <f>IF(R818,TRUE,AND(U818:AC818))</f>
        <v>0</v>
      </c>
      <c r="R818">
        <f>COUNTBLANK(metadata!B818:J818)=COLUMNS(metadata!B818:J818)</f>
        <v>0</v>
      </c>
      <c r="S818">
        <v>0</v>
      </c>
      <c r="U818">
        <f>AND(IF(metadata!B818="",FALSE,TRUE),COUNTIF(metadata!B:B, metadata!B818) = 1,NOT(ISERROR(SUMPRODUCT(SEARCH(MID(metadata!B818,ROW(INDIRECT("1:"&amp;LEN(metadata!B818))), 1),"0123456789abcdefghijklmnopqrstuvwxyzABCDEFGHIJKLMNOPQRSTUVWXYZ.")))))</f>
        <v>0</v>
      </c>
      <c r="V818">
        <f>AND(IF(metadata!C818="",FALSE,TRUE),exact(metadata!C818,"UBERON:genitourinary"))</f>
        <v>0</v>
      </c>
      <c r="W818">
        <f>AND(IF(metadata!D818="",FALSE,TRUE),exact(metadata!D818,"UBERON:urine"))</f>
        <v>0</v>
      </c>
      <c r="X818">
        <f>AND(IF(metadata!E818="",FALSE,TRUE),exact(metadata!E818,"UBERON:kidney"))</f>
        <v>0</v>
      </c>
      <c r="Y818">
        <f>AND(IF(metadata!F818="",FALSE,TRUE),exact(metadata!F818,"animal corpus"))</f>
        <v>0</v>
      </c>
      <c r="Z818">
        <f>AND(IF(metadata!G818="",FALSE,TRUE),exact(metadata!G818,"urine"))</f>
        <v>0</v>
      </c>
      <c r="AA818">
        <f>AND(IF(metadata!H818="",FALSE,TRUE),exact(metadata!H818,"urine"))</f>
        <v>0</v>
      </c>
      <c r="AB818">
        <f>AND(IF(metadata!I818="",FALSE,TRUE),exact(metadata!I818,"urine metagenome"))</f>
        <v>0</v>
      </c>
      <c r="AC818">
        <f>AND(IF(metadata!J818="",FALSE,TRUE),exact(metadata!J818,"1346744"))</f>
        <v>0</v>
      </c>
    </row>
    <row r="819" spans="1:29">
      <c r="A819" s="4">
        <f>IF(B819=" "," ",HYPERLINK(CONCATENATE("#metadata!",ADDRESS(INDEX($P$2:$P$1001,MATCH(ROWS($N$2:N819),$N$2:$N$1001,0),0),1)),INDEX($S$2:$S$1001,MATCH(ROWS($N$2:N819),$N$2:$N$1001,0),0)))</f>
        <v>0</v>
      </c>
      <c r="B819" s="3">
        <f>IF(OR(INDEX($O$2:$O$1001,MATCH(ROWS($N$2:N819),$N$2:$N$1001,0),1)&gt;=100000,INDEX($U$1005:$AC$1005,1,MATCH(COLUMNS($U$1006:U1006),$U$1006:$AC$1006,0))&gt;=100000), " ",IF(INDEX($U$2:$AC$1001,MATCH(ROWS($N$2:N819),$N$2:$N$1001,0),MATCH(COLUMNS($U$1006:U1006),$U$1006:$AC$1006,0)), HYPERLINK("#",""), HYPERLINK(CONCATENATE("#metadata!", ADDRESS(INDEX($P$2:$P$1001,MATCH(ROWS($N$2:N819),$N$2:$N$1001,0),0), INDEX($U$1004:$AC$1004,1,MATCH(COLUMNS($U$1006:U1006),$U$1006:$AC$1006,0)))),"Fix")))</f>
        <v>0</v>
      </c>
      <c r="C819" s="3">
        <f>IF(OR(INDEX($O$2:$O$1001,MATCH(ROWS($N$2:N819),$N$2:$N$1001,0),1)&gt;=100000,INDEX($U$1005:$AC$1005,1,MATCH(COLUMNS($U$1006:V1006),$U$1006:$AC$1006,0))&gt;=100000), " ",IF(INDEX($U$2:$AC$1001,MATCH(ROWS($N$2:N819),$N$2:$N$1001,0),MATCH(COLUMNS($U$1006:V1006),$U$1006:$AC$1006,0)), HYPERLINK("#",""), HYPERLINK(CONCATENATE("#metadata!", ADDRESS(INDEX($P$2:$P$1001,MATCH(ROWS($N$2:N819),$N$2:$N$1001,0),0), INDEX($U$1004:$AC$1004,1,MATCH(COLUMNS($U$1006:V1006),$U$1006:$AC$1006,0)))),"Fix")))</f>
        <v>0</v>
      </c>
      <c r="D819" s="3">
        <f>IF(OR(INDEX($O$2:$O$1001,MATCH(ROWS($N$2:N819),$N$2:$N$1001,0),1)&gt;=100000,INDEX($U$1005:$AC$1005,1,MATCH(COLUMNS($U$1006:W1006),$U$1006:$AC$1006,0))&gt;=100000), " ",IF(INDEX($U$2:$AC$1001,MATCH(ROWS($N$2:N819),$N$2:$N$1001,0),MATCH(COLUMNS($U$1006:W1006),$U$1006:$AC$1006,0)), HYPERLINK("#",""), HYPERLINK(CONCATENATE("#metadata!", ADDRESS(INDEX($P$2:$P$1001,MATCH(ROWS($N$2:N819),$N$2:$N$1001,0),0), INDEX($U$1004:$AC$1004,1,MATCH(COLUMNS($U$1006:W1006),$U$1006:$AC$1006,0)))),"Fix")))</f>
        <v>0</v>
      </c>
      <c r="E819" s="3">
        <f>IF(OR(INDEX($O$2:$O$1001,MATCH(ROWS($N$2:N819),$N$2:$N$1001,0),1)&gt;=100000,INDEX($U$1005:$AC$1005,1,MATCH(COLUMNS($U$1006:X1006),$U$1006:$AC$1006,0))&gt;=100000), " ",IF(INDEX($U$2:$AC$1001,MATCH(ROWS($N$2:N819),$N$2:$N$1001,0),MATCH(COLUMNS($U$1006:X1006),$U$1006:$AC$1006,0)), HYPERLINK("#",""), HYPERLINK(CONCATENATE("#metadata!", ADDRESS(INDEX($P$2:$P$1001,MATCH(ROWS($N$2:N819),$N$2:$N$1001,0),0), INDEX($U$1004:$AC$1004,1,MATCH(COLUMNS($U$1006:X1006),$U$1006:$AC$1006,0)))),"Fix")))</f>
        <v>0</v>
      </c>
      <c r="F819" s="3">
        <f>IF(OR(INDEX($O$2:$O$1001,MATCH(ROWS($N$2:N819),$N$2:$N$1001,0),1)&gt;=100000,INDEX($U$1005:$AC$1005,1,MATCH(COLUMNS($U$1006:Y1006),$U$1006:$AC$1006,0))&gt;=100000), " ",IF(INDEX($U$2:$AC$1001,MATCH(ROWS($N$2:N819),$N$2:$N$1001,0),MATCH(COLUMNS($U$1006:Y1006),$U$1006:$AC$1006,0)), HYPERLINK("#",""), HYPERLINK(CONCATENATE("#metadata!", ADDRESS(INDEX($P$2:$P$1001,MATCH(ROWS($N$2:N819),$N$2:$N$1001,0),0), INDEX($U$1004:$AC$1004,1,MATCH(COLUMNS($U$1006:Y1006),$U$1006:$AC$1006,0)))),"Fix")))</f>
        <v>0</v>
      </c>
      <c r="G819" s="3">
        <f>IF(OR(INDEX($O$2:$O$1001,MATCH(ROWS($N$2:N819),$N$2:$N$1001,0),1)&gt;=100000,INDEX($U$1005:$AC$1005,1,MATCH(COLUMNS($U$1006:Z1006),$U$1006:$AC$1006,0))&gt;=100000), " ",IF(INDEX($U$2:$AC$1001,MATCH(ROWS($N$2:N819),$N$2:$N$1001,0),MATCH(COLUMNS($U$1006:Z1006),$U$1006:$AC$1006,0)), HYPERLINK("#",""), HYPERLINK(CONCATENATE("#metadata!", ADDRESS(INDEX($P$2:$P$1001,MATCH(ROWS($N$2:N819),$N$2:$N$1001,0),0), INDEX($U$1004:$AC$1004,1,MATCH(COLUMNS($U$1006:Z1006),$U$1006:$AC$1006,0)))),"Fix")))</f>
        <v>0</v>
      </c>
      <c r="H819" s="3">
        <f>IF(OR(INDEX($O$2:$O$1001,MATCH(ROWS($N$2:N819),$N$2:$N$1001,0),1)&gt;=100000,INDEX($U$1005:$AC$1005,1,MATCH(COLUMNS($U$1006:AA1006),$U$1006:$AC$1006,0))&gt;=100000), " ",IF(INDEX($U$2:$AC$1001,MATCH(ROWS($N$2:N819),$N$2:$N$1001,0),MATCH(COLUMNS($U$1006:AA1006),$U$1006:$AC$1006,0)), HYPERLINK("#",""), HYPERLINK(CONCATENATE("#metadata!", ADDRESS(INDEX($P$2:$P$1001,MATCH(ROWS($N$2:N819),$N$2:$N$1001,0),0), INDEX($U$1004:$AC$1004,1,MATCH(COLUMNS($U$1006:AA1006),$U$1006:$AC$1006,0)))),"Fix")))</f>
        <v>0</v>
      </c>
      <c r="I819" s="3">
        <f>IF(OR(INDEX($O$2:$O$1001,MATCH(ROWS($N$2:N819),$N$2:$N$1001,0),1)&gt;=100000,INDEX($U$1005:$AC$1005,1,MATCH(COLUMNS($U$1006:AB1006),$U$1006:$AC$1006,0))&gt;=100000), " ",IF(INDEX($U$2:$AC$1001,MATCH(ROWS($N$2:N819),$N$2:$N$1001,0),MATCH(COLUMNS($U$1006:AB1006),$U$1006:$AC$1006,0)), HYPERLINK("#",""), HYPERLINK(CONCATENATE("#metadata!", ADDRESS(INDEX($P$2:$P$1001,MATCH(ROWS($N$2:N819),$N$2:$N$1001,0),0), INDEX($U$1004:$AC$1004,1,MATCH(COLUMNS($U$1006:AB1006),$U$1006:$AC$1006,0)))),"Fix")))</f>
        <v>0</v>
      </c>
      <c r="J819" s="3">
        <f>IF(OR(INDEX($O$2:$O$1001,MATCH(ROWS($N$2:N819),$N$2:$N$1001,0),1)&gt;=100000,INDEX($U$1005:$AC$1005,1,MATCH(COLUMNS($U$1006:AC1006),$U$1006:$AC$1006,0))&gt;=100000), " ",IF(INDEX($U$2:$AC$1001,MATCH(ROWS($N$2:N819),$N$2:$N$1001,0),MATCH(COLUMNS($U$1006:AC1006),$U$1006:$AC$1006,0)), HYPERLINK("#",""), HYPERLINK(CONCATENATE("#metadata!", ADDRESS(INDEX($P$2:$P$1001,MATCH(ROWS($N$2:N819),$N$2:$N$1001,0),0), INDEX($U$1004:$AC$1004,1,MATCH(COLUMNS($U$1006:AC1006),$U$1006:$AC$1006,0)))),"Fix")))</f>
        <v>0</v>
      </c>
      <c r="N819">
        <v>0</v>
      </c>
      <c r="O819">
        <v>0</v>
      </c>
      <c r="P819">
        <v>0</v>
      </c>
      <c r="Q819">
        <f>IF(R819,TRUE,AND(U819:AC819))</f>
        <v>0</v>
      </c>
      <c r="R819">
        <f>COUNTBLANK(metadata!B819:J819)=COLUMNS(metadata!B819:J819)</f>
        <v>0</v>
      </c>
      <c r="S819">
        <v>0</v>
      </c>
      <c r="U819">
        <f>AND(IF(metadata!B819="",FALSE,TRUE),COUNTIF(metadata!B:B, metadata!B819) = 1,NOT(ISERROR(SUMPRODUCT(SEARCH(MID(metadata!B819,ROW(INDIRECT("1:"&amp;LEN(metadata!B819))), 1),"0123456789abcdefghijklmnopqrstuvwxyzABCDEFGHIJKLMNOPQRSTUVWXYZ.")))))</f>
        <v>0</v>
      </c>
      <c r="V819">
        <f>AND(IF(metadata!C819="",FALSE,TRUE),exact(metadata!C819,"UBERON:genitourinary"))</f>
        <v>0</v>
      </c>
      <c r="W819">
        <f>AND(IF(metadata!D819="",FALSE,TRUE),exact(metadata!D819,"UBERON:urine"))</f>
        <v>0</v>
      </c>
      <c r="X819">
        <f>AND(IF(metadata!E819="",FALSE,TRUE),exact(metadata!E819,"UBERON:kidney"))</f>
        <v>0</v>
      </c>
      <c r="Y819">
        <f>AND(IF(metadata!F819="",FALSE,TRUE),exact(metadata!F819,"animal corpus"))</f>
        <v>0</v>
      </c>
      <c r="Z819">
        <f>AND(IF(metadata!G819="",FALSE,TRUE),exact(metadata!G819,"urine"))</f>
        <v>0</v>
      </c>
      <c r="AA819">
        <f>AND(IF(metadata!H819="",FALSE,TRUE),exact(metadata!H819,"urine"))</f>
        <v>0</v>
      </c>
      <c r="AB819">
        <f>AND(IF(metadata!I819="",FALSE,TRUE),exact(metadata!I819,"urine metagenome"))</f>
        <v>0</v>
      </c>
      <c r="AC819">
        <f>AND(IF(metadata!J819="",FALSE,TRUE),exact(metadata!J819,"1346744"))</f>
        <v>0</v>
      </c>
    </row>
    <row r="820" spans="1:29">
      <c r="A820" s="4">
        <f>IF(B820=" "," ",HYPERLINK(CONCATENATE("#metadata!",ADDRESS(INDEX($P$2:$P$1001,MATCH(ROWS($N$2:N820),$N$2:$N$1001,0),0),1)),INDEX($S$2:$S$1001,MATCH(ROWS($N$2:N820),$N$2:$N$1001,0),0)))</f>
        <v>0</v>
      </c>
      <c r="B820" s="3">
        <f>IF(OR(INDEX($O$2:$O$1001,MATCH(ROWS($N$2:N820),$N$2:$N$1001,0),1)&gt;=100000,INDEX($U$1005:$AC$1005,1,MATCH(COLUMNS($U$1006:U1006),$U$1006:$AC$1006,0))&gt;=100000), " ",IF(INDEX($U$2:$AC$1001,MATCH(ROWS($N$2:N820),$N$2:$N$1001,0),MATCH(COLUMNS($U$1006:U1006),$U$1006:$AC$1006,0)), HYPERLINK("#",""), HYPERLINK(CONCATENATE("#metadata!", ADDRESS(INDEX($P$2:$P$1001,MATCH(ROWS($N$2:N820),$N$2:$N$1001,0),0), INDEX($U$1004:$AC$1004,1,MATCH(COLUMNS($U$1006:U1006),$U$1006:$AC$1006,0)))),"Fix")))</f>
        <v>0</v>
      </c>
      <c r="C820" s="3">
        <f>IF(OR(INDEX($O$2:$O$1001,MATCH(ROWS($N$2:N820),$N$2:$N$1001,0),1)&gt;=100000,INDEX($U$1005:$AC$1005,1,MATCH(COLUMNS($U$1006:V1006),$U$1006:$AC$1006,0))&gt;=100000), " ",IF(INDEX($U$2:$AC$1001,MATCH(ROWS($N$2:N820),$N$2:$N$1001,0),MATCH(COLUMNS($U$1006:V1006),$U$1006:$AC$1006,0)), HYPERLINK("#",""), HYPERLINK(CONCATENATE("#metadata!", ADDRESS(INDEX($P$2:$P$1001,MATCH(ROWS($N$2:N820),$N$2:$N$1001,0),0), INDEX($U$1004:$AC$1004,1,MATCH(COLUMNS($U$1006:V1006),$U$1006:$AC$1006,0)))),"Fix")))</f>
        <v>0</v>
      </c>
      <c r="D820" s="3">
        <f>IF(OR(INDEX($O$2:$O$1001,MATCH(ROWS($N$2:N820),$N$2:$N$1001,0),1)&gt;=100000,INDEX($U$1005:$AC$1005,1,MATCH(COLUMNS($U$1006:W1006),$U$1006:$AC$1006,0))&gt;=100000), " ",IF(INDEX($U$2:$AC$1001,MATCH(ROWS($N$2:N820),$N$2:$N$1001,0),MATCH(COLUMNS($U$1006:W1006),$U$1006:$AC$1006,0)), HYPERLINK("#",""), HYPERLINK(CONCATENATE("#metadata!", ADDRESS(INDEX($P$2:$P$1001,MATCH(ROWS($N$2:N820),$N$2:$N$1001,0),0), INDEX($U$1004:$AC$1004,1,MATCH(COLUMNS($U$1006:W1006),$U$1006:$AC$1006,0)))),"Fix")))</f>
        <v>0</v>
      </c>
      <c r="E820" s="3">
        <f>IF(OR(INDEX($O$2:$O$1001,MATCH(ROWS($N$2:N820),$N$2:$N$1001,0),1)&gt;=100000,INDEX($U$1005:$AC$1005,1,MATCH(COLUMNS($U$1006:X1006),$U$1006:$AC$1006,0))&gt;=100000), " ",IF(INDEX($U$2:$AC$1001,MATCH(ROWS($N$2:N820),$N$2:$N$1001,0),MATCH(COLUMNS($U$1006:X1006),$U$1006:$AC$1006,0)), HYPERLINK("#",""), HYPERLINK(CONCATENATE("#metadata!", ADDRESS(INDEX($P$2:$P$1001,MATCH(ROWS($N$2:N820),$N$2:$N$1001,0),0), INDEX($U$1004:$AC$1004,1,MATCH(COLUMNS($U$1006:X1006),$U$1006:$AC$1006,0)))),"Fix")))</f>
        <v>0</v>
      </c>
      <c r="F820" s="3">
        <f>IF(OR(INDEX($O$2:$O$1001,MATCH(ROWS($N$2:N820),$N$2:$N$1001,0),1)&gt;=100000,INDEX($U$1005:$AC$1005,1,MATCH(COLUMNS($U$1006:Y1006),$U$1006:$AC$1006,0))&gt;=100000), " ",IF(INDEX($U$2:$AC$1001,MATCH(ROWS($N$2:N820),$N$2:$N$1001,0),MATCH(COLUMNS($U$1006:Y1006),$U$1006:$AC$1006,0)), HYPERLINK("#",""), HYPERLINK(CONCATENATE("#metadata!", ADDRESS(INDEX($P$2:$P$1001,MATCH(ROWS($N$2:N820),$N$2:$N$1001,0),0), INDEX($U$1004:$AC$1004,1,MATCH(COLUMNS($U$1006:Y1006),$U$1006:$AC$1006,0)))),"Fix")))</f>
        <v>0</v>
      </c>
      <c r="G820" s="3">
        <f>IF(OR(INDEX($O$2:$O$1001,MATCH(ROWS($N$2:N820),$N$2:$N$1001,0),1)&gt;=100000,INDEX($U$1005:$AC$1005,1,MATCH(COLUMNS($U$1006:Z1006),$U$1006:$AC$1006,0))&gt;=100000), " ",IF(INDEX($U$2:$AC$1001,MATCH(ROWS($N$2:N820),$N$2:$N$1001,0),MATCH(COLUMNS($U$1006:Z1006),$U$1006:$AC$1006,0)), HYPERLINK("#",""), HYPERLINK(CONCATENATE("#metadata!", ADDRESS(INDEX($P$2:$P$1001,MATCH(ROWS($N$2:N820),$N$2:$N$1001,0),0), INDEX($U$1004:$AC$1004,1,MATCH(COLUMNS($U$1006:Z1006),$U$1006:$AC$1006,0)))),"Fix")))</f>
        <v>0</v>
      </c>
      <c r="H820" s="3">
        <f>IF(OR(INDEX($O$2:$O$1001,MATCH(ROWS($N$2:N820),$N$2:$N$1001,0),1)&gt;=100000,INDEX($U$1005:$AC$1005,1,MATCH(COLUMNS($U$1006:AA1006),$U$1006:$AC$1006,0))&gt;=100000), " ",IF(INDEX($U$2:$AC$1001,MATCH(ROWS($N$2:N820),$N$2:$N$1001,0),MATCH(COLUMNS($U$1006:AA1006),$U$1006:$AC$1006,0)), HYPERLINK("#",""), HYPERLINK(CONCATENATE("#metadata!", ADDRESS(INDEX($P$2:$P$1001,MATCH(ROWS($N$2:N820),$N$2:$N$1001,0),0), INDEX($U$1004:$AC$1004,1,MATCH(COLUMNS($U$1006:AA1006),$U$1006:$AC$1006,0)))),"Fix")))</f>
        <v>0</v>
      </c>
      <c r="I820" s="3">
        <f>IF(OR(INDEX($O$2:$O$1001,MATCH(ROWS($N$2:N820),$N$2:$N$1001,0),1)&gt;=100000,INDEX($U$1005:$AC$1005,1,MATCH(COLUMNS($U$1006:AB1006),$U$1006:$AC$1006,0))&gt;=100000), " ",IF(INDEX($U$2:$AC$1001,MATCH(ROWS($N$2:N820),$N$2:$N$1001,0),MATCH(COLUMNS($U$1006:AB1006),$U$1006:$AC$1006,0)), HYPERLINK("#",""), HYPERLINK(CONCATENATE("#metadata!", ADDRESS(INDEX($P$2:$P$1001,MATCH(ROWS($N$2:N820),$N$2:$N$1001,0),0), INDEX($U$1004:$AC$1004,1,MATCH(COLUMNS($U$1006:AB1006),$U$1006:$AC$1006,0)))),"Fix")))</f>
        <v>0</v>
      </c>
      <c r="J820" s="3">
        <f>IF(OR(INDEX($O$2:$O$1001,MATCH(ROWS($N$2:N820),$N$2:$N$1001,0),1)&gt;=100000,INDEX($U$1005:$AC$1005,1,MATCH(COLUMNS($U$1006:AC1006),$U$1006:$AC$1006,0))&gt;=100000), " ",IF(INDEX($U$2:$AC$1001,MATCH(ROWS($N$2:N820),$N$2:$N$1001,0),MATCH(COLUMNS($U$1006:AC1006),$U$1006:$AC$1006,0)), HYPERLINK("#",""), HYPERLINK(CONCATENATE("#metadata!", ADDRESS(INDEX($P$2:$P$1001,MATCH(ROWS($N$2:N820),$N$2:$N$1001,0),0), INDEX($U$1004:$AC$1004,1,MATCH(COLUMNS($U$1006:AC1006),$U$1006:$AC$1006,0)))),"Fix")))</f>
        <v>0</v>
      </c>
      <c r="N820">
        <v>0</v>
      </c>
      <c r="O820">
        <v>0</v>
      </c>
      <c r="P820">
        <v>0</v>
      </c>
      <c r="Q820">
        <f>IF(R820,TRUE,AND(U820:AC820))</f>
        <v>0</v>
      </c>
      <c r="R820">
        <f>COUNTBLANK(metadata!B820:J820)=COLUMNS(metadata!B820:J820)</f>
        <v>0</v>
      </c>
      <c r="S820">
        <v>0</v>
      </c>
      <c r="U820">
        <f>AND(IF(metadata!B820="",FALSE,TRUE),COUNTIF(metadata!B:B, metadata!B820) = 1,NOT(ISERROR(SUMPRODUCT(SEARCH(MID(metadata!B820,ROW(INDIRECT("1:"&amp;LEN(metadata!B820))), 1),"0123456789abcdefghijklmnopqrstuvwxyzABCDEFGHIJKLMNOPQRSTUVWXYZ.")))))</f>
        <v>0</v>
      </c>
      <c r="V820">
        <f>AND(IF(metadata!C820="",FALSE,TRUE),exact(metadata!C820,"UBERON:genitourinary"))</f>
        <v>0</v>
      </c>
      <c r="W820">
        <f>AND(IF(metadata!D820="",FALSE,TRUE),exact(metadata!D820,"UBERON:urine"))</f>
        <v>0</v>
      </c>
      <c r="X820">
        <f>AND(IF(metadata!E820="",FALSE,TRUE),exact(metadata!E820,"UBERON:kidney"))</f>
        <v>0</v>
      </c>
      <c r="Y820">
        <f>AND(IF(metadata!F820="",FALSE,TRUE),exact(metadata!F820,"animal corpus"))</f>
        <v>0</v>
      </c>
      <c r="Z820">
        <f>AND(IF(metadata!G820="",FALSE,TRUE),exact(metadata!G820,"urine"))</f>
        <v>0</v>
      </c>
      <c r="AA820">
        <f>AND(IF(metadata!H820="",FALSE,TRUE),exact(metadata!H820,"urine"))</f>
        <v>0</v>
      </c>
      <c r="AB820">
        <f>AND(IF(metadata!I820="",FALSE,TRUE),exact(metadata!I820,"urine metagenome"))</f>
        <v>0</v>
      </c>
      <c r="AC820">
        <f>AND(IF(metadata!J820="",FALSE,TRUE),exact(metadata!J820,"1346744"))</f>
        <v>0</v>
      </c>
    </row>
    <row r="821" spans="1:29">
      <c r="A821" s="4">
        <f>IF(B821=" "," ",HYPERLINK(CONCATENATE("#metadata!",ADDRESS(INDEX($P$2:$P$1001,MATCH(ROWS($N$2:N821),$N$2:$N$1001,0),0),1)),INDEX($S$2:$S$1001,MATCH(ROWS($N$2:N821),$N$2:$N$1001,0),0)))</f>
        <v>0</v>
      </c>
      <c r="B821" s="3">
        <f>IF(OR(INDEX($O$2:$O$1001,MATCH(ROWS($N$2:N821),$N$2:$N$1001,0),1)&gt;=100000,INDEX($U$1005:$AC$1005,1,MATCH(COLUMNS($U$1006:U1006),$U$1006:$AC$1006,0))&gt;=100000), " ",IF(INDEX($U$2:$AC$1001,MATCH(ROWS($N$2:N821),$N$2:$N$1001,0),MATCH(COLUMNS($U$1006:U1006),$U$1006:$AC$1006,0)), HYPERLINK("#",""), HYPERLINK(CONCATENATE("#metadata!", ADDRESS(INDEX($P$2:$P$1001,MATCH(ROWS($N$2:N821),$N$2:$N$1001,0),0), INDEX($U$1004:$AC$1004,1,MATCH(COLUMNS($U$1006:U1006),$U$1006:$AC$1006,0)))),"Fix")))</f>
        <v>0</v>
      </c>
      <c r="C821" s="3">
        <f>IF(OR(INDEX($O$2:$O$1001,MATCH(ROWS($N$2:N821),$N$2:$N$1001,0),1)&gt;=100000,INDEX($U$1005:$AC$1005,1,MATCH(COLUMNS($U$1006:V1006),$U$1006:$AC$1006,0))&gt;=100000), " ",IF(INDEX($U$2:$AC$1001,MATCH(ROWS($N$2:N821),$N$2:$N$1001,0),MATCH(COLUMNS($U$1006:V1006),$U$1006:$AC$1006,0)), HYPERLINK("#",""), HYPERLINK(CONCATENATE("#metadata!", ADDRESS(INDEX($P$2:$P$1001,MATCH(ROWS($N$2:N821),$N$2:$N$1001,0),0), INDEX($U$1004:$AC$1004,1,MATCH(COLUMNS($U$1006:V1006),$U$1006:$AC$1006,0)))),"Fix")))</f>
        <v>0</v>
      </c>
      <c r="D821" s="3">
        <f>IF(OR(INDEX($O$2:$O$1001,MATCH(ROWS($N$2:N821),$N$2:$N$1001,0),1)&gt;=100000,INDEX($U$1005:$AC$1005,1,MATCH(COLUMNS($U$1006:W1006),$U$1006:$AC$1006,0))&gt;=100000), " ",IF(INDEX($U$2:$AC$1001,MATCH(ROWS($N$2:N821),$N$2:$N$1001,0),MATCH(COLUMNS($U$1006:W1006),$U$1006:$AC$1006,0)), HYPERLINK("#",""), HYPERLINK(CONCATENATE("#metadata!", ADDRESS(INDEX($P$2:$P$1001,MATCH(ROWS($N$2:N821),$N$2:$N$1001,0),0), INDEX($U$1004:$AC$1004,1,MATCH(COLUMNS($U$1006:W1006),$U$1006:$AC$1006,0)))),"Fix")))</f>
        <v>0</v>
      </c>
      <c r="E821" s="3">
        <f>IF(OR(INDEX($O$2:$O$1001,MATCH(ROWS($N$2:N821),$N$2:$N$1001,0),1)&gt;=100000,INDEX($U$1005:$AC$1005,1,MATCH(COLUMNS($U$1006:X1006),$U$1006:$AC$1006,0))&gt;=100000), " ",IF(INDEX($U$2:$AC$1001,MATCH(ROWS($N$2:N821),$N$2:$N$1001,0),MATCH(COLUMNS($U$1006:X1006),$U$1006:$AC$1006,0)), HYPERLINK("#",""), HYPERLINK(CONCATENATE("#metadata!", ADDRESS(INDEX($P$2:$P$1001,MATCH(ROWS($N$2:N821),$N$2:$N$1001,0),0), INDEX($U$1004:$AC$1004,1,MATCH(COLUMNS($U$1006:X1006),$U$1006:$AC$1006,0)))),"Fix")))</f>
        <v>0</v>
      </c>
      <c r="F821" s="3">
        <f>IF(OR(INDEX($O$2:$O$1001,MATCH(ROWS($N$2:N821),$N$2:$N$1001,0),1)&gt;=100000,INDEX($U$1005:$AC$1005,1,MATCH(COLUMNS($U$1006:Y1006),$U$1006:$AC$1006,0))&gt;=100000), " ",IF(INDEX($U$2:$AC$1001,MATCH(ROWS($N$2:N821),$N$2:$N$1001,0),MATCH(COLUMNS($U$1006:Y1006),$U$1006:$AC$1006,0)), HYPERLINK("#",""), HYPERLINK(CONCATENATE("#metadata!", ADDRESS(INDEX($P$2:$P$1001,MATCH(ROWS($N$2:N821),$N$2:$N$1001,0),0), INDEX($U$1004:$AC$1004,1,MATCH(COLUMNS($U$1006:Y1006),$U$1006:$AC$1006,0)))),"Fix")))</f>
        <v>0</v>
      </c>
      <c r="G821" s="3">
        <f>IF(OR(INDEX($O$2:$O$1001,MATCH(ROWS($N$2:N821),$N$2:$N$1001,0),1)&gt;=100000,INDEX($U$1005:$AC$1005,1,MATCH(COLUMNS($U$1006:Z1006),$U$1006:$AC$1006,0))&gt;=100000), " ",IF(INDEX($U$2:$AC$1001,MATCH(ROWS($N$2:N821),$N$2:$N$1001,0),MATCH(COLUMNS($U$1006:Z1006),$U$1006:$AC$1006,0)), HYPERLINK("#",""), HYPERLINK(CONCATENATE("#metadata!", ADDRESS(INDEX($P$2:$P$1001,MATCH(ROWS($N$2:N821),$N$2:$N$1001,0),0), INDEX($U$1004:$AC$1004,1,MATCH(COLUMNS($U$1006:Z1006),$U$1006:$AC$1006,0)))),"Fix")))</f>
        <v>0</v>
      </c>
      <c r="H821" s="3">
        <f>IF(OR(INDEX($O$2:$O$1001,MATCH(ROWS($N$2:N821),$N$2:$N$1001,0),1)&gt;=100000,INDEX($U$1005:$AC$1005,1,MATCH(COLUMNS($U$1006:AA1006),$U$1006:$AC$1006,0))&gt;=100000), " ",IF(INDEX($U$2:$AC$1001,MATCH(ROWS($N$2:N821),$N$2:$N$1001,0),MATCH(COLUMNS($U$1006:AA1006),$U$1006:$AC$1006,0)), HYPERLINK("#",""), HYPERLINK(CONCATENATE("#metadata!", ADDRESS(INDEX($P$2:$P$1001,MATCH(ROWS($N$2:N821),$N$2:$N$1001,0),0), INDEX($U$1004:$AC$1004,1,MATCH(COLUMNS($U$1006:AA1006),$U$1006:$AC$1006,0)))),"Fix")))</f>
        <v>0</v>
      </c>
      <c r="I821" s="3">
        <f>IF(OR(INDEX($O$2:$O$1001,MATCH(ROWS($N$2:N821),$N$2:$N$1001,0),1)&gt;=100000,INDEX($U$1005:$AC$1005,1,MATCH(COLUMNS($U$1006:AB1006),$U$1006:$AC$1006,0))&gt;=100000), " ",IF(INDEX($U$2:$AC$1001,MATCH(ROWS($N$2:N821),$N$2:$N$1001,0),MATCH(COLUMNS($U$1006:AB1006),$U$1006:$AC$1006,0)), HYPERLINK("#",""), HYPERLINK(CONCATENATE("#metadata!", ADDRESS(INDEX($P$2:$P$1001,MATCH(ROWS($N$2:N821),$N$2:$N$1001,0),0), INDEX($U$1004:$AC$1004,1,MATCH(COLUMNS($U$1006:AB1006),$U$1006:$AC$1006,0)))),"Fix")))</f>
        <v>0</v>
      </c>
      <c r="J821" s="3">
        <f>IF(OR(INDEX($O$2:$O$1001,MATCH(ROWS($N$2:N821),$N$2:$N$1001,0),1)&gt;=100000,INDEX($U$1005:$AC$1005,1,MATCH(COLUMNS($U$1006:AC1006),$U$1006:$AC$1006,0))&gt;=100000), " ",IF(INDEX($U$2:$AC$1001,MATCH(ROWS($N$2:N821),$N$2:$N$1001,0),MATCH(COLUMNS($U$1006:AC1006),$U$1006:$AC$1006,0)), HYPERLINK("#",""), HYPERLINK(CONCATENATE("#metadata!", ADDRESS(INDEX($P$2:$P$1001,MATCH(ROWS($N$2:N821),$N$2:$N$1001,0),0), INDEX($U$1004:$AC$1004,1,MATCH(COLUMNS($U$1006:AC1006),$U$1006:$AC$1006,0)))),"Fix")))</f>
        <v>0</v>
      </c>
      <c r="N821">
        <v>0</v>
      </c>
      <c r="O821">
        <v>0</v>
      </c>
      <c r="P821">
        <v>0</v>
      </c>
      <c r="Q821">
        <f>IF(R821,TRUE,AND(U821:AC821))</f>
        <v>0</v>
      </c>
      <c r="R821">
        <f>COUNTBLANK(metadata!B821:J821)=COLUMNS(metadata!B821:J821)</f>
        <v>0</v>
      </c>
      <c r="S821">
        <v>0</v>
      </c>
      <c r="U821">
        <f>AND(IF(metadata!B821="",FALSE,TRUE),COUNTIF(metadata!B:B, metadata!B821) = 1,NOT(ISERROR(SUMPRODUCT(SEARCH(MID(metadata!B821,ROW(INDIRECT("1:"&amp;LEN(metadata!B821))), 1),"0123456789abcdefghijklmnopqrstuvwxyzABCDEFGHIJKLMNOPQRSTUVWXYZ.")))))</f>
        <v>0</v>
      </c>
      <c r="V821">
        <f>AND(IF(metadata!C821="",FALSE,TRUE),exact(metadata!C821,"UBERON:genitourinary"))</f>
        <v>0</v>
      </c>
      <c r="W821">
        <f>AND(IF(metadata!D821="",FALSE,TRUE),exact(metadata!D821,"UBERON:urine"))</f>
        <v>0</v>
      </c>
      <c r="X821">
        <f>AND(IF(metadata!E821="",FALSE,TRUE),exact(metadata!E821,"UBERON:kidney"))</f>
        <v>0</v>
      </c>
      <c r="Y821">
        <f>AND(IF(metadata!F821="",FALSE,TRUE),exact(metadata!F821,"animal corpus"))</f>
        <v>0</v>
      </c>
      <c r="Z821">
        <f>AND(IF(metadata!G821="",FALSE,TRUE),exact(metadata!G821,"urine"))</f>
        <v>0</v>
      </c>
      <c r="AA821">
        <f>AND(IF(metadata!H821="",FALSE,TRUE),exact(metadata!H821,"urine"))</f>
        <v>0</v>
      </c>
      <c r="AB821">
        <f>AND(IF(metadata!I821="",FALSE,TRUE),exact(metadata!I821,"urine metagenome"))</f>
        <v>0</v>
      </c>
      <c r="AC821">
        <f>AND(IF(metadata!J821="",FALSE,TRUE),exact(metadata!J821,"1346744"))</f>
        <v>0</v>
      </c>
    </row>
    <row r="822" spans="1:29">
      <c r="A822" s="4">
        <f>IF(B822=" "," ",HYPERLINK(CONCATENATE("#metadata!",ADDRESS(INDEX($P$2:$P$1001,MATCH(ROWS($N$2:N822),$N$2:$N$1001,0),0),1)),INDEX($S$2:$S$1001,MATCH(ROWS($N$2:N822),$N$2:$N$1001,0),0)))</f>
        <v>0</v>
      </c>
      <c r="B822" s="3">
        <f>IF(OR(INDEX($O$2:$O$1001,MATCH(ROWS($N$2:N822),$N$2:$N$1001,0),1)&gt;=100000,INDEX($U$1005:$AC$1005,1,MATCH(COLUMNS($U$1006:U1006),$U$1006:$AC$1006,0))&gt;=100000), " ",IF(INDEX($U$2:$AC$1001,MATCH(ROWS($N$2:N822),$N$2:$N$1001,0),MATCH(COLUMNS($U$1006:U1006),$U$1006:$AC$1006,0)), HYPERLINK("#",""), HYPERLINK(CONCATENATE("#metadata!", ADDRESS(INDEX($P$2:$P$1001,MATCH(ROWS($N$2:N822),$N$2:$N$1001,0),0), INDEX($U$1004:$AC$1004,1,MATCH(COLUMNS($U$1006:U1006),$U$1006:$AC$1006,0)))),"Fix")))</f>
        <v>0</v>
      </c>
      <c r="C822" s="3">
        <f>IF(OR(INDEX($O$2:$O$1001,MATCH(ROWS($N$2:N822),$N$2:$N$1001,0),1)&gt;=100000,INDEX($U$1005:$AC$1005,1,MATCH(COLUMNS($U$1006:V1006),$U$1006:$AC$1006,0))&gt;=100000), " ",IF(INDEX($U$2:$AC$1001,MATCH(ROWS($N$2:N822),$N$2:$N$1001,0),MATCH(COLUMNS($U$1006:V1006),$U$1006:$AC$1006,0)), HYPERLINK("#",""), HYPERLINK(CONCATENATE("#metadata!", ADDRESS(INDEX($P$2:$P$1001,MATCH(ROWS($N$2:N822),$N$2:$N$1001,0),0), INDEX($U$1004:$AC$1004,1,MATCH(COLUMNS($U$1006:V1006),$U$1006:$AC$1006,0)))),"Fix")))</f>
        <v>0</v>
      </c>
      <c r="D822" s="3">
        <f>IF(OR(INDEX($O$2:$O$1001,MATCH(ROWS($N$2:N822),$N$2:$N$1001,0),1)&gt;=100000,INDEX($U$1005:$AC$1005,1,MATCH(COLUMNS($U$1006:W1006),$U$1006:$AC$1006,0))&gt;=100000), " ",IF(INDEX($U$2:$AC$1001,MATCH(ROWS($N$2:N822),$N$2:$N$1001,0),MATCH(COLUMNS($U$1006:W1006),$U$1006:$AC$1006,0)), HYPERLINK("#",""), HYPERLINK(CONCATENATE("#metadata!", ADDRESS(INDEX($P$2:$P$1001,MATCH(ROWS($N$2:N822),$N$2:$N$1001,0),0), INDEX($U$1004:$AC$1004,1,MATCH(COLUMNS($U$1006:W1006),$U$1006:$AC$1006,0)))),"Fix")))</f>
        <v>0</v>
      </c>
      <c r="E822" s="3">
        <f>IF(OR(INDEX($O$2:$O$1001,MATCH(ROWS($N$2:N822),$N$2:$N$1001,0),1)&gt;=100000,INDEX($U$1005:$AC$1005,1,MATCH(COLUMNS($U$1006:X1006),$U$1006:$AC$1006,0))&gt;=100000), " ",IF(INDEX($U$2:$AC$1001,MATCH(ROWS($N$2:N822),$N$2:$N$1001,0),MATCH(COLUMNS($U$1006:X1006),$U$1006:$AC$1006,0)), HYPERLINK("#",""), HYPERLINK(CONCATENATE("#metadata!", ADDRESS(INDEX($P$2:$P$1001,MATCH(ROWS($N$2:N822),$N$2:$N$1001,0),0), INDEX($U$1004:$AC$1004,1,MATCH(COLUMNS($U$1006:X1006),$U$1006:$AC$1006,0)))),"Fix")))</f>
        <v>0</v>
      </c>
      <c r="F822" s="3">
        <f>IF(OR(INDEX($O$2:$O$1001,MATCH(ROWS($N$2:N822),$N$2:$N$1001,0),1)&gt;=100000,INDEX($U$1005:$AC$1005,1,MATCH(COLUMNS($U$1006:Y1006),$U$1006:$AC$1006,0))&gt;=100000), " ",IF(INDEX($U$2:$AC$1001,MATCH(ROWS($N$2:N822),$N$2:$N$1001,0),MATCH(COLUMNS($U$1006:Y1006),$U$1006:$AC$1006,0)), HYPERLINK("#",""), HYPERLINK(CONCATENATE("#metadata!", ADDRESS(INDEX($P$2:$P$1001,MATCH(ROWS($N$2:N822),$N$2:$N$1001,0),0), INDEX($U$1004:$AC$1004,1,MATCH(COLUMNS($U$1006:Y1006),$U$1006:$AC$1006,0)))),"Fix")))</f>
        <v>0</v>
      </c>
      <c r="G822" s="3">
        <f>IF(OR(INDEX($O$2:$O$1001,MATCH(ROWS($N$2:N822),$N$2:$N$1001,0),1)&gt;=100000,INDEX($U$1005:$AC$1005,1,MATCH(COLUMNS($U$1006:Z1006),$U$1006:$AC$1006,0))&gt;=100000), " ",IF(INDEX($U$2:$AC$1001,MATCH(ROWS($N$2:N822),$N$2:$N$1001,0),MATCH(COLUMNS($U$1006:Z1006),$U$1006:$AC$1006,0)), HYPERLINK("#",""), HYPERLINK(CONCATENATE("#metadata!", ADDRESS(INDEX($P$2:$P$1001,MATCH(ROWS($N$2:N822),$N$2:$N$1001,0),0), INDEX($U$1004:$AC$1004,1,MATCH(COLUMNS($U$1006:Z1006),$U$1006:$AC$1006,0)))),"Fix")))</f>
        <v>0</v>
      </c>
      <c r="H822" s="3">
        <f>IF(OR(INDEX($O$2:$O$1001,MATCH(ROWS($N$2:N822),$N$2:$N$1001,0),1)&gt;=100000,INDEX($U$1005:$AC$1005,1,MATCH(COLUMNS($U$1006:AA1006),$U$1006:$AC$1006,0))&gt;=100000), " ",IF(INDEX($U$2:$AC$1001,MATCH(ROWS($N$2:N822),$N$2:$N$1001,0),MATCH(COLUMNS($U$1006:AA1006),$U$1006:$AC$1006,0)), HYPERLINK("#",""), HYPERLINK(CONCATENATE("#metadata!", ADDRESS(INDEX($P$2:$P$1001,MATCH(ROWS($N$2:N822),$N$2:$N$1001,0),0), INDEX($U$1004:$AC$1004,1,MATCH(COLUMNS($U$1006:AA1006),$U$1006:$AC$1006,0)))),"Fix")))</f>
        <v>0</v>
      </c>
      <c r="I822" s="3">
        <f>IF(OR(INDEX($O$2:$O$1001,MATCH(ROWS($N$2:N822),$N$2:$N$1001,0),1)&gt;=100000,INDEX($U$1005:$AC$1005,1,MATCH(COLUMNS($U$1006:AB1006),$U$1006:$AC$1006,0))&gt;=100000), " ",IF(INDEX($U$2:$AC$1001,MATCH(ROWS($N$2:N822),$N$2:$N$1001,0),MATCH(COLUMNS($U$1006:AB1006),$U$1006:$AC$1006,0)), HYPERLINK("#",""), HYPERLINK(CONCATENATE("#metadata!", ADDRESS(INDEX($P$2:$P$1001,MATCH(ROWS($N$2:N822),$N$2:$N$1001,0),0), INDEX($U$1004:$AC$1004,1,MATCH(COLUMNS($U$1006:AB1006),$U$1006:$AC$1006,0)))),"Fix")))</f>
        <v>0</v>
      </c>
      <c r="J822" s="3">
        <f>IF(OR(INDEX($O$2:$O$1001,MATCH(ROWS($N$2:N822),$N$2:$N$1001,0),1)&gt;=100000,INDEX($U$1005:$AC$1005,1,MATCH(COLUMNS($U$1006:AC1006),$U$1006:$AC$1006,0))&gt;=100000), " ",IF(INDEX($U$2:$AC$1001,MATCH(ROWS($N$2:N822),$N$2:$N$1001,0),MATCH(COLUMNS($U$1006:AC1006),$U$1006:$AC$1006,0)), HYPERLINK("#",""), HYPERLINK(CONCATENATE("#metadata!", ADDRESS(INDEX($P$2:$P$1001,MATCH(ROWS($N$2:N822),$N$2:$N$1001,0),0), INDEX($U$1004:$AC$1004,1,MATCH(COLUMNS($U$1006:AC1006),$U$1006:$AC$1006,0)))),"Fix")))</f>
        <v>0</v>
      </c>
      <c r="N822">
        <v>0</v>
      </c>
      <c r="O822">
        <v>0</v>
      </c>
      <c r="P822">
        <v>0</v>
      </c>
      <c r="Q822">
        <f>IF(R822,TRUE,AND(U822:AC822))</f>
        <v>0</v>
      </c>
      <c r="R822">
        <f>COUNTBLANK(metadata!B822:J822)=COLUMNS(metadata!B822:J822)</f>
        <v>0</v>
      </c>
      <c r="S822">
        <v>0</v>
      </c>
      <c r="U822">
        <f>AND(IF(metadata!B822="",FALSE,TRUE),COUNTIF(metadata!B:B, metadata!B822) = 1,NOT(ISERROR(SUMPRODUCT(SEARCH(MID(metadata!B822,ROW(INDIRECT("1:"&amp;LEN(metadata!B822))), 1),"0123456789abcdefghijklmnopqrstuvwxyzABCDEFGHIJKLMNOPQRSTUVWXYZ.")))))</f>
        <v>0</v>
      </c>
      <c r="V822">
        <f>AND(IF(metadata!C822="",FALSE,TRUE),exact(metadata!C822,"UBERON:genitourinary"))</f>
        <v>0</v>
      </c>
      <c r="W822">
        <f>AND(IF(metadata!D822="",FALSE,TRUE),exact(metadata!D822,"UBERON:urine"))</f>
        <v>0</v>
      </c>
      <c r="X822">
        <f>AND(IF(metadata!E822="",FALSE,TRUE),exact(metadata!E822,"UBERON:kidney"))</f>
        <v>0</v>
      </c>
      <c r="Y822">
        <f>AND(IF(metadata!F822="",FALSE,TRUE),exact(metadata!F822,"animal corpus"))</f>
        <v>0</v>
      </c>
      <c r="Z822">
        <f>AND(IF(metadata!G822="",FALSE,TRUE),exact(metadata!G822,"urine"))</f>
        <v>0</v>
      </c>
      <c r="AA822">
        <f>AND(IF(metadata!H822="",FALSE,TRUE),exact(metadata!H822,"urine"))</f>
        <v>0</v>
      </c>
      <c r="AB822">
        <f>AND(IF(metadata!I822="",FALSE,TRUE),exact(metadata!I822,"urine metagenome"))</f>
        <v>0</v>
      </c>
      <c r="AC822">
        <f>AND(IF(metadata!J822="",FALSE,TRUE),exact(metadata!J822,"1346744"))</f>
        <v>0</v>
      </c>
    </row>
    <row r="823" spans="1:29">
      <c r="A823" s="4">
        <f>IF(B823=" "," ",HYPERLINK(CONCATENATE("#metadata!",ADDRESS(INDEX($P$2:$P$1001,MATCH(ROWS($N$2:N823),$N$2:$N$1001,0),0),1)),INDEX($S$2:$S$1001,MATCH(ROWS($N$2:N823),$N$2:$N$1001,0),0)))</f>
        <v>0</v>
      </c>
      <c r="B823" s="3">
        <f>IF(OR(INDEX($O$2:$O$1001,MATCH(ROWS($N$2:N823),$N$2:$N$1001,0),1)&gt;=100000,INDEX($U$1005:$AC$1005,1,MATCH(COLUMNS($U$1006:U1006),$U$1006:$AC$1006,0))&gt;=100000), " ",IF(INDEX($U$2:$AC$1001,MATCH(ROWS($N$2:N823),$N$2:$N$1001,0),MATCH(COLUMNS($U$1006:U1006),$U$1006:$AC$1006,0)), HYPERLINK("#",""), HYPERLINK(CONCATENATE("#metadata!", ADDRESS(INDEX($P$2:$P$1001,MATCH(ROWS($N$2:N823),$N$2:$N$1001,0),0), INDEX($U$1004:$AC$1004,1,MATCH(COLUMNS($U$1006:U1006),$U$1006:$AC$1006,0)))),"Fix")))</f>
        <v>0</v>
      </c>
      <c r="C823" s="3">
        <f>IF(OR(INDEX($O$2:$O$1001,MATCH(ROWS($N$2:N823),$N$2:$N$1001,0),1)&gt;=100000,INDEX($U$1005:$AC$1005,1,MATCH(COLUMNS($U$1006:V1006),$U$1006:$AC$1006,0))&gt;=100000), " ",IF(INDEX($U$2:$AC$1001,MATCH(ROWS($N$2:N823),$N$2:$N$1001,0),MATCH(COLUMNS($U$1006:V1006),$U$1006:$AC$1006,0)), HYPERLINK("#",""), HYPERLINK(CONCATENATE("#metadata!", ADDRESS(INDEX($P$2:$P$1001,MATCH(ROWS($N$2:N823),$N$2:$N$1001,0),0), INDEX($U$1004:$AC$1004,1,MATCH(COLUMNS($U$1006:V1006),$U$1006:$AC$1006,0)))),"Fix")))</f>
        <v>0</v>
      </c>
      <c r="D823" s="3">
        <f>IF(OR(INDEX($O$2:$O$1001,MATCH(ROWS($N$2:N823),$N$2:$N$1001,0),1)&gt;=100000,INDEX($U$1005:$AC$1005,1,MATCH(COLUMNS($U$1006:W1006),$U$1006:$AC$1006,0))&gt;=100000), " ",IF(INDEX($U$2:$AC$1001,MATCH(ROWS($N$2:N823),$N$2:$N$1001,0),MATCH(COLUMNS($U$1006:W1006),$U$1006:$AC$1006,0)), HYPERLINK("#",""), HYPERLINK(CONCATENATE("#metadata!", ADDRESS(INDEX($P$2:$P$1001,MATCH(ROWS($N$2:N823),$N$2:$N$1001,0),0), INDEX($U$1004:$AC$1004,1,MATCH(COLUMNS($U$1006:W1006),$U$1006:$AC$1006,0)))),"Fix")))</f>
        <v>0</v>
      </c>
      <c r="E823" s="3">
        <f>IF(OR(INDEX($O$2:$O$1001,MATCH(ROWS($N$2:N823),$N$2:$N$1001,0),1)&gt;=100000,INDEX($U$1005:$AC$1005,1,MATCH(COLUMNS($U$1006:X1006),$U$1006:$AC$1006,0))&gt;=100000), " ",IF(INDEX($U$2:$AC$1001,MATCH(ROWS($N$2:N823),$N$2:$N$1001,0),MATCH(COLUMNS($U$1006:X1006),$U$1006:$AC$1006,0)), HYPERLINK("#",""), HYPERLINK(CONCATENATE("#metadata!", ADDRESS(INDEX($P$2:$P$1001,MATCH(ROWS($N$2:N823),$N$2:$N$1001,0),0), INDEX($U$1004:$AC$1004,1,MATCH(COLUMNS($U$1006:X1006),$U$1006:$AC$1006,0)))),"Fix")))</f>
        <v>0</v>
      </c>
      <c r="F823" s="3">
        <f>IF(OR(INDEX($O$2:$O$1001,MATCH(ROWS($N$2:N823),$N$2:$N$1001,0),1)&gt;=100000,INDEX($U$1005:$AC$1005,1,MATCH(COLUMNS($U$1006:Y1006),$U$1006:$AC$1006,0))&gt;=100000), " ",IF(INDEX($U$2:$AC$1001,MATCH(ROWS($N$2:N823),$N$2:$N$1001,0),MATCH(COLUMNS($U$1006:Y1006),$U$1006:$AC$1006,0)), HYPERLINK("#",""), HYPERLINK(CONCATENATE("#metadata!", ADDRESS(INDEX($P$2:$P$1001,MATCH(ROWS($N$2:N823),$N$2:$N$1001,0),0), INDEX($U$1004:$AC$1004,1,MATCH(COLUMNS($U$1006:Y1006),$U$1006:$AC$1006,0)))),"Fix")))</f>
        <v>0</v>
      </c>
      <c r="G823" s="3">
        <f>IF(OR(INDEX($O$2:$O$1001,MATCH(ROWS($N$2:N823),$N$2:$N$1001,0),1)&gt;=100000,INDEX($U$1005:$AC$1005,1,MATCH(COLUMNS($U$1006:Z1006),$U$1006:$AC$1006,0))&gt;=100000), " ",IF(INDEX($U$2:$AC$1001,MATCH(ROWS($N$2:N823),$N$2:$N$1001,0),MATCH(COLUMNS($U$1006:Z1006),$U$1006:$AC$1006,0)), HYPERLINK("#",""), HYPERLINK(CONCATENATE("#metadata!", ADDRESS(INDEX($P$2:$P$1001,MATCH(ROWS($N$2:N823),$N$2:$N$1001,0),0), INDEX($U$1004:$AC$1004,1,MATCH(COLUMNS($U$1006:Z1006),$U$1006:$AC$1006,0)))),"Fix")))</f>
        <v>0</v>
      </c>
      <c r="H823" s="3">
        <f>IF(OR(INDEX($O$2:$O$1001,MATCH(ROWS($N$2:N823),$N$2:$N$1001,0),1)&gt;=100000,INDEX($U$1005:$AC$1005,1,MATCH(COLUMNS($U$1006:AA1006),$U$1006:$AC$1006,0))&gt;=100000), " ",IF(INDEX($U$2:$AC$1001,MATCH(ROWS($N$2:N823),$N$2:$N$1001,0),MATCH(COLUMNS($U$1006:AA1006),$U$1006:$AC$1006,0)), HYPERLINK("#",""), HYPERLINK(CONCATENATE("#metadata!", ADDRESS(INDEX($P$2:$P$1001,MATCH(ROWS($N$2:N823),$N$2:$N$1001,0),0), INDEX($U$1004:$AC$1004,1,MATCH(COLUMNS($U$1006:AA1006),$U$1006:$AC$1006,0)))),"Fix")))</f>
        <v>0</v>
      </c>
      <c r="I823" s="3">
        <f>IF(OR(INDEX($O$2:$O$1001,MATCH(ROWS($N$2:N823),$N$2:$N$1001,0),1)&gt;=100000,INDEX($U$1005:$AC$1005,1,MATCH(COLUMNS($U$1006:AB1006),$U$1006:$AC$1006,0))&gt;=100000), " ",IF(INDEX($U$2:$AC$1001,MATCH(ROWS($N$2:N823),$N$2:$N$1001,0),MATCH(COLUMNS($U$1006:AB1006),$U$1006:$AC$1006,0)), HYPERLINK("#",""), HYPERLINK(CONCATENATE("#metadata!", ADDRESS(INDEX($P$2:$P$1001,MATCH(ROWS($N$2:N823),$N$2:$N$1001,0),0), INDEX($U$1004:$AC$1004,1,MATCH(COLUMNS($U$1006:AB1006),$U$1006:$AC$1006,0)))),"Fix")))</f>
        <v>0</v>
      </c>
      <c r="J823" s="3">
        <f>IF(OR(INDEX($O$2:$O$1001,MATCH(ROWS($N$2:N823),$N$2:$N$1001,0),1)&gt;=100000,INDEX($U$1005:$AC$1005,1,MATCH(COLUMNS($U$1006:AC1006),$U$1006:$AC$1006,0))&gt;=100000), " ",IF(INDEX($U$2:$AC$1001,MATCH(ROWS($N$2:N823),$N$2:$N$1001,0),MATCH(COLUMNS($U$1006:AC1006),$U$1006:$AC$1006,0)), HYPERLINK("#",""), HYPERLINK(CONCATENATE("#metadata!", ADDRESS(INDEX($P$2:$P$1001,MATCH(ROWS($N$2:N823),$N$2:$N$1001,0),0), INDEX($U$1004:$AC$1004,1,MATCH(COLUMNS($U$1006:AC1006),$U$1006:$AC$1006,0)))),"Fix")))</f>
        <v>0</v>
      </c>
      <c r="N823">
        <v>0</v>
      </c>
      <c r="O823">
        <v>0</v>
      </c>
      <c r="P823">
        <v>0</v>
      </c>
      <c r="Q823">
        <f>IF(R823,TRUE,AND(U823:AC823))</f>
        <v>0</v>
      </c>
      <c r="R823">
        <f>COUNTBLANK(metadata!B823:J823)=COLUMNS(metadata!B823:J823)</f>
        <v>0</v>
      </c>
      <c r="S823">
        <v>0</v>
      </c>
      <c r="U823">
        <f>AND(IF(metadata!B823="",FALSE,TRUE),COUNTIF(metadata!B:B, metadata!B823) = 1,NOT(ISERROR(SUMPRODUCT(SEARCH(MID(metadata!B823,ROW(INDIRECT("1:"&amp;LEN(metadata!B823))), 1),"0123456789abcdefghijklmnopqrstuvwxyzABCDEFGHIJKLMNOPQRSTUVWXYZ.")))))</f>
        <v>0</v>
      </c>
      <c r="V823">
        <f>AND(IF(metadata!C823="",FALSE,TRUE),exact(metadata!C823,"UBERON:genitourinary"))</f>
        <v>0</v>
      </c>
      <c r="W823">
        <f>AND(IF(metadata!D823="",FALSE,TRUE),exact(metadata!D823,"UBERON:urine"))</f>
        <v>0</v>
      </c>
      <c r="X823">
        <f>AND(IF(metadata!E823="",FALSE,TRUE),exact(metadata!E823,"UBERON:kidney"))</f>
        <v>0</v>
      </c>
      <c r="Y823">
        <f>AND(IF(metadata!F823="",FALSE,TRUE),exact(metadata!F823,"animal corpus"))</f>
        <v>0</v>
      </c>
      <c r="Z823">
        <f>AND(IF(metadata!G823="",FALSE,TRUE),exact(metadata!G823,"urine"))</f>
        <v>0</v>
      </c>
      <c r="AA823">
        <f>AND(IF(metadata!H823="",FALSE,TRUE),exact(metadata!H823,"urine"))</f>
        <v>0</v>
      </c>
      <c r="AB823">
        <f>AND(IF(metadata!I823="",FALSE,TRUE),exact(metadata!I823,"urine metagenome"))</f>
        <v>0</v>
      </c>
      <c r="AC823">
        <f>AND(IF(metadata!J823="",FALSE,TRUE),exact(metadata!J823,"1346744"))</f>
        <v>0</v>
      </c>
    </row>
    <row r="824" spans="1:29">
      <c r="A824" s="4">
        <f>IF(B824=" "," ",HYPERLINK(CONCATENATE("#metadata!",ADDRESS(INDEX($P$2:$P$1001,MATCH(ROWS($N$2:N824),$N$2:$N$1001,0),0),1)),INDEX($S$2:$S$1001,MATCH(ROWS($N$2:N824),$N$2:$N$1001,0),0)))</f>
        <v>0</v>
      </c>
      <c r="B824" s="3">
        <f>IF(OR(INDEX($O$2:$O$1001,MATCH(ROWS($N$2:N824),$N$2:$N$1001,0),1)&gt;=100000,INDEX($U$1005:$AC$1005,1,MATCH(COLUMNS($U$1006:U1006),$U$1006:$AC$1006,0))&gt;=100000), " ",IF(INDEX($U$2:$AC$1001,MATCH(ROWS($N$2:N824),$N$2:$N$1001,0),MATCH(COLUMNS($U$1006:U1006),$U$1006:$AC$1006,0)), HYPERLINK("#",""), HYPERLINK(CONCATENATE("#metadata!", ADDRESS(INDEX($P$2:$P$1001,MATCH(ROWS($N$2:N824),$N$2:$N$1001,0),0), INDEX($U$1004:$AC$1004,1,MATCH(COLUMNS($U$1006:U1006),$U$1006:$AC$1006,0)))),"Fix")))</f>
        <v>0</v>
      </c>
      <c r="C824" s="3">
        <f>IF(OR(INDEX($O$2:$O$1001,MATCH(ROWS($N$2:N824),$N$2:$N$1001,0),1)&gt;=100000,INDEX($U$1005:$AC$1005,1,MATCH(COLUMNS($U$1006:V1006),$U$1006:$AC$1006,0))&gt;=100000), " ",IF(INDEX($U$2:$AC$1001,MATCH(ROWS($N$2:N824),$N$2:$N$1001,0),MATCH(COLUMNS($U$1006:V1006),$U$1006:$AC$1006,0)), HYPERLINK("#",""), HYPERLINK(CONCATENATE("#metadata!", ADDRESS(INDEX($P$2:$P$1001,MATCH(ROWS($N$2:N824),$N$2:$N$1001,0),0), INDEX($U$1004:$AC$1004,1,MATCH(COLUMNS($U$1006:V1006),$U$1006:$AC$1006,0)))),"Fix")))</f>
        <v>0</v>
      </c>
      <c r="D824" s="3">
        <f>IF(OR(INDEX($O$2:$O$1001,MATCH(ROWS($N$2:N824),$N$2:$N$1001,0),1)&gt;=100000,INDEX($U$1005:$AC$1005,1,MATCH(COLUMNS($U$1006:W1006),$U$1006:$AC$1006,0))&gt;=100000), " ",IF(INDEX($U$2:$AC$1001,MATCH(ROWS($N$2:N824),$N$2:$N$1001,0),MATCH(COLUMNS($U$1006:W1006),$U$1006:$AC$1006,0)), HYPERLINK("#",""), HYPERLINK(CONCATENATE("#metadata!", ADDRESS(INDEX($P$2:$P$1001,MATCH(ROWS($N$2:N824),$N$2:$N$1001,0),0), INDEX($U$1004:$AC$1004,1,MATCH(COLUMNS($U$1006:W1006),$U$1006:$AC$1006,0)))),"Fix")))</f>
        <v>0</v>
      </c>
      <c r="E824" s="3">
        <f>IF(OR(INDEX($O$2:$O$1001,MATCH(ROWS($N$2:N824),$N$2:$N$1001,0),1)&gt;=100000,INDEX($U$1005:$AC$1005,1,MATCH(COLUMNS($U$1006:X1006),$U$1006:$AC$1006,0))&gt;=100000), " ",IF(INDEX($U$2:$AC$1001,MATCH(ROWS($N$2:N824),$N$2:$N$1001,0),MATCH(COLUMNS($U$1006:X1006),$U$1006:$AC$1006,0)), HYPERLINK("#",""), HYPERLINK(CONCATENATE("#metadata!", ADDRESS(INDEX($P$2:$P$1001,MATCH(ROWS($N$2:N824),$N$2:$N$1001,0),0), INDEX($U$1004:$AC$1004,1,MATCH(COLUMNS($U$1006:X1006),$U$1006:$AC$1006,0)))),"Fix")))</f>
        <v>0</v>
      </c>
      <c r="F824" s="3">
        <f>IF(OR(INDEX($O$2:$O$1001,MATCH(ROWS($N$2:N824),$N$2:$N$1001,0),1)&gt;=100000,INDEX($U$1005:$AC$1005,1,MATCH(COLUMNS($U$1006:Y1006),$U$1006:$AC$1006,0))&gt;=100000), " ",IF(INDEX($U$2:$AC$1001,MATCH(ROWS($N$2:N824),$N$2:$N$1001,0),MATCH(COLUMNS($U$1006:Y1006),$U$1006:$AC$1006,0)), HYPERLINK("#",""), HYPERLINK(CONCATENATE("#metadata!", ADDRESS(INDEX($P$2:$P$1001,MATCH(ROWS($N$2:N824),$N$2:$N$1001,0),0), INDEX($U$1004:$AC$1004,1,MATCH(COLUMNS($U$1006:Y1006),$U$1006:$AC$1006,0)))),"Fix")))</f>
        <v>0</v>
      </c>
      <c r="G824" s="3">
        <f>IF(OR(INDEX($O$2:$O$1001,MATCH(ROWS($N$2:N824),$N$2:$N$1001,0),1)&gt;=100000,INDEX($U$1005:$AC$1005,1,MATCH(COLUMNS($U$1006:Z1006),$U$1006:$AC$1006,0))&gt;=100000), " ",IF(INDEX($U$2:$AC$1001,MATCH(ROWS($N$2:N824),$N$2:$N$1001,0),MATCH(COLUMNS($U$1006:Z1006),$U$1006:$AC$1006,0)), HYPERLINK("#",""), HYPERLINK(CONCATENATE("#metadata!", ADDRESS(INDEX($P$2:$P$1001,MATCH(ROWS($N$2:N824),$N$2:$N$1001,0),0), INDEX($U$1004:$AC$1004,1,MATCH(COLUMNS($U$1006:Z1006),$U$1006:$AC$1006,0)))),"Fix")))</f>
        <v>0</v>
      </c>
      <c r="H824" s="3">
        <f>IF(OR(INDEX($O$2:$O$1001,MATCH(ROWS($N$2:N824),$N$2:$N$1001,0),1)&gt;=100000,INDEX($U$1005:$AC$1005,1,MATCH(COLUMNS($U$1006:AA1006),$U$1006:$AC$1006,0))&gt;=100000), " ",IF(INDEX($U$2:$AC$1001,MATCH(ROWS($N$2:N824),$N$2:$N$1001,0),MATCH(COLUMNS($U$1006:AA1006),$U$1006:$AC$1006,0)), HYPERLINK("#",""), HYPERLINK(CONCATENATE("#metadata!", ADDRESS(INDEX($P$2:$P$1001,MATCH(ROWS($N$2:N824),$N$2:$N$1001,0),0), INDEX($U$1004:$AC$1004,1,MATCH(COLUMNS($U$1006:AA1006),$U$1006:$AC$1006,0)))),"Fix")))</f>
        <v>0</v>
      </c>
      <c r="I824" s="3">
        <f>IF(OR(INDEX($O$2:$O$1001,MATCH(ROWS($N$2:N824),$N$2:$N$1001,0),1)&gt;=100000,INDEX($U$1005:$AC$1005,1,MATCH(COLUMNS($U$1006:AB1006),$U$1006:$AC$1006,0))&gt;=100000), " ",IF(INDEX($U$2:$AC$1001,MATCH(ROWS($N$2:N824),$N$2:$N$1001,0),MATCH(COLUMNS($U$1006:AB1006),$U$1006:$AC$1006,0)), HYPERLINK("#",""), HYPERLINK(CONCATENATE("#metadata!", ADDRESS(INDEX($P$2:$P$1001,MATCH(ROWS($N$2:N824),$N$2:$N$1001,0),0), INDEX($U$1004:$AC$1004,1,MATCH(COLUMNS($U$1006:AB1006),$U$1006:$AC$1006,0)))),"Fix")))</f>
        <v>0</v>
      </c>
      <c r="J824" s="3">
        <f>IF(OR(INDEX($O$2:$O$1001,MATCH(ROWS($N$2:N824),$N$2:$N$1001,0),1)&gt;=100000,INDEX($U$1005:$AC$1005,1,MATCH(COLUMNS($U$1006:AC1006),$U$1006:$AC$1006,0))&gt;=100000), " ",IF(INDEX($U$2:$AC$1001,MATCH(ROWS($N$2:N824),$N$2:$N$1001,0),MATCH(COLUMNS($U$1006:AC1006),$U$1006:$AC$1006,0)), HYPERLINK("#",""), HYPERLINK(CONCATENATE("#metadata!", ADDRESS(INDEX($P$2:$P$1001,MATCH(ROWS($N$2:N824),$N$2:$N$1001,0),0), INDEX($U$1004:$AC$1004,1,MATCH(COLUMNS($U$1006:AC1006),$U$1006:$AC$1006,0)))),"Fix")))</f>
        <v>0</v>
      </c>
      <c r="N824">
        <v>0</v>
      </c>
      <c r="O824">
        <v>0</v>
      </c>
      <c r="P824">
        <v>0</v>
      </c>
      <c r="Q824">
        <f>IF(R824,TRUE,AND(U824:AC824))</f>
        <v>0</v>
      </c>
      <c r="R824">
        <f>COUNTBLANK(metadata!B824:J824)=COLUMNS(metadata!B824:J824)</f>
        <v>0</v>
      </c>
      <c r="S824">
        <v>0</v>
      </c>
      <c r="U824">
        <f>AND(IF(metadata!B824="",FALSE,TRUE),COUNTIF(metadata!B:B, metadata!B824) = 1,NOT(ISERROR(SUMPRODUCT(SEARCH(MID(metadata!B824,ROW(INDIRECT("1:"&amp;LEN(metadata!B824))), 1),"0123456789abcdefghijklmnopqrstuvwxyzABCDEFGHIJKLMNOPQRSTUVWXYZ.")))))</f>
        <v>0</v>
      </c>
      <c r="V824">
        <f>AND(IF(metadata!C824="",FALSE,TRUE),exact(metadata!C824,"UBERON:genitourinary"))</f>
        <v>0</v>
      </c>
      <c r="W824">
        <f>AND(IF(metadata!D824="",FALSE,TRUE),exact(metadata!D824,"UBERON:urine"))</f>
        <v>0</v>
      </c>
      <c r="X824">
        <f>AND(IF(metadata!E824="",FALSE,TRUE),exact(metadata!E824,"UBERON:kidney"))</f>
        <v>0</v>
      </c>
      <c r="Y824">
        <f>AND(IF(metadata!F824="",FALSE,TRUE),exact(metadata!F824,"animal corpus"))</f>
        <v>0</v>
      </c>
      <c r="Z824">
        <f>AND(IF(metadata!G824="",FALSE,TRUE),exact(metadata!G824,"urine"))</f>
        <v>0</v>
      </c>
      <c r="AA824">
        <f>AND(IF(metadata!H824="",FALSE,TRUE),exact(metadata!H824,"urine"))</f>
        <v>0</v>
      </c>
      <c r="AB824">
        <f>AND(IF(metadata!I824="",FALSE,TRUE),exact(metadata!I824,"urine metagenome"))</f>
        <v>0</v>
      </c>
      <c r="AC824">
        <f>AND(IF(metadata!J824="",FALSE,TRUE),exact(metadata!J824,"1346744"))</f>
        <v>0</v>
      </c>
    </row>
    <row r="825" spans="1:29">
      <c r="A825" s="4">
        <f>IF(B825=" "," ",HYPERLINK(CONCATENATE("#metadata!",ADDRESS(INDEX($P$2:$P$1001,MATCH(ROWS($N$2:N825),$N$2:$N$1001,0),0),1)),INDEX($S$2:$S$1001,MATCH(ROWS($N$2:N825),$N$2:$N$1001,0),0)))</f>
        <v>0</v>
      </c>
      <c r="B825" s="3">
        <f>IF(OR(INDEX($O$2:$O$1001,MATCH(ROWS($N$2:N825),$N$2:$N$1001,0),1)&gt;=100000,INDEX($U$1005:$AC$1005,1,MATCH(COLUMNS($U$1006:U1006),$U$1006:$AC$1006,0))&gt;=100000), " ",IF(INDEX($U$2:$AC$1001,MATCH(ROWS($N$2:N825),$N$2:$N$1001,0),MATCH(COLUMNS($U$1006:U1006),$U$1006:$AC$1006,0)), HYPERLINK("#",""), HYPERLINK(CONCATENATE("#metadata!", ADDRESS(INDEX($P$2:$P$1001,MATCH(ROWS($N$2:N825),$N$2:$N$1001,0),0), INDEX($U$1004:$AC$1004,1,MATCH(COLUMNS($U$1006:U1006),$U$1006:$AC$1006,0)))),"Fix")))</f>
        <v>0</v>
      </c>
      <c r="C825" s="3">
        <f>IF(OR(INDEX($O$2:$O$1001,MATCH(ROWS($N$2:N825),$N$2:$N$1001,0),1)&gt;=100000,INDEX($U$1005:$AC$1005,1,MATCH(COLUMNS($U$1006:V1006),$U$1006:$AC$1006,0))&gt;=100000), " ",IF(INDEX($U$2:$AC$1001,MATCH(ROWS($N$2:N825),$N$2:$N$1001,0),MATCH(COLUMNS($U$1006:V1006),$U$1006:$AC$1006,0)), HYPERLINK("#",""), HYPERLINK(CONCATENATE("#metadata!", ADDRESS(INDEX($P$2:$P$1001,MATCH(ROWS($N$2:N825),$N$2:$N$1001,0),0), INDEX($U$1004:$AC$1004,1,MATCH(COLUMNS($U$1006:V1006),$U$1006:$AC$1006,0)))),"Fix")))</f>
        <v>0</v>
      </c>
      <c r="D825" s="3">
        <f>IF(OR(INDEX($O$2:$O$1001,MATCH(ROWS($N$2:N825),$N$2:$N$1001,0),1)&gt;=100000,INDEX($U$1005:$AC$1005,1,MATCH(COLUMNS($U$1006:W1006),$U$1006:$AC$1006,0))&gt;=100000), " ",IF(INDEX($U$2:$AC$1001,MATCH(ROWS($N$2:N825),$N$2:$N$1001,0),MATCH(COLUMNS($U$1006:W1006),$U$1006:$AC$1006,0)), HYPERLINK("#",""), HYPERLINK(CONCATENATE("#metadata!", ADDRESS(INDEX($P$2:$P$1001,MATCH(ROWS($N$2:N825),$N$2:$N$1001,0),0), INDEX($U$1004:$AC$1004,1,MATCH(COLUMNS($U$1006:W1006),$U$1006:$AC$1006,0)))),"Fix")))</f>
        <v>0</v>
      </c>
      <c r="E825" s="3">
        <f>IF(OR(INDEX($O$2:$O$1001,MATCH(ROWS($N$2:N825),$N$2:$N$1001,0),1)&gt;=100000,INDEX($U$1005:$AC$1005,1,MATCH(COLUMNS($U$1006:X1006),$U$1006:$AC$1006,0))&gt;=100000), " ",IF(INDEX($U$2:$AC$1001,MATCH(ROWS($N$2:N825),$N$2:$N$1001,0),MATCH(COLUMNS($U$1006:X1006),$U$1006:$AC$1006,0)), HYPERLINK("#",""), HYPERLINK(CONCATENATE("#metadata!", ADDRESS(INDEX($P$2:$P$1001,MATCH(ROWS($N$2:N825),$N$2:$N$1001,0),0), INDEX($U$1004:$AC$1004,1,MATCH(COLUMNS($U$1006:X1006),$U$1006:$AC$1006,0)))),"Fix")))</f>
        <v>0</v>
      </c>
      <c r="F825" s="3">
        <f>IF(OR(INDEX($O$2:$O$1001,MATCH(ROWS($N$2:N825),$N$2:$N$1001,0),1)&gt;=100000,INDEX($U$1005:$AC$1005,1,MATCH(COLUMNS($U$1006:Y1006),$U$1006:$AC$1006,0))&gt;=100000), " ",IF(INDEX($U$2:$AC$1001,MATCH(ROWS($N$2:N825),$N$2:$N$1001,0),MATCH(COLUMNS($U$1006:Y1006),$U$1006:$AC$1006,0)), HYPERLINK("#",""), HYPERLINK(CONCATENATE("#metadata!", ADDRESS(INDEX($P$2:$P$1001,MATCH(ROWS($N$2:N825),$N$2:$N$1001,0),0), INDEX($U$1004:$AC$1004,1,MATCH(COLUMNS($U$1006:Y1006),$U$1006:$AC$1006,0)))),"Fix")))</f>
        <v>0</v>
      </c>
      <c r="G825" s="3">
        <f>IF(OR(INDEX($O$2:$O$1001,MATCH(ROWS($N$2:N825),$N$2:$N$1001,0),1)&gt;=100000,INDEX($U$1005:$AC$1005,1,MATCH(COLUMNS($U$1006:Z1006),$U$1006:$AC$1006,0))&gt;=100000), " ",IF(INDEX($U$2:$AC$1001,MATCH(ROWS($N$2:N825),$N$2:$N$1001,0),MATCH(COLUMNS($U$1006:Z1006),$U$1006:$AC$1006,0)), HYPERLINK("#",""), HYPERLINK(CONCATENATE("#metadata!", ADDRESS(INDEX($P$2:$P$1001,MATCH(ROWS($N$2:N825),$N$2:$N$1001,0),0), INDEX($U$1004:$AC$1004,1,MATCH(COLUMNS($U$1006:Z1006),$U$1006:$AC$1006,0)))),"Fix")))</f>
        <v>0</v>
      </c>
      <c r="H825" s="3">
        <f>IF(OR(INDEX($O$2:$O$1001,MATCH(ROWS($N$2:N825),$N$2:$N$1001,0),1)&gt;=100000,INDEX($U$1005:$AC$1005,1,MATCH(COLUMNS($U$1006:AA1006),$U$1006:$AC$1006,0))&gt;=100000), " ",IF(INDEX($U$2:$AC$1001,MATCH(ROWS($N$2:N825),$N$2:$N$1001,0),MATCH(COLUMNS($U$1006:AA1006),$U$1006:$AC$1006,0)), HYPERLINK("#",""), HYPERLINK(CONCATENATE("#metadata!", ADDRESS(INDEX($P$2:$P$1001,MATCH(ROWS($N$2:N825),$N$2:$N$1001,0),0), INDEX($U$1004:$AC$1004,1,MATCH(COLUMNS($U$1006:AA1006),$U$1006:$AC$1006,0)))),"Fix")))</f>
        <v>0</v>
      </c>
      <c r="I825" s="3">
        <f>IF(OR(INDEX($O$2:$O$1001,MATCH(ROWS($N$2:N825),$N$2:$N$1001,0),1)&gt;=100000,INDEX($U$1005:$AC$1005,1,MATCH(COLUMNS($U$1006:AB1006),$U$1006:$AC$1006,0))&gt;=100000), " ",IF(INDEX($U$2:$AC$1001,MATCH(ROWS($N$2:N825),$N$2:$N$1001,0),MATCH(COLUMNS($U$1006:AB1006),$U$1006:$AC$1006,0)), HYPERLINK("#",""), HYPERLINK(CONCATENATE("#metadata!", ADDRESS(INDEX($P$2:$P$1001,MATCH(ROWS($N$2:N825),$N$2:$N$1001,0),0), INDEX($U$1004:$AC$1004,1,MATCH(COLUMNS($U$1006:AB1006),$U$1006:$AC$1006,0)))),"Fix")))</f>
        <v>0</v>
      </c>
      <c r="J825" s="3">
        <f>IF(OR(INDEX($O$2:$O$1001,MATCH(ROWS($N$2:N825),$N$2:$N$1001,0),1)&gt;=100000,INDEX($U$1005:$AC$1005,1,MATCH(COLUMNS($U$1006:AC1006),$U$1006:$AC$1006,0))&gt;=100000), " ",IF(INDEX($U$2:$AC$1001,MATCH(ROWS($N$2:N825),$N$2:$N$1001,0),MATCH(COLUMNS($U$1006:AC1006),$U$1006:$AC$1006,0)), HYPERLINK("#",""), HYPERLINK(CONCATENATE("#metadata!", ADDRESS(INDEX($P$2:$P$1001,MATCH(ROWS($N$2:N825),$N$2:$N$1001,0),0), INDEX($U$1004:$AC$1004,1,MATCH(COLUMNS($U$1006:AC1006),$U$1006:$AC$1006,0)))),"Fix")))</f>
        <v>0</v>
      </c>
      <c r="N825">
        <v>0</v>
      </c>
      <c r="O825">
        <v>0</v>
      </c>
      <c r="P825">
        <v>0</v>
      </c>
      <c r="Q825">
        <f>IF(R825,TRUE,AND(U825:AC825))</f>
        <v>0</v>
      </c>
      <c r="R825">
        <f>COUNTBLANK(metadata!B825:J825)=COLUMNS(metadata!B825:J825)</f>
        <v>0</v>
      </c>
      <c r="S825">
        <v>0</v>
      </c>
      <c r="U825">
        <f>AND(IF(metadata!B825="",FALSE,TRUE),COUNTIF(metadata!B:B, metadata!B825) = 1,NOT(ISERROR(SUMPRODUCT(SEARCH(MID(metadata!B825,ROW(INDIRECT("1:"&amp;LEN(metadata!B825))), 1),"0123456789abcdefghijklmnopqrstuvwxyzABCDEFGHIJKLMNOPQRSTUVWXYZ.")))))</f>
        <v>0</v>
      </c>
      <c r="V825">
        <f>AND(IF(metadata!C825="",FALSE,TRUE),exact(metadata!C825,"UBERON:genitourinary"))</f>
        <v>0</v>
      </c>
      <c r="W825">
        <f>AND(IF(metadata!D825="",FALSE,TRUE),exact(metadata!D825,"UBERON:urine"))</f>
        <v>0</v>
      </c>
      <c r="X825">
        <f>AND(IF(metadata!E825="",FALSE,TRUE),exact(metadata!E825,"UBERON:kidney"))</f>
        <v>0</v>
      </c>
      <c r="Y825">
        <f>AND(IF(metadata!F825="",FALSE,TRUE),exact(metadata!F825,"animal corpus"))</f>
        <v>0</v>
      </c>
      <c r="Z825">
        <f>AND(IF(metadata!G825="",FALSE,TRUE),exact(metadata!G825,"urine"))</f>
        <v>0</v>
      </c>
      <c r="AA825">
        <f>AND(IF(metadata!H825="",FALSE,TRUE),exact(metadata!H825,"urine"))</f>
        <v>0</v>
      </c>
      <c r="AB825">
        <f>AND(IF(metadata!I825="",FALSE,TRUE),exact(metadata!I825,"urine metagenome"))</f>
        <v>0</v>
      </c>
      <c r="AC825">
        <f>AND(IF(metadata!J825="",FALSE,TRUE),exact(metadata!J825,"1346744"))</f>
        <v>0</v>
      </c>
    </row>
    <row r="826" spans="1:29">
      <c r="A826" s="4">
        <f>IF(B826=" "," ",HYPERLINK(CONCATENATE("#metadata!",ADDRESS(INDEX($P$2:$P$1001,MATCH(ROWS($N$2:N826),$N$2:$N$1001,0),0),1)),INDEX($S$2:$S$1001,MATCH(ROWS($N$2:N826),$N$2:$N$1001,0),0)))</f>
        <v>0</v>
      </c>
      <c r="B826" s="3">
        <f>IF(OR(INDEX($O$2:$O$1001,MATCH(ROWS($N$2:N826),$N$2:$N$1001,0),1)&gt;=100000,INDEX($U$1005:$AC$1005,1,MATCH(COLUMNS($U$1006:U1006),$U$1006:$AC$1006,0))&gt;=100000), " ",IF(INDEX($U$2:$AC$1001,MATCH(ROWS($N$2:N826),$N$2:$N$1001,0),MATCH(COLUMNS($U$1006:U1006),$U$1006:$AC$1006,0)), HYPERLINK("#",""), HYPERLINK(CONCATENATE("#metadata!", ADDRESS(INDEX($P$2:$P$1001,MATCH(ROWS($N$2:N826),$N$2:$N$1001,0),0), INDEX($U$1004:$AC$1004,1,MATCH(COLUMNS($U$1006:U1006),$U$1006:$AC$1006,0)))),"Fix")))</f>
        <v>0</v>
      </c>
      <c r="C826" s="3">
        <f>IF(OR(INDEX($O$2:$O$1001,MATCH(ROWS($N$2:N826),$N$2:$N$1001,0),1)&gt;=100000,INDEX($U$1005:$AC$1005,1,MATCH(COLUMNS($U$1006:V1006),$U$1006:$AC$1006,0))&gt;=100000), " ",IF(INDEX($U$2:$AC$1001,MATCH(ROWS($N$2:N826),$N$2:$N$1001,0),MATCH(COLUMNS($U$1006:V1006),$U$1006:$AC$1006,0)), HYPERLINK("#",""), HYPERLINK(CONCATENATE("#metadata!", ADDRESS(INDEX($P$2:$P$1001,MATCH(ROWS($N$2:N826),$N$2:$N$1001,0),0), INDEX($U$1004:$AC$1004,1,MATCH(COLUMNS($U$1006:V1006),$U$1006:$AC$1006,0)))),"Fix")))</f>
        <v>0</v>
      </c>
      <c r="D826" s="3">
        <f>IF(OR(INDEX($O$2:$O$1001,MATCH(ROWS($N$2:N826),$N$2:$N$1001,0),1)&gt;=100000,INDEX($U$1005:$AC$1005,1,MATCH(COLUMNS($U$1006:W1006),$U$1006:$AC$1006,0))&gt;=100000), " ",IF(INDEX($U$2:$AC$1001,MATCH(ROWS($N$2:N826),$N$2:$N$1001,0),MATCH(COLUMNS($U$1006:W1006),$U$1006:$AC$1006,0)), HYPERLINK("#",""), HYPERLINK(CONCATENATE("#metadata!", ADDRESS(INDEX($P$2:$P$1001,MATCH(ROWS($N$2:N826),$N$2:$N$1001,0),0), INDEX($U$1004:$AC$1004,1,MATCH(COLUMNS($U$1006:W1006),$U$1006:$AC$1006,0)))),"Fix")))</f>
        <v>0</v>
      </c>
      <c r="E826" s="3">
        <f>IF(OR(INDEX($O$2:$O$1001,MATCH(ROWS($N$2:N826),$N$2:$N$1001,0),1)&gt;=100000,INDEX($U$1005:$AC$1005,1,MATCH(COLUMNS($U$1006:X1006),$U$1006:$AC$1006,0))&gt;=100000), " ",IF(INDEX($U$2:$AC$1001,MATCH(ROWS($N$2:N826),$N$2:$N$1001,0),MATCH(COLUMNS($U$1006:X1006),$U$1006:$AC$1006,0)), HYPERLINK("#",""), HYPERLINK(CONCATENATE("#metadata!", ADDRESS(INDEX($P$2:$P$1001,MATCH(ROWS($N$2:N826),$N$2:$N$1001,0),0), INDEX($U$1004:$AC$1004,1,MATCH(COLUMNS($U$1006:X1006),$U$1006:$AC$1006,0)))),"Fix")))</f>
        <v>0</v>
      </c>
      <c r="F826" s="3">
        <f>IF(OR(INDEX($O$2:$O$1001,MATCH(ROWS($N$2:N826),$N$2:$N$1001,0),1)&gt;=100000,INDEX($U$1005:$AC$1005,1,MATCH(COLUMNS($U$1006:Y1006),$U$1006:$AC$1006,0))&gt;=100000), " ",IF(INDEX($U$2:$AC$1001,MATCH(ROWS($N$2:N826),$N$2:$N$1001,0),MATCH(COLUMNS($U$1006:Y1006),$U$1006:$AC$1006,0)), HYPERLINK("#",""), HYPERLINK(CONCATENATE("#metadata!", ADDRESS(INDEX($P$2:$P$1001,MATCH(ROWS($N$2:N826),$N$2:$N$1001,0),0), INDEX($U$1004:$AC$1004,1,MATCH(COLUMNS($U$1006:Y1006),$U$1006:$AC$1006,0)))),"Fix")))</f>
        <v>0</v>
      </c>
      <c r="G826" s="3">
        <f>IF(OR(INDEX($O$2:$O$1001,MATCH(ROWS($N$2:N826),$N$2:$N$1001,0),1)&gt;=100000,INDEX($U$1005:$AC$1005,1,MATCH(COLUMNS($U$1006:Z1006),$U$1006:$AC$1006,0))&gt;=100000), " ",IF(INDEX($U$2:$AC$1001,MATCH(ROWS($N$2:N826),$N$2:$N$1001,0),MATCH(COLUMNS($U$1006:Z1006),$U$1006:$AC$1006,0)), HYPERLINK("#",""), HYPERLINK(CONCATENATE("#metadata!", ADDRESS(INDEX($P$2:$P$1001,MATCH(ROWS($N$2:N826),$N$2:$N$1001,0),0), INDEX($U$1004:$AC$1004,1,MATCH(COLUMNS($U$1006:Z1006),$U$1006:$AC$1006,0)))),"Fix")))</f>
        <v>0</v>
      </c>
      <c r="H826" s="3">
        <f>IF(OR(INDEX($O$2:$O$1001,MATCH(ROWS($N$2:N826),$N$2:$N$1001,0),1)&gt;=100000,INDEX($U$1005:$AC$1005,1,MATCH(COLUMNS($U$1006:AA1006),$U$1006:$AC$1006,0))&gt;=100000), " ",IF(INDEX($U$2:$AC$1001,MATCH(ROWS($N$2:N826),$N$2:$N$1001,0),MATCH(COLUMNS($U$1006:AA1006),$U$1006:$AC$1006,0)), HYPERLINK("#",""), HYPERLINK(CONCATENATE("#metadata!", ADDRESS(INDEX($P$2:$P$1001,MATCH(ROWS($N$2:N826),$N$2:$N$1001,0),0), INDEX($U$1004:$AC$1004,1,MATCH(COLUMNS($U$1006:AA1006),$U$1006:$AC$1006,0)))),"Fix")))</f>
        <v>0</v>
      </c>
      <c r="I826" s="3">
        <f>IF(OR(INDEX($O$2:$O$1001,MATCH(ROWS($N$2:N826),$N$2:$N$1001,0),1)&gt;=100000,INDEX($U$1005:$AC$1005,1,MATCH(COLUMNS($U$1006:AB1006),$U$1006:$AC$1006,0))&gt;=100000), " ",IF(INDEX($U$2:$AC$1001,MATCH(ROWS($N$2:N826),$N$2:$N$1001,0),MATCH(COLUMNS($U$1006:AB1006),$U$1006:$AC$1006,0)), HYPERLINK("#",""), HYPERLINK(CONCATENATE("#metadata!", ADDRESS(INDEX($P$2:$P$1001,MATCH(ROWS($N$2:N826),$N$2:$N$1001,0),0), INDEX($U$1004:$AC$1004,1,MATCH(COLUMNS($U$1006:AB1006),$U$1006:$AC$1006,0)))),"Fix")))</f>
        <v>0</v>
      </c>
      <c r="J826" s="3">
        <f>IF(OR(INDEX($O$2:$O$1001,MATCH(ROWS($N$2:N826),$N$2:$N$1001,0),1)&gt;=100000,INDEX($U$1005:$AC$1005,1,MATCH(COLUMNS($U$1006:AC1006),$U$1006:$AC$1006,0))&gt;=100000), " ",IF(INDEX($U$2:$AC$1001,MATCH(ROWS($N$2:N826),$N$2:$N$1001,0),MATCH(COLUMNS($U$1006:AC1006),$U$1006:$AC$1006,0)), HYPERLINK("#",""), HYPERLINK(CONCATENATE("#metadata!", ADDRESS(INDEX($P$2:$P$1001,MATCH(ROWS($N$2:N826),$N$2:$N$1001,0),0), INDEX($U$1004:$AC$1004,1,MATCH(COLUMNS($U$1006:AC1006),$U$1006:$AC$1006,0)))),"Fix")))</f>
        <v>0</v>
      </c>
      <c r="N826">
        <v>0</v>
      </c>
      <c r="O826">
        <v>0</v>
      </c>
      <c r="P826">
        <v>0</v>
      </c>
      <c r="Q826">
        <f>IF(R826,TRUE,AND(U826:AC826))</f>
        <v>0</v>
      </c>
      <c r="R826">
        <f>COUNTBLANK(metadata!B826:J826)=COLUMNS(metadata!B826:J826)</f>
        <v>0</v>
      </c>
      <c r="S826">
        <v>0</v>
      </c>
      <c r="U826">
        <f>AND(IF(metadata!B826="",FALSE,TRUE),COUNTIF(metadata!B:B, metadata!B826) = 1,NOT(ISERROR(SUMPRODUCT(SEARCH(MID(metadata!B826,ROW(INDIRECT("1:"&amp;LEN(metadata!B826))), 1),"0123456789abcdefghijklmnopqrstuvwxyzABCDEFGHIJKLMNOPQRSTUVWXYZ.")))))</f>
        <v>0</v>
      </c>
      <c r="V826">
        <f>AND(IF(metadata!C826="",FALSE,TRUE),exact(metadata!C826,"UBERON:genitourinary"))</f>
        <v>0</v>
      </c>
      <c r="W826">
        <f>AND(IF(metadata!D826="",FALSE,TRUE),exact(metadata!D826,"UBERON:urine"))</f>
        <v>0</v>
      </c>
      <c r="X826">
        <f>AND(IF(metadata!E826="",FALSE,TRUE),exact(metadata!E826,"UBERON:kidney"))</f>
        <v>0</v>
      </c>
      <c r="Y826">
        <f>AND(IF(metadata!F826="",FALSE,TRUE),exact(metadata!F826,"animal corpus"))</f>
        <v>0</v>
      </c>
      <c r="Z826">
        <f>AND(IF(metadata!G826="",FALSE,TRUE),exact(metadata!G826,"urine"))</f>
        <v>0</v>
      </c>
      <c r="AA826">
        <f>AND(IF(metadata!H826="",FALSE,TRUE),exact(metadata!H826,"urine"))</f>
        <v>0</v>
      </c>
      <c r="AB826">
        <f>AND(IF(metadata!I826="",FALSE,TRUE),exact(metadata!I826,"urine metagenome"))</f>
        <v>0</v>
      </c>
      <c r="AC826">
        <f>AND(IF(metadata!J826="",FALSE,TRUE),exact(metadata!J826,"1346744"))</f>
        <v>0</v>
      </c>
    </row>
    <row r="827" spans="1:29">
      <c r="A827" s="4">
        <f>IF(B827=" "," ",HYPERLINK(CONCATENATE("#metadata!",ADDRESS(INDEX($P$2:$P$1001,MATCH(ROWS($N$2:N827),$N$2:$N$1001,0),0),1)),INDEX($S$2:$S$1001,MATCH(ROWS($N$2:N827),$N$2:$N$1001,0),0)))</f>
        <v>0</v>
      </c>
      <c r="B827" s="3">
        <f>IF(OR(INDEX($O$2:$O$1001,MATCH(ROWS($N$2:N827),$N$2:$N$1001,0),1)&gt;=100000,INDEX($U$1005:$AC$1005,1,MATCH(COLUMNS($U$1006:U1006),$U$1006:$AC$1006,0))&gt;=100000), " ",IF(INDEX($U$2:$AC$1001,MATCH(ROWS($N$2:N827),$N$2:$N$1001,0),MATCH(COLUMNS($U$1006:U1006),$U$1006:$AC$1006,0)), HYPERLINK("#",""), HYPERLINK(CONCATENATE("#metadata!", ADDRESS(INDEX($P$2:$P$1001,MATCH(ROWS($N$2:N827),$N$2:$N$1001,0),0), INDEX($U$1004:$AC$1004,1,MATCH(COLUMNS($U$1006:U1006),$U$1006:$AC$1006,0)))),"Fix")))</f>
        <v>0</v>
      </c>
      <c r="C827" s="3">
        <f>IF(OR(INDEX($O$2:$O$1001,MATCH(ROWS($N$2:N827),$N$2:$N$1001,0),1)&gt;=100000,INDEX($U$1005:$AC$1005,1,MATCH(COLUMNS($U$1006:V1006),$U$1006:$AC$1006,0))&gt;=100000), " ",IF(INDEX($U$2:$AC$1001,MATCH(ROWS($N$2:N827),$N$2:$N$1001,0),MATCH(COLUMNS($U$1006:V1006),$U$1006:$AC$1006,0)), HYPERLINK("#",""), HYPERLINK(CONCATENATE("#metadata!", ADDRESS(INDEX($P$2:$P$1001,MATCH(ROWS($N$2:N827),$N$2:$N$1001,0),0), INDEX($U$1004:$AC$1004,1,MATCH(COLUMNS($U$1006:V1006),$U$1006:$AC$1006,0)))),"Fix")))</f>
        <v>0</v>
      </c>
      <c r="D827" s="3">
        <f>IF(OR(INDEX($O$2:$O$1001,MATCH(ROWS($N$2:N827),$N$2:$N$1001,0),1)&gt;=100000,INDEX($U$1005:$AC$1005,1,MATCH(COLUMNS($U$1006:W1006),$U$1006:$AC$1006,0))&gt;=100000), " ",IF(INDEX($U$2:$AC$1001,MATCH(ROWS($N$2:N827),$N$2:$N$1001,0),MATCH(COLUMNS($U$1006:W1006),$U$1006:$AC$1006,0)), HYPERLINK("#",""), HYPERLINK(CONCATENATE("#metadata!", ADDRESS(INDEX($P$2:$P$1001,MATCH(ROWS($N$2:N827),$N$2:$N$1001,0),0), INDEX($U$1004:$AC$1004,1,MATCH(COLUMNS($U$1006:W1006),$U$1006:$AC$1006,0)))),"Fix")))</f>
        <v>0</v>
      </c>
      <c r="E827" s="3">
        <f>IF(OR(INDEX($O$2:$O$1001,MATCH(ROWS($N$2:N827),$N$2:$N$1001,0),1)&gt;=100000,INDEX($U$1005:$AC$1005,1,MATCH(COLUMNS($U$1006:X1006),$U$1006:$AC$1006,0))&gt;=100000), " ",IF(INDEX($U$2:$AC$1001,MATCH(ROWS($N$2:N827),$N$2:$N$1001,0),MATCH(COLUMNS($U$1006:X1006),$U$1006:$AC$1006,0)), HYPERLINK("#",""), HYPERLINK(CONCATENATE("#metadata!", ADDRESS(INDEX($P$2:$P$1001,MATCH(ROWS($N$2:N827),$N$2:$N$1001,0),0), INDEX($U$1004:$AC$1004,1,MATCH(COLUMNS($U$1006:X1006),$U$1006:$AC$1006,0)))),"Fix")))</f>
        <v>0</v>
      </c>
      <c r="F827" s="3">
        <f>IF(OR(INDEX($O$2:$O$1001,MATCH(ROWS($N$2:N827),$N$2:$N$1001,0),1)&gt;=100000,INDEX($U$1005:$AC$1005,1,MATCH(COLUMNS($U$1006:Y1006),$U$1006:$AC$1006,0))&gt;=100000), " ",IF(INDEX($U$2:$AC$1001,MATCH(ROWS($N$2:N827),$N$2:$N$1001,0),MATCH(COLUMNS($U$1006:Y1006),$U$1006:$AC$1006,0)), HYPERLINK("#",""), HYPERLINK(CONCATENATE("#metadata!", ADDRESS(INDEX($P$2:$P$1001,MATCH(ROWS($N$2:N827),$N$2:$N$1001,0),0), INDEX($U$1004:$AC$1004,1,MATCH(COLUMNS($U$1006:Y1006),$U$1006:$AC$1006,0)))),"Fix")))</f>
        <v>0</v>
      </c>
      <c r="G827" s="3">
        <f>IF(OR(INDEX($O$2:$O$1001,MATCH(ROWS($N$2:N827),$N$2:$N$1001,0),1)&gt;=100000,INDEX($U$1005:$AC$1005,1,MATCH(COLUMNS($U$1006:Z1006),$U$1006:$AC$1006,0))&gt;=100000), " ",IF(INDEX($U$2:$AC$1001,MATCH(ROWS($N$2:N827),$N$2:$N$1001,0),MATCH(COLUMNS($U$1006:Z1006),$U$1006:$AC$1006,0)), HYPERLINK("#",""), HYPERLINK(CONCATENATE("#metadata!", ADDRESS(INDEX($P$2:$P$1001,MATCH(ROWS($N$2:N827),$N$2:$N$1001,0),0), INDEX($U$1004:$AC$1004,1,MATCH(COLUMNS($U$1006:Z1006),$U$1006:$AC$1006,0)))),"Fix")))</f>
        <v>0</v>
      </c>
      <c r="H827" s="3">
        <f>IF(OR(INDEX($O$2:$O$1001,MATCH(ROWS($N$2:N827),$N$2:$N$1001,0),1)&gt;=100000,INDEX($U$1005:$AC$1005,1,MATCH(COLUMNS($U$1006:AA1006),$U$1006:$AC$1006,0))&gt;=100000), " ",IF(INDEX($U$2:$AC$1001,MATCH(ROWS($N$2:N827),$N$2:$N$1001,0),MATCH(COLUMNS($U$1006:AA1006),$U$1006:$AC$1006,0)), HYPERLINK("#",""), HYPERLINK(CONCATENATE("#metadata!", ADDRESS(INDEX($P$2:$P$1001,MATCH(ROWS($N$2:N827),$N$2:$N$1001,0),0), INDEX($U$1004:$AC$1004,1,MATCH(COLUMNS($U$1006:AA1006),$U$1006:$AC$1006,0)))),"Fix")))</f>
        <v>0</v>
      </c>
      <c r="I827" s="3">
        <f>IF(OR(INDEX($O$2:$O$1001,MATCH(ROWS($N$2:N827),$N$2:$N$1001,0),1)&gt;=100000,INDEX($U$1005:$AC$1005,1,MATCH(COLUMNS($U$1006:AB1006),$U$1006:$AC$1006,0))&gt;=100000), " ",IF(INDEX($U$2:$AC$1001,MATCH(ROWS($N$2:N827),$N$2:$N$1001,0),MATCH(COLUMNS($U$1006:AB1006),$U$1006:$AC$1006,0)), HYPERLINK("#",""), HYPERLINK(CONCATENATE("#metadata!", ADDRESS(INDEX($P$2:$P$1001,MATCH(ROWS($N$2:N827),$N$2:$N$1001,0),0), INDEX($U$1004:$AC$1004,1,MATCH(COLUMNS($U$1006:AB1006),$U$1006:$AC$1006,0)))),"Fix")))</f>
        <v>0</v>
      </c>
      <c r="J827" s="3">
        <f>IF(OR(INDEX($O$2:$O$1001,MATCH(ROWS($N$2:N827),$N$2:$N$1001,0),1)&gt;=100000,INDEX($U$1005:$AC$1005,1,MATCH(COLUMNS($U$1006:AC1006),$U$1006:$AC$1006,0))&gt;=100000), " ",IF(INDEX($U$2:$AC$1001,MATCH(ROWS($N$2:N827),$N$2:$N$1001,0),MATCH(COLUMNS($U$1006:AC1006),$U$1006:$AC$1006,0)), HYPERLINK("#",""), HYPERLINK(CONCATENATE("#metadata!", ADDRESS(INDEX($P$2:$P$1001,MATCH(ROWS($N$2:N827),$N$2:$N$1001,0),0), INDEX($U$1004:$AC$1004,1,MATCH(COLUMNS($U$1006:AC1006),$U$1006:$AC$1006,0)))),"Fix")))</f>
        <v>0</v>
      </c>
      <c r="N827">
        <v>0</v>
      </c>
      <c r="O827">
        <v>0</v>
      </c>
      <c r="P827">
        <v>0</v>
      </c>
      <c r="Q827">
        <f>IF(R827,TRUE,AND(U827:AC827))</f>
        <v>0</v>
      </c>
      <c r="R827">
        <f>COUNTBLANK(metadata!B827:J827)=COLUMNS(metadata!B827:J827)</f>
        <v>0</v>
      </c>
      <c r="S827">
        <v>0</v>
      </c>
      <c r="U827">
        <f>AND(IF(metadata!B827="",FALSE,TRUE),COUNTIF(metadata!B:B, metadata!B827) = 1,NOT(ISERROR(SUMPRODUCT(SEARCH(MID(metadata!B827,ROW(INDIRECT("1:"&amp;LEN(metadata!B827))), 1),"0123456789abcdefghijklmnopqrstuvwxyzABCDEFGHIJKLMNOPQRSTUVWXYZ.")))))</f>
        <v>0</v>
      </c>
      <c r="V827">
        <f>AND(IF(metadata!C827="",FALSE,TRUE),exact(metadata!C827,"UBERON:genitourinary"))</f>
        <v>0</v>
      </c>
      <c r="W827">
        <f>AND(IF(metadata!D827="",FALSE,TRUE),exact(metadata!D827,"UBERON:urine"))</f>
        <v>0</v>
      </c>
      <c r="X827">
        <f>AND(IF(metadata!E827="",FALSE,TRUE),exact(metadata!E827,"UBERON:kidney"))</f>
        <v>0</v>
      </c>
      <c r="Y827">
        <f>AND(IF(metadata!F827="",FALSE,TRUE),exact(metadata!F827,"animal corpus"))</f>
        <v>0</v>
      </c>
      <c r="Z827">
        <f>AND(IF(metadata!G827="",FALSE,TRUE),exact(metadata!G827,"urine"))</f>
        <v>0</v>
      </c>
      <c r="AA827">
        <f>AND(IF(metadata!H827="",FALSE,TRUE),exact(metadata!H827,"urine"))</f>
        <v>0</v>
      </c>
      <c r="AB827">
        <f>AND(IF(metadata!I827="",FALSE,TRUE),exact(metadata!I827,"urine metagenome"))</f>
        <v>0</v>
      </c>
      <c r="AC827">
        <f>AND(IF(metadata!J827="",FALSE,TRUE),exact(metadata!J827,"1346744"))</f>
        <v>0</v>
      </c>
    </row>
    <row r="828" spans="1:29">
      <c r="A828" s="4">
        <f>IF(B828=" "," ",HYPERLINK(CONCATENATE("#metadata!",ADDRESS(INDEX($P$2:$P$1001,MATCH(ROWS($N$2:N828),$N$2:$N$1001,0),0),1)),INDEX($S$2:$S$1001,MATCH(ROWS($N$2:N828),$N$2:$N$1001,0),0)))</f>
        <v>0</v>
      </c>
      <c r="B828" s="3">
        <f>IF(OR(INDEX($O$2:$O$1001,MATCH(ROWS($N$2:N828),$N$2:$N$1001,0),1)&gt;=100000,INDEX($U$1005:$AC$1005,1,MATCH(COLUMNS($U$1006:U1006),$U$1006:$AC$1006,0))&gt;=100000), " ",IF(INDEX($U$2:$AC$1001,MATCH(ROWS($N$2:N828),$N$2:$N$1001,0),MATCH(COLUMNS($U$1006:U1006),$U$1006:$AC$1006,0)), HYPERLINK("#",""), HYPERLINK(CONCATENATE("#metadata!", ADDRESS(INDEX($P$2:$P$1001,MATCH(ROWS($N$2:N828),$N$2:$N$1001,0),0), INDEX($U$1004:$AC$1004,1,MATCH(COLUMNS($U$1006:U1006),$U$1006:$AC$1006,0)))),"Fix")))</f>
        <v>0</v>
      </c>
      <c r="C828" s="3">
        <f>IF(OR(INDEX($O$2:$O$1001,MATCH(ROWS($N$2:N828),$N$2:$N$1001,0),1)&gt;=100000,INDEX($U$1005:$AC$1005,1,MATCH(COLUMNS($U$1006:V1006),$U$1006:$AC$1006,0))&gt;=100000), " ",IF(INDEX($U$2:$AC$1001,MATCH(ROWS($N$2:N828),$N$2:$N$1001,0),MATCH(COLUMNS($U$1006:V1006),$U$1006:$AC$1006,0)), HYPERLINK("#",""), HYPERLINK(CONCATENATE("#metadata!", ADDRESS(INDEX($P$2:$P$1001,MATCH(ROWS($N$2:N828),$N$2:$N$1001,0),0), INDEX($U$1004:$AC$1004,1,MATCH(COLUMNS($U$1006:V1006),$U$1006:$AC$1006,0)))),"Fix")))</f>
        <v>0</v>
      </c>
      <c r="D828" s="3">
        <f>IF(OR(INDEX($O$2:$O$1001,MATCH(ROWS($N$2:N828),$N$2:$N$1001,0),1)&gt;=100000,INDEX($U$1005:$AC$1005,1,MATCH(COLUMNS($U$1006:W1006),$U$1006:$AC$1006,0))&gt;=100000), " ",IF(INDEX($U$2:$AC$1001,MATCH(ROWS($N$2:N828),$N$2:$N$1001,0),MATCH(COLUMNS($U$1006:W1006),$U$1006:$AC$1006,0)), HYPERLINK("#",""), HYPERLINK(CONCATENATE("#metadata!", ADDRESS(INDEX($P$2:$P$1001,MATCH(ROWS($N$2:N828),$N$2:$N$1001,0),0), INDEX($U$1004:$AC$1004,1,MATCH(COLUMNS($U$1006:W1006),$U$1006:$AC$1006,0)))),"Fix")))</f>
        <v>0</v>
      </c>
      <c r="E828" s="3">
        <f>IF(OR(INDEX($O$2:$O$1001,MATCH(ROWS($N$2:N828),$N$2:$N$1001,0),1)&gt;=100000,INDEX($U$1005:$AC$1005,1,MATCH(COLUMNS($U$1006:X1006),$U$1006:$AC$1006,0))&gt;=100000), " ",IF(INDEX($U$2:$AC$1001,MATCH(ROWS($N$2:N828),$N$2:$N$1001,0),MATCH(COLUMNS($U$1006:X1006),$U$1006:$AC$1006,0)), HYPERLINK("#",""), HYPERLINK(CONCATENATE("#metadata!", ADDRESS(INDEX($P$2:$P$1001,MATCH(ROWS($N$2:N828),$N$2:$N$1001,0),0), INDEX($U$1004:$AC$1004,1,MATCH(COLUMNS($U$1006:X1006),$U$1006:$AC$1006,0)))),"Fix")))</f>
        <v>0</v>
      </c>
      <c r="F828" s="3">
        <f>IF(OR(INDEX($O$2:$O$1001,MATCH(ROWS($N$2:N828),$N$2:$N$1001,0),1)&gt;=100000,INDEX($U$1005:$AC$1005,1,MATCH(COLUMNS($U$1006:Y1006),$U$1006:$AC$1006,0))&gt;=100000), " ",IF(INDEX($U$2:$AC$1001,MATCH(ROWS($N$2:N828),$N$2:$N$1001,0),MATCH(COLUMNS($U$1006:Y1006),$U$1006:$AC$1006,0)), HYPERLINK("#",""), HYPERLINK(CONCATENATE("#metadata!", ADDRESS(INDEX($P$2:$P$1001,MATCH(ROWS($N$2:N828),$N$2:$N$1001,0),0), INDEX($U$1004:$AC$1004,1,MATCH(COLUMNS($U$1006:Y1006),$U$1006:$AC$1006,0)))),"Fix")))</f>
        <v>0</v>
      </c>
      <c r="G828" s="3">
        <f>IF(OR(INDEX($O$2:$O$1001,MATCH(ROWS($N$2:N828),$N$2:$N$1001,0),1)&gt;=100000,INDEX($U$1005:$AC$1005,1,MATCH(COLUMNS($U$1006:Z1006),$U$1006:$AC$1006,0))&gt;=100000), " ",IF(INDEX($U$2:$AC$1001,MATCH(ROWS($N$2:N828),$N$2:$N$1001,0),MATCH(COLUMNS($U$1006:Z1006),$U$1006:$AC$1006,0)), HYPERLINK("#",""), HYPERLINK(CONCATENATE("#metadata!", ADDRESS(INDEX($P$2:$P$1001,MATCH(ROWS($N$2:N828),$N$2:$N$1001,0),0), INDEX($U$1004:$AC$1004,1,MATCH(COLUMNS($U$1006:Z1006),$U$1006:$AC$1006,0)))),"Fix")))</f>
        <v>0</v>
      </c>
      <c r="H828" s="3">
        <f>IF(OR(INDEX($O$2:$O$1001,MATCH(ROWS($N$2:N828),$N$2:$N$1001,0),1)&gt;=100000,INDEX($U$1005:$AC$1005,1,MATCH(COLUMNS($U$1006:AA1006),$U$1006:$AC$1006,0))&gt;=100000), " ",IF(INDEX($U$2:$AC$1001,MATCH(ROWS($N$2:N828),$N$2:$N$1001,0),MATCH(COLUMNS($U$1006:AA1006),$U$1006:$AC$1006,0)), HYPERLINK("#",""), HYPERLINK(CONCATENATE("#metadata!", ADDRESS(INDEX($P$2:$P$1001,MATCH(ROWS($N$2:N828),$N$2:$N$1001,0),0), INDEX($U$1004:$AC$1004,1,MATCH(COLUMNS($U$1006:AA1006),$U$1006:$AC$1006,0)))),"Fix")))</f>
        <v>0</v>
      </c>
      <c r="I828" s="3">
        <f>IF(OR(INDEX($O$2:$O$1001,MATCH(ROWS($N$2:N828),$N$2:$N$1001,0),1)&gt;=100000,INDEX($U$1005:$AC$1005,1,MATCH(COLUMNS($U$1006:AB1006),$U$1006:$AC$1006,0))&gt;=100000), " ",IF(INDEX($U$2:$AC$1001,MATCH(ROWS($N$2:N828),$N$2:$N$1001,0),MATCH(COLUMNS($U$1006:AB1006),$U$1006:$AC$1006,0)), HYPERLINK("#",""), HYPERLINK(CONCATENATE("#metadata!", ADDRESS(INDEX($P$2:$P$1001,MATCH(ROWS($N$2:N828),$N$2:$N$1001,0),0), INDEX($U$1004:$AC$1004,1,MATCH(COLUMNS($U$1006:AB1006),$U$1006:$AC$1006,0)))),"Fix")))</f>
        <v>0</v>
      </c>
      <c r="J828" s="3">
        <f>IF(OR(INDEX($O$2:$O$1001,MATCH(ROWS($N$2:N828),$N$2:$N$1001,0),1)&gt;=100000,INDEX($U$1005:$AC$1005,1,MATCH(COLUMNS($U$1006:AC1006),$U$1006:$AC$1006,0))&gt;=100000), " ",IF(INDEX($U$2:$AC$1001,MATCH(ROWS($N$2:N828),$N$2:$N$1001,0),MATCH(COLUMNS($U$1006:AC1006),$U$1006:$AC$1006,0)), HYPERLINK("#",""), HYPERLINK(CONCATENATE("#metadata!", ADDRESS(INDEX($P$2:$P$1001,MATCH(ROWS($N$2:N828),$N$2:$N$1001,0),0), INDEX($U$1004:$AC$1004,1,MATCH(COLUMNS($U$1006:AC1006),$U$1006:$AC$1006,0)))),"Fix")))</f>
        <v>0</v>
      </c>
      <c r="N828">
        <v>0</v>
      </c>
      <c r="O828">
        <v>0</v>
      </c>
      <c r="P828">
        <v>0</v>
      </c>
      <c r="Q828">
        <f>IF(R828,TRUE,AND(U828:AC828))</f>
        <v>0</v>
      </c>
      <c r="R828">
        <f>COUNTBLANK(metadata!B828:J828)=COLUMNS(metadata!B828:J828)</f>
        <v>0</v>
      </c>
      <c r="S828">
        <v>0</v>
      </c>
      <c r="U828">
        <f>AND(IF(metadata!B828="",FALSE,TRUE),COUNTIF(metadata!B:B, metadata!B828) = 1,NOT(ISERROR(SUMPRODUCT(SEARCH(MID(metadata!B828,ROW(INDIRECT("1:"&amp;LEN(metadata!B828))), 1),"0123456789abcdefghijklmnopqrstuvwxyzABCDEFGHIJKLMNOPQRSTUVWXYZ.")))))</f>
        <v>0</v>
      </c>
      <c r="V828">
        <f>AND(IF(metadata!C828="",FALSE,TRUE),exact(metadata!C828,"UBERON:genitourinary"))</f>
        <v>0</v>
      </c>
      <c r="W828">
        <f>AND(IF(metadata!D828="",FALSE,TRUE),exact(metadata!D828,"UBERON:urine"))</f>
        <v>0</v>
      </c>
      <c r="X828">
        <f>AND(IF(metadata!E828="",FALSE,TRUE),exact(metadata!E828,"UBERON:kidney"))</f>
        <v>0</v>
      </c>
      <c r="Y828">
        <f>AND(IF(metadata!F828="",FALSE,TRUE),exact(metadata!F828,"animal corpus"))</f>
        <v>0</v>
      </c>
      <c r="Z828">
        <f>AND(IF(metadata!G828="",FALSE,TRUE),exact(metadata!G828,"urine"))</f>
        <v>0</v>
      </c>
      <c r="AA828">
        <f>AND(IF(metadata!H828="",FALSE,TRUE),exact(metadata!H828,"urine"))</f>
        <v>0</v>
      </c>
      <c r="AB828">
        <f>AND(IF(metadata!I828="",FALSE,TRUE),exact(metadata!I828,"urine metagenome"))</f>
        <v>0</v>
      </c>
      <c r="AC828">
        <f>AND(IF(metadata!J828="",FALSE,TRUE),exact(metadata!J828,"1346744"))</f>
        <v>0</v>
      </c>
    </row>
    <row r="829" spans="1:29">
      <c r="A829" s="4">
        <f>IF(B829=" "," ",HYPERLINK(CONCATENATE("#metadata!",ADDRESS(INDEX($P$2:$P$1001,MATCH(ROWS($N$2:N829),$N$2:$N$1001,0),0),1)),INDEX($S$2:$S$1001,MATCH(ROWS($N$2:N829),$N$2:$N$1001,0),0)))</f>
        <v>0</v>
      </c>
      <c r="B829" s="3">
        <f>IF(OR(INDEX($O$2:$O$1001,MATCH(ROWS($N$2:N829),$N$2:$N$1001,0),1)&gt;=100000,INDEX($U$1005:$AC$1005,1,MATCH(COLUMNS($U$1006:U1006),$U$1006:$AC$1006,0))&gt;=100000), " ",IF(INDEX($U$2:$AC$1001,MATCH(ROWS($N$2:N829),$N$2:$N$1001,0),MATCH(COLUMNS($U$1006:U1006),$U$1006:$AC$1006,0)), HYPERLINK("#",""), HYPERLINK(CONCATENATE("#metadata!", ADDRESS(INDEX($P$2:$P$1001,MATCH(ROWS($N$2:N829),$N$2:$N$1001,0),0), INDEX($U$1004:$AC$1004,1,MATCH(COLUMNS($U$1006:U1006),$U$1006:$AC$1006,0)))),"Fix")))</f>
        <v>0</v>
      </c>
      <c r="C829" s="3">
        <f>IF(OR(INDEX($O$2:$O$1001,MATCH(ROWS($N$2:N829),$N$2:$N$1001,0),1)&gt;=100000,INDEX($U$1005:$AC$1005,1,MATCH(COLUMNS($U$1006:V1006),$U$1006:$AC$1006,0))&gt;=100000), " ",IF(INDEX($U$2:$AC$1001,MATCH(ROWS($N$2:N829),$N$2:$N$1001,0),MATCH(COLUMNS($U$1006:V1006),$U$1006:$AC$1006,0)), HYPERLINK("#",""), HYPERLINK(CONCATENATE("#metadata!", ADDRESS(INDEX($P$2:$P$1001,MATCH(ROWS($N$2:N829),$N$2:$N$1001,0),0), INDEX($U$1004:$AC$1004,1,MATCH(COLUMNS($U$1006:V1006),$U$1006:$AC$1006,0)))),"Fix")))</f>
        <v>0</v>
      </c>
      <c r="D829" s="3">
        <f>IF(OR(INDEX($O$2:$O$1001,MATCH(ROWS($N$2:N829),$N$2:$N$1001,0),1)&gt;=100000,INDEX($U$1005:$AC$1005,1,MATCH(COLUMNS($U$1006:W1006),$U$1006:$AC$1006,0))&gt;=100000), " ",IF(INDEX($U$2:$AC$1001,MATCH(ROWS($N$2:N829),$N$2:$N$1001,0),MATCH(COLUMNS($U$1006:W1006),$U$1006:$AC$1006,0)), HYPERLINK("#",""), HYPERLINK(CONCATENATE("#metadata!", ADDRESS(INDEX($P$2:$P$1001,MATCH(ROWS($N$2:N829),$N$2:$N$1001,0),0), INDEX($U$1004:$AC$1004,1,MATCH(COLUMNS($U$1006:W1006),$U$1006:$AC$1006,0)))),"Fix")))</f>
        <v>0</v>
      </c>
      <c r="E829" s="3">
        <f>IF(OR(INDEX($O$2:$O$1001,MATCH(ROWS($N$2:N829),$N$2:$N$1001,0),1)&gt;=100000,INDEX($U$1005:$AC$1005,1,MATCH(COLUMNS($U$1006:X1006),$U$1006:$AC$1006,0))&gt;=100000), " ",IF(INDEX($U$2:$AC$1001,MATCH(ROWS($N$2:N829),$N$2:$N$1001,0),MATCH(COLUMNS($U$1006:X1006),$U$1006:$AC$1006,0)), HYPERLINK("#",""), HYPERLINK(CONCATENATE("#metadata!", ADDRESS(INDEX($P$2:$P$1001,MATCH(ROWS($N$2:N829),$N$2:$N$1001,0),0), INDEX($U$1004:$AC$1004,1,MATCH(COLUMNS($U$1006:X1006),$U$1006:$AC$1006,0)))),"Fix")))</f>
        <v>0</v>
      </c>
      <c r="F829" s="3">
        <f>IF(OR(INDEX($O$2:$O$1001,MATCH(ROWS($N$2:N829),$N$2:$N$1001,0),1)&gt;=100000,INDEX($U$1005:$AC$1005,1,MATCH(COLUMNS($U$1006:Y1006),$U$1006:$AC$1006,0))&gt;=100000), " ",IF(INDEX($U$2:$AC$1001,MATCH(ROWS($N$2:N829),$N$2:$N$1001,0),MATCH(COLUMNS($U$1006:Y1006),$U$1006:$AC$1006,0)), HYPERLINK("#",""), HYPERLINK(CONCATENATE("#metadata!", ADDRESS(INDEX($P$2:$P$1001,MATCH(ROWS($N$2:N829),$N$2:$N$1001,0),0), INDEX($U$1004:$AC$1004,1,MATCH(COLUMNS($U$1006:Y1006),$U$1006:$AC$1006,0)))),"Fix")))</f>
        <v>0</v>
      </c>
      <c r="G829" s="3">
        <f>IF(OR(INDEX($O$2:$O$1001,MATCH(ROWS($N$2:N829),$N$2:$N$1001,0),1)&gt;=100000,INDEX($U$1005:$AC$1005,1,MATCH(COLUMNS($U$1006:Z1006),$U$1006:$AC$1006,0))&gt;=100000), " ",IF(INDEX($U$2:$AC$1001,MATCH(ROWS($N$2:N829),$N$2:$N$1001,0),MATCH(COLUMNS($U$1006:Z1006),$U$1006:$AC$1006,0)), HYPERLINK("#",""), HYPERLINK(CONCATENATE("#metadata!", ADDRESS(INDEX($P$2:$P$1001,MATCH(ROWS($N$2:N829),$N$2:$N$1001,0),0), INDEX($U$1004:$AC$1004,1,MATCH(COLUMNS($U$1006:Z1006),$U$1006:$AC$1006,0)))),"Fix")))</f>
        <v>0</v>
      </c>
      <c r="H829" s="3">
        <f>IF(OR(INDEX($O$2:$O$1001,MATCH(ROWS($N$2:N829),$N$2:$N$1001,0),1)&gt;=100000,INDEX($U$1005:$AC$1005,1,MATCH(COLUMNS($U$1006:AA1006),$U$1006:$AC$1006,0))&gt;=100000), " ",IF(INDEX($U$2:$AC$1001,MATCH(ROWS($N$2:N829),$N$2:$N$1001,0),MATCH(COLUMNS($U$1006:AA1006),$U$1006:$AC$1006,0)), HYPERLINK("#",""), HYPERLINK(CONCATENATE("#metadata!", ADDRESS(INDEX($P$2:$P$1001,MATCH(ROWS($N$2:N829),$N$2:$N$1001,0),0), INDEX($U$1004:$AC$1004,1,MATCH(COLUMNS($U$1006:AA1006),$U$1006:$AC$1006,0)))),"Fix")))</f>
        <v>0</v>
      </c>
      <c r="I829" s="3">
        <f>IF(OR(INDEX($O$2:$O$1001,MATCH(ROWS($N$2:N829),$N$2:$N$1001,0),1)&gt;=100000,INDEX($U$1005:$AC$1005,1,MATCH(COLUMNS($U$1006:AB1006),$U$1006:$AC$1006,0))&gt;=100000), " ",IF(INDEX($U$2:$AC$1001,MATCH(ROWS($N$2:N829),$N$2:$N$1001,0),MATCH(COLUMNS($U$1006:AB1006),$U$1006:$AC$1006,0)), HYPERLINK("#",""), HYPERLINK(CONCATENATE("#metadata!", ADDRESS(INDEX($P$2:$P$1001,MATCH(ROWS($N$2:N829),$N$2:$N$1001,0),0), INDEX($U$1004:$AC$1004,1,MATCH(COLUMNS($U$1006:AB1006),$U$1006:$AC$1006,0)))),"Fix")))</f>
        <v>0</v>
      </c>
      <c r="J829" s="3">
        <f>IF(OR(INDEX($O$2:$O$1001,MATCH(ROWS($N$2:N829),$N$2:$N$1001,0),1)&gt;=100000,INDEX($U$1005:$AC$1005,1,MATCH(COLUMNS($U$1006:AC1006),$U$1006:$AC$1006,0))&gt;=100000), " ",IF(INDEX($U$2:$AC$1001,MATCH(ROWS($N$2:N829),$N$2:$N$1001,0),MATCH(COLUMNS($U$1006:AC1006),$U$1006:$AC$1006,0)), HYPERLINK("#",""), HYPERLINK(CONCATENATE("#metadata!", ADDRESS(INDEX($P$2:$P$1001,MATCH(ROWS($N$2:N829),$N$2:$N$1001,0),0), INDEX($U$1004:$AC$1004,1,MATCH(COLUMNS($U$1006:AC1006),$U$1006:$AC$1006,0)))),"Fix")))</f>
        <v>0</v>
      </c>
      <c r="N829">
        <v>0</v>
      </c>
      <c r="O829">
        <v>0</v>
      </c>
      <c r="P829">
        <v>0</v>
      </c>
      <c r="Q829">
        <f>IF(R829,TRUE,AND(U829:AC829))</f>
        <v>0</v>
      </c>
      <c r="R829">
        <f>COUNTBLANK(metadata!B829:J829)=COLUMNS(metadata!B829:J829)</f>
        <v>0</v>
      </c>
      <c r="S829">
        <v>0</v>
      </c>
      <c r="U829">
        <f>AND(IF(metadata!B829="",FALSE,TRUE),COUNTIF(metadata!B:B, metadata!B829) = 1,NOT(ISERROR(SUMPRODUCT(SEARCH(MID(metadata!B829,ROW(INDIRECT("1:"&amp;LEN(metadata!B829))), 1),"0123456789abcdefghijklmnopqrstuvwxyzABCDEFGHIJKLMNOPQRSTUVWXYZ.")))))</f>
        <v>0</v>
      </c>
      <c r="V829">
        <f>AND(IF(metadata!C829="",FALSE,TRUE),exact(metadata!C829,"UBERON:genitourinary"))</f>
        <v>0</v>
      </c>
      <c r="W829">
        <f>AND(IF(metadata!D829="",FALSE,TRUE),exact(metadata!D829,"UBERON:urine"))</f>
        <v>0</v>
      </c>
      <c r="X829">
        <f>AND(IF(metadata!E829="",FALSE,TRUE),exact(metadata!E829,"UBERON:kidney"))</f>
        <v>0</v>
      </c>
      <c r="Y829">
        <f>AND(IF(metadata!F829="",FALSE,TRUE),exact(metadata!F829,"animal corpus"))</f>
        <v>0</v>
      </c>
      <c r="Z829">
        <f>AND(IF(metadata!G829="",FALSE,TRUE),exact(metadata!G829,"urine"))</f>
        <v>0</v>
      </c>
      <c r="AA829">
        <f>AND(IF(metadata!H829="",FALSE,TRUE),exact(metadata!H829,"urine"))</f>
        <v>0</v>
      </c>
      <c r="AB829">
        <f>AND(IF(metadata!I829="",FALSE,TRUE),exact(metadata!I829,"urine metagenome"))</f>
        <v>0</v>
      </c>
      <c r="AC829">
        <f>AND(IF(metadata!J829="",FALSE,TRUE),exact(metadata!J829,"1346744"))</f>
        <v>0</v>
      </c>
    </row>
    <row r="830" spans="1:29">
      <c r="A830" s="4">
        <f>IF(B830=" "," ",HYPERLINK(CONCATENATE("#metadata!",ADDRESS(INDEX($P$2:$P$1001,MATCH(ROWS($N$2:N830),$N$2:$N$1001,0),0),1)),INDEX($S$2:$S$1001,MATCH(ROWS($N$2:N830),$N$2:$N$1001,0),0)))</f>
        <v>0</v>
      </c>
      <c r="B830" s="3">
        <f>IF(OR(INDEX($O$2:$O$1001,MATCH(ROWS($N$2:N830),$N$2:$N$1001,0),1)&gt;=100000,INDEX($U$1005:$AC$1005,1,MATCH(COLUMNS($U$1006:U1006),$U$1006:$AC$1006,0))&gt;=100000), " ",IF(INDEX($U$2:$AC$1001,MATCH(ROWS($N$2:N830),$N$2:$N$1001,0),MATCH(COLUMNS($U$1006:U1006),$U$1006:$AC$1006,0)), HYPERLINK("#",""), HYPERLINK(CONCATENATE("#metadata!", ADDRESS(INDEX($P$2:$P$1001,MATCH(ROWS($N$2:N830),$N$2:$N$1001,0),0), INDEX($U$1004:$AC$1004,1,MATCH(COLUMNS($U$1006:U1006),$U$1006:$AC$1006,0)))),"Fix")))</f>
        <v>0</v>
      </c>
      <c r="C830" s="3">
        <f>IF(OR(INDEX($O$2:$O$1001,MATCH(ROWS($N$2:N830),$N$2:$N$1001,0),1)&gt;=100000,INDEX($U$1005:$AC$1005,1,MATCH(COLUMNS($U$1006:V1006),$U$1006:$AC$1006,0))&gt;=100000), " ",IF(INDEX($U$2:$AC$1001,MATCH(ROWS($N$2:N830),$N$2:$N$1001,0),MATCH(COLUMNS($U$1006:V1006),$U$1006:$AC$1006,0)), HYPERLINK("#",""), HYPERLINK(CONCATENATE("#metadata!", ADDRESS(INDEX($P$2:$P$1001,MATCH(ROWS($N$2:N830),$N$2:$N$1001,0),0), INDEX($U$1004:$AC$1004,1,MATCH(COLUMNS($U$1006:V1006),$U$1006:$AC$1006,0)))),"Fix")))</f>
        <v>0</v>
      </c>
      <c r="D830" s="3">
        <f>IF(OR(INDEX($O$2:$O$1001,MATCH(ROWS($N$2:N830),$N$2:$N$1001,0),1)&gt;=100000,INDEX($U$1005:$AC$1005,1,MATCH(COLUMNS($U$1006:W1006),$U$1006:$AC$1006,0))&gt;=100000), " ",IF(INDEX($U$2:$AC$1001,MATCH(ROWS($N$2:N830),$N$2:$N$1001,0),MATCH(COLUMNS($U$1006:W1006),$U$1006:$AC$1006,0)), HYPERLINK("#",""), HYPERLINK(CONCATENATE("#metadata!", ADDRESS(INDEX($P$2:$P$1001,MATCH(ROWS($N$2:N830),$N$2:$N$1001,0),0), INDEX($U$1004:$AC$1004,1,MATCH(COLUMNS($U$1006:W1006),$U$1006:$AC$1006,0)))),"Fix")))</f>
        <v>0</v>
      </c>
      <c r="E830" s="3">
        <f>IF(OR(INDEX($O$2:$O$1001,MATCH(ROWS($N$2:N830),$N$2:$N$1001,0),1)&gt;=100000,INDEX($U$1005:$AC$1005,1,MATCH(COLUMNS($U$1006:X1006),$U$1006:$AC$1006,0))&gt;=100000), " ",IF(INDEX($U$2:$AC$1001,MATCH(ROWS($N$2:N830),$N$2:$N$1001,0),MATCH(COLUMNS($U$1006:X1006),$U$1006:$AC$1006,0)), HYPERLINK("#",""), HYPERLINK(CONCATENATE("#metadata!", ADDRESS(INDEX($P$2:$P$1001,MATCH(ROWS($N$2:N830),$N$2:$N$1001,0),0), INDEX($U$1004:$AC$1004,1,MATCH(COLUMNS($U$1006:X1006),$U$1006:$AC$1006,0)))),"Fix")))</f>
        <v>0</v>
      </c>
      <c r="F830" s="3">
        <f>IF(OR(INDEX($O$2:$O$1001,MATCH(ROWS($N$2:N830),$N$2:$N$1001,0),1)&gt;=100000,INDEX($U$1005:$AC$1005,1,MATCH(COLUMNS($U$1006:Y1006),$U$1006:$AC$1006,0))&gt;=100000), " ",IF(INDEX($U$2:$AC$1001,MATCH(ROWS($N$2:N830),$N$2:$N$1001,0),MATCH(COLUMNS($U$1006:Y1006),$U$1006:$AC$1006,0)), HYPERLINK("#",""), HYPERLINK(CONCATENATE("#metadata!", ADDRESS(INDEX($P$2:$P$1001,MATCH(ROWS($N$2:N830),$N$2:$N$1001,0),0), INDEX($U$1004:$AC$1004,1,MATCH(COLUMNS($U$1006:Y1006),$U$1006:$AC$1006,0)))),"Fix")))</f>
        <v>0</v>
      </c>
      <c r="G830" s="3">
        <f>IF(OR(INDEX($O$2:$O$1001,MATCH(ROWS($N$2:N830),$N$2:$N$1001,0),1)&gt;=100000,INDEX($U$1005:$AC$1005,1,MATCH(COLUMNS($U$1006:Z1006),$U$1006:$AC$1006,0))&gt;=100000), " ",IF(INDEX($U$2:$AC$1001,MATCH(ROWS($N$2:N830),$N$2:$N$1001,0),MATCH(COLUMNS($U$1006:Z1006),$U$1006:$AC$1006,0)), HYPERLINK("#",""), HYPERLINK(CONCATENATE("#metadata!", ADDRESS(INDEX($P$2:$P$1001,MATCH(ROWS($N$2:N830),$N$2:$N$1001,0),0), INDEX($U$1004:$AC$1004,1,MATCH(COLUMNS($U$1006:Z1006),$U$1006:$AC$1006,0)))),"Fix")))</f>
        <v>0</v>
      </c>
      <c r="H830" s="3">
        <f>IF(OR(INDEX($O$2:$O$1001,MATCH(ROWS($N$2:N830),$N$2:$N$1001,0),1)&gt;=100000,INDEX($U$1005:$AC$1005,1,MATCH(COLUMNS($U$1006:AA1006),$U$1006:$AC$1006,0))&gt;=100000), " ",IF(INDEX($U$2:$AC$1001,MATCH(ROWS($N$2:N830),$N$2:$N$1001,0),MATCH(COLUMNS($U$1006:AA1006),$U$1006:$AC$1006,0)), HYPERLINK("#",""), HYPERLINK(CONCATENATE("#metadata!", ADDRESS(INDEX($P$2:$P$1001,MATCH(ROWS($N$2:N830),$N$2:$N$1001,0),0), INDEX($U$1004:$AC$1004,1,MATCH(COLUMNS($U$1006:AA1006),$U$1006:$AC$1006,0)))),"Fix")))</f>
        <v>0</v>
      </c>
      <c r="I830" s="3">
        <f>IF(OR(INDEX($O$2:$O$1001,MATCH(ROWS($N$2:N830),$N$2:$N$1001,0),1)&gt;=100000,INDEX($U$1005:$AC$1005,1,MATCH(COLUMNS($U$1006:AB1006),$U$1006:$AC$1006,0))&gt;=100000), " ",IF(INDEX($U$2:$AC$1001,MATCH(ROWS($N$2:N830),$N$2:$N$1001,0),MATCH(COLUMNS($U$1006:AB1006),$U$1006:$AC$1006,0)), HYPERLINK("#",""), HYPERLINK(CONCATENATE("#metadata!", ADDRESS(INDEX($P$2:$P$1001,MATCH(ROWS($N$2:N830),$N$2:$N$1001,0),0), INDEX($U$1004:$AC$1004,1,MATCH(COLUMNS($U$1006:AB1006),$U$1006:$AC$1006,0)))),"Fix")))</f>
        <v>0</v>
      </c>
      <c r="J830" s="3">
        <f>IF(OR(INDEX($O$2:$O$1001,MATCH(ROWS($N$2:N830),$N$2:$N$1001,0),1)&gt;=100000,INDEX($U$1005:$AC$1005,1,MATCH(COLUMNS($U$1006:AC1006),$U$1006:$AC$1006,0))&gt;=100000), " ",IF(INDEX($U$2:$AC$1001,MATCH(ROWS($N$2:N830),$N$2:$N$1001,0),MATCH(COLUMNS($U$1006:AC1006),$U$1006:$AC$1006,0)), HYPERLINK("#",""), HYPERLINK(CONCATENATE("#metadata!", ADDRESS(INDEX($P$2:$P$1001,MATCH(ROWS($N$2:N830),$N$2:$N$1001,0),0), INDEX($U$1004:$AC$1004,1,MATCH(COLUMNS($U$1006:AC1006),$U$1006:$AC$1006,0)))),"Fix")))</f>
        <v>0</v>
      </c>
      <c r="N830">
        <v>0</v>
      </c>
      <c r="O830">
        <v>0</v>
      </c>
      <c r="P830">
        <v>0</v>
      </c>
      <c r="Q830">
        <f>IF(R830,TRUE,AND(U830:AC830))</f>
        <v>0</v>
      </c>
      <c r="R830">
        <f>COUNTBLANK(metadata!B830:J830)=COLUMNS(metadata!B830:J830)</f>
        <v>0</v>
      </c>
      <c r="S830">
        <v>0</v>
      </c>
      <c r="U830">
        <f>AND(IF(metadata!B830="",FALSE,TRUE),COUNTIF(metadata!B:B, metadata!B830) = 1,NOT(ISERROR(SUMPRODUCT(SEARCH(MID(metadata!B830,ROW(INDIRECT("1:"&amp;LEN(metadata!B830))), 1),"0123456789abcdefghijklmnopqrstuvwxyzABCDEFGHIJKLMNOPQRSTUVWXYZ.")))))</f>
        <v>0</v>
      </c>
      <c r="V830">
        <f>AND(IF(metadata!C830="",FALSE,TRUE),exact(metadata!C830,"UBERON:genitourinary"))</f>
        <v>0</v>
      </c>
      <c r="W830">
        <f>AND(IF(metadata!D830="",FALSE,TRUE),exact(metadata!D830,"UBERON:urine"))</f>
        <v>0</v>
      </c>
      <c r="X830">
        <f>AND(IF(metadata!E830="",FALSE,TRUE),exact(metadata!E830,"UBERON:kidney"))</f>
        <v>0</v>
      </c>
      <c r="Y830">
        <f>AND(IF(metadata!F830="",FALSE,TRUE),exact(metadata!F830,"animal corpus"))</f>
        <v>0</v>
      </c>
      <c r="Z830">
        <f>AND(IF(metadata!G830="",FALSE,TRUE),exact(metadata!G830,"urine"))</f>
        <v>0</v>
      </c>
      <c r="AA830">
        <f>AND(IF(metadata!H830="",FALSE,TRUE),exact(metadata!H830,"urine"))</f>
        <v>0</v>
      </c>
      <c r="AB830">
        <f>AND(IF(metadata!I830="",FALSE,TRUE),exact(metadata!I830,"urine metagenome"))</f>
        <v>0</v>
      </c>
      <c r="AC830">
        <f>AND(IF(metadata!J830="",FALSE,TRUE),exact(metadata!J830,"1346744"))</f>
        <v>0</v>
      </c>
    </row>
    <row r="831" spans="1:29">
      <c r="A831" s="4">
        <f>IF(B831=" "," ",HYPERLINK(CONCATENATE("#metadata!",ADDRESS(INDEX($P$2:$P$1001,MATCH(ROWS($N$2:N831),$N$2:$N$1001,0),0),1)),INDEX($S$2:$S$1001,MATCH(ROWS($N$2:N831),$N$2:$N$1001,0),0)))</f>
        <v>0</v>
      </c>
      <c r="B831" s="3">
        <f>IF(OR(INDEX($O$2:$O$1001,MATCH(ROWS($N$2:N831),$N$2:$N$1001,0),1)&gt;=100000,INDEX($U$1005:$AC$1005,1,MATCH(COLUMNS($U$1006:U1006),$U$1006:$AC$1006,0))&gt;=100000), " ",IF(INDEX($U$2:$AC$1001,MATCH(ROWS($N$2:N831),$N$2:$N$1001,0),MATCH(COLUMNS($U$1006:U1006),$U$1006:$AC$1006,0)), HYPERLINK("#",""), HYPERLINK(CONCATENATE("#metadata!", ADDRESS(INDEX($P$2:$P$1001,MATCH(ROWS($N$2:N831),$N$2:$N$1001,0),0), INDEX($U$1004:$AC$1004,1,MATCH(COLUMNS($U$1006:U1006),$U$1006:$AC$1006,0)))),"Fix")))</f>
        <v>0</v>
      </c>
      <c r="C831" s="3">
        <f>IF(OR(INDEX($O$2:$O$1001,MATCH(ROWS($N$2:N831),$N$2:$N$1001,0),1)&gt;=100000,INDEX($U$1005:$AC$1005,1,MATCH(COLUMNS($U$1006:V1006),$U$1006:$AC$1006,0))&gt;=100000), " ",IF(INDEX($U$2:$AC$1001,MATCH(ROWS($N$2:N831),$N$2:$N$1001,0),MATCH(COLUMNS($U$1006:V1006),$U$1006:$AC$1006,0)), HYPERLINK("#",""), HYPERLINK(CONCATENATE("#metadata!", ADDRESS(INDEX($P$2:$P$1001,MATCH(ROWS($N$2:N831),$N$2:$N$1001,0),0), INDEX($U$1004:$AC$1004,1,MATCH(COLUMNS($U$1006:V1006),$U$1006:$AC$1006,0)))),"Fix")))</f>
        <v>0</v>
      </c>
      <c r="D831" s="3">
        <f>IF(OR(INDEX($O$2:$O$1001,MATCH(ROWS($N$2:N831),$N$2:$N$1001,0),1)&gt;=100000,INDEX($U$1005:$AC$1005,1,MATCH(COLUMNS($U$1006:W1006),$U$1006:$AC$1006,0))&gt;=100000), " ",IF(INDEX($U$2:$AC$1001,MATCH(ROWS($N$2:N831),$N$2:$N$1001,0),MATCH(COLUMNS($U$1006:W1006),$U$1006:$AC$1006,0)), HYPERLINK("#",""), HYPERLINK(CONCATENATE("#metadata!", ADDRESS(INDEX($P$2:$P$1001,MATCH(ROWS($N$2:N831),$N$2:$N$1001,0),0), INDEX($U$1004:$AC$1004,1,MATCH(COLUMNS($U$1006:W1006),$U$1006:$AC$1006,0)))),"Fix")))</f>
        <v>0</v>
      </c>
      <c r="E831" s="3">
        <f>IF(OR(INDEX($O$2:$O$1001,MATCH(ROWS($N$2:N831),$N$2:$N$1001,0),1)&gt;=100000,INDEX($U$1005:$AC$1005,1,MATCH(COLUMNS($U$1006:X1006),$U$1006:$AC$1006,0))&gt;=100000), " ",IF(INDEX($U$2:$AC$1001,MATCH(ROWS($N$2:N831),$N$2:$N$1001,0),MATCH(COLUMNS($U$1006:X1006),$U$1006:$AC$1006,0)), HYPERLINK("#",""), HYPERLINK(CONCATENATE("#metadata!", ADDRESS(INDEX($P$2:$P$1001,MATCH(ROWS($N$2:N831),$N$2:$N$1001,0),0), INDEX($U$1004:$AC$1004,1,MATCH(COLUMNS($U$1006:X1006),$U$1006:$AC$1006,0)))),"Fix")))</f>
        <v>0</v>
      </c>
      <c r="F831" s="3">
        <f>IF(OR(INDEX($O$2:$O$1001,MATCH(ROWS($N$2:N831),$N$2:$N$1001,0),1)&gt;=100000,INDEX($U$1005:$AC$1005,1,MATCH(COLUMNS($U$1006:Y1006),$U$1006:$AC$1006,0))&gt;=100000), " ",IF(INDEX($U$2:$AC$1001,MATCH(ROWS($N$2:N831),$N$2:$N$1001,0),MATCH(COLUMNS($U$1006:Y1006),$U$1006:$AC$1006,0)), HYPERLINK("#",""), HYPERLINK(CONCATENATE("#metadata!", ADDRESS(INDEX($P$2:$P$1001,MATCH(ROWS($N$2:N831),$N$2:$N$1001,0),0), INDEX($U$1004:$AC$1004,1,MATCH(COLUMNS($U$1006:Y1006),$U$1006:$AC$1006,0)))),"Fix")))</f>
        <v>0</v>
      </c>
      <c r="G831" s="3">
        <f>IF(OR(INDEX($O$2:$O$1001,MATCH(ROWS($N$2:N831),$N$2:$N$1001,0),1)&gt;=100000,INDEX($U$1005:$AC$1005,1,MATCH(COLUMNS($U$1006:Z1006),$U$1006:$AC$1006,0))&gt;=100000), " ",IF(INDEX($U$2:$AC$1001,MATCH(ROWS($N$2:N831),$N$2:$N$1001,0),MATCH(COLUMNS($U$1006:Z1006),$U$1006:$AC$1006,0)), HYPERLINK("#",""), HYPERLINK(CONCATENATE("#metadata!", ADDRESS(INDEX($P$2:$P$1001,MATCH(ROWS($N$2:N831),$N$2:$N$1001,0),0), INDEX($U$1004:$AC$1004,1,MATCH(COLUMNS($U$1006:Z1006),$U$1006:$AC$1006,0)))),"Fix")))</f>
        <v>0</v>
      </c>
      <c r="H831" s="3">
        <f>IF(OR(INDEX($O$2:$O$1001,MATCH(ROWS($N$2:N831),$N$2:$N$1001,0),1)&gt;=100000,INDEX($U$1005:$AC$1005,1,MATCH(COLUMNS($U$1006:AA1006),$U$1006:$AC$1006,0))&gt;=100000), " ",IF(INDEX($U$2:$AC$1001,MATCH(ROWS($N$2:N831),$N$2:$N$1001,0),MATCH(COLUMNS($U$1006:AA1006),$U$1006:$AC$1006,0)), HYPERLINK("#",""), HYPERLINK(CONCATENATE("#metadata!", ADDRESS(INDEX($P$2:$P$1001,MATCH(ROWS($N$2:N831),$N$2:$N$1001,0),0), INDEX($U$1004:$AC$1004,1,MATCH(COLUMNS($U$1006:AA1006),$U$1006:$AC$1006,0)))),"Fix")))</f>
        <v>0</v>
      </c>
      <c r="I831" s="3">
        <f>IF(OR(INDEX($O$2:$O$1001,MATCH(ROWS($N$2:N831),$N$2:$N$1001,0),1)&gt;=100000,INDEX($U$1005:$AC$1005,1,MATCH(COLUMNS($U$1006:AB1006),$U$1006:$AC$1006,0))&gt;=100000), " ",IF(INDEX($U$2:$AC$1001,MATCH(ROWS($N$2:N831),$N$2:$N$1001,0),MATCH(COLUMNS($U$1006:AB1006),$U$1006:$AC$1006,0)), HYPERLINK("#",""), HYPERLINK(CONCATENATE("#metadata!", ADDRESS(INDEX($P$2:$P$1001,MATCH(ROWS($N$2:N831),$N$2:$N$1001,0),0), INDEX($U$1004:$AC$1004,1,MATCH(COLUMNS($U$1006:AB1006),$U$1006:$AC$1006,0)))),"Fix")))</f>
        <v>0</v>
      </c>
      <c r="J831" s="3">
        <f>IF(OR(INDEX($O$2:$O$1001,MATCH(ROWS($N$2:N831),$N$2:$N$1001,0),1)&gt;=100000,INDEX($U$1005:$AC$1005,1,MATCH(COLUMNS($U$1006:AC1006),$U$1006:$AC$1006,0))&gt;=100000), " ",IF(INDEX($U$2:$AC$1001,MATCH(ROWS($N$2:N831),$N$2:$N$1001,0),MATCH(COLUMNS($U$1006:AC1006),$U$1006:$AC$1006,0)), HYPERLINK("#",""), HYPERLINK(CONCATENATE("#metadata!", ADDRESS(INDEX($P$2:$P$1001,MATCH(ROWS($N$2:N831),$N$2:$N$1001,0),0), INDEX($U$1004:$AC$1004,1,MATCH(COLUMNS($U$1006:AC1006),$U$1006:$AC$1006,0)))),"Fix")))</f>
        <v>0</v>
      </c>
      <c r="N831">
        <v>0</v>
      </c>
      <c r="O831">
        <v>0</v>
      </c>
      <c r="P831">
        <v>0</v>
      </c>
      <c r="Q831">
        <f>IF(R831,TRUE,AND(U831:AC831))</f>
        <v>0</v>
      </c>
      <c r="R831">
        <f>COUNTBLANK(metadata!B831:J831)=COLUMNS(metadata!B831:J831)</f>
        <v>0</v>
      </c>
      <c r="S831">
        <v>0</v>
      </c>
      <c r="U831">
        <f>AND(IF(metadata!B831="",FALSE,TRUE),COUNTIF(metadata!B:B, metadata!B831) = 1,NOT(ISERROR(SUMPRODUCT(SEARCH(MID(metadata!B831,ROW(INDIRECT("1:"&amp;LEN(metadata!B831))), 1),"0123456789abcdefghijklmnopqrstuvwxyzABCDEFGHIJKLMNOPQRSTUVWXYZ.")))))</f>
        <v>0</v>
      </c>
      <c r="V831">
        <f>AND(IF(metadata!C831="",FALSE,TRUE),exact(metadata!C831,"UBERON:genitourinary"))</f>
        <v>0</v>
      </c>
      <c r="W831">
        <f>AND(IF(metadata!D831="",FALSE,TRUE),exact(metadata!D831,"UBERON:urine"))</f>
        <v>0</v>
      </c>
      <c r="X831">
        <f>AND(IF(metadata!E831="",FALSE,TRUE),exact(metadata!E831,"UBERON:kidney"))</f>
        <v>0</v>
      </c>
      <c r="Y831">
        <f>AND(IF(metadata!F831="",FALSE,TRUE),exact(metadata!F831,"animal corpus"))</f>
        <v>0</v>
      </c>
      <c r="Z831">
        <f>AND(IF(metadata!G831="",FALSE,TRUE),exact(metadata!G831,"urine"))</f>
        <v>0</v>
      </c>
      <c r="AA831">
        <f>AND(IF(metadata!H831="",FALSE,TRUE),exact(metadata!H831,"urine"))</f>
        <v>0</v>
      </c>
      <c r="AB831">
        <f>AND(IF(metadata!I831="",FALSE,TRUE),exact(metadata!I831,"urine metagenome"))</f>
        <v>0</v>
      </c>
      <c r="AC831">
        <f>AND(IF(metadata!J831="",FALSE,TRUE),exact(metadata!J831,"1346744"))</f>
        <v>0</v>
      </c>
    </row>
    <row r="832" spans="1:29">
      <c r="A832" s="4">
        <f>IF(B832=" "," ",HYPERLINK(CONCATENATE("#metadata!",ADDRESS(INDEX($P$2:$P$1001,MATCH(ROWS($N$2:N832),$N$2:$N$1001,0),0),1)),INDEX($S$2:$S$1001,MATCH(ROWS($N$2:N832),$N$2:$N$1001,0),0)))</f>
        <v>0</v>
      </c>
      <c r="B832" s="3">
        <f>IF(OR(INDEX($O$2:$O$1001,MATCH(ROWS($N$2:N832),$N$2:$N$1001,0),1)&gt;=100000,INDEX($U$1005:$AC$1005,1,MATCH(COLUMNS($U$1006:U1006),$U$1006:$AC$1006,0))&gt;=100000), " ",IF(INDEX($U$2:$AC$1001,MATCH(ROWS($N$2:N832),$N$2:$N$1001,0),MATCH(COLUMNS($U$1006:U1006),$U$1006:$AC$1006,0)), HYPERLINK("#",""), HYPERLINK(CONCATENATE("#metadata!", ADDRESS(INDEX($P$2:$P$1001,MATCH(ROWS($N$2:N832),$N$2:$N$1001,0),0), INDEX($U$1004:$AC$1004,1,MATCH(COLUMNS($U$1006:U1006),$U$1006:$AC$1006,0)))),"Fix")))</f>
        <v>0</v>
      </c>
      <c r="C832" s="3">
        <f>IF(OR(INDEX($O$2:$O$1001,MATCH(ROWS($N$2:N832),$N$2:$N$1001,0),1)&gt;=100000,INDEX($U$1005:$AC$1005,1,MATCH(COLUMNS($U$1006:V1006),$U$1006:$AC$1006,0))&gt;=100000), " ",IF(INDEX($U$2:$AC$1001,MATCH(ROWS($N$2:N832),$N$2:$N$1001,0),MATCH(COLUMNS($U$1006:V1006),$U$1006:$AC$1006,0)), HYPERLINK("#",""), HYPERLINK(CONCATENATE("#metadata!", ADDRESS(INDEX($P$2:$P$1001,MATCH(ROWS($N$2:N832),$N$2:$N$1001,0),0), INDEX($U$1004:$AC$1004,1,MATCH(COLUMNS($U$1006:V1006),$U$1006:$AC$1006,0)))),"Fix")))</f>
        <v>0</v>
      </c>
      <c r="D832" s="3">
        <f>IF(OR(INDEX($O$2:$O$1001,MATCH(ROWS($N$2:N832),$N$2:$N$1001,0),1)&gt;=100000,INDEX($U$1005:$AC$1005,1,MATCH(COLUMNS($U$1006:W1006),$U$1006:$AC$1006,0))&gt;=100000), " ",IF(INDEX($U$2:$AC$1001,MATCH(ROWS($N$2:N832),$N$2:$N$1001,0),MATCH(COLUMNS($U$1006:W1006),$U$1006:$AC$1006,0)), HYPERLINK("#",""), HYPERLINK(CONCATENATE("#metadata!", ADDRESS(INDEX($P$2:$P$1001,MATCH(ROWS($N$2:N832),$N$2:$N$1001,0),0), INDEX($U$1004:$AC$1004,1,MATCH(COLUMNS($U$1006:W1006),$U$1006:$AC$1006,0)))),"Fix")))</f>
        <v>0</v>
      </c>
      <c r="E832" s="3">
        <f>IF(OR(INDEX($O$2:$O$1001,MATCH(ROWS($N$2:N832),$N$2:$N$1001,0),1)&gt;=100000,INDEX($U$1005:$AC$1005,1,MATCH(COLUMNS($U$1006:X1006),$U$1006:$AC$1006,0))&gt;=100000), " ",IF(INDEX($U$2:$AC$1001,MATCH(ROWS($N$2:N832),$N$2:$N$1001,0),MATCH(COLUMNS($U$1006:X1006),$U$1006:$AC$1006,0)), HYPERLINK("#",""), HYPERLINK(CONCATENATE("#metadata!", ADDRESS(INDEX($P$2:$P$1001,MATCH(ROWS($N$2:N832),$N$2:$N$1001,0),0), INDEX($U$1004:$AC$1004,1,MATCH(COLUMNS($U$1006:X1006),$U$1006:$AC$1006,0)))),"Fix")))</f>
        <v>0</v>
      </c>
      <c r="F832" s="3">
        <f>IF(OR(INDEX($O$2:$O$1001,MATCH(ROWS($N$2:N832),$N$2:$N$1001,0),1)&gt;=100000,INDEX($U$1005:$AC$1005,1,MATCH(COLUMNS($U$1006:Y1006),$U$1006:$AC$1006,0))&gt;=100000), " ",IF(INDEX($U$2:$AC$1001,MATCH(ROWS($N$2:N832),$N$2:$N$1001,0),MATCH(COLUMNS($U$1006:Y1006),$U$1006:$AC$1006,0)), HYPERLINK("#",""), HYPERLINK(CONCATENATE("#metadata!", ADDRESS(INDEX($P$2:$P$1001,MATCH(ROWS($N$2:N832),$N$2:$N$1001,0),0), INDEX($U$1004:$AC$1004,1,MATCH(COLUMNS($U$1006:Y1006),$U$1006:$AC$1006,0)))),"Fix")))</f>
        <v>0</v>
      </c>
      <c r="G832" s="3">
        <f>IF(OR(INDEX($O$2:$O$1001,MATCH(ROWS($N$2:N832),$N$2:$N$1001,0),1)&gt;=100000,INDEX($U$1005:$AC$1005,1,MATCH(COLUMNS($U$1006:Z1006),$U$1006:$AC$1006,0))&gt;=100000), " ",IF(INDEX($U$2:$AC$1001,MATCH(ROWS($N$2:N832),$N$2:$N$1001,0),MATCH(COLUMNS($U$1006:Z1006),$U$1006:$AC$1006,0)), HYPERLINK("#",""), HYPERLINK(CONCATENATE("#metadata!", ADDRESS(INDEX($P$2:$P$1001,MATCH(ROWS($N$2:N832),$N$2:$N$1001,0),0), INDEX($U$1004:$AC$1004,1,MATCH(COLUMNS($U$1006:Z1006),$U$1006:$AC$1006,0)))),"Fix")))</f>
        <v>0</v>
      </c>
      <c r="H832" s="3">
        <f>IF(OR(INDEX($O$2:$O$1001,MATCH(ROWS($N$2:N832),$N$2:$N$1001,0),1)&gt;=100000,INDEX($U$1005:$AC$1005,1,MATCH(COLUMNS($U$1006:AA1006),$U$1006:$AC$1006,0))&gt;=100000), " ",IF(INDEX($U$2:$AC$1001,MATCH(ROWS($N$2:N832),$N$2:$N$1001,0),MATCH(COLUMNS($U$1006:AA1006),$U$1006:$AC$1006,0)), HYPERLINK("#",""), HYPERLINK(CONCATENATE("#metadata!", ADDRESS(INDEX($P$2:$P$1001,MATCH(ROWS($N$2:N832),$N$2:$N$1001,0),0), INDEX($U$1004:$AC$1004,1,MATCH(COLUMNS($U$1006:AA1006),$U$1006:$AC$1006,0)))),"Fix")))</f>
        <v>0</v>
      </c>
      <c r="I832" s="3">
        <f>IF(OR(INDEX($O$2:$O$1001,MATCH(ROWS($N$2:N832),$N$2:$N$1001,0),1)&gt;=100000,INDEX($U$1005:$AC$1005,1,MATCH(COLUMNS($U$1006:AB1006),$U$1006:$AC$1006,0))&gt;=100000), " ",IF(INDEX($U$2:$AC$1001,MATCH(ROWS($N$2:N832),$N$2:$N$1001,0),MATCH(COLUMNS($U$1006:AB1006),$U$1006:$AC$1006,0)), HYPERLINK("#",""), HYPERLINK(CONCATENATE("#metadata!", ADDRESS(INDEX($P$2:$P$1001,MATCH(ROWS($N$2:N832),$N$2:$N$1001,0),0), INDEX($U$1004:$AC$1004,1,MATCH(COLUMNS($U$1006:AB1006),$U$1006:$AC$1006,0)))),"Fix")))</f>
        <v>0</v>
      </c>
      <c r="J832" s="3">
        <f>IF(OR(INDEX($O$2:$O$1001,MATCH(ROWS($N$2:N832),$N$2:$N$1001,0),1)&gt;=100000,INDEX($U$1005:$AC$1005,1,MATCH(COLUMNS($U$1006:AC1006),$U$1006:$AC$1006,0))&gt;=100000), " ",IF(INDEX($U$2:$AC$1001,MATCH(ROWS($N$2:N832),$N$2:$N$1001,0),MATCH(COLUMNS($U$1006:AC1006),$U$1006:$AC$1006,0)), HYPERLINK("#",""), HYPERLINK(CONCATENATE("#metadata!", ADDRESS(INDEX($P$2:$P$1001,MATCH(ROWS($N$2:N832),$N$2:$N$1001,0),0), INDEX($U$1004:$AC$1004,1,MATCH(COLUMNS($U$1006:AC1006),$U$1006:$AC$1006,0)))),"Fix")))</f>
        <v>0</v>
      </c>
      <c r="N832">
        <v>0</v>
      </c>
      <c r="O832">
        <v>0</v>
      </c>
      <c r="P832">
        <v>0</v>
      </c>
      <c r="Q832">
        <f>IF(R832,TRUE,AND(U832:AC832))</f>
        <v>0</v>
      </c>
      <c r="R832">
        <f>COUNTBLANK(metadata!B832:J832)=COLUMNS(metadata!B832:J832)</f>
        <v>0</v>
      </c>
      <c r="S832">
        <v>0</v>
      </c>
      <c r="U832">
        <f>AND(IF(metadata!B832="",FALSE,TRUE),COUNTIF(metadata!B:B, metadata!B832) = 1,NOT(ISERROR(SUMPRODUCT(SEARCH(MID(metadata!B832,ROW(INDIRECT("1:"&amp;LEN(metadata!B832))), 1),"0123456789abcdefghijklmnopqrstuvwxyzABCDEFGHIJKLMNOPQRSTUVWXYZ.")))))</f>
        <v>0</v>
      </c>
      <c r="V832">
        <f>AND(IF(metadata!C832="",FALSE,TRUE),exact(metadata!C832,"UBERON:genitourinary"))</f>
        <v>0</v>
      </c>
      <c r="W832">
        <f>AND(IF(metadata!D832="",FALSE,TRUE),exact(metadata!D832,"UBERON:urine"))</f>
        <v>0</v>
      </c>
      <c r="X832">
        <f>AND(IF(metadata!E832="",FALSE,TRUE),exact(metadata!E832,"UBERON:kidney"))</f>
        <v>0</v>
      </c>
      <c r="Y832">
        <f>AND(IF(metadata!F832="",FALSE,TRUE),exact(metadata!F832,"animal corpus"))</f>
        <v>0</v>
      </c>
      <c r="Z832">
        <f>AND(IF(metadata!G832="",FALSE,TRUE),exact(metadata!G832,"urine"))</f>
        <v>0</v>
      </c>
      <c r="AA832">
        <f>AND(IF(metadata!H832="",FALSE,TRUE),exact(metadata!H832,"urine"))</f>
        <v>0</v>
      </c>
      <c r="AB832">
        <f>AND(IF(metadata!I832="",FALSE,TRUE),exact(metadata!I832,"urine metagenome"))</f>
        <v>0</v>
      </c>
      <c r="AC832">
        <f>AND(IF(metadata!J832="",FALSE,TRUE),exact(metadata!J832,"1346744"))</f>
        <v>0</v>
      </c>
    </row>
    <row r="833" spans="1:29">
      <c r="A833" s="4">
        <f>IF(B833=" "," ",HYPERLINK(CONCATENATE("#metadata!",ADDRESS(INDEX($P$2:$P$1001,MATCH(ROWS($N$2:N833),$N$2:$N$1001,0),0),1)),INDEX($S$2:$S$1001,MATCH(ROWS($N$2:N833),$N$2:$N$1001,0),0)))</f>
        <v>0</v>
      </c>
      <c r="B833" s="3">
        <f>IF(OR(INDEX($O$2:$O$1001,MATCH(ROWS($N$2:N833),$N$2:$N$1001,0),1)&gt;=100000,INDEX($U$1005:$AC$1005,1,MATCH(COLUMNS($U$1006:U1006),$U$1006:$AC$1006,0))&gt;=100000), " ",IF(INDEX($U$2:$AC$1001,MATCH(ROWS($N$2:N833),$N$2:$N$1001,0),MATCH(COLUMNS($U$1006:U1006),$U$1006:$AC$1006,0)), HYPERLINK("#",""), HYPERLINK(CONCATENATE("#metadata!", ADDRESS(INDEX($P$2:$P$1001,MATCH(ROWS($N$2:N833),$N$2:$N$1001,0),0), INDEX($U$1004:$AC$1004,1,MATCH(COLUMNS($U$1006:U1006),$U$1006:$AC$1006,0)))),"Fix")))</f>
        <v>0</v>
      </c>
      <c r="C833" s="3">
        <f>IF(OR(INDEX($O$2:$O$1001,MATCH(ROWS($N$2:N833),$N$2:$N$1001,0),1)&gt;=100000,INDEX($U$1005:$AC$1005,1,MATCH(COLUMNS($U$1006:V1006),$U$1006:$AC$1006,0))&gt;=100000), " ",IF(INDEX($U$2:$AC$1001,MATCH(ROWS($N$2:N833),$N$2:$N$1001,0),MATCH(COLUMNS($U$1006:V1006),$U$1006:$AC$1006,0)), HYPERLINK("#",""), HYPERLINK(CONCATENATE("#metadata!", ADDRESS(INDEX($P$2:$P$1001,MATCH(ROWS($N$2:N833),$N$2:$N$1001,0),0), INDEX($U$1004:$AC$1004,1,MATCH(COLUMNS($U$1006:V1006),$U$1006:$AC$1006,0)))),"Fix")))</f>
        <v>0</v>
      </c>
      <c r="D833" s="3">
        <f>IF(OR(INDEX($O$2:$O$1001,MATCH(ROWS($N$2:N833),$N$2:$N$1001,0),1)&gt;=100000,INDEX($U$1005:$AC$1005,1,MATCH(COLUMNS($U$1006:W1006),$U$1006:$AC$1006,0))&gt;=100000), " ",IF(INDEX($U$2:$AC$1001,MATCH(ROWS($N$2:N833),$N$2:$N$1001,0),MATCH(COLUMNS($U$1006:W1006),$U$1006:$AC$1006,0)), HYPERLINK("#",""), HYPERLINK(CONCATENATE("#metadata!", ADDRESS(INDEX($P$2:$P$1001,MATCH(ROWS($N$2:N833),$N$2:$N$1001,0),0), INDEX($U$1004:$AC$1004,1,MATCH(COLUMNS($U$1006:W1006),$U$1006:$AC$1006,0)))),"Fix")))</f>
        <v>0</v>
      </c>
      <c r="E833" s="3">
        <f>IF(OR(INDEX($O$2:$O$1001,MATCH(ROWS($N$2:N833),$N$2:$N$1001,0),1)&gt;=100000,INDEX($U$1005:$AC$1005,1,MATCH(COLUMNS($U$1006:X1006),$U$1006:$AC$1006,0))&gt;=100000), " ",IF(INDEX($U$2:$AC$1001,MATCH(ROWS($N$2:N833),$N$2:$N$1001,0),MATCH(COLUMNS($U$1006:X1006),$U$1006:$AC$1006,0)), HYPERLINK("#",""), HYPERLINK(CONCATENATE("#metadata!", ADDRESS(INDEX($P$2:$P$1001,MATCH(ROWS($N$2:N833),$N$2:$N$1001,0),0), INDEX($U$1004:$AC$1004,1,MATCH(COLUMNS($U$1006:X1006),$U$1006:$AC$1006,0)))),"Fix")))</f>
        <v>0</v>
      </c>
      <c r="F833" s="3">
        <f>IF(OR(INDEX($O$2:$O$1001,MATCH(ROWS($N$2:N833),$N$2:$N$1001,0),1)&gt;=100000,INDEX($U$1005:$AC$1005,1,MATCH(COLUMNS($U$1006:Y1006),$U$1006:$AC$1006,0))&gt;=100000), " ",IF(INDEX($U$2:$AC$1001,MATCH(ROWS($N$2:N833),$N$2:$N$1001,0),MATCH(COLUMNS($U$1006:Y1006),$U$1006:$AC$1006,0)), HYPERLINK("#",""), HYPERLINK(CONCATENATE("#metadata!", ADDRESS(INDEX($P$2:$P$1001,MATCH(ROWS($N$2:N833),$N$2:$N$1001,0),0), INDEX($U$1004:$AC$1004,1,MATCH(COLUMNS($U$1006:Y1006),$U$1006:$AC$1006,0)))),"Fix")))</f>
        <v>0</v>
      </c>
      <c r="G833" s="3">
        <f>IF(OR(INDEX($O$2:$O$1001,MATCH(ROWS($N$2:N833),$N$2:$N$1001,0),1)&gt;=100000,INDEX($U$1005:$AC$1005,1,MATCH(COLUMNS($U$1006:Z1006),$U$1006:$AC$1006,0))&gt;=100000), " ",IF(INDEX($U$2:$AC$1001,MATCH(ROWS($N$2:N833),$N$2:$N$1001,0),MATCH(COLUMNS($U$1006:Z1006),$U$1006:$AC$1006,0)), HYPERLINK("#",""), HYPERLINK(CONCATENATE("#metadata!", ADDRESS(INDEX($P$2:$P$1001,MATCH(ROWS($N$2:N833),$N$2:$N$1001,0),0), INDEX($U$1004:$AC$1004,1,MATCH(COLUMNS($U$1006:Z1006),$U$1006:$AC$1006,0)))),"Fix")))</f>
        <v>0</v>
      </c>
      <c r="H833" s="3">
        <f>IF(OR(INDEX($O$2:$O$1001,MATCH(ROWS($N$2:N833),$N$2:$N$1001,0),1)&gt;=100000,INDEX($U$1005:$AC$1005,1,MATCH(COLUMNS($U$1006:AA1006),$U$1006:$AC$1006,0))&gt;=100000), " ",IF(INDEX($U$2:$AC$1001,MATCH(ROWS($N$2:N833),$N$2:$N$1001,0),MATCH(COLUMNS($U$1006:AA1006),$U$1006:$AC$1006,0)), HYPERLINK("#",""), HYPERLINK(CONCATENATE("#metadata!", ADDRESS(INDEX($P$2:$P$1001,MATCH(ROWS($N$2:N833),$N$2:$N$1001,0),0), INDEX($U$1004:$AC$1004,1,MATCH(COLUMNS($U$1006:AA1006),$U$1006:$AC$1006,0)))),"Fix")))</f>
        <v>0</v>
      </c>
      <c r="I833" s="3">
        <f>IF(OR(INDEX($O$2:$O$1001,MATCH(ROWS($N$2:N833),$N$2:$N$1001,0),1)&gt;=100000,INDEX($U$1005:$AC$1005,1,MATCH(COLUMNS($U$1006:AB1006),$U$1006:$AC$1006,0))&gt;=100000), " ",IF(INDEX($U$2:$AC$1001,MATCH(ROWS($N$2:N833),$N$2:$N$1001,0),MATCH(COLUMNS($U$1006:AB1006),$U$1006:$AC$1006,0)), HYPERLINK("#",""), HYPERLINK(CONCATENATE("#metadata!", ADDRESS(INDEX($P$2:$P$1001,MATCH(ROWS($N$2:N833),$N$2:$N$1001,0),0), INDEX($U$1004:$AC$1004,1,MATCH(COLUMNS($U$1006:AB1006),$U$1006:$AC$1006,0)))),"Fix")))</f>
        <v>0</v>
      </c>
      <c r="J833" s="3">
        <f>IF(OR(INDEX($O$2:$O$1001,MATCH(ROWS($N$2:N833),$N$2:$N$1001,0),1)&gt;=100000,INDEX($U$1005:$AC$1005,1,MATCH(COLUMNS($U$1006:AC1006),$U$1006:$AC$1006,0))&gt;=100000), " ",IF(INDEX($U$2:$AC$1001,MATCH(ROWS($N$2:N833),$N$2:$N$1001,0),MATCH(COLUMNS($U$1006:AC1006),$U$1006:$AC$1006,0)), HYPERLINK("#",""), HYPERLINK(CONCATENATE("#metadata!", ADDRESS(INDEX($P$2:$P$1001,MATCH(ROWS($N$2:N833),$N$2:$N$1001,0),0), INDEX($U$1004:$AC$1004,1,MATCH(COLUMNS($U$1006:AC1006),$U$1006:$AC$1006,0)))),"Fix")))</f>
        <v>0</v>
      </c>
      <c r="N833">
        <v>0</v>
      </c>
      <c r="O833">
        <v>0</v>
      </c>
      <c r="P833">
        <v>0</v>
      </c>
      <c r="Q833">
        <f>IF(R833,TRUE,AND(U833:AC833))</f>
        <v>0</v>
      </c>
      <c r="R833">
        <f>COUNTBLANK(metadata!B833:J833)=COLUMNS(metadata!B833:J833)</f>
        <v>0</v>
      </c>
      <c r="S833">
        <v>0</v>
      </c>
      <c r="U833">
        <f>AND(IF(metadata!B833="",FALSE,TRUE),COUNTIF(metadata!B:B, metadata!B833) = 1,NOT(ISERROR(SUMPRODUCT(SEARCH(MID(metadata!B833,ROW(INDIRECT("1:"&amp;LEN(metadata!B833))), 1),"0123456789abcdefghijklmnopqrstuvwxyzABCDEFGHIJKLMNOPQRSTUVWXYZ.")))))</f>
        <v>0</v>
      </c>
      <c r="V833">
        <f>AND(IF(metadata!C833="",FALSE,TRUE),exact(metadata!C833,"UBERON:genitourinary"))</f>
        <v>0</v>
      </c>
      <c r="W833">
        <f>AND(IF(metadata!D833="",FALSE,TRUE),exact(metadata!D833,"UBERON:urine"))</f>
        <v>0</v>
      </c>
      <c r="X833">
        <f>AND(IF(metadata!E833="",FALSE,TRUE),exact(metadata!E833,"UBERON:kidney"))</f>
        <v>0</v>
      </c>
      <c r="Y833">
        <f>AND(IF(metadata!F833="",FALSE,TRUE),exact(metadata!F833,"animal corpus"))</f>
        <v>0</v>
      </c>
      <c r="Z833">
        <f>AND(IF(metadata!G833="",FALSE,TRUE),exact(metadata!G833,"urine"))</f>
        <v>0</v>
      </c>
      <c r="AA833">
        <f>AND(IF(metadata!H833="",FALSE,TRUE),exact(metadata!H833,"urine"))</f>
        <v>0</v>
      </c>
      <c r="AB833">
        <f>AND(IF(metadata!I833="",FALSE,TRUE),exact(metadata!I833,"urine metagenome"))</f>
        <v>0</v>
      </c>
      <c r="AC833">
        <f>AND(IF(metadata!J833="",FALSE,TRUE),exact(metadata!J833,"1346744"))</f>
        <v>0</v>
      </c>
    </row>
    <row r="834" spans="1:29">
      <c r="A834" s="4">
        <f>IF(B834=" "," ",HYPERLINK(CONCATENATE("#metadata!",ADDRESS(INDEX($P$2:$P$1001,MATCH(ROWS($N$2:N834),$N$2:$N$1001,0),0),1)),INDEX($S$2:$S$1001,MATCH(ROWS($N$2:N834),$N$2:$N$1001,0),0)))</f>
        <v>0</v>
      </c>
      <c r="B834" s="3">
        <f>IF(OR(INDEX($O$2:$O$1001,MATCH(ROWS($N$2:N834),$N$2:$N$1001,0),1)&gt;=100000,INDEX($U$1005:$AC$1005,1,MATCH(COLUMNS($U$1006:U1006),$U$1006:$AC$1006,0))&gt;=100000), " ",IF(INDEX($U$2:$AC$1001,MATCH(ROWS($N$2:N834),$N$2:$N$1001,0),MATCH(COLUMNS($U$1006:U1006),$U$1006:$AC$1006,0)), HYPERLINK("#",""), HYPERLINK(CONCATENATE("#metadata!", ADDRESS(INDEX($P$2:$P$1001,MATCH(ROWS($N$2:N834),$N$2:$N$1001,0),0), INDEX($U$1004:$AC$1004,1,MATCH(COLUMNS($U$1006:U1006),$U$1006:$AC$1006,0)))),"Fix")))</f>
        <v>0</v>
      </c>
      <c r="C834" s="3">
        <f>IF(OR(INDEX($O$2:$O$1001,MATCH(ROWS($N$2:N834),$N$2:$N$1001,0),1)&gt;=100000,INDEX($U$1005:$AC$1005,1,MATCH(COLUMNS($U$1006:V1006),$U$1006:$AC$1006,0))&gt;=100000), " ",IF(INDEX($U$2:$AC$1001,MATCH(ROWS($N$2:N834),$N$2:$N$1001,0),MATCH(COLUMNS($U$1006:V1006),$U$1006:$AC$1006,0)), HYPERLINK("#",""), HYPERLINK(CONCATENATE("#metadata!", ADDRESS(INDEX($P$2:$P$1001,MATCH(ROWS($N$2:N834),$N$2:$N$1001,0),0), INDEX($U$1004:$AC$1004,1,MATCH(COLUMNS($U$1006:V1006),$U$1006:$AC$1006,0)))),"Fix")))</f>
        <v>0</v>
      </c>
      <c r="D834" s="3">
        <f>IF(OR(INDEX($O$2:$O$1001,MATCH(ROWS($N$2:N834),$N$2:$N$1001,0),1)&gt;=100000,INDEX($U$1005:$AC$1005,1,MATCH(COLUMNS($U$1006:W1006),$U$1006:$AC$1006,0))&gt;=100000), " ",IF(INDEX($U$2:$AC$1001,MATCH(ROWS($N$2:N834),$N$2:$N$1001,0),MATCH(COLUMNS($U$1006:W1006),$U$1006:$AC$1006,0)), HYPERLINK("#",""), HYPERLINK(CONCATENATE("#metadata!", ADDRESS(INDEX($P$2:$P$1001,MATCH(ROWS($N$2:N834),$N$2:$N$1001,0),0), INDEX($U$1004:$AC$1004,1,MATCH(COLUMNS($U$1006:W1006),$U$1006:$AC$1006,0)))),"Fix")))</f>
        <v>0</v>
      </c>
      <c r="E834" s="3">
        <f>IF(OR(INDEX($O$2:$O$1001,MATCH(ROWS($N$2:N834),$N$2:$N$1001,0),1)&gt;=100000,INDEX($U$1005:$AC$1005,1,MATCH(COLUMNS($U$1006:X1006),$U$1006:$AC$1006,0))&gt;=100000), " ",IF(INDEX($U$2:$AC$1001,MATCH(ROWS($N$2:N834),$N$2:$N$1001,0),MATCH(COLUMNS($U$1006:X1006),$U$1006:$AC$1006,0)), HYPERLINK("#",""), HYPERLINK(CONCATENATE("#metadata!", ADDRESS(INDEX($P$2:$P$1001,MATCH(ROWS($N$2:N834),$N$2:$N$1001,0),0), INDEX($U$1004:$AC$1004,1,MATCH(COLUMNS($U$1006:X1006),$U$1006:$AC$1006,0)))),"Fix")))</f>
        <v>0</v>
      </c>
      <c r="F834" s="3">
        <f>IF(OR(INDEX($O$2:$O$1001,MATCH(ROWS($N$2:N834),$N$2:$N$1001,0),1)&gt;=100000,INDEX($U$1005:$AC$1005,1,MATCH(COLUMNS($U$1006:Y1006),$U$1006:$AC$1006,0))&gt;=100000), " ",IF(INDEX($U$2:$AC$1001,MATCH(ROWS($N$2:N834),$N$2:$N$1001,0),MATCH(COLUMNS($U$1006:Y1006),$U$1006:$AC$1006,0)), HYPERLINK("#",""), HYPERLINK(CONCATENATE("#metadata!", ADDRESS(INDEX($P$2:$P$1001,MATCH(ROWS($N$2:N834),$N$2:$N$1001,0),0), INDEX($U$1004:$AC$1004,1,MATCH(COLUMNS($U$1006:Y1006),$U$1006:$AC$1006,0)))),"Fix")))</f>
        <v>0</v>
      </c>
      <c r="G834" s="3">
        <f>IF(OR(INDEX($O$2:$O$1001,MATCH(ROWS($N$2:N834),$N$2:$N$1001,0),1)&gt;=100000,INDEX($U$1005:$AC$1005,1,MATCH(COLUMNS($U$1006:Z1006),$U$1006:$AC$1006,0))&gt;=100000), " ",IF(INDEX($U$2:$AC$1001,MATCH(ROWS($N$2:N834),$N$2:$N$1001,0),MATCH(COLUMNS($U$1006:Z1006),$U$1006:$AC$1006,0)), HYPERLINK("#",""), HYPERLINK(CONCATENATE("#metadata!", ADDRESS(INDEX($P$2:$P$1001,MATCH(ROWS($N$2:N834),$N$2:$N$1001,0),0), INDEX($U$1004:$AC$1004,1,MATCH(COLUMNS($U$1006:Z1006),$U$1006:$AC$1006,0)))),"Fix")))</f>
        <v>0</v>
      </c>
      <c r="H834" s="3">
        <f>IF(OR(INDEX($O$2:$O$1001,MATCH(ROWS($N$2:N834),$N$2:$N$1001,0),1)&gt;=100000,INDEX($U$1005:$AC$1005,1,MATCH(COLUMNS($U$1006:AA1006),$U$1006:$AC$1006,0))&gt;=100000), " ",IF(INDEX($U$2:$AC$1001,MATCH(ROWS($N$2:N834),$N$2:$N$1001,0),MATCH(COLUMNS($U$1006:AA1006),$U$1006:$AC$1006,0)), HYPERLINK("#",""), HYPERLINK(CONCATENATE("#metadata!", ADDRESS(INDEX($P$2:$P$1001,MATCH(ROWS($N$2:N834),$N$2:$N$1001,0),0), INDEX($U$1004:$AC$1004,1,MATCH(COLUMNS($U$1006:AA1006),$U$1006:$AC$1006,0)))),"Fix")))</f>
        <v>0</v>
      </c>
      <c r="I834" s="3">
        <f>IF(OR(INDEX($O$2:$O$1001,MATCH(ROWS($N$2:N834),$N$2:$N$1001,0),1)&gt;=100000,INDEX($U$1005:$AC$1005,1,MATCH(COLUMNS($U$1006:AB1006),$U$1006:$AC$1006,0))&gt;=100000), " ",IF(INDEX($U$2:$AC$1001,MATCH(ROWS($N$2:N834),$N$2:$N$1001,0),MATCH(COLUMNS($U$1006:AB1006),$U$1006:$AC$1006,0)), HYPERLINK("#",""), HYPERLINK(CONCATENATE("#metadata!", ADDRESS(INDEX($P$2:$P$1001,MATCH(ROWS($N$2:N834),$N$2:$N$1001,0),0), INDEX($U$1004:$AC$1004,1,MATCH(COLUMNS($U$1006:AB1006),$U$1006:$AC$1006,0)))),"Fix")))</f>
        <v>0</v>
      </c>
      <c r="J834" s="3">
        <f>IF(OR(INDEX($O$2:$O$1001,MATCH(ROWS($N$2:N834),$N$2:$N$1001,0),1)&gt;=100000,INDEX($U$1005:$AC$1005,1,MATCH(COLUMNS($U$1006:AC1006),$U$1006:$AC$1006,0))&gt;=100000), " ",IF(INDEX($U$2:$AC$1001,MATCH(ROWS($N$2:N834),$N$2:$N$1001,0),MATCH(COLUMNS($U$1006:AC1006),$U$1006:$AC$1006,0)), HYPERLINK("#",""), HYPERLINK(CONCATENATE("#metadata!", ADDRESS(INDEX($P$2:$P$1001,MATCH(ROWS($N$2:N834),$N$2:$N$1001,0),0), INDEX($U$1004:$AC$1004,1,MATCH(COLUMNS($U$1006:AC1006),$U$1006:$AC$1006,0)))),"Fix")))</f>
        <v>0</v>
      </c>
      <c r="N834">
        <v>0</v>
      </c>
      <c r="O834">
        <v>0</v>
      </c>
      <c r="P834">
        <v>0</v>
      </c>
      <c r="Q834">
        <f>IF(R834,TRUE,AND(U834:AC834))</f>
        <v>0</v>
      </c>
      <c r="R834">
        <f>COUNTBLANK(metadata!B834:J834)=COLUMNS(metadata!B834:J834)</f>
        <v>0</v>
      </c>
      <c r="S834">
        <v>0</v>
      </c>
      <c r="U834">
        <f>AND(IF(metadata!B834="",FALSE,TRUE),COUNTIF(metadata!B:B, metadata!B834) = 1,NOT(ISERROR(SUMPRODUCT(SEARCH(MID(metadata!B834,ROW(INDIRECT("1:"&amp;LEN(metadata!B834))), 1),"0123456789abcdefghijklmnopqrstuvwxyzABCDEFGHIJKLMNOPQRSTUVWXYZ.")))))</f>
        <v>0</v>
      </c>
      <c r="V834">
        <f>AND(IF(metadata!C834="",FALSE,TRUE),exact(metadata!C834,"UBERON:genitourinary"))</f>
        <v>0</v>
      </c>
      <c r="W834">
        <f>AND(IF(metadata!D834="",FALSE,TRUE),exact(metadata!D834,"UBERON:urine"))</f>
        <v>0</v>
      </c>
      <c r="X834">
        <f>AND(IF(metadata!E834="",FALSE,TRUE),exact(metadata!E834,"UBERON:kidney"))</f>
        <v>0</v>
      </c>
      <c r="Y834">
        <f>AND(IF(metadata!F834="",FALSE,TRUE),exact(metadata!F834,"animal corpus"))</f>
        <v>0</v>
      </c>
      <c r="Z834">
        <f>AND(IF(metadata!G834="",FALSE,TRUE),exact(metadata!G834,"urine"))</f>
        <v>0</v>
      </c>
      <c r="AA834">
        <f>AND(IF(metadata!H834="",FALSE,TRUE),exact(metadata!H834,"urine"))</f>
        <v>0</v>
      </c>
      <c r="AB834">
        <f>AND(IF(metadata!I834="",FALSE,TRUE),exact(metadata!I834,"urine metagenome"))</f>
        <v>0</v>
      </c>
      <c r="AC834">
        <f>AND(IF(metadata!J834="",FALSE,TRUE),exact(metadata!J834,"1346744"))</f>
        <v>0</v>
      </c>
    </row>
    <row r="835" spans="1:29">
      <c r="A835" s="4">
        <f>IF(B835=" "," ",HYPERLINK(CONCATENATE("#metadata!",ADDRESS(INDEX($P$2:$P$1001,MATCH(ROWS($N$2:N835),$N$2:$N$1001,0),0),1)),INDEX($S$2:$S$1001,MATCH(ROWS($N$2:N835),$N$2:$N$1001,0),0)))</f>
        <v>0</v>
      </c>
      <c r="B835" s="3">
        <f>IF(OR(INDEX($O$2:$O$1001,MATCH(ROWS($N$2:N835),$N$2:$N$1001,0),1)&gt;=100000,INDEX($U$1005:$AC$1005,1,MATCH(COLUMNS($U$1006:U1006),$U$1006:$AC$1006,0))&gt;=100000), " ",IF(INDEX($U$2:$AC$1001,MATCH(ROWS($N$2:N835),$N$2:$N$1001,0),MATCH(COLUMNS($U$1006:U1006),$U$1006:$AC$1006,0)), HYPERLINK("#",""), HYPERLINK(CONCATENATE("#metadata!", ADDRESS(INDEX($P$2:$P$1001,MATCH(ROWS($N$2:N835),$N$2:$N$1001,0),0), INDEX($U$1004:$AC$1004,1,MATCH(COLUMNS($U$1006:U1006),$U$1006:$AC$1006,0)))),"Fix")))</f>
        <v>0</v>
      </c>
      <c r="C835" s="3">
        <f>IF(OR(INDEX($O$2:$O$1001,MATCH(ROWS($N$2:N835),$N$2:$N$1001,0),1)&gt;=100000,INDEX($U$1005:$AC$1005,1,MATCH(COLUMNS($U$1006:V1006),$U$1006:$AC$1006,0))&gt;=100000), " ",IF(INDEX($U$2:$AC$1001,MATCH(ROWS($N$2:N835),$N$2:$N$1001,0),MATCH(COLUMNS($U$1006:V1006),$U$1006:$AC$1006,0)), HYPERLINK("#",""), HYPERLINK(CONCATENATE("#metadata!", ADDRESS(INDEX($P$2:$P$1001,MATCH(ROWS($N$2:N835),$N$2:$N$1001,0),0), INDEX($U$1004:$AC$1004,1,MATCH(COLUMNS($U$1006:V1006),$U$1006:$AC$1006,0)))),"Fix")))</f>
        <v>0</v>
      </c>
      <c r="D835" s="3">
        <f>IF(OR(INDEX($O$2:$O$1001,MATCH(ROWS($N$2:N835),$N$2:$N$1001,0),1)&gt;=100000,INDEX($U$1005:$AC$1005,1,MATCH(COLUMNS($U$1006:W1006),$U$1006:$AC$1006,0))&gt;=100000), " ",IF(INDEX($U$2:$AC$1001,MATCH(ROWS($N$2:N835),$N$2:$N$1001,0),MATCH(COLUMNS($U$1006:W1006),$U$1006:$AC$1006,0)), HYPERLINK("#",""), HYPERLINK(CONCATENATE("#metadata!", ADDRESS(INDEX($P$2:$P$1001,MATCH(ROWS($N$2:N835),$N$2:$N$1001,0),0), INDEX($U$1004:$AC$1004,1,MATCH(COLUMNS($U$1006:W1006),$U$1006:$AC$1006,0)))),"Fix")))</f>
        <v>0</v>
      </c>
      <c r="E835" s="3">
        <f>IF(OR(INDEX($O$2:$O$1001,MATCH(ROWS($N$2:N835),$N$2:$N$1001,0),1)&gt;=100000,INDEX($U$1005:$AC$1005,1,MATCH(COLUMNS($U$1006:X1006),$U$1006:$AC$1006,0))&gt;=100000), " ",IF(INDEX($U$2:$AC$1001,MATCH(ROWS($N$2:N835),$N$2:$N$1001,0),MATCH(COLUMNS($U$1006:X1006),$U$1006:$AC$1006,0)), HYPERLINK("#",""), HYPERLINK(CONCATENATE("#metadata!", ADDRESS(INDEX($P$2:$P$1001,MATCH(ROWS($N$2:N835),$N$2:$N$1001,0),0), INDEX($U$1004:$AC$1004,1,MATCH(COLUMNS($U$1006:X1006),$U$1006:$AC$1006,0)))),"Fix")))</f>
        <v>0</v>
      </c>
      <c r="F835" s="3">
        <f>IF(OR(INDEX($O$2:$O$1001,MATCH(ROWS($N$2:N835),$N$2:$N$1001,0),1)&gt;=100000,INDEX($U$1005:$AC$1005,1,MATCH(COLUMNS($U$1006:Y1006),$U$1006:$AC$1006,0))&gt;=100000), " ",IF(INDEX($U$2:$AC$1001,MATCH(ROWS($N$2:N835),$N$2:$N$1001,0),MATCH(COLUMNS($U$1006:Y1006),$U$1006:$AC$1006,0)), HYPERLINK("#",""), HYPERLINK(CONCATENATE("#metadata!", ADDRESS(INDEX($P$2:$P$1001,MATCH(ROWS($N$2:N835),$N$2:$N$1001,0),0), INDEX($U$1004:$AC$1004,1,MATCH(COLUMNS($U$1006:Y1006),$U$1006:$AC$1006,0)))),"Fix")))</f>
        <v>0</v>
      </c>
      <c r="G835" s="3">
        <f>IF(OR(INDEX($O$2:$O$1001,MATCH(ROWS($N$2:N835),$N$2:$N$1001,0),1)&gt;=100000,INDEX($U$1005:$AC$1005,1,MATCH(COLUMNS($U$1006:Z1006),$U$1006:$AC$1006,0))&gt;=100000), " ",IF(INDEX($U$2:$AC$1001,MATCH(ROWS($N$2:N835),$N$2:$N$1001,0),MATCH(COLUMNS($U$1006:Z1006),$U$1006:$AC$1006,0)), HYPERLINK("#",""), HYPERLINK(CONCATENATE("#metadata!", ADDRESS(INDEX($P$2:$P$1001,MATCH(ROWS($N$2:N835),$N$2:$N$1001,0),0), INDEX($U$1004:$AC$1004,1,MATCH(COLUMNS($U$1006:Z1006),$U$1006:$AC$1006,0)))),"Fix")))</f>
        <v>0</v>
      </c>
      <c r="H835" s="3">
        <f>IF(OR(INDEX($O$2:$O$1001,MATCH(ROWS($N$2:N835),$N$2:$N$1001,0),1)&gt;=100000,INDEX($U$1005:$AC$1005,1,MATCH(COLUMNS($U$1006:AA1006),$U$1006:$AC$1006,0))&gt;=100000), " ",IF(INDEX($U$2:$AC$1001,MATCH(ROWS($N$2:N835),$N$2:$N$1001,0),MATCH(COLUMNS($U$1006:AA1006),$U$1006:$AC$1006,0)), HYPERLINK("#",""), HYPERLINK(CONCATENATE("#metadata!", ADDRESS(INDEX($P$2:$P$1001,MATCH(ROWS($N$2:N835),$N$2:$N$1001,0),0), INDEX($U$1004:$AC$1004,1,MATCH(COLUMNS($U$1006:AA1006),$U$1006:$AC$1006,0)))),"Fix")))</f>
        <v>0</v>
      </c>
      <c r="I835" s="3">
        <f>IF(OR(INDEX($O$2:$O$1001,MATCH(ROWS($N$2:N835),$N$2:$N$1001,0),1)&gt;=100000,INDEX($U$1005:$AC$1005,1,MATCH(COLUMNS($U$1006:AB1006),$U$1006:$AC$1006,0))&gt;=100000), " ",IF(INDEX($U$2:$AC$1001,MATCH(ROWS($N$2:N835),$N$2:$N$1001,0),MATCH(COLUMNS($U$1006:AB1006),$U$1006:$AC$1006,0)), HYPERLINK("#",""), HYPERLINK(CONCATENATE("#metadata!", ADDRESS(INDEX($P$2:$P$1001,MATCH(ROWS($N$2:N835),$N$2:$N$1001,0),0), INDEX($U$1004:$AC$1004,1,MATCH(COLUMNS($U$1006:AB1006),$U$1006:$AC$1006,0)))),"Fix")))</f>
        <v>0</v>
      </c>
      <c r="J835" s="3">
        <f>IF(OR(INDEX($O$2:$O$1001,MATCH(ROWS($N$2:N835),$N$2:$N$1001,0),1)&gt;=100000,INDEX($U$1005:$AC$1005,1,MATCH(COLUMNS($U$1006:AC1006),$U$1006:$AC$1006,0))&gt;=100000), " ",IF(INDEX($U$2:$AC$1001,MATCH(ROWS($N$2:N835),$N$2:$N$1001,0),MATCH(COLUMNS($U$1006:AC1006),$U$1006:$AC$1006,0)), HYPERLINK("#",""), HYPERLINK(CONCATENATE("#metadata!", ADDRESS(INDEX($P$2:$P$1001,MATCH(ROWS($N$2:N835),$N$2:$N$1001,0),0), INDEX($U$1004:$AC$1004,1,MATCH(COLUMNS($U$1006:AC1006),$U$1006:$AC$1006,0)))),"Fix")))</f>
        <v>0</v>
      </c>
      <c r="N835">
        <v>0</v>
      </c>
      <c r="O835">
        <v>0</v>
      </c>
      <c r="P835">
        <v>0</v>
      </c>
      <c r="Q835">
        <f>IF(R835,TRUE,AND(U835:AC835))</f>
        <v>0</v>
      </c>
      <c r="R835">
        <f>COUNTBLANK(metadata!B835:J835)=COLUMNS(metadata!B835:J835)</f>
        <v>0</v>
      </c>
      <c r="S835">
        <v>0</v>
      </c>
      <c r="U835">
        <f>AND(IF(metadata!B835="",FALSE,TRUE),COUNTIF(metadata!B:B, metadata!B835) = 1,NOT(ISERROR(SUMPRODUCT(SEARCH(MID(metadata!B835,ROW(INDIRECT("1:"&amp;LEN(metadata!B835))), 1),"0123456789abcdefghijklmnopqrstuvwxyzABCDEFGHIJKLMNOPQRSTUVWXYZ.")))))</f>
        <v>0</v>
      </c>
      <c r="V835">
        <f>AND(IF(metadata!C835="",FALSE,TRUE),exact(metadata!C835,"UBERON:genitourinary"))</f>
        <v>0</v>
      </c>
      <c r="W835">
        <f>AND(IF(metadata!D835="",FALSE,TRUE),exact(metadata!D835,"UBERON:urine"))</f>
        <v>0</v>
      </c>
      <c r="X835">
        <f>AND(IF(metadata!E835="",FALSE,TRUE),exact(metadata!E835,"UBERON:kidney"))</f>
        <v>0</v>
      </c>
      <c r="Y835">
        <f>AND(IF(metadata!F835="",FALSE,TRUE),exact(metadata!F835,"animal corpus"))</f>
        <v>0</v>
      </c>
      <c r="Z835">
        <f>AND(IF(metadata!G835="",FALSE,TRUE),exact(metadata!G835,"urine"))</f>
        <v>0</v>
      </c>
      <c r="AA835">
        <f>AND(IF(metadata!H835="",FALSE,TRUE),exact(metadata!H835,"urine"))</f>
        <v>0</v>
      </c>
      <c r="AB835">
        <f>AND(IF(metadata!I835="",FALSE,TRUE),exact(metadata!I835,"urine metagenome"))</f>
        <v>0</v>
      </c>
      <c r="AC835">
        <f>AND(IF(metadata!J835="",FALSE,TRUE),exact(metadata!J835,"1346744"))</f>
        <v>0</v>
      </c>
    </row>
    <row r="836" spans="1:29">
      <c r="A836" s="4">
        <f>IF(B836=" "," ",HYPERLINK(CONCATENATE("#metadata!",ADDRESS(INDEX($P$2:$P$1001,MATCH(ROWS($N$2:N836),$N$2:$N$1001,0),0),1)),INDEX($S$2:$S$1001,MATCH(ROWS($N$2:N836),$N$2:$N$1001,0),0)))</f>
        <v>0</v>
      </c>
      <c r="B836" s="3">
        <f>IF(OR(INDEX($O$2:$O$1001,MATCH(ROWS($N$2:N836),$N$2:$N$1001,0),1)&gt;=100000,INDEX($U$1005:$AC$1005,1,MATCH(COLUMNS($U$1006:U1006),$U$1006:$AC$1006,0))&gt;=100000), " ",IF(INDEX($U$2:$AC$1001,MATCH(ROWS($N$2:N836),$N$2:$N$1001,0),MATCH(COLUMNS($U$1006:U1006),$U$1006:$AC$1006,0)), HYPERLINK("#",""), HYPERLINK(CONCATENATE("#metadata!", ADDRESS(INDEX($P$2:$P$1001,MATCH(ROWS($N$2:N836),$N$2:$N$1001,0),0), INDEX($U$1004:$AC$1004,1,MATCH(COLUMNS($U$1006:U1006),$U$1006:$AC$1006,0)))),"Fix")))</f>
        <v>0</v>
      </c>
      <c r="C836" s="3">
        <f>IF(OR(INDEX($O$2:$O$1001,MATCH(ROWS($N$2:N836),$N$2:$N$1001,0),1)&gt;=100000,INDEX($U$1005:$AC$1005,1,MATCH(COLUMNS($U$1006:V1006),$U$1006:$AC$1006,0))&gt;=100000), " ",IF(INDEX($U$2:$AC$1001,MATCH(ROWS($N$2:N836),$N$2:$N$1001,0),MATCH(COLUMNS($U$1006:V1006),$U$1006:$AC$1006,0)), HYPERLINK("#",""), HYPERLINK(CONCATENATE("#metadata!", ADDRESS(INDEX($P$2:$P$1001,MATCH(ROWS($N$2:N836),$N$2:$N$1001,0),0), INDEX($U$1004:$AC$1004,1,MATCH(COLUMNS($U$1006:V1006),$U$1006:$AC$1006,0)))),"Fix")))</f>
        <v>0</v>
      </c>
      <c r="D836" s="3">
        <f>IF(OR(INDEX($O$2:$O$1001,MATCH(ROWS($N$2:N836),$N$2:$N$1001,0),1)&gt;=100000,INDEX($U$1005:$AC$1005,1,MATCH(COLUMNS($U$1006:W1006),$U$1006:$AC$1006,0))&gt;=100000), " ",IF(INDEX($U$2:$AC$1001,MATCH(ROWS($N$2:N836),$N$2:$N$1001,0),MATCH(COLUMNS($U$1006:W1006),$U$1006:$AC$1006,0)), HYPERLINK("#",""), HYPERLINK(CONCATENATE("#metadata!", ADDRESS(INDEX($P$2:$P$1001,MATCH(ROWS($N$2:N836),$N$2:$N$1001,0),0), INDEX($U$1004:$AC$1004,1,MATCH(COLUMNS($U$1006:W1006),$U$1006:$AC$1006,0)))),"Fix")))</f>
        <v>0</v>
      </c>
      <c r="E836" s="3">
        <f>IF(OR(INDEX($O$2:$O$1001,MATCH(ROWS($N$2:N836),$N$2:$N$1001,0),1)&gt;=100000,INDEX($U$1005:$AC$1005,1,MATCH(COLUMNS($U$1006:X1006),$U$1006:$AC$1006,0))&gt;=100000), " ",IF(INDEX($U$2:$AC$1001,MATCH(ROWS($N$2:N836),$N$2:$N$1001,0),MATCH(COLUMNS($U$1006:X1006),$U$1006:$AC$1006,0)), HYPERLINK("#",""), HYPERLINK(CONCATENATE("#metadata!", ADDRESS(INDEX($P$2:$P$1001,MATCH(ROWS($N$2:N836),$N$2:$N$1001,0),0), INDEX($U$1004:$AC$1004,1,MATCH(COLUMNS($U$1006:X1006),$U$1006:$AC$1006,0)))),"Fix")))</f>
        <v>0</v>
      </c>
      <c r="F836" s="3">
        <f>IF(OR(INDEX($O$2:$O$1001,MATCH(ROWS($N$2:N836),$N$2:$N$1001,0),1)&gt;=100000,INDEX($U$1005:$AC$1005,1,MATCH(COLUMNS($U$1006:Y1006),$U$1006:$AC$1006,0))&gt;=100000), " ",IF(INDEX($U$2:$AC$1001,MATCH(ROWS($N$2:N836),$N$2:$N$1001,0),MATCH(COLUMNS($U$1006:Y1006),$U$1006:$AC$1006,0)), HYPERLINK("#",""), HYPERLINK(CONCATENATE("#metadata!", ADDRESS(INDEX($P$2:$P$1001,MATCH(ROWS($N$2:N836),$N$2:$N$1001,0),0), INDEX($U$1004:$AC$1004,1,MATCH(COLUMNS($U$1006:Y1006),$U$1006:$AC$1006,0)))),"Fix")))</f>
        <v>0</v>
      </c>
      <c r="G836" s="3">
        <f>IF(OR(INDEX($O$2:$O$1001,MATCH(ROWS($N$2:N836),$N$2:$N$1001,0),1)&gt;=100000,INDEX($U$1005:$AC$1005,1,MATCH(COLUMNS($U$1006:Z1006),$U$1006:$AC$1006,0))&gt;=100000), " ",IF(INDEX($U$2:$AC$1001,MATCH(ROWS($N$2:N836),$N$2:$N$1001,0),MATCH(COLUMNS($U$1006:Z1006),$U$1006:$AC$1006,0)), HYPERLINK("#",""), HYPERLINK(CONCATENATE("#metadata!", ADDRESS(INDEX($P$2:$P$1001,MATCH(ROWS($N$2:N836),$N$2:$N$1001,0),0), INDEX($U$1004:$AC$1004,1,MATCH(COLUMNS($U$1006:Z1006),$U$1006:$AC$1006,0)))),"Fix")))</f>
        <v>0</v>
      </c>
      <c r="H836" s="3">
        <f>IF(OR(INDEX($O$2:$O$1001,MATCH(ROWS($N$2:N836),$N$2:$N$1001,0),1)&gt;=100000,INDEX($U$1005:$AC$1005,1,MATCH(COLUMNS($U$1006:AA1006),$U$1006:$AC$1006,0))&gt;=100000), " ",IF(INDEX($U$2:$AC$1001,MATCH(ROWS($N$2:N836),$N$2:$N$1001,0),MATCH(COLUMNS($U$1006:AA1006),$U$1006:$AC$1006,0)), HYPERLINK("#",""), HYPERLINK(CONCATENATE("#metadata!", ADDRESS(INDEX($P$2:$P$1001,MATCH(ROWS($N$2:N836),$N$2:$N$1001,0),0), INDEX($U$1004:$AC$1004,1,MATCH(COLUMNS($U$1006:AA1006),$U$1006:$AC$1006,0)))),"Fix")))</f>
        <v>0</v>
      </c>
      <c r="I836" s="3">
        <f>IF(OR(INDEX($O$2:$O$1001,MATCH(ROWS($N$2:N836),$N$2:$N$1001,0),1)&gt;=100000,INDEX($U$1005:$AC$1005,1,MATCH(COLUMNS($U$1006:AB1006),$U$1006:$AC$1006,0))&gt;=100000), " ",IF(INDEX($U$2:$AC$1001,MATCH(ROWS($N$2:N836),$N$2:$N$1001,0),MATCH(COLUMNS($U$1006:AB1006),$U$1006:$AC$1006,0)), HYPERLINK("#",""), HYPERLINK(CONCATENATE("#metadata!", ADDRESS(INDEX($P$2:$P$1001,MATCH(ROWS($N$2:N836),$N$2:$N$1001,0),0), INDEX($U$1004:$AC$1004,1,MATCH(COLUMNS($U$1006:AB1006),$U$1006:$AC$1006,0)))),"Fix")))</f>
        <v>0</v>
      </c>
      <c r="J836" s="3">
        <f>IF(OR(INDEX($O$2:$O$1001,MATCH(ROWS($N$2:N836),$N$2:$N$1001,0),1)&gt;=100000,INDEX($U$1005:$AC$1005,1,MATCH(COLUMNS($U$1006:AC1006),$U$1006:$AC$1006,0))&gt;=100000), " ",IF(INDEX($U$2:$AC$1001,MATCH(ROWS($N$2:N836),$N$2:$N$1001,0),MATCH(COLUMNS($U$1006:AC1006),$U$1006:$AC$1006,0)), HYPERLINK("#",""), HYPERLINK(CONCATENATE("#metadata!", ADDRESS(INDEX($P$2:$P$1001,MATCH(ROWS($N$2:N836),$N$2:$N$1001,0),0), INDEX($U$1004:$AC$1004,1,MATCH(COLUMNS($U$1006:AC1006),$U$1006:$AC$1006,0)))),"Fix")))</f>
        <v>0</v>
      </c>
      <c r="N836">
        <v>0</v>
      </c>
      <c r="O836">
        <v>0</v>
      </c>
      <c r="P836">
        <v>0</v>
      </c>
      <c r="Q836">
        <f>IF(R836,TRUE,AND(U836:AC836))</f>
        <v>0</v>
      </c>
      <c r="R836">
        <f>COUNTBLANK(metadata!B836:J836)=COLUMNS(metadata!B836:J836)</f>
        <v>0</v>
      </c>
      <c r="S836">
        <v>0</v>
      </c>
      <c r="U836">
        <f>AND(IF(metadata!B836="",FALSE,TRUE),COUNTIF(metadata!B:B, metadata!B836) = 1,NOT(ISERROR(SUMPRODUCT(SEARCH(MID(metadata!B836,ROW(INDIRECT("1:"&amp;LEN(metadata!B836))), 1),"0123456789abcdefghijklmnopqrstuvwxyzABCDEFGHIJKLMNOPQRSTUVWXYZ.")))))</f>
        <v>0</v>
      </c>
      <c r="V836">
        <f>AND(IF(metadata!C836="",FALSE,TRUE),exact(metadata!C836,"UBERON:genitourinary"))</f>
        <v>0</v>
      </c>
      <c r="W836">
        <f>AND(IF(metadata!D836="",FALSE,TRUE),exact(metadata!D836,"UBERON:urine"))</f>
        <v>0</v>
      </c>
      <c r="X836">
        <f>AND(IF(metadata!E836="",FALSE,TRUE),exact(metadata!E836,"UBERON:kidney"))</f>
        <v>0</v>
      </c>
      <c r="Y836">
        <f>AND(IF(metadata!F836="",FALSE,TRUE),exact(metadata!F836,"animal corpus"))</f>
        <v>0</v>
      </c>
      <c r="Z836">
        <f>AND(IF(metadata!G836="",FALSE,TRUE),exact(metadata!G836,"urine"))</f>
        <v>0</v>
      </c>
      <c r="AA836">
        <f>AND(IF(metadata!H836="",FALSE,TRUE),exact(metadata!H836,"urine"))</f>
        <v>0</v>
      </c>
      <c r="AB836">
        <f>AND(IF(metadata!I836="",FALSE,TRUE),exact(metadata!I836,"urine metagenome"))</f>
        <v>0</v>
      </c>
      <c r="AC836">
        <f>AND(IF(metadata!J836="",FALSE,TRUE),exact(metadata!J836,"1346744"))</f>
        <v>0</v>
      </c>
    </row>
    <row r="837" spans="1:29">
      <c r="A837" s="4">
        <f>IF(B837=" "," ",HYPERLINK(CONCATENATE("#metadata!",ADDRESS(INDEX($P$2:$P$1001,MATCH(ROWS($N$2:N837),$N$2:$N$1001,0),0),1)),INDEX($S$2:$S$1001,MATCH(ROWS($N$2:N837),$N$2:$N$1001,0),0)))</f>
        <v>0</v>
      </c>
      <c r="B837" s="3">
        <f>IF(OR(INDEX($O$2:$O$1001,MATCH(ROWS($N$2:N837),$N$2:$N$1001,0),1)&gt;=100000,INDEX($U$1005:$AC$1005,1,MATCH(COLUMNS($U$1006:U1006),$U$1006:$AC$1006,0))&gt;=100000), " ",IF(INDEX($U$2:$AC$1001,MATCH(ROWS($N$2:N837),$N$2:$N$1001,0),MATCH(COLUMNS($U$1006:U1006),$U$1006:$AC$1006,0)), HYPERLINK("#",""), HYPERLINK(CONCATENATE("#metadata!", ADDRESS(INDEX($P$2:$P$1001,MATCH(ROWS($N$2:N837),$N$2:$N$1001,0),0), INDEX($U$1004:$AC$1004,1,MATCH(COLUMNS($U$1006:U1006),$U$1006:$AC$1006,0)))),"Fix")))</f>
        <v>0</v>
      </c>
      <c r="C837" s="3">
        <f>IF(OR(INDEX($O$2:$O$1001,MATCH(ROWS($N$2:N837),$N$2:$N$1001,0),1)&gt;=100000,INDEX($U$1005:$AC$1005,1,MATCH(COLUMNS($U$1006:V1006),$U$1006:$AC$1006,0))&gt;=100000), " ",IF(INDEX($U$2:$AC$1001,MATCH(ROWS($N$2:N837),$N$2:$N$1001,0),MATCH(COLUMNS($U$1006:V1006),$U$1006:$AC$1006,0)), HYPERLINK("#",""), HYPERLINK(CONCATENATE("#metadata!", ADDRESS(INDEX($P$2:$P$1001,MATCH(ROWS($N$2:N837),$N$2:$N$1001,0),0), INDEX($U$1004:$AC$1004,1,MATCH(COLUMNS($U$1006:V1006),$U$1006:$AC$1006,0)))),"Fix")))</f>
        <v>0</v>
      </c>
      <c r="D837" s="3">
        <f>IF(OR(INDEX($O$2:$O$1001,MATCH(ROWS($N$2:N837),$N$2:$N$1001,0),1)&gt;=100000,INDEX($U$1005:$AC$1005,1,MATCH(COLUMNS($U$1006:W1006),$U$1006:$AC$1006,0))&gt;=100000), " ",IF(INDEX($U$2:$AC$1001,MATCH(ROWS($N$2:N837),$N$2:$N$1001,0),MATCH(COLUMNS($U$1006:W1006),$U$1006:$AC$1006,0)), HYPERLINK("#",""), HYPERLINK(CONCATENATE("#metadata!", ADDRESS(INDEX($P$2:$P$1001,MATCH(ROWS($N$2:N837),$N$2:$N$1001,0),0), INDEX($U$1004:$AC$1004,1,MATCH(COLUMNS($U$1006:W1006),$U$1006:$AC$1006,0)))),"Fix")))</f>
        <v>0</v>
      </c>
      <c r="E837" s="3">
        <f>IF(OR(INDEX($O$2:$O$1001,MATCH(ROWS($N$2:N837),$N$2:$N$1001,0),1)&gt;=100000,INDEX($U$1005:$AC$1005,1,MATCH(COLUMNS($U$1006:X1006),$U$1006:$AC$1006,0))&gt;=100000), " ",IF(INDEX($U$2:$AC$1001,MATCH(ROWS($N$2:N837),$N$2:$N$1001,0),MATCH(COLUMNS($U$1006:X1006),$U$1006:$AC$1006,0)), HYPERLINK("#",""), HYPERLINK(CONCATENATE("#metadata!", ADDRESS(INDEX($P$2:$P$1001,MATCH(ROWS($N$2:N837),$N$2:$N$1001,0),0), INDEX($U$1004:$AC$1004,1,MATCH(COLUMNS($U$1006:X1006),$U$1006:$AC$1006,0)))),"Fix")))</f>
        <v>0</v>
      </c>
      <c r="F837" s="3">
        <f>IF(OR(INDEX($O$2:$O$1001,MATCH(ROWS($N$2:N837),$N$2:$N$1001,0),1)&gt;=100000,INDEX($U$1005:$AC$1005,1,MATCH(COLUMNS($U$1006:Y1006),$U$1006:$AC$1006,0))&gt;=100000), " ",IF(INDEX($U$2:$AC$1001,MATCH(ROWS($N$2:N837),$N$2:$N$1001,0),MATCH(COLUMNS($U$1006:Y1006),$U$1006:$AC$1006,0)), HYPERLINK("#",""), HYPERLINK(CONCATENATE("#metadata!", ADDRESS(INDEX($P$2:$P$1001,MATCH(ROWS($N$2:N837),$N$2:$N$1001,0),0), INDEX($U$1004:$AC$1004,1,MATCH(COLUMNS($U$1006:Y1006),$U$1006:$AC$1006,0)))),"Fix")))</f>
        <v>0</v>
      </c>
      <c r="G837" s="3">
        <f>IF(OR(INDEX($O$2:$O$1001,MATCH(ROWS($N$2:N837),$N$2:$N$1001,0),1)&gt;=100000,INDEX($U$1005:$AC$1005,1,MATCH(COLUMNS($U$1006:Z1006),$U$1006:$AC$1006,0))&gt;=100000), " ",IF(INDEX($U$2:$AC$1001,MATCH(ROWS($N$2:N837),$N$2:$N$1001,0),MATCH(COLUMNS($U$1006:Z1006),$U$1006:$AC$1006,0)), HYPERLINK("#",""), HYPERLINK(CONCATENATE("#metadata!", ADDRESS(INDEX($P$2:$P$1001,MATCH(ROWS($N$2:N837),$N$2:$N$1001,0),0), INDEX($U$1004:$AC$1004,1,MATCH(COLUMNS($U$1006:Z1006),$U$1006:$AC$1006,0)))),"Fix")))</f>
        <v>0</v>
      </c>
      <c r="H837" s="3">
        <f>IF(OR(INDEX($O$2:$O$1001,MATCH(ROWS($N$2:N837),$N$2:$N$1001,0),1)&gt;=100000,INDEX($U$1005:$AC$1005,1,MATCH(COLUMNS($U$1006:AA1006),$U$1006:$AC$1006,0))&gt;=100000), " ",IF(INDEX($U$2:$AC$1001,MATCH(ROWS($N$2:N837),$N$2:$N$1001,0),MATCH(COLUMNS($U$1006:AA1006),$U$1006:$AC$1006,0)), HYPERLINK("#",""), HYPERLINK(CONCATENATE("#metadata!", ADDRESS(INDEX($P$2:$P$1001,MATCH(ROWS($N$2:N837),$N$2:$N$1001,0),0), INDEX($U$1004:$AC$1004,1,MATCH(COLUMNS($U$1006:AA1006),$U$1006:$AC$1006,0)))),"Fix")))</f>
        <v>0</v>
      </c>
      <c r="I837" s="3">
        <f>IF(OR(INDEX($O$2:$O$1001,MATCH(ROWS($N$2:N837),$N$2:$N$1001,0),1)&gt;=100000,INDEX($U$1005:$AC$1005,1,MATCH(COLUMNS($U$1006:AB1006),$U$1006:$AC$1006,0))&gt;=100000), " ",IF(INDEX($U$2:$AC$1001,MATCH(ROWS($N$2:N837),$N$2:$N$1001,0),MATCH(COLUMNS($U$1006:AB1006),$U$1006:$AC$1006,0)), HYPERLINK("#",""), HYPERLINK(CONCATENATE("#metadata!", ADDRESS(INDEX($P$2:$P$1001,MATCH(ROWS($N$2:N837),$N$2:$N$1001,0),0), INDEX($U$1004:$AC$1004,1,MATCH(COLUMNS($U$1006:AB1006),$U$1006:$AC$1006,0)))),"Fix")))</f>
        <v>0</v>
      </c>
      <c r="J837" s="3">
        <f>IF(OR(INDEX($O$2:$O$1001,MATCH(ROWS($N$2:N837),$N$2:$N$1001,0),1)&gt;=100000,INDEX($U$1005:$AC$1005,1,MATCH(COLUMNS($U$1006:AC1006),$U$1006:$AC$1006,0))&gt;=100000), " ",IF(INDEX($U$2:$AC$1001,MATCH(ROWS($N$2:N837),$N$2:$N$1001,0),MATCH(COLUMNS($U$1006:AC1006),$U$1006:$AC$1006,0)), HYPERLINK("#",""), HYPERLINK(CONCATENATE("#metadata!", ADDRESS(INDEX($P$2:$P$1001,MATCH(ROWS($N$2:N837),$N$2:$N$1001,0),0), INDEX($U$1004:$AC$1004,1,MATCH(COLUMNS($U$1006:AC1006),$U$1006:$AC$1006,0)))),"Fix")))</f>
        <v>0</v>
      </c>
      <c r="N837">
        <v>0</v>
      </c>
      <c r="O837">
        <v>0</v>
      </c>
      <c r="P837">
        <v>0</v>
      </c>
      <c r="Q837">
        <f>IF(R837,TRUE,AND(U837:AC837))</f>
        <v>0</v>
      </c>
      <c r="R837">
        <f>COUNTBLANK(metadata!B837:J837)=COLUMNS(metadata!B837:J837)</f>
        <v>0</v>
      </c>
      <c r="S837">
        <v>0</v>
      </c>
      <c r="U837">
        <f>AND(IF(metadata!B837="",FALSE,TRUE),COUNTIF(metadata!B:B, metadata!B837) = 1,NOT(ISERROR(SUMPRODUCT(SEARCH(MID(metadata!B837,ROW(INDIRECT("1:"&amp;LEN(metadata!B837))), 1),"0123456789abcdefghijklmnopqrstuvwxyzABCDEFGHIJKLMNOPQRSTUVWXYZ.")))))</f>
        <v>0</v>
      </c>
      <c r="V837">
        <f>AND(IF(metadata!C837="",FALSE,TRUE),exact(metadata!C837,"UBERON:genitourinary"))</f>
        <v>0</v>
      </c>
      <c r="W837">
        <f>AND(IF(metadata!D837="",FALSE,TRUE),exact(metadata!D837,"UBERON:urine"))</f>
        <v>0</v>
      </c>
      <c r="X837">
        <f>AND(IF(metadata!E837="",FALSE,TRUE),exact(metadata!E837,"UBERON:kidney"))</f>
        <v>0</v>
      </c>
      <c r="Y837">
        <f>AND(IF(metadata!F837="",FALSE,TRUE),exact(metadata!F837,"animal corpus"))</f>
        <v>0</v>
      </c>
      <c r="Z837">
        <f>AND(IF(metadata!G837="",FALSE,TRUE),exact(metadata!G837,"urine"))</f>
        <v>0</v>
      </c>
      <c r="AA837">
        <f>AND(IF(metadata!H837="",FALSE,TRUE),exact(metadata!H837,"urine"))</f>
        <v>0</v>
      </c>
      <c r="AB837">
        <f>AND(IF(metadata!I837="",FALSE,TRUE),exact(metadata!I837,"urine metagenome"))</f>
        <v>0</v>
      </c>
      <c r="AC837">
        <f>AND(IF(metadata!J837="",FALSE,TRUE),exact(metadata!J837,"1346744"))</f>
        <v>0</v>
      </c>
    </row>
    <row r="838" spans="1:29">
      <c r="A838" s="4">
        <f>IF(B838=" "," ",HYPERLINK(CONCATENATE("#metadata!",ADDRESS(INDEX($P$2:$P$1001,MATCH(ROWS($N$2:N838),$N$2:$N$1001,0),0),1)),INDEX($S$2:$S$1001,MATCH(ROWS($N$2:N838),$N$2:$N$1001,0),0)))</f>
        <v>0</v>
      </c>
      <c r="B838" s="3">
        <f>IF(OR(INDEX($O$2:$O$1001,MATCH(ROWS($N$2:N838),$N$2:$N$1001,0),1)&gt;=100000,INDEX($U$1005:$AC$1005,1,MATCH(COLUMNS($U$1006:U1006),$U$1006:$AC$1006,0))&gt;=100000), " ",IF(INDEX($U$2:$AC$1001,MATCH(ROWS($N$2:N838),$N$2:$N$1001,0),MATCH(COLUMNS($U$1006:U1006),$U$1006:$AC$1006,0)), HYPERLINK("#",""), HYPERLINK(CONCATENATE("#metadata!", ADDRESS(INDEX($P$2:$P$1001,MATCH(ROWS($N$2:N838),$N$2:$N$1001,0),0), INDEX($U$1004:$AC$1004,1,MATCH(COLUMNS($U$1006:U1006),$U$1006:$AC$1006,0)))),"Fix")))</f>
        <v>0</v>
      </c>
      <c r="C838" s="3">
        <f>IF(OR(INDEX($O$2:$O$1001,MATCH(ROWS($N$2:N838),$N$2:$N$1001,0),1)&gt;=100000,INDEX($U$1005:$AC$1005,1,MATCH(COLUMNS($U$1006:V1006),$U$1006:$AC$1006,0))&gt;=100000), " ",IF(INDEX($U$2:$AC$1001,MATCH(ROWS($N$2:N838),$N$2:$N$1001,0),MATCH(COLUMNS($U$1006:V1006),$U$1006:$AC$1006,0)), HYPERLINK("#",""), HYPERLINK(CONCATENATE("#metadata!", ADDRESS(INDEX($P$2:$P$1001,MATCH(ROWS($N$2:N838),$N$2:$N$1001,0),0), INDEX($U$1004:$AC$1004,1,MATCH(COLUMNS($U$1006:V1006),$U$1006:$AC$1006,0)))),"Fix")))</f>
        <v>0</v>
      </c>
      <c r="D838" s="3">
        <f>IF(OR(INDEX($O$2:$O$1001,MATCH(ROWS($N$2:N838),$N$2:$N$1001,0),1)&gt;=100000,INDEX($U$1005:$AC$1005,1,MATCH(COLUMNS($U$1006:W1006),$U$1006:$AC$1006,0))&gt;=100000), " ",IF(INDEX($U$2:$AC$1001,MATCH(ROWS($N$2:N838),$N$2:$N$1001,0),MATCH(COLUMNS($U$1006:W1006),$U$1006:$AC$1006,0)), HYPERLINK("#",""), HYPERLINK(CONCATENATE("#metadata!", ADDRESS(INDEX($P$2:$P$1001,MATCH(ROWS($N$2:N838),$N$2:$N$1001,0),0), INDEX($U$1004:$AC$1004,1,MATCH(COLUMNS($U$1006:W1006),$U$1006:$AC$1006,0)))),"Fix")))</f>
        <v>0</v>
      </c>
      <c r="E838" s="3">
        <f>IF(OR(INDEX($O$2:$O$1001,MATCH(ROWS($N$2:N838),$N$2:$N$1001,0),1)&gt;=100000,INDEX($U$1005:$AC$1005,1,MATCH(COLUMNS($U$1006:X1006),$U$1006:$AC$1006,0))&gt;=100000), " ",IF(INDEX($U$2:$AC$1001,MATCH(ROWS($N$2:N838),$N$2:$N$1001,0),MATCH(COLUMNS($U$1006:X1006),$U$1006:$AC$1006,0)), HYPERLINK("#",""), HYPERLINK(CONCATENATE("#metadata!", ADDRESS(INDEX($P$2:$P$1001,MATCH(ROWS($N$2:N838),$N$2:$N$1001,0),0), INDEX($U$1004:$AC$1004,1,MATCH(COLUMNS($U$1006:X1006),$U$1006:$AC$1006,0)))),"Fix")))</f>
        <v>0</v>
      </c>
      <c r="F838" s="3">
        <f>IF(OR(INDEX($O$2:$O$1001,MATCH(ROWS($N$2:N838),$N$2:$N$1001,0),1)&gt;=100000,INDEX($U$1005:$AC$1005,1,MATCH(COLUMNS($U$1006:Y1006),$U$1006:$AC$1006,0))&gt;=100000), " ",IF(INDEX($U$2:$AC$1001,MATCH(ROWS($N$2:N838),$N$2:$N$1001,0),MATCH(COLUMNS($U$1006:Y1006),$U$1006:$AC$1006,0)), HYPERLINK("#",""), HYPERLINK(CONCATENATE("#metadata!", ADDRESS(INDEX($P$2:$P$1001,MATCH(ROWS($N$2:N838),$N$2:$N$1001,0),0), INDEX($U$1004:$AC$1004,1,MATCH(COLUMNS($U$1006:Y1006),$U$1006:$AC$1006,0)))),"Fix")))</f>
        <v>0</v>
      </c>
      <c r="G838" s="3">
        <f>IF(OR(INDEX($O$2:$O$1001,MATCH(ROWS($N$2:N838),$N$2:$N$1001,0),1)&gt;=100000,INDEX($U$1005:$AC$1005,1,MATCH(COLUMNS($U$1006:Z1006),$U$1006:$AC$1006,0))&gt;=100000), " ",IF(INDEX($U$2:$AC$1001,MATCH(ROWS($N$2:N838),$N$2:$N$1001,0),MATCH(COLUMNS($U$1006:Z1006),$U$1006:$AC$1006,0)), HYPERLINK("#",""), HYPERLINK(CONCATENATE("#metadata!", ADDRESS(INDEX($P$2:$P$1001,MATCH(ROWS($N$2:N838),$N$2:$N$1001,0),0), INDEX($U$1004:$AC$1004,1,MATCH(COLUMNS($U$1006:Z1006),$U$1006:$AC$1006,0)))),"Fix")))</f>
        <v>0</v>
      </c>
      <c r="H838" s="3">
        <f>IF(OR(INDEX($O$2:$O$1001,MATCH(ROWS($N$2:N838),$N$2:$N$1001,0),1)&gt;=100000,INDEX($U$1005:$AC$1005,1,MATCH(COLUMNS($U$1006:AA1006),$U$1006:$AC$1006,0))&gt;=100000), " ",IF(INDEX($U$2:$AC$1001,MATCH(ROWS($N$2:N838),$N$2:$N$1001,0),MATCH(COLUMNS($U$1006:AA1006),$U$1006:$AC$1006,0)), HYPERLINK("#",""), HYPERLINK(CONCATENATE("#metadata!", ADDRESS(INDEX($P$2:$P$1001,MATCH(ROWS($N$2:N838),$N$2:$N$1001,0),0), INDEX($U$1004:$AC$1004,1,MATCH(COLUMNS($U$1006:AA1006),$U$1006:$AC$1006,0)))),"Fix")))</f>
        <v>0</v>
      </c>
      <c r="I838" s="3">
        <f>IF(OR(INDEX($O$2:$O$1001,MATCH(ROWS($N$2:N838),$N$2:$N$1001,0),1)&gt;=100000,INDEX($U$1005:$AC$1005,1,MATCH(COLUMNS($U$1006:AB1006),$U$1006:$AC$1006,0))&gt;=100000), " ",IF(INDEX($U$2:$AC$1001,MATCH(ROWS($N$2:N838),$N$2:$N$1001,0),MATCH(COLUMNS($U$1006:AB1006),$U$1006:$AC$1006,0)), HYPERLINK("#",""), HYPERLINK(CONCATENATE("#metadata!", ADDRESS(INDEX($P$2:$P$1001,MATCH(ROWS($N$2:N838),$N$2:$N$1001,0),0), INDEX($U$1004:$AC$1004,1,MATCH(COLUMNS($U$1006:AB1006),$U$1006:$AC$1006,0)))),"Fix")))</f>
        <v>0</v>
      </c>
      <c r="J838" s="3">
        <f>IF(OR(INDEX($O$2:$O$1001,MATCH(ROWS($N$2:N838),$N$2:$N$1001,0),1)&gt;=100000,INDEX($U$1005:$AC$1005,1,MATCH(COLUMNS($U$1006:AC1006),$U$1006:$AC$1006,0))&gt;=100000), " ",IF(INDEX($U$2:$AC$1001,MATCH(ROWS($N$2:N838),$N$2:$N$1001,0),MATCH(COLUMNS($U$1006:AC1006),$U$1006:$AC$1006,0)), HYPERLINK("#",""), HYPERLINK(CONCATENATE("#metadata!", ADDRESS(INDEX($P$2:$P$1001,MATCH(ROWS($N$2:N838),$N$2:$N$1001,0),0), INDEX($U$1004:$AC$1004,1,MATCH(COLUMNS($U$1006:AC1006),$U$1006:$AC$1006,0)))),"Fix")))</f>
        <v>0</v>
      </c>
      <c r="N838">
        <v>0</v>
      </c>
      <c r="O838">
        <v>0</v>
      </c>
      <c r="P838">
        <v>0</v>
      </c>
      <c r="Q838">
        <f>IF(R838,TRUE,AND(U838:AC838))</f>
        <v>0</v>
      </c>
      <c r="R838">
        <f>COUNTBLANK(metadata!B838:J838)=COLUMNS(metadata!B838:J838)</f>
        <v>0</v>
      </c>
      <c r="S838">
        <v>0</v>
      </c>
      <c r="U838">
        <f>AND(IF(metadata!B838="",FALSE,TRUE),COUNTIF(metadata!B:B, metadata!B838) = 1,NOT(ISERROR(SUMPRODUCT(SEARCH(MID(metadata!B838,ROW(INDIRECT("1:"&amp;LEN(metadata!B838))), 1),"0123456789abcdefghijklmnopqrstuvwxyzABCDEFGHIJKLMNOPQRSTUVWXYZ.")))))</f>
        <v>0</v>
      </c>
      <c r="V838">
        <f>AND(IF(metadata!C838="",FALSE,TRUE),exact(metadata!C838,"UBERON:genitourinary"))</f>
        <v>0</v>
      </c>
      <c r="W838">
        <f>AND(IF(metadata!D838="",FALSE,TRUE),exact(metadata!D838,"UBERON:urine"))</f>
        <v>0</v>
      </c>
      <c r="X838">
        <f>AND(IF(metadata!E838="",FALSE,TRUE),exact(metadata!E838,"UBERON:kidney"))</f>
        <v>0</v>
      </c>
      <c r="Y838">
        <f>AND(IF(metadata!F838="",FALSE,TRUE),exact(metadata!F838,"animal corpus"))</f>
        <v>0</v>
      </c>
      <c r="Z838">
        <f>AND(IF(metadata!G838="",FALSE,TRUE),exact(metadata!G838,"urine"))</f>
        <v>0</v>
      </c>
      <c r="AA838">
        <f>AND(IF(metadata!H838="",FALSE,TRUE),exact(metadata!H838,"urine"))</f>
        <v>0</v>
      </c>
      <c r="AB838">
        <f>AND(IF(metadata!I838="",FALSE,TRUE),exact(metadata!I838,"urine metagenome"))</f>
        <v>0</v>
      </c>
      <c r="AC838">
        <f>AND(IF(metadata!J838="",FALSE,TRUE),exact(metadata!J838,"1346744"))</f>
        <v>0</v>
      </c>
    </row>
    <row r="839" spans="1:29">
      <c r="A839" s="4">
        <f>IF(B839=" "," ",HYPERLINK(CONCATENATE("#metadata!",ADDRESS(INDEX($P$2:$P$1001,MATCH(ROWS($N$2:N839),$N$2:$N$1001,0),0),1)),INDEX($S$2:$S$1001,MATCH(ROWS($N$2:N839),$N$2:$N$1001,0),0)))</f>
        <v>0</v>
      </c>
      <c r="B839" s="3">
        <f>IF(OR(INDEX($O$2:$O$1001,MATCH(ROWS($N$2:N839),$N$2:$N$1001,0),1)&gt;=100000,INDEX($U$1005:$AC$1005,1,MATCH(COLUMNS($U$1006:U1006),$U$1006:$AC$1006,0))&gt;=100000), " ",IF(INDEX($U$2:$AC$1001,MATCH(ROWS($N$2:N839),$N$2:$N$1001,0),MATCH(COLUMNS($U$1006:U1006),$U$1006:$AC$1006,0)), HYPERLINK("#",""), HYPERLINK(CONCATENATE("#metadata!", ADDRESS(INDEX($P$2:$P$1001,MATCH(ROWS($N$2:N839),$N$2:$N$1001,0),0), INDEX($U$1004:$AC$1004,1,MATCH(COLUMNS($U$1006:U1006),$U$1006:$AC$1006,0)))),"Fix")))</f>
        <v>0</v>
      </c>
      <c r="C839" s="3">
        <f>IF(OR(INDEX($O$2:$O$1001,MATCH(ROWS($N$2:N839),$N$2:$N$1001,0),1)&gt;=100000,INDEX($U$1005:$AC$1005,1,MATCH(COLUMNS($U$1006:V1006),$U$1006:$AC$1006,0))&gt;=100000), " ",IF(INDEX($U$2:$AC$1001,MATCH(ROWS($N$2:N839),$N$2:$N$1001,0),MATCH(COLUMNS($U$1006:V1006),$U$1006:$AC$1006,0)), HYPERLINK("#",""), HYPERLINK(CONCATENATE("#metadata!", ADDRESS(INDEX($P$2:$P$1001,MATCH(ROWS($N$2:N839),$N$2:$N$1001,0),0), INDEX($U$1004:$AC$1004,1,MATCH(COLUMNS($U$1006:V1006),$U$1006:$AC$1006,0)))),"Fix")))</f>
        <v>0</v>
      </c>
      <c r="D839" s="3">
        <f>IF(OR(INDEX($O$2:$O$1001,MATCH(ROWS($N$2:N839),$N$2:$N$1001,0),1)&gt;=100000,INDEX($U$1005:$AC$1005,1,MATCH(COLUMNS($U$1006:W1006),$U$1006:$AC$1006,0))&gt;=100000), " ",IF(INDEX($U$2:$AC$1001,MATCH(ROWS($N$2:N839),$N$2:$N$1001,0),MATCH(COLUMNS($U$1006:W1006),$U$1006:$AC$1006,0)), HYPERLINK("#",""), HYPERLINK(CONCATENATE("#metadata!", ADDRESS(INDEX($P$2:$P$1001,MATCH(ROWS($N$2:N839),$N$2:$N$1001,0),0), INDEX($U$1004:$AC$1004,1,MATCH(COLUMNS($U$1006:W1006),$U$1006:$AC$1006,0)))),"Fix")))</f>
        <v>0</v>
      </c>
      <c r="E839" s="3">
        <f>IF(OR(INDEX($O$2:$O$1001,MATCH(ROWS($N$2:N839),$N$2:$N$1001,0),1)&gt;=100000,INDEX($U$1005:$AC$1005,1,MATCH(COLUMNS($U$1006:X1006),$U$1006:$AC$1006,0))&gt;=100000), " ",IF(INDEX($U$2:$AC$1001,MATCH(ROWS($N$2:N839),$N$2:$N$1001,0),MATCH(COLUMNS($U$1006:X1006),$U$1006:$AC$1006,0)), HYPERLINK("#",""), HYPERLINK(CONCATENATE("#metadata!", ADDRESS(INDEX($P$2:$P$1001,MATCH(ROWS($N$2:N839),$N$2:$N$1001,0),0), INDEX($U$1004:$AC$1004,1,MATCH(COLUMNS($U$1006:X1006),$U$1006:$AC$1006,0)))),"Fix")))</f>
        <v>0</v>
      </c>
      <c r="F839" s="3">
        <f>IF(OR(INDEX($O$2:$O$1001,MATCH(ROWS($N$2:N839),$N$2:$N$1001,0),1)&gt;=100000,INDEX($U$1005:$AC$1005,1,MATCH(COLUMNS($U$1006:Y1006),$U$1006:$AC$1006,0))&gt;=100000), " ",IF(INDEX($U$2:$AC$1001,MATCH(ROWS($N$2:N839),$N$2:$N$1001,0),MATCH(COLUMNS($U$1006:Y1006),$U$1006:$AC$1006,0)), HYPERLINK("#",""), HYPERLINK(CONCATENATE("#metadata!", ADDRESS(INDEX($P$2:$P$1001,MATCH(ROWS($N$2:N839),$N$2:$N$1001,0),0), INDEX($U$1004:$AC$1004,1,MATCH(COLUMNS($U$1006:Y1006),$U$1006:$AC$1006,0)))),"Fix")))</f>
        <v>0</v>
      </c>
      <c r="G839" s="3">
        <f>IF(OR(INDEX($O$2:$O$1001,MATCH(ROWS($N$2:N839),$N$2:$N$1001,0),1)&gt;=100000,INDEX($U$1005:$AC$1005,1,MATCH(COLUMNS($U$1006:Z1006),$U$1006:$AC$1006,0))&gt;=100000), " ",IF(INDEX($U$2:$AC$1001,MATCH(ROWS($N$2:N839),$N$2:$N$1001,0),MATCH(COLUMNS($U$1006:Z1006),$U$1006:$AC$1006,0)), HYPERLINK("#",""), HYPERLINK(CONCATENATE("#metadata!", ADDRESS(INDEX($P$2:$P$1001,MATCH(ROWS($N$2:N839),$N$2:$N$1001,0),0), INDEX($U$1004:$AC$1004,1,MATCH(COLUMNS($U$1006:Z1006),$U$1006:$AC$1006,0)))),"Fix")))</f>
        <v>0</v>
      </c>
      <c r="H839" s="3">
        <f>IF(OR(INDEX($O$2:$O$1001,MATCH(ROWS($N$2:N839),$N$2:$N$1001,0),1)&gt;=100000,INDEX($U$1005:$AC$1005,1,MATCH(COLUMNS($U$1006:AA1006),$U$1006:$AC$1006,0))&gt;=100000), " ",IF(INDEX($U$2:$AC$1001,MATCH(ROWS($N$2:N839),$N$2:$N$1001,0),MATCH(COLUMNS($U$1006:AA1006),$U$1006:$AC$1006,0)), HYPERLINK("#",""), HYPERLINK(CONCATENATE("#metadata!", ADDRESS(INDEX($P$2:$P$1001,MATCH(ROWS($N$2:N839),$N$2:$N$1001,0),0), INDEX($U$1004:$AC$1004,1,MATCH(COLUMNS($U$1006:AA1006),$U$1006:$AC$1006,0)))),"Fix")))</f>
        <v>0</v>
      </c>
      <c r="I839" s="3">
        <f>IF(OR(INDEX($O$2:$O$1001,MATCH(ROWS($N$2:N839),$N$2:$N$1001,0),1)&gt;=100000,INDEX($U$1005:$AC$1005,1,MATCH(COLUMNS($U$1006:AB1006),$U$1006:$AC$1006,0))&gt;=100000), " ",IF(INDEX($U$2:$AC$1001,MATCH(ROWS($N$2:N839),$N$2:$N$1001,0),MATCH(COLUMNS($U$1006:AB1006),$U$1006:$AC$1006,0)), HYPERLINK("#",""), HYPERLINK(CONCATENATE("#metadata!", ADDRESS(INDEX($P$2:$P$1001,MATCH(ROWS($N$2:N839),$N$2:$N$1001,0),0), INDEX($U$1004:$AC$1004,1,MATCH(COLUMNS($U$1006:AB1006),$U$1006:$AC$1006,0)))),"Fix")))</f>
        <v>0</v>
      </c>
      <c r="J839" s="3">
        <f>IF(OR(INDEX($O$2:$O$1001,MATCH(ROWS($N$2:N839),$N$2:$N$1001,0),1)&gt;=100000,INDEX($U$1005:$AC$1005,1,MATCH(COLUMNS($U$1006:AC1006),$U$1006:$AC$1006,0))&gt;=100000), " ",IF(INDEX($U$2:$AC$1001,MATCH(ROWS($N$2:N839),$N$2:$N$1001,0),MATCH(COLUMNS($U$1006:AC1006),$U$1006:$AC$1006,0)), HYPERLINK("#",""), HYPERLINK(CONCATENATE("#metadata!", ADDRESS(INDEX($P$2:$P$1001,MATCH(ROWS($N$2:N839),$N$2:$N$1001,0),0), INDEX($U$1004:$AC$1004,1,MATCH(COLUMNS($U$1006:AC1006),$U$1006:$AC$1006,0)))),"Fix")))</f>
        <v>0</v>
      </c>
      <c r="N839">
        <v>0</v>
      </c>
      <c r="O839">
        <v>0</v>
      </c>
      <c r="P839">
        <v>0</v>
      </c>
      <c r="Q839">
        <f>IF(R839,TRUE,AND(U839:AC839))</f>
        <v>0</v>
      </c>
      <c r="R839">
        <f>COUNTBLANK(metadata!B839:J839)=COLUMNS(metadata!B839:J839)</f>
        <v>0</v>
      </c>
      <c r="S839">
        <v>0</v>
      </c>
      <c r="U839">
        <f>AND(IF(metadata!B839="",FALSE,TRUE),COUNTIF(metadata!B:B, metadata!B839) = 1,NOT(ISERROR(SUMPRODUCT(SEARCH(MID(metadata!B839,ROW(INDIRECT("1:"&amp;LEN(metadata!B839))), 1),"0123456789abcdefghijklmnopqrstuvwxyzABCDEFGHIJKLMNOPQRSTUVWXYZ.")))))</f>
        <v>0</v>
      </c>
      <c r="V839">
        <f>AND(IF(metadata!C839="",FALSE,TRUE),exact(metadata!C839,"UBERON:genitourinary"))</f>
        <v>0</v>
      </c>
      <c r="W839">
        <f>AND(IF(metadata!D839="",FALSE,TRUE),exact(metadata!D839,"UBERON:urine"))</f>
        <v>0</v>
      </c>
      <c r="X839">
        <f>AND(IF(metadata!E839="",FALSE,TRUE),exact(metadata!E839,"UBERON:kidney"))</f>
        <v>0</v>
      </c>
      <c r="Y839">
        <f>AND(IF(metadata!F839="",FALSE,TRUE),exact(metadata!F839,"animal corpus"))</f>
        <v>0</v>
      </c>
      <c r="Z839">
        <f>AND(IF(metadata!G839="",FALSE,TRUE),exact(metadata!G839,"urine"))</f>
        <v>0</v>
      </c>
      <c r="AA839">
        <f>AND(IF(metadata!H839="",FALSE,TRUE),exact(metadata!H839,"urine"))</f>
        <v>0</v>
      </c>
      <c r="AB839">
        <f>AND(IF(metadata!I839="",FALSE,TRUE),exact(metadata!I839,"urine metagenome"))</f>
        <v>0</v>
      </c>
      <c r="AC839">
        <f>AND(IF(metadata!J839="",FALSE,TRUE),exact(metadata!J839,"1346744"))</f>
        <v>0</v>
      </c>
    </row>
    <row r="840" spans="1:29">
      <c r="A840" s="4">
        <f>IF(B840=" "," ",HYPERLINK(CONCATENATE("#metadata!",ADDRESS(INDEX($P$2:$P$1001,MATCH(ROWS($N$2:N840),$N$2:$N$1001,0),0),1)),INDEX($S$2:$S$1001,MATCH(ROWS($N$2:N840),$N$2:$N$1001,0),0)))</f>
        <v>0</v>
      </c>
      <c r="B840" s="3">
        <f>IF(OR(INDEX($O$2:$O$1001,MATCH(ROWS($N$2:N840),$N$2:$N$1001,0),1)&gt;=100000,INDEX($U$1005:$AC$1005,1,MATCH(COLUMNS($U$1006:U1006),$U$1006:$AC$1006,0))&gt;=100000), " ",IF(INDEX($U$2:$AC$1001,MATCH(ROWS($N$2:N840),$N$2:$N$1001,0),MATCH(COLUMNS($U$1006:U1006),$U$1006:$AC$1006,0)), HYPERLINK("#",""), HYPERLINK(CONCATENATE("#metadata!", ADDRESS(INDEX($P$2:$P$1001,MATCH(ROWS($N$2:N840),$N$2:$N$1001,0),0), INDEX($U$1004:$AC$1004,1,MATCH(COLUMNS($U$1006:U1006),$U$1006:$AC$1006,0)))),"Fix")))</f>
        <v>0</v>
      </c>
      <c r="C840" s="3">
        <f>IF(OR(INDEX($O$2:$O$1001,MATCH(ROWS($N$2:N840),$N$2:$N$1001,0),1)&gt;=100000,INDEX($U$1005:$AC$1005,1,MATCH(COLUMNS($U$1006:V1006),$U$1006:$AC$1006,0))&gt;=100000), " ",IF(INDEX($U$2:$AC$1001,MATCH(ROWS($N$2:N840),$N$2:$N$1001,0),MATCH(COLUMNS($U$1006:V1006),$U$1006:$AC$1006,0)), HYPERLINK("#",""), HYPERLINK(CONCATENATE("#metadata!", ADDRESS(INDEX($P$2:$P$1001,MATCH(ROWS($N$2:N840),$N$2:$N$1001,0),0), INDEX($U$1004:$AC$1004,1,MATCH(COLUMNS($U$1006:V1006),$U$1006:$AC$1006,0)))),"Fix")))</f>
        <v>0</v>
      </c>
      <c r="D840" s="3">
        <f>IF(OR(INDEX($O$2:$O$1001,MATCH(ROWS($N$2:N840),$N$2:$N$1001,0),1)&gt;=100000,INDEX($U$1005:$AC$1005,1,MATCH(COLUMNS($U$1006:W1006),$U$1006:$AC$1006,0))&gt;=100000), " ",IF(INDEX($U$2:$AC$1001,MATCH(ROWS($N$2:N840),$N$2:$N$1001,0),MATCH(COLUMNS($U$1006:W1006),$U$1006:$AC$1006,0)), HYPERLINK("#",""), HYPERLINK(CONCATENATE("#metadata!", ADDRESS(INDEX($P$2:$P$1001,MATCH(ROWS($N$2:N840),$N$2:$N$1001,0),0), INDEX($U$1004:$AC$1004,1,MATCH(COLUMNS($U$1006:W1006),$U$1006:$AC$1006,0)))),"Fix")))</f>
        <v>0</v>
      </c>
      <c r="E840" s="3">
        <f>IF(OR(INDEX($O$2:$O$1001,MATCH(ROWS($N$2:N840),$N$2:$N$1001,0),1)&gt;=100000,INDEX($U$1005:$AC$1005,1,MATCH(COLUMNS($U$1006:X1006),$U$1006:$AC$1006,0))&gt;=100000), " ",IF(INDEX($U$2:$AC$1001,MATCH(ROWS($N$2:N840),$N$2:$N$1001,0),MATCH(COLUMNS($U$1006:X1006),$U$1006:$AC$1006,0)), HYPERLINK("#",""), HYPERLINK(CONCATENATE("#metadata!", ADDRESS(INDEX($P$2:$P$1001,MATCH(ROWS($N$2:N840),$N$2:$N$1001,0),0), INDEX($U$1004:$AC$1004,1,MATCH(COLUMNS($U$1006:X1006),$U$1006:$AC$1006,0)))),"Fix")))</f>
        <v>0</v>
      </c>
      <c r="F840" s="3">
        <f>IF(OR(INDEX($O$2:$O$1001,MATCH(ROWS($N$2:N840),$N$2:$N$1001,0),1)&gt;=100000,INDEX($U$1005:$AC$1005,1,MATCH(COLUMNS($U$1006:Y1006),$U$1006:$AC$1006,0))&gt;=100000), " ",IF(INDEX($U$2:$AC$1001,MATCH(ROWS($N$2:N840),$N$2:$N$1001,0),MATCH(COLUMNS($U$1006:Y1006),$U$1006:$AC$1006,0)), HYPERLINK("#",""), HYPERLINK(CONCATENATE("#metadata!", ADDRESS(INDEX($P$2:$P$1001,MATCH(ROWS($N$2:N840),$N$2:$N$1001,0),0), INDEX($U$1004:$AC$1004,1,MATCH(COLUMNS($U$1006:Y1006),$U$1006:$AC$1006,0)))),"Fix")))</f>
        <v>0</v>
      </c>
      <c r="G840" s="3">
        <f>IF(OR(INDEX($O$2:$O$1001,MATCH(ROWS($N$2:N840),$N$2:$N$1001,0),1)&gt;=100000,INDEX($U$1005:$AC$1005,1,MATCH(COLUMNS($U$1006:Z1006),$U$1006:$AC$1006,0))&gt;=100000), " ",IF(INDEX($U$2:$AC$1001,MATCH(ROWS($N$2:N840),$N$2:$N$1001,0),MATCH(COLUMNS($U$1006:Z1006),$U$1006:$AC$1006,0)), HYPERLINK("#",""), HYPERLINK(CONCATENATE("#metadata!", ADDRESS(INDEX($P$2:$P$1001,MATCH(ROWS($N$2:N840),$N$2:$N$1001,0),0), INDEX($U$1004:$AC$1004,1,MATCH(COLUMNS($U$1006:Z1006),$U$1006:$AC$1006,0)))),"Fix")))</f>
        <v>0</v>
      </c>
      <c r="H840" s="3">
        <f>IF(OR(INDEX($O$2:$O$1001,MATCH(ROWS($N$2:N840),$N$2:$N$1001,0),1)&gt;=100000,INDEX($U$1005:$AC$1005,1,MATCH(COLUMNS($U$1006:AA1006),$U$1006:$AC$1006,0))&gt;=100000), " ",IF(INDEX($U$2:$AC$1001,MATCH(ROWS($N$2:N840),$N$2:$N$1001,0),MATCH(COLUMNS($U$1006:AA1006),$U$1006:$AC$1006,0)), HYPERLINK("#",""), HYPERLINK(CONCATENATE("#metadata!", ADDRESS(INDEX($P$2:$P$1001,MATCH(ROWS($N$2:N840),$N$2:$N$1001,0),0), INDEX($U$1004:$AC$1004,1,MATCH(COLUMNS($U$1006:AA1006),$U$1006:$AC$1006,0)))),"Fix")))</f>
        <v>0</v>
      </c>
      <c r="I840" s="3">
        <f>IF(OR(INDEX($O$2:$O$1001,MATCH(ROWS($N$2:N840),$N$2:$N$1001,0),1)&gt;=100000,INDEX($U$1005:$AC$1005,1,MATCH(COLUMNS($U$1006:AB1006),$U$1006:$AC$1006,0))&gt;=100000), " ",IF(INDEX($U$2:$AC$1001,MATCH(ROWS($N$2:N840),$N$2:$N$1001,0),MATCH(COLUMNS($U$1006:AB1006),$U$1006:$AC$1006,0)), HYPERLINK("#",""), HYPERLINK(CONCATENATE("#metadata!", ADDRESS(INDEX($P$2:$P$1001,MATCH(ROWS($N$2:N840),$N$2:$N$1001,0),0), INDEX($U$1004:$AC$1004,1,MATCH(COLUMNS($U$1006:AB1006),$U$1006:$AC$1006,0)))),"Fix")))</f>
        <v>0</v>
      </c>
      <c r="J840" s="3">
        <f>IF(OR(INDEX($O$2:$O$1001,MATCH(ROWS($N$2:N840),$N$2:$N$1001,0),1)&gt;=100000,INDEX($U$1005:$AC$1005,1,MATCH(COLUMNS($U$1006:AC1006),$U$1006:$AC$1006,0))&gt;=100000), " ",IF(INDEX($U$2:$AC$1001,MATCH(ROWS($N$2:N840),$N$2:$N$1001,0),MATCH(COLUMNS($U$1006:AC1006),$U$1006:$AC$1006,0)), HYPERLINK("#",""), HYPERLINK(CONCATENATE("#metadata!", ADDRESS(INDEX($P$2:$P$1001,MATCH(ROWS($N$2:N840),$N$2:$N$1001,0),0), INDEX($U$1004:$AC$1004,1,MATCH(COLUMNS($U$1006:AC1006),$U$1006:$AC$1006,0)))),"Fix")))</f>
        <v>0</v>
      </c>
      <c r="N840">
        <v>0</v>
      </c>
      <c r="O840">
        <v>0</v>
      </c>
      <c r="P840">
        <v>0</v>
      </c>
      <c r="Q840">
        <f>IF(R840,TRUE,AND(U840:AC840))</f>
        <v>0</v>
      </c>
      <c r="R840">
        <f>COUNTBLANK(metadata!B840:J840)=COLUMNS(metadata!B840:J840)</f>
        <v>0</v>
      </c>
      <c r="S840">
        <v>0</v>
      </c>
      <c r="U840">
        <f>AND(IF(metadata!B840="",FALSE,TRUE),COUNTIF(metadata!B:B, metadata!B840) = 1,NOT(ISERROR(SUMPRODUCT(SEARCH(MID(metadata!B840,ROW(INDIRECT("1:"&amp;LEN(metadata!B840))), 1),"0123456789abcdefghijklmnopqrstuvwxyzABCDEFGHIJKLMNOPQRSTUVWXYZ.")))))</f>
        <v>0</v>
      </c>
      <c r="V840">
        <f>AND(IF(metadata!C840="",FALSE,TRUE),exact(metadata!C840,"UBERON:genitourinary"))</f>
        <v>0</v>
      </c>
      <c r="W840">
        <f>AND(IF(metadata!D840="",FALSE,TRUE),exact(metadata!D840,"UBERON:urine"))</f>
        <v>0</v>
      </c>
      <c r="X840">
        <f>AND(IF(metadata!E840="",FALSE,TRUE),exact(metadata!E840,"UBERON:kidney"))</f>
        <v>0</v>
      </c>
      <c r="Y840">
        <f>AND(IF(metadata!F840="",FALSE,TRUE),exact(metadata!F840,"animal corpus"))</f>
        <v>0</v>
      </c>
      <c r="Z840">
        <f>AND(IF(metadata!G840="",FALSE,TRUE),exact(metadata!G840,"urine"))</f>
        <v>0</v>
      </c>
      <c r="AA840">
        <f>AND(IF(metadata!H840="",FALSE,TRUE),exact(metadata!H840,"urine"))</f>
        <v>0</v>
      </c>
      <c r="AB840">
        <f>AND(IF(metadata!I840="",FALSE,TRUE),exact(metadata!I840,"urine metagenome"))</f>
        <v>0</v>
      </c>
      <c r="AC840">
        <f>AND(IF(metadata!J840="",FALSE,TRUE),exact(metadata!J840,"1346744"))</f>
        <v>0</v>
      </c>
    </row>
    <row r="841" spans="1:29">
      <c r="A841" s="4">
        <f>IF(B841=" "," ",HYPERLINK(CONCATENATE("#metadata!",ADDRESS(INDEX($P$2:$P$1001,MATCH(ROWS($N$2:N841),$N$2:$N$1001,0),0),1)),INDEX($S$2:$S$1001,MATCH(ROWS($N$2:N841),$N$2:$N$1001,0),0)))</f>
        <v>0</v>
      </c>
      <c r="B841" s="3">
        <f>IF(OR(INDEX($O$2:$O$1001,MATCH(ROWS($N$2:N841),$N$2:$N$1001,0),1)&gt;=100000,INDEX($U$1005:$AC$1005,1,MATCH(COLUMNS($U$1006:U1006),$U$1006:$AC$1006,0))&gt;=100000), " ",IF(INDEX($U$2:$AC$1001,MATCH(ROWS($N$2:N841),$N$2:$N$1001,0),MATCH(COLUMNS($U$1006:U1006),$U$1006:$AC$1006,0)), HYPERLINK("#",""), HYPERLINK(CONCATENATE("#metadata!", ADDRESS(INDEX($P$2:$P$1001,MATCH(ROWS($N$2:N841),$N$2:$N$1001,0),0), INDEX($U$1004:$AC$1004,1,MATCH(COLUMNS($U$1006:U1006),$U$1006:$AC$1006,0)))),"Fix")))</f>
        <v>0</v>
      </c>
      <c r="C841" s="3">
        <f>IF(OR(INDEX($O$2:$O$1001,MATCH(ROWS($N$2:N841),$N$2:$N$1001,0),1)&gt;=100000,INDEX($U$1005:$AC$1005,1,MATCH(COLUMNS($U$1006:V1006),$U$1006:$AC$1006,0))&gt;=100000), " ",IF(INDEX($U$2:$AC$1001,MATCH(ROWS($N$2:N841),$N$2:$N$1001,0),MATCH(COLUMNS($U$1006:V1006),$U$1006:$AC$1006,0)), HYPERLINK("#",""), HYPERLINK(CONCATENATE("#metadata!", ADDRESS(INDEX($P$2:$P$1001,MATCH(ROWS($N$2:N841),$N$2:$N$1001,0),0), INDEX($U$1004:$AC$1004,1,MATCH(COLUMNS($U$1006:V1006),$U$1006:$AC$1006,0)))),"Fix")))</f>
        <v>0</v>
      </c>
      <c r="D841" s="3">
        <f>IF(OR(INDEX($O$2:$O$1001,MATCH(ROWS($N$2:N841),$N$2:$N$1001,0),1)&gt;=100000,INDEX($U$1005:$AC$1005,1,MATCH(COLUMNS($U$1006:W1006),$U$1006:$AC$1006,0))&gt;=100000), " ",IF(INDEX($U$2:$AC$1001,MATCH(ROWS($N$2:N841),$N$2:$N$1001,0),MATCH(COLUMNS($U$1006:W1006),$U$1006:$AC$1006,0)), HYPERLINK("#",""), HYPERLINK(CONCATENATE("#metadata!", ADDRESS(INDEX($P$2:$P$1001,MATCH(ROWS($N$2:N841),$N$2:$N$1001,0),0), INDEX($U$1004:$AC$1004,1,MATCH(COLUMNS($U$1006:W1006),$U$1006:$AC$1006,0)))),"Fix")))</f>
        <v>0</v>
      </c>
      <c r="E841" s="3">
        <f>IF(OR(INDEX($O$2:$O$1001,MATCH(ROWS($N$2:N841),$N$2:$N$1001,0),1)&gt;=100000,INDEX($U$1005:$AC$1005,1,MATCH(COLUMNS($U$1006:X1006),$U$1006:$AC$1006,0))&gt;=100000), " ",IF(INDEX($U$2:$AC$1001,MATCH(ROWS($N$2:N841),$N$2:$N$1001,0),MATCH(COLUMNS($U$1006:X1006),$U$1006:$AC$1006,0)), HYPERLINK("#",""), HYPERLINK(CONCATENATE("#metadata!", ADDRESS(INDEX($P$2:$P$1001,MATCH(ROWS($N$2:N841),$N$2:$N$1001,0),0), INDEX($U$1004:$AC$1004,1,MATCH(COLUMNS($U$1006:X1006),$U$1006:$AC$1006,0)))),"Fix")))</f>
        <v>0</v>
      </c>
      <c r="F841" s="3">
        <f>IF(OR(INDEX($O$2:$O$1001,MATCH(ROWS($N$2:N841),$N$2:$N$1001,0),1)&gt;=100000,INDEX($U$1005:$AC$1005,1,MATCH(COLUMNS($U$1006:Y1006),$U$1006:$AC$1006,0))&gt;=100000), " ",IF(INDEX($U$2:$AC$1001,MATCH(ROWS($N$2:N841),$N$2:$N$1001,0),MATCH(COLUMNS($U$1006:Y1006),$U$1006:$AC$1006,0)), HYPERLINK("#",""), HYPERLINK(CONCATENATE("#metadata!", ADDRESS(INDEX($P$2:$P$1001,MATCH(ROWS($N$2:N841),$N$2:$N$1001,0),0), INDEX($U$1004:$AC$1004,1,MATCH(COLUMNS($U$1006:Y1006),$U$1006:$AC$1006,0)))),"Fix")))</f>
        <v>0</v>
      </c>
      <c r="G841" s="3">
        <f>IF(OR(INDEX($O$2:$O$1001,MATCH(ROWS($N$2:N841),$N$2:$N$1001,0),1)&gt;=100000,INDEX($U$1005:$AC$1005,1,MATCH(COLUMNS($U$1006:Z1006),$U$1006:$AC$1006,0))&gt;=100000), " ",IF(INDEX($U$2:$AC$1001,MATCH(ROWS($N$2:N841),$N$2:$N$1001,0),MATCH(COLUMNS($U$1006:Z1006),$U$1006:$AC$1006,0)), HYPERLINK("#",""), HYPERLINK(CONCATENATE("#metadata!", ADDRESS(INDEX($P$2:$P$1001,MATCH(ROWS($N$2:N841),$N$2:$N$1001,0),0), INDEX($U$1004:$AC$1004,1,MATCH(COLUMNS($U$1006:Z1006),$U$1006:$AC$1006,0)))),"Fix")))</f>
        <v>0</v>
      </c>
      <c r="H841" s="3">
        <f>IF(OR(INDEX($O$2:$O$1001,MATCH(ROWS($N$2:N841),$N$2:$N$1001,0),1)&gt;=100000,INDEX($U$1005:$AC$1005,1,MATCH(COLUMNS($U$1006:AA1006),$U$1006:$AC$1006,0))&gt;=100000), " ",IF(INDEX($U$2:$AC$1001,MATCH(ROWS($N$2:N841),$N$2:$N$1001,0),MATCH(COLUMNS($U$1006:AA1006),$U$1006:$AC$1006,0)), HYPERLINK("#",""), HYPERLINK(CONCATENATE("#metadata!", ADDRESS(INDEX($P$2:$P$1001,MATCH(ROWS($N$2:N841),$N$2:$N$1001,0),0), INDEX($U$1004:$AC$1004,1,MATCH(COLUMNS($U$1006:AA1006),$U$1006:$AC$1006,0)))),"Fix")))</f>
        <v>0</v>
      </c>
      <c r="I841" s="3">
        <f>IF(OR(INDEX($O$2:$O$1001,MATCH(ROWS($N$2:N841),$N$2:$N$1001,0),1)&gt;=100000,INDEX($U$1005:$AC$1005,1,MATCH(COLUMNS($U$1006:AB1006),$U$1006:$AC$1006,0))&gt;=100000), " ",IF(INDEX($U$2:$AC$1001,MATCH(ROWS($N$2:N841),$N$2:$N$1001,0),MATCH(COLUMNS($U$1006:AB1006),$U$1006:$AC$1006,0)), HYPERLINK("#",""), HYPERLINK(CONCATENATE("#metadata!", ADDRESS(INDEX($P$2:$P$1001,MATCH(ROWS($N$2:N841),$N$2:$N$1001,0),0), INDEX($U$1004:$AC$1004,1,MATCH(COLUMNS($U$1006:AB1006),$U$1006:$AC$1006,0)))),"Fix")))</f>
        <v>0</v>
      </c>
      <c r="J841" s="3">
        <f>IF(OR(INDEX($O$2:$O$1001,MATCH(ROWS($N$2:N841),$N$2:$N$1001,0),1)&gt;=100000,INDEX($U$1005:$AC$1005,1,MATCH(COLUMNS($U$1006:AC1006),$U$1006:$AC$1006,0))&gt;=100000), " ",IF(INDEX($U$2:$AC$1001,MATCH(ROWS($N$2:N841),$N$2:$N$1001,0),MATCH(COLUMNS($U$1006:AC1006),$U$1006:$AC$1006,0)), HYPERLINK("#",""), HYPERLINK(CONCATENATE("#metadata!", ADDRESS(INDEX($P$2:$P$1001,MATCH(ROWS($N$2:N841),$N$2:$N$1001,0),0), INDEX($U$1004:$AC$1004,1,MATCH(COLUMNS($U$1006:AC1006),$U$1006:$AC$1006,0)))),"Fix")))</f>
        <v>0</v>
      </c>
      <c r="N841">
        <v>0</v>
      </c>
      <c r="O841">
        <v>0</v>
      </c>
      <c r="P841">
        <v>0</v>
      </c>
      <c r="Q841">
        <f>IF(R841,TRUE,AND(U841:AC841))</f>
        <v>0</v>
      </c>
      <c r="R841">
        <f>COUNTBLANK(metadata!B841:J841)=COLUMNS(metadata!B841:J841)</f>
        <v>0</v>
      </c>
      <c r="S841">
        <v>0</v>
      </c>
      <c r="U841">
        <f>AND(IF(metadata!B841="",FALSE,TRUE),COUNTIF(metadata!B:B, metadata!B841) = 1,NOT(ISERROR(SUMPRODUCT(SEARCH(MID(metadata!B841,ROW(INDIRECT("1:"&amp;LEN(metadata!B841))), 1),"0123456789abcdefghijklmnopqrstuvwxyzABCDEFGHIJKLMNOPQRSTUVWXYZ.")))))</f>
        <v>0</v>
      </c>
      <c r="V841">
        <f>AND(IF(metadata!C841="",FALSE,TRUE),exact(metadata!C841,"UBERON:genitourinary"))</f>
        <v>0</v>
      </c>
      <c r="W841">
        <f>AND(IF(metadata!D841="",FALSE,TRUE),exact(metadata!D841,"UBERON:urine"))</f>
        <v>0</v>
      </c>
      <c r="X841">
        <f>AND(IF(metadata!E841="",FALSE,TRUE),exact(metadata!E841,"UBERON:kidney"))</f>
        <v>0</v>
      </c>
      <c r="Y841">
        <f>AND(IF(metadata!F841="",FALSE,TRUE),exact(metadata!F841,"animal corpus"))</f>
        <v>0</v>
      </c>
      <c r="Z841">
        <f>AND(IF(metadata!G841="",FALSE,TRUE),exact(metadata!G841,"urine"))</f>
        <v>0</v>
      </c>
      <c r="AA841">
        <f>AND(IF(metadata!H841="",FALSE,TRUE),exact(metadata!H841,"urine"))</f>
        <v>0</v>
      </c>
      <c r="AB841">
        <f>AND(IF(metadata!I841="",FALSE,TRUE),exact(metadata!I841,"urine metagenome"))</f>
        <v>0</v>
      </c>
      <c r="AC841">
        <f>AND(IF(metadata!J841="",FALSE,TRUE),exact(metadata!J841,"1346744"))</f>
        <v>0</v>
      </c>
    </row>
    <row r="842" spans="1:29">
      <c r="A842" s="4">
        <f>IF(B842=" "," ",HYPERLINK(CONCATENATE("#metadata!",ADDRESS(INDEX($P$2:$P$1001,MATCH(ROWS($N$2:N842),$N$2:$N$1001,0),0),1)),INDEX($S$2:$S$1001,MATCH(ROWS($N$2:N842),$N$2:$N$1001,0),0)))</f>
        <v>0</v>
      </c>
      <c r="B842" s="3">
        <f>IF(OR(INDEX($O$2:$O$1001,MATCH(ROWS($N$2:N842),$N$2:$N$1001,0),1)&gt;=100000,INDEX($U$1005:$AC$1005,1,MATCH(COLUMNS($U$1006:U1006),$U$1006:$AC$1006,0))&gt;=100000), " ",IF(INDEX($U$2:$AC$1001,MATCH(ROWS($N$2:N842),$N$2:$N$1001,0),MATCH(COLUMNS($U$1006:U1006),$U$1006:$AC$1006,0)), HYPERLINK("#",""), HYPERLINK(CONCATENATE("#metadata!", ADDRESS(INDEX($P$2:$P$1001,MATCH(ROWS($N$2:N842),$N$2:$N$1001,0),0), INDEX($U$1004:$AC$1004,1,MATCH(COLUMNS($U$1006:U1006),$U$1006:$AC$1006,0)))),"Fix")))</f>
        <v>0</v>
      </c>
      <c r="C842" s="3">
        <f>IF(OR(INDEX($O$2:$O$1001,MATCH(ROWS($N$2:N842),$N$2:$N$1001,0),1)&gt;=100000,INDEX($U$1005:$AC$1005,1,MATCH(COLUMNS($U$1006:V1006),$U$1006:$AC$1006,0))&gt;=100000), " ",IF(INDEX($U$2:$AC$1001,MATCH(ROWS($N$2:N842),$N$2:$N$1001,0),MATCH(COLUMNS($U$1006:V1006),$U$1006:$AC$1006,0)), HYPERLINK("#",""), HYPERLINK(CONCATENATE("#metadata!", ADDRESS(INDEX($P$2:$P$1001,MATCH(ROWS($N$2:N842),$N$2:$N$1001,0),0), INDEX($U$1004:$AC$1004,1,MATCH(COLUMNS($U$1006:V1006),$U$1006:$AC$1006,0)))),"Fix")))</f>
        <v>0</v>
      </c>
      <c r="D842" s="3">
        <f>IF(OR(INDEX($O$2:$O$1001,MATCH(ROWS($N$2:N842),$N$2:$N$1001,0),1)&gt;=100000,INDEX($U$1005:$AC$1005,1,MATCH(COLUMNS($U$1006:W1006),$U$1006:$AC$1006,0))&gt;=100000), " ",IF(INDEX($U$2:$AC$1001,MATCH(ROWS($N$2:N842),$N$2:$N$1001,0),MATCH(COLUMNS($U$1006:W1006),$U$1006:$AC$1006,0)), HYPERLINK("#",""), HYPERLINK(CONCATENATE("#metadata!", ADDRESS(INDEX($P$2:$P$1001,MATCH(ROWS($N$2:N842),$N$2:$N$1001,0),0), INDEX($U$1004:$AC$1004,1,MATCH(COLUMNS($U$1006:W1006),$U$1006:$AC$1006,0)))),"Fix")))</f>
        <v>0</v>
      </c>
      <c r="E842" s="3">
        <f>IF(OR(INDEX($O$2:$O$1001,MATCH(ROWS($N$2:N842),$N$2:$N$1001,0),1)&gt;=100000,INDEX($U$1005:$AC$1005,1,MATCH(COLUMNS($U$1006:X1006),$U$1006:$AC$1006,0))&gt;=100000), " ",IF(INDEX($U$2:$AC$1001,MATCH(ROWS($N$2:N842),$N$2:$N$1001,0),MATCH(COLUMNS($U$1006:X1006),$U$1006:$AC$1006,0)), HYPERLINK("#",""), HYPERLINK(CONCATENATE("#metadata!", ADDRESS(INDEX($P$2:$P$1001,MATCH(ROWS($N$2:N842),$N$2:$N$1001,0),0), INDEX($U$1004:$AC$1004,1,MATCH(COLUMNS($U$1006:X1006),$U$1006:$AC$1006,0)))),"Fix")))</f>
        <v>0</v>
      </c>
      <c r="F842" s="3">
        <f>IF(OR(INDEX($O$2:$O$1001,MATCH(ROWS($N$2:N842),$N$2:$N$1001,0),1)&gt;=100000,INDEX($U$1005:$AC$1005,1,MATCH(COLUMNS($U$1006:Y1006),$U$1006:$AC$1006,0))&gt;=100000), " ",IF(INDEX($U$2:$AC$1001,MATCH(ROWS($N$2:N842),$N$2:$N$1001,0),MATCH(COLUMNS($U$1006:Y1006),$U$1006:$AC$1006,0)), HYPERLINK("#",""), HYPERLINK(CONCATENATE("#metadata!", ADDRESS(INDEX($P$2:$P$1001,MATCH(ROWS($N$2:N842),$N$2:$N$1001,0),0), INDEX($U$1004:$AC$1004,1,MATCH(COLUMNS($U$1006:Y1006),$U$1006:$AC$1006,0)))),"Fix")))</f>
        <v>0</v>
      </c>
      <c r="G842" s="3">
        <f>IF(OR(INDEX($O$2:$O$1001,MATCH(ROWS($N$2:N842),$N$2:$N$1001,0),1)&gt;=100000,INDEX($U$1005:$AC$1005,1,MATCH(COLUMNS($U$1006:Z1006),$U$1006:$AC$1006,0))&gt;=100000), " ",IF(INDEX($U$2:$AC$1001,MATCH(ROWS($N$2:N842),$N$2:$N$1001,0),MATCH(COLUMNS($U$1006:Z1006),$U$1006:$AC$1006,0)), HYPERLINK("#",""), HYPERLINK(CONCATENATE("#metadata!", ADDRESS(INDEX($P$2:$P$1001,MATCH(ROWS($N$2:N842),$N$2:$N$1001,0),0), INDEX($U$1004:$AC$1004,1,MATCH(COLUMNS($U$1006:Z1006),$U$1006:$AC$1006,0)))),"Fix")))</f>
        <v>0</v>
      </c>
      <c r="H842" s="3">
        <f>IF(OR(INDEX($O$2:$O$1001,MATCH(ROWS($N$2:N842),$N$2:$N$1001,0),1)&gt;=100000,INDEX($U$1005:$AC$1005,1,MATCH(COLUMNS($U$1006:AA1006),$U$1006:$AC$1006,0))&gt;=100000), " ",IF(INDEX($U$2:$AC$1001,MATCH(ROWS($N$2:N842),$N$2:$N$1001,0),MATCH(COLUMNS($U$1006:AA1006),$U$1006:$AC$1006,0)), HYPERLINK("#",""), HYPERLINK(CONCATENATE("#metadata!", ADDRESS(INDEX($P$2:$P$1001,MATCH(ROWS($N$2:N842),$N$2:$N$1001,0),0), INDEX($U$1004:$AC$1004,1,MATCH(COLUMNS($U$1006:AA1006),$U$1006:$AC$1006,0)))),"Fix")))</f>
        <v>0</v>
      </c>
      <c r="I842" s="3">
        <f>IF(OR(INDEX($O$2:$O$1001,MATCH(ROWS($N$2:N842),$N$2:$N$1001,0),1)&gt;=100000,INDEX($U$1005:$AC$1005,1,MATCH(COLUMNS($U$1006:AB1006),$U$1006:$AC$1006,0))&gt;=100000), " ",IF(INDEX($U$2:$AC$1001,MATCH(ROWS($N$2:N842),$N$2:$N$1001,0),MATCH(COLUMNS($U$1006:AB1006),$U$1006:$AC$1006,0)), HYPERLINK("#",""), HYPERLINK(CONCATENATE("#metadata!", ADDRESS(INDEX($P$2:$P$1001,MATCH(ROWS($N$2:N842),$N$2:$N$1001,0),0), INDEX($U$1004:$AC$1004,1,MATCH(COLUMNS($U$1006:AB1006),$U$1006:$AC$1006,0)))),"Fix")))</f>
        <v>0</v>
      </c>
      <c r="J842" s="3">
        <f>IF(OR(INDEX($O$2:$O$1001,MATCH(ROWS($N$2:N842),$N$2:$N$1001,0),1)&gt;=100000,INDEX($U$1005:$AC$1005,1,MATCH(COLUMNS($U$1006:AC1006),$U$1006:$AC$1006,0))&gt;=100000), " ",IF(INDEX($U$2:$AC$1001,MATCH(ROWS($N$2:N842),$N$2:$N$1001,0),MATCH(COLUMNS($U$1006:AC1006),$U$1006:$AC$1006,0)), HYPERLINK("#",""), HYPERLINK(CONCATENATE("#metadata!", ADDRESS(INDEX($P$2:$P$1001,MATCH(ROWS($N$2:N842),$N$2:$N$1001,0),0), INDEX($U$1004:$AC$1004,1,MATCH(COLUMNS($U$1006:AC1006),$U$1006:$AC$1006,0)))),"Fix")))</f>
        <v>0</v>
      </c>
      <c r="N842">
        <v>0</v>
      </c>
      <c r="O842">
        <v>0</v>
      </c>
      <c r="P842">
        <v>0</v>
      </c>
      <c r="Q842">
        <f>IF(R842,TRUE,AND(U842:AC842))</f>
        <v>0</v>
      </c>
      <c r="R842">
        <f>COUNTBLANK(metadata!B842:J842)=COLUMNS(metadata!B842:J842)</f>
        <v>0</v>
      </c>
      <c r="S842">
        <v>0</v>
      </c>
      <c r="U842">
        <f>AND(IF(metadata!B842="",FALSE,TRUE),COUNTIF(metadata!B:B, metadata!B842) = 1,NOT(ISERROR(SUMPRODUCT(SEARCH(MID(metadata!B842,ROW(INDIRECT("1:"&amp;LEN(metadata!B842))), 1),"0123456789abcdefghijklmnopqrstuvwxyzABCDEFGHIJKLMNOPQRSTUVWXYZ.")))))</f>
        <v>0</v>
      </c>
      <c r="V842">
        <f>AND(IF(metadata!C842="",FALSE,TRUE),exact(metadata!C842,"UBERON:genitourinary"))</f>
        <v>0</v>
      </c>
      <c r="W842">
        <f>AND(IF(metadata!D842="",FALSE,TRUE),exact(metadata!D842,"UBERON:urine"))</f>
        <v>0</v>
      </c>
      <c r="X842">
        <f>AND(IF(metadata!E842="",FALSE,TRUE),exact(metadata!E842,"UBERON:kidney"))</f>
        <v>0</v>
      </c>
      <c r="Y842">
        <f>AND(IF(metadata!F842="",FALSE,TRUE),exact(metadata!F842,"animal corpus"))</f>
        <v>0</v>
      </c>
      <c r="Z842">
        <f>AND(IF(metadata!G842="",FALSE,TRUE),exact(metadata!G842,"urine"))</f>
        <v>0</v>
      </c>
      <c r="AA842">
        <f>AND(IF(metadata!H842="",FALSE,TRUE),exact(metadata!H842,"urine"))</f>
        <v>0</v>
      </c>
      <c r="AB842">
        <f>AND(IF(metadata!I842="",FALSE,TRUE),exact(metadata!I842,"urine metagenome"))</f>
        <v>0</v>
      </c>
      <c r="AC842">
        <f>AND(IF(metadata!J842="",FALSE,TRUE),exact(metadata!J842,"1346744"))</f>
        <v>0</v>
      </c>
    </row>
    <row r="843" spans="1:29">
      <c r="A843" s="4">
        <f>IF(B843=" "," ",HYPERLINK(CONCATENATE("#metadata!",ADDRESS(INDEX($P$2:$P$1001,MATCH(ROWS($N$2:N843),$N$2:$N$1001,0),0),1)),INDEX($S$2:$S$1001,MATCH(ROWS($N$2:N843),$N$2:$N$1001,0),0)))</f>
        <v>0</v>
      </c>
      <c r="B843" s="3">
        <f>IF(OR(INDEX($O$2:$O$1001,MATCH(ROWS($N$2:N843),$N$2:$N$1001,0),1)&gt;=100000,INDEX($U$1005:$AC$1005,1,MATCH(COLUMNS($U$1006:U1006),$U$1006:$AC$1006,0))&gt;=100000), " ",IF(INDEX($U$2:$AC$1001,MATCH(ROWS($N$2:N843),$N$2:$N$1001,0),MATCH(COLUMNS($U$1006:U1006),$U$1006:$AC$1006,0)), HYPERLINK("#",""), HYPERLINK(CONCATENATE("#metadata!", ADDRESS(INDEX($P$2:$P$1001,MATCH(ROWS($N$2:N843),$N$2:$N$1001,0),0), INDEX($U$1004:$AC$1004,1,MATCH(COLUMNS($U$1006:U1006),$U$1006:$AC$1006,0)))),"Fix")))</f>
        <v>0</v>
      </c>
      <c r="C843" s="3">
        <f>IF(OR(INDEX($O$2:$O$1001,MATCH(ROWS($N$2:N843),$N$2:$N$1001,0),1)&gt;=100000,INDEX($U$1005:$AC$1005,1,MATCH(COLUMNS($U$1006:V1006),$U$1006:$AC$1006,0))&gt;=100000), " ",IF(INDEX($U$2:$AC$1001,MATCH(ROWS($N$2:N843),$N$2:$N$1001,0),MATCH(COLUMNS($U$1006:V1006),$U$1006:$AC$1006,0)), HYPERLINK("#",""), HYPERLINK(CONCATENATE("#metadata!", ADDRESS(INDEX($P$2:$P$1001,MATCH(ROWS($N$2:N843),$N$2:$N$1001,0),0), INDEX($U$1004:$AC$1004,1,MATCH(COLUMNS($U$1006:V1006),$U$1006:$AC$1006,0)))),"Fix")))</f>
        <v>0</v>
      </c>
      <c r="D843" s="3">
        <f>IF(OR(INDEX($O$2:$O$1001,MATCH(ROWS($N$2:N843),$N$2:$N$1001,0),1)&gt;=100000,INDEX($U$1005:$AC$1005,1,MATCH(COLUMNS($U$1006:W1006),$U$1006:$AC$1006,0))&gt;=100000), " ",IF(INDEX($U$2:$AC$1001,MATCH(ROWS($N$2:N843),$N$2:$N$1001,0),MATCH(COLUMNS($U$1006:W1006),$U$1006:$AC$1006,0)), HYPERLINK("#",""), HYPERLINK(CONCATENATE("#metadata!", ADDRESS(INDEX($P$2:$P$1001,MATCH(ROWS($N$2:N843),$N$2:$N$1001,0),0), INDEX($U$1004:$AC$1004,1,MATCH(COLUMNS($U$1006:W1006),$U$1006:$AC$1006,0)))),"Fix")))</f>
        <v>0</v>
      </c>
      <c r="E843" s="3">
        <f>IF(OR(INDEX($O$2:$O$1001,MATCH(ROWS($N$2:N843),$N$2:$N$1001,0),1)&gt;=100000,INDEX($U$1005:$AC$1005,1,MATCH(COLUMNS($U$1006:X1006),$U$1006:$AC$1006,0))&gt;=100000), " ",IF(INDEX($U$2:$AC$1001,MATCH(ROWS($N$2:N843),$N$2:$N$1001,0),MATCH(COLUMNS($U$1006:X1006),$U$1006:$AC$1006,0)), HYPERLINK("#",""), HYPERLINK(CONCATENATE("#metadata!", ADDRESS(INDEX($P$2:$P$1001,MATCH(ROWS($N$2:N843),$N$2:$N$1001,0),0), INDEX($U$1004:$AC$1004,1,MATCH(COLUMNS($U$1006:X1006),$U$1006:$AC$1006,0)))),"Fix")))</f>
        <v>0</v>
      </c>
      <c r="F843" s="3">
        <f>IF(OR(INDEX($O$2:$O$1001,MATCH(ROWS($N$2:N843),$N$2:$N$1001,0),1)&gt;=100000,INDEX($U$1005:$AC$1005,1,MATCH(COLUMNS($U$1006:Y1006),$U$1006:$AC$1006,0))&gt;=100000), " ",IF(INDEX($U$2:$AC$1001,MATCH(ROWS($N$2:N843),$N$2:$N$1001,0),MATCH(COLUMNS($U$1006:Y1006),$U$1006:$AC$1006,0)), HYPERLINK("#",""), HYPERLINK(CONCATENATE("#metadata!", ADDRESS(INDEX($P$2:$P$1001,MATCH(ROWS($N$2:N843),$N$2:$N$1001,0),0), INDEX($U$1004:$AC$1004,1,MATCH(COLUMNS($U$1006:Y1006),$U$1006:$AC$1006,0)))),"Fix")))</f>
        <v>0</v>
      </c>
      <c r="G843" s="3">
        <f>IF(OR(INDEX($O$2:$O$1001,MATCH(ROWS($N$2:N843),$N$2:$N$1001,0),1)&gt;=100000,INDEX($U$1005:$AC$1005,1,MATCH(COLUMNS($U$1006:Z1006),$U$1006:$AC$1006,0))&gt;=100000), " ",IF(INDEX($U$2:$AC$1001,MATCH(ROWS($N$2:N843),$N$2:$N$1001,0),MATCH(COLUMNS($U$1006:Z1006),$U$1006:$AC$1006,0)), HYPERLINK("#",""), HYPERLINK(CONCATENATE("#metadata!", ADDRESS(INDEX($P$2:$P$1001,MATCH(ROWS($N$2:N843),$N$2:$N$1001,0),0), INDEX($U$1004:$AC$1004,1,MATCH(COLUMNS($U$1006:Z1006),$U$1006:$AC$1006,0)))),"Fix")))</f>
        <v>0</v>
      </c>
      <c r="H843" s="3">
        <f>IF(OR(INDEX($O$2:$O$1001,MATCH(ROWS($N$2:N843),$N$2:$N$1001,0),1)&gt;=100000,INDEX($U$1005:$AC$1005,1,MATCH(COLUMNS($U$1006:AA1006),$U$1006:$AC$1006,0))&gt;=100000), " ",IF(INDEX($U$2:$AC$1001,MATCH(ROWS($N$2:N843),$N$2:$N$1001,0),MATCH(COLUMNS($U$1006:AA1006),$U$1006:$AC$1006,0)), HYPERLINK("#",""), HYPERLINK(CONCATENATE("#metadata!", ADDRESS(INDEX($P$2:$P$1001,MATCH(ROWS($N$2:N843),$N$2:$N$1001,0),0), INDEX($U$1004:$AC$1004,1,MATCH(COLUMNS($U$1006:AA1006),$U$1006:$AC$1006,0)))),"Fix")))</f>
        <v>0</v>
      </c>
      <c r="I843" s="3">
        <f>IF(OR(INDEX($O$2:$O$1001,MATCH(ROWS($N$2:N843),$N$2:$N$1001,0),1)&gt;=100000,INDEX($U$1005:$AC$1005,1,MATCH(COLUMNS($U$1006:AB1006),$U$1006:$AC$1006,0))&gt;=100000), " ",IF(INDEX($U$2:$AC$1001,MATCH(ROWS($N$2:N843),$N$2:$N$1001,0),MATCH(COLUMNS($U$1006:AB1006),$U$1006:$AC$1006,0)), HYPERLINK("#",""), HYPERLINK(CONCATENATE("#metadata!", ADDRESS(INDEX($P$2:$P$1001,MATCH(ROWS($N$2:N843),$N$2:$N$1001,0),0), INDEX($U$1004:$AC$1004,1,MATCH(COLUMNS($U$1006:AB1006),$U$1006:$AC$1006,0)))),"Fix")))</f>
        <v>0</v>
      </c>
      <c r="J843" s="3">
        <f>IF(OR(INDEX($O$2:$O$1001,MATCH(ROWS($N$2:N843),$N$2:$N$1001,0),1)&gt;=100000,INDEX($U$1005:$AC$1005,1,MATCH(COLUMNS($U$1006:AC1006),$U$1006:$AC$1006,0))&gt;=100000), " ",IF(INDEX($U$2:$AC$1001,MATCH(ROWS($N$2:N843),$N$2:$N$1001,0),MATCH(COLUMNS($U$1006:AC1006),$U$1006:$AC$1006,0)), HYPERLINK("#",""), HYPERLINK(CONCATENATE("#metadata!", ADDRESS(INDEX($P$2:$P$1001,MATCH(ROWS($N$2:N843),$N$2:$N$1001,0),0), INDEX($U$1004:$AC$1004,1,MATCH(COLUMNS($U$1006:AC1006),$U$1006:$AC$1006,0)))),"Fix")))</f>
        <v>0</v>
      </c>
      <c r="N843">
        <v>0</v>
      </c>
      <c r="O843">
        <v>0</v>
      </c>
      <c r="P843">
        <v>0</v>
      </c>
      <c r="Q843">
        <f>IF(R843,TRUE,AND(U843:AC843))</f>
        <v>0</v>
      </c>
      <c r="R843">
        <f>COUNTBLANK(metadata!B843:J843)=COLUMNS(metadata!B843:J843)</f>
        <v>0</v>
      </c>
      <c r="S843">
        <v>0</v>
      </c>
      <c r="U843">
        <f>AND(IF(metadata!B843="",FALSE,TRUE),COUNTIF(metadata!B:B, metadata!B843) = 1,NOT(ISERROR(SUMPRODUCT(SEARCH(MID(metadata!B843,ROW(INDIRECT("1:"&amp;LEN(metadata!B843))), 1),"0123456789abcdefghijklmnopqrstuvwxyzABCDEFGHIJKLMNOPQRSTUVWXYZ.")))))</f>
        <v>0</v>
      </c>
      <c r="V843">
        <f>AND(IF(metadata!C843="",FALSE,TRUE),exact(metadata!C843,"UBERON:genitourinary"))</f>
        <v>0</v>
      </c>
      <c r="W843">
        <f>AND(IF(metadata!D843="",FALSE,TRUE),exact(metadata!D843,"UBERON:urine"))</f>
        <v>0</v>
      </c>
      <c r="X843">
        <f>AND(IF(metadata!E843="",FALSE,TRUE),exact(metadata!E843,"UBERON:kidney"))</f>
        <v>0</v>
      </c>
      <c r="Y843">
        <f>AND(IF(metadata!F843="",FALSE,TRUE),exact(metadata!F843,"animal corpus"))</f>
        <v>0</v>
      </c>
      <c r="Z843">
        <f>AND(IF(metadata!G843="",FALSE,TRUE),exact(metadata!G843,"urine"))</f>
        <v>0</v>
      </c>
      <c r="AA843">
        <f>AND(IF(metadata!H843="",FALSE,TRUE),exact(metadata!H843,"urine"))</f>
        <v>0</v>
      </c>
      <c r="AB843">
        <f>AND(IF(metadata!I843="",FALSE,TRUE),exact(metadata!I843,"urine metagenome"))</f>
        <v>0</v>
      </c>
      <c r="AC843">
        <f>AND(IF(metadata!J843="",FALSE,TRUE),exact(metadata!J843,"1346744"))</f>
        <v>0</v>
      </c>
    </row>
    <row r="844" spans="1:29">
      <c r="A844" s="4">
        <f>IF(B844=" "," ",HYPERLINK(CONCATENATE("#metadata!",ADDRESS(INDEX($P$2:$P$1001,MATCH(ROWS($N$2:N844),$N$2:$N$1001,0),0),1)),INDEX($S$2:$S$1001,MATCH(ROWS($N$2:N844),$N$2:$N$1001,0),0)))</f>
        <v>0</v>
      </c>
      <c r="B844" s="3">
        <f>IF(OR(INDEX($O$2:$O$1001,MATCH(ROWS($N$2:N844),$N$2:$N$1001,0),1)&gt;=100000,INDEX($U$1005:$AC$1005,1,MATCH(COLUMNS($U$1006:U1006),$U$1006:$AC$1006,0))&gt;=100000), " ",IF(INDEX($U$2:$AC$1001,MATCH(ROWS($N$2:N844),$N$2:$N$1001,0),MATCH(COLUMNS($U$1006:U1006),$U$1006:$AC$1006,0)), HYPERLINK("#",""), HYPERLINK(CONCATENATE("#metadata!", ADDRESS(INDEX($P$2:$P$1001,MATCH(ROWS($N$2:N844),$N$2:$N$1001,0),0), INDEX($U$1004:$AC$1004,1,MATCH(COLUMNS($U$1006:U1006),$U$1006:$AC$1006,0)))),"Fix")))</f>
        <v>0</v>
      </c>
      <c r="C844" s="3">
        <f>IF(OR(INDEX($O$2:$O$1001,MATCH(ROWS($N$2:N844),$N$2:$N$1001,0),1)&gt;=100000,INDEX($U$1005:$AC$1005,1,MATCH(COLUMNS($U$1006:V1006),$U$1006:$AC$1006,0))&gt;=100000), " ",IF(INDEX($U$2:$AC$1001,MATCH(ROWS($N$2:N844),$N$2:$N$1001,0),MATCH(COLUMNS($U$1006:V1006),$U$1006:$AC$1006,0)), HYPERLINK("#",""), HYPERLINK(CONCATENATE("#metadata!", ADDRESS(INDEX($P$2:$P$1001,MATCH(ROWS($N$2:N844),$N$2:$N$1001,0),0), INDEX($U$1004:$AC$1004,1,MATCH(COLUMNS($U$1006:V1006),$U$1006:$AC$1006,0)))),"Fix")))</f>
        <v>0</v>
      </c>
      <c r="D844" s="3">
        <f>IF(OR(INDEX($O$2:$O$1001,MATCH(ROWS($N$2:N844),$N$2:$N$1001,0),1)&gt;=100000,INDEX($U$1005:$AC$1005,1,MATCH(COLUMNS($U$1006:W1006),$U$1006:$AC$1006,0))&gt;=100000), " ",IF(INDEX($U$2:$AC$1001,MATCH(ROWS($N$2:N844),$N$2:$N$1001,0),MATCH(COLUMNS($U$1006:W1006),$U$1006:$AC$1006,0)), HYPERLINK("#",""), HYPERLINK(CONCATENATE("#metadata!", ADDRESS(INDEX($P$2:$P$1001,MATCH(ROWS($N$2:N844),$N$2:$N$1001,0),0), INDEX($U$1004:$AC$1004,1,MATCH(COLUMNS($U$1006:W1006),$U$1006:$AC$1006,0)))),"Fix")))</f>
        <v>0</v>
      </c>
      <c r="E844" s="3">
        <f>IF(OR(INDEX($O$2:$O$1001,MATCH(ROWS($N$2:N844),$N$2:$N$1001,0),1)&gt;=100000,INDEX($U$1005:$AC$1005,1,MATCH(COLUMNS($U$1006:X1006),$U$1006:$AC$1006,0))&gt;=100000), " ",IF(INDEX($U$2:$AC$1001,MATCH(ROWS($N$2:N844),$N$2:$N$1001,0),MATCH(COLUMNS($U$1006:X1006),$U$1006:$AC$1006,0)), HYPERLINK("#",""), HYPERLINK(CONCATENATE("#metadata!", ADDRESS(INDEX($P$2:$P$1001,MATCH(ROWS($N$2:N844),$N$2:$N$1001,0),0), INDEX($U$1004:$AC$1004,1,MATCH(COLUMNS($U$1006:X1006),$U$1006:$AC$1006,0)))),"Fix")))</f>
        <v>0</v>
      </c>
      <c r="F844" s="3">
        <f>IF(OR(INDEX($O$2:$O$1001,MATCH(ROWS($N$2:N844),$N$2:$N$1001,0),1)&gt;=100000,INDEX($U$1005:$AC$1005,1,MATCH(COLUMNS($U$1006:Y1006),$U$1006:$AC$1006,0))&gt;=100000), " ",IF(INDEX($U$2:$AC$1001,MATCH(ROWS($N$2:N844),$N$2:$N$1001,0),MATCH(COLUMNS($U$1006:Y1006),$U$1006:$AC$1006,0)), HYPERLINK("#",""), HYPERLINK(CONCATENATE("#metadata!", ADDRESS(INDEX($P$2:$P$1001,MATCH(ROWS($N$2:N844),$N$2:$N$1001,0),0), INDEX($U$1004:$AC$1004,1,MATCH(COLUMNS($U$1006:Y1006),$U$1006:$AC$1006,0)))),"Fix")))</f>
        <v>0</v>
      </c>
      <c r="G844" s="3">
        <f>IF(OR(INDEX($O$2:$O$1001,MATCH(ROWS($N$2:N844),$N$2:$N$1001,0),1)&gt;=100000,INDEX($U$1005:$AC$1005,1,MATCH(COLUMNS($U$1006:Z1006),$U$1006:$AC$1006,0))&gt;=100000), " ",IF(INDEX($U$2:$AC$1001,MATCH(ROWS($N$2:N844),$N$2:$N$1001,0),MATCH(COLUMNS($U$1006:Z1006),$U$1006:$AC$1006,0)), HYPERLINK("#",""), HYPERLINK(CONCATENATE("#metadata!", ADDRESS(INDEX($P$2:$P$1001,MATCH(ROWS($N$2:N844),$N$2:$N$1001,0),0), INDEX($U$1004:$AC$1004,1,MATCH(COLUMNS($U$1006:Z1006),$U$1006:$AC$1006,0)))),"Fix")))</f>
        <v>0</v>
      </c>
      <c r="H844" s="3">
        <f>IF(OR(INDEX($O$2:$O$1001,MATCH(ROWS($N$2:N844),$N$2:$N$1001,0),1)&gt;=100000,INDEX($U$1005:$AC$1005,1,MATCH(COLUMNS($U$1006:AA1006),$U$1006:$AC$1006,0))&gt;=100000), " ",IF(INDEX($U$2:$AC$1001,MATCH(ROWS($N$2:N844),$N$2:$N$1001,0),MATCH(COLUMNS($U$1006:AA1006),$U$1006:$AC$1006,0)), HYPERLINK("#",""), HYPERLINK(CONCATENATE("#metadata!", ADDRESS(INDEX($P$2:$P$1001,MATCH(ROWS($N$2:N844),$N$2:$N$1001,0),0), INDEX($U$1004:$AC$1004,1,MATCH(COLUMNS($U$1006:AA1006),$U$1006:$AC$1006,0)))),"Fix")))</f>
        <v>0</v>
      </c>
      <c r="I844" s="3">
        <f>IF(OR(INDEX($O$2:$O$1001,MATCH(ROWS($N$2:N844),$N$2:$N$1001,0),1)&gt;=100000,INDEX($U$1005:$AC$1005,1,MATCH(COLUMNS($U$1006:AB1006),$U$1006:$AC$1006,0))&gt;=100000), " ",IF(INDEX($U$2:$AC$1001,MATCH(ROWS($N$2:N844),$N$2:$N$1001,0),MATCH(COLUMNS($U$1006:AB1006),$U$1006:$AC$1006,0)), HYPERLINK("#",""), HYPERLINK(CONCATENATE("#metadata!", ADDRESS(INDEX($P$2:$P$1001,MATCH(ROWS($N$2:N844),$N$2:$N$1001,0),0), INDEX($U$1004:$AC$1004,1,MATCH(COLUMNS($U$1006:AB1006),$U$1006:$AC$1006,0)))),"Fix")))</f>
        <v>0</v>
      </c>
      <c r="J844" s="3">
        <f>IF(OR(INDEX($O$2:$O$1001,MATCH(ROWS($N$2:N844),$N$2:$N$1001,0),1)&gt;=100000,INDEX($U$1005:$AC$1005,1,MATCH(COLUMNS($U$1006:AC1006),$U$1006:$AC$1006,0))&gt;=100000), " ",IF(INDEX($U$2:$AC$1001,MATCH(ROWS($N$2:N844),$N$2:$N$1001,0),MATCH(COLUMNS($U$1006:AC1006),$U$1006:$AC$1006,0)), HYPERLINK("#",""), HYPERLINK(CONCATENATE("#metadata!", ADDRESS(INDEX($P$2:$P$1001,MATCH(ROWS($N$2:N844),$N$2:$N$1001,0),0), INDEX($U$1004:$AC$1004,1,MATCH(COLUMNS($U$1006:AC1006),$U$1006:$AC$1006,0)))),"Fix")))</f>
        <v>0</v>
      </c>
      <c r="N844">
        <v>0</v>
      </c>
      <c r="O844">
        <v>0</v>
      </c>
      <c r="P844">
        <v>0</v>
      </c>
      <c r="Q844">
        <f>IF(R844,TRUE,AND(U844:AC844))</f>
        <v>0</v>
      </c>
      <c r="R844">
        <f>COUNTBLANK(metadata!B844:J844)=COLUMNS(metadata!B844:J844)</f>
        <v>0</v>
      </c>
      <c r="S844">
        <v>0</v>
      </c>
      <c r="U844">
        <f>AND(IF(metadata!B844="",FALSE,TRUE),COUNTIF(metadata!B:B, metadata!B844) = 1,NOT(ISERROR(SUMPRODUCT(SEARCH(MID(metadata!B844,ROW(INDIRECT("1:"&amp;LEN(metadata!B844))), 1),"0123456789abcdefghijklmnopqrstuvwxyzABCDEFGHIJKLMNOPQRSTUVWXYZ.")))))</f>
        <v>0</v>
      </c>
      <c r="V844">
        <f>AND(IF(metadata!C844="",FALSE,TRUE),exact(metadata!C844,"UBERON:genitourinary"))</f>
        <v>0</v>
      </c>
      <c r="W844">
        <f>AND(IF(metadata!D844="",FALSE,TRUE),exact(metadata!D844,"UBERON:urine"))</f>
        <v>0</v>
      </c>
      <c r="X844">
        <f>AND(IF(metadata!E844="",FALSE,TRUE),exact(metadata!E844,"UBERON:kidney"))</f>
        <v>0</v>
      </c>
      <c r="Y844">
        <f>AND(IF(metadata!F844="",FALSE,TRUE),exact(metadata!F844,"animal corpus"))</f>
        <v>0</v>
      </c>
      <c r="Z844">
        <f>AND(IF(metadata!G844="",FALSE,TRUE),exact(metadata!G844,"urine"))</f>
        <v>0</v>
      </c>
      <c r="AA844">
        <f>AND(IF(metadata!H844="",FALSE,TRUE),exact(metadata!H844,"urine"))</f>
        <v>0</v>
      </c>
      <c r="AB844">
        <f>AND(IF(metadata!I844="",FALSE,TRUE),exact(metadata!I844,"urine metagenome"))</f>
        <v>0</v>
      </c>
      <c r="AC844">
        <f>AND(IF(metadata!J844="",FALSE,TRUE),exact(metadata!J844,"1346744"))</f>
        <v>0</v>
      </c>
    </row>
    <row r="845" spans="1:29">
      <c r="A845" s="4">
        <f>IF(B845=" "," ",HYPERLINK(CONCATENATE("#metadata!",ADDRESS(INDEX($P$2:$P$1001,MATCH(ROWS($N$2:N845),$N$2:$N$1001,0),0),1)),INDEX($S$2:$S$1001,MATCH(ROWS($N$2:N845),$N$2:$N$1001,0),0)))</f>
        <v>0</v>
      </c>
      <c r="B845" s="3">
        <f>IF(OR(INDEX($O$2:$O$1001,MATCH(ROWS($N$2:N845),$N$2:$N$1001,0),1)&gt;=100000,INDEX($U$1005:$AC$1005,1,MATCH(COLUMNS($U$1006:U1006),$U$1006:$AC$1006,0))&gt;=100000), " ",IF(INDEX($U$2:$AC$1001,MATCH(ROWS($N$2:N845),$N$2:$N$1001,0),MATCH(COLUMNS($U$1006:U1006),$U$1006:$AC$1006,0)), HYPERLINK("#",""), HYPERLINK(CONCATENATE("#metadata!", ADDRESS(INDEX($P$2:$P$1001,MATCH(ROWS($N$2:N845),$N$2:$N$1001,0),0), INDEX($U$1004:$AC$1004,1,MATCH(COLUMNS($U$1006:U1006),$U$1006:$AC$1006,0)))),"Fix")))</f>
        <v>0</v>
      </c>
      <c r="C845" s="3">
        <f>IF(OR(INDEX($O$2:$O$1001,MATCH(ROWS($N$2:N845),$N$2:$N$1001,0),1)&gt;=100000,INDEX($U$1005:$AC$1005,1,MATCH(COLUMNS($U$1006:V1006),$U$1006:$AC$1006,0))&gt;=100000), " ",IF(INDEX($U$2:$AC$1001,MATCH(ROWS($N$2:N845),$N$2:$N$1001,0),MATCH(COLUMNS($U$1006:V1006),$U$1006:$AC$1006,0)), HYPERLINK("#",""), HYPERLINK(CONCATENATE("#metadata!", ADDRESS(INDEX($P$2:$P$1001,MATCH(ROWS($N$2:N845),$N$2:$N$1001,0),0), INDEX($U$1004:$AC$1004,1,MATCH(COLUMNS($U$1006:V1006),$U$1006:$AC$1006,0)))),"Fix")))</f>
        <v>0</v>
      </c>
      <c r="D845" s="3">
        <f>IF(OR(INDEX($O$2:$O$1001,MATCH(ROWS($N$2:N845),$N$2:$N$1001,0),1)&gt;=100000,INDEX($U$1005:$AC$1005,1,MATCH(COLUMNS($U$1006:W1006),$U$1006:$AC$1006,0))&gt;=100000), " ",IF(INDEX($U$2:$AC$1001,MATCH(ROWS($N$2:N845),$N$2:$N$1001,0),MATCH(COLUMNS($U$1006:W1006),$U$1006:$AC$1006,0)), HYPERLINK("#",""), HYPERLINK(CONCATENATE("#metadata!", ADDRESS(INDEX($P$2:$P$1001,MATCH(ROWS($N$2:N845),$N$2:$N$1001,0),0), INDEX($U$1004:$AC$1004,1,MATCH(COLUMNS($U$1006:W1006),$U$1006:$AC$1006,0)))),"Fix")))</f>
        <v>0</v>
      </c>
      <c r="E845" s="3">
        <f>IF(OR(INDEX($O$2:$O$1001,MATCH(ROWS($N$2:N845),$N$2:$N$1001,0),1)&gt;=100000,INDEX($U$1005:$AC$1005,1,MATCH(COLUMNS($U$1006:X1006),$U$1006:$AC$1006,0))&gt;=100000), " ",IF(INDEX($U$2:$AC$1001,MATCH(ROWS($N$2:N845),$N$2:$N$1001,0),MATCH(COLUMNS($U$1006:X1006),$U$1006:$AC$1006,0)), HYPERLINK("#",""), HYPERLINK(CONCATENATE("#metadata!", ADDRESS(INDEX($P$2:$P$1001,MATCH(ROWS($N$2:N845),$N$2:$N$1001,0),0), INDEX($U$1004:$AC$1004,1,MATCH(COLUMNS($U$1006:X1006),$U$1006:$AC$1006,0)))),"Fix")))</f>
        <v>0</v>
      </c>
      <c r="F845" s="3">
        <f>IF(OR(INDEX($O$2:$O$1001,MATCH(ROWS($N$2:N845),$N$2:$N$1001,0),1)&gt;=100000,INDEX($U$1005:$AC$1005,1,MATCH(COLUMNS($U$1006:Y1006),$U$1006:$AC$1006,0))&gt;=100000), " ",IF(INDEX($U$2:$AC$1001,MATCH(ROWS($N$2:N845),$N$2:$N$1001,0),MATCH(COLUMNS($U$1006:Y1006),$U$1006:$AC$1006,0)), HYPERLINK("#",""), HYPERLINK(CONCATENATE("#metadata!", ADDRESS(INDEX($P$2:$P$1001,MATCH(ROWS($N$2:N845),$N$2:$N$1001,0),0), INDEX($U$1004:$AC$1004,1,MATCH(COLUMNS($U$1006:Y1006),$U$1006:$AC$1006,0)))),"Fix")))</f>
        <v>0</v>
      </c>
      <c r="G845" s="3">
        <f>IF(OR(INDEX($O$2:$O$1001,MATCH(ROWS($N$2:N845),$N$2:$N$1001,0),1)&gt;=100000,INDEX($U$1005:$AC$1005,1,MATCH(COLUMNS($U$1006:Z1006),$U$1006:$AC$1006,0))&gt;=100000), " ",IF(INDEX($U$2:$AC$1001,MATCH(ROWS($N$2:N845),$N$2:$N$1001,0),MATCH(COLUMNS($U$1006:Z1006),$U$1006:$AC$1006,0)), HYPERLINK("#",""), HYPERLINK(CONCATENATE("#metadata!", ADDRESS(INDEX($P$2:$P$1001,MATCH(ROWS($N$2:N845),$N$2:$N$1001,0),0), INDEX($U$1004:$AC$1004,1,MATCH(COLUMNS($U$1006:Z1006),$U$1006:$AC$1006,0)))),"Fix")))</f>
        <v>0</v>
      </c>
      <c r="H845" s="3">
        <f>IF(OR(INDEX($O$2:$O$1001,MATCH(ROWS($N$2:N845),$N$2:$N$1001,0),1)&gt;=100000,INDEX($U$1005:$AC$1005,1,MATCH(COLUMNS($U$1006:AA1006),$U$1006:$AC$1006,0))&gt;=100000), " ",IF(INDEX($U$2:$AC$1001,MATCH(ROWS($N$2:N845),$N$2:$N$1001,0),MATCH(COLUMNS($U$1006:AA1006),$U$1006:$AC$1006,0)), HYPERLINK("#",""), HYPERLINK(CONCATENATE("#metadata!", ADDRESS(INDEX($P$2:$P$1001,MATCH(ROWS($N$2:N845),$N$2:$N$1001,0),0), INDEX($U$1004:$AC$1004,1,MATCH(COLUMNS($U$1006:AA1006),$U$1006:$AC$1006,0)))),"Fix")))</f>
        <v>0</v>
      </c>
      <c r="I845" s="3">
        <f>IF(OR(INDEX($O$2:$O$1001,MATCH(ROWS($N$2:N845),$N$2:$N$1001,0),1)&gt;=100000,INDEX($U$1005:$AC$1005,1,MATCH(COLUMNS($U$1006:AB1006),$U$1006:$AC$1006,0))&gt;=100000), " ",IF(INDEX($U$2:$AC$1001,MATCH(ROWS($N$2:N845),$N$2:$N$1001,0),MATCH(COLUMNS($U$1006:AB1006),$U$1006:$AC$1006,0)), HYPERLINK("#",""), HYPERLINK(CONCATENATE("#metadata!", ADDRESS(INDEX($P$2:$P$1001,MATCH(ROWS($N$2:N845),$N$2:$N$1001,0),0), INDEX($U$1004:$AC$1004,1,MATCH(COLUMNS($U$1006:AB1006),$U$1006:$AC$1006,0)))),"Fix")))</f>
        <v>0</v>
      </c>
      <c r="J845" s="3">
        <f>IF(OR(INDEX($O$2:$O$1001,MATCH(ROWS($N$2:N845),$N$2:$N$1001,0),1)&gt;=100000,INDEX($U$1005:$AC$1005,1,MATCH(COLUMNS($U$1006:AC1006),$U$1006:$AC$1006,0))&gt;=100000), " ",IF(INDEX($U$2:$AC$1001,MATCH(ROWS($N$2:N845),$N$2:$N$1001,0),MATCH(COLUMNS($U$1006:AC1006),$U$1006:$AC$1006,0)), HYPERLINK("#",""), HYPERLINK(CONCATENATE("#metadata!", ADDRESS(INDEX($P$2:$P$1001,MATCH(ROWS($N$2:N845),$N$2:$N$1001,0),0), INDEX($U$1004:$AC$1004,1,MATCH(COLUMNS($U$1006:AC1006),$U$1006:$AC$1006,0)))),"Fix")))</f>
        <v>0</v>
      </c>
      <c r="N845">
        <v>0</v>
      </c>
      <c r="O845">
        <v>0</v>
      </c>
      <c r="P845">
        <v>0</v>
      </c>
      <c r="Q845">
        <f>IF(R845,TRUE,AND(U845:AC845))</f>
        <v>0</v>
      </c>
      <c r="R845">
        <f>COUNTBLANK(metadata!B845:J845)=COLUMNS(metadata!B845:J845)</f>
        <v>0</v>
      </c>
      <c r="S845">
        <v>0</v>
      </c>
      <c r="U845">
        <f>AND(IF(metadata!B845="",FALSE,TRUE),COUNTIF(metadata!B:B, metadata!B845) = 1,NOT(ISERROR(SUMPRODUCT(SEARCH(MID(metadata!B845,ROW(INDIRECT("1:"&amp;LEN(metadata!B845))), 1),"0123456789abcdefghijklmnopqrstuvwxyzABCDEFGHIJKLMNOPQRSTUVWXYZ.")))))</f>
        <v>0</v>
      </c>
      <c r="V845">
        <f>AND(IF(metadata!C845="",FALSE,TRUE),exact(metadata!C845,"UBERON:genitourinary"))</f>
        <v>0</v>
      </c>
      <c r="W845">
        <f>AND(IF(metadata!D845="",FALSE,TRUE),exact(metadata!D845,"UBERON:urine"))</f>
        <v>0</v>
      </c>
      <c r="X845">
        <f>AND(IF(metadata!E845="",FALSE,TRUE),exact(metadata!E845,"UBERON:kidney"))</f>
        <v>0</v>
      </c>
      <c r="Y845">
        <f>AND(IF(metadata!F845="",FALSE,TRUE),exact(metadata!F845,"animal corpus"))</f>
        <v>0</v>
      </c>
      <c r="Z845">
        <f>AND(IF(metadata!G845="",FALSE,TRUE),exact(metadata!G845,"urine"))</f>
        <v>0</v>
      </c>
      <c r="AA845">
        <f>AND(IF(metadata!H845="",FALSE,TRUE),exact(metadata!H845,"urine"))</f>
        <v>0</v>
      </c>
      <c r="AB845">
        <f>AND(IF(metadata!I845="",FALSE,TRUE),exact(metadata!I845,"urine metagenome"))</f>
        <v>0</v>
      </c>
      <c r="AC845">
        <f>AND(IF(metadata!J845="",FALSE,TRUE),exact(metadata!J845,"1346744"))</f>
        <v>0</v>
      </c>
    </row>
    <row r="846" spans="1:29">
      <c r="A846" s="4">
        <f>IF(B846=" "," ",HYPERLINK(CONCATENATE("#metadata!",ADDRESS(INDEX($P$2:$P$1001,MATCH(ROWS($N$2:N846),$N$2:$N$1001,0),0),1)),INDEX($S$2:$S$1001,MATCH(ROWS($N$2:N846),$N$2:$N$1001,0),0)))</f>
        <v>0</v>
      </c>
      <c r="B846" s="3">
        <f>IF(OR(INDEX($O$2:$O$1001,MATCH(ROWS($N$2:N846),$N$2:$N$1001,0),1)&gt;=100000,INDEX($U$1005:$AC$1005,1,MATCH(COLUMNS($U$1006:U1006),$U$1006:$AC$1006,0))&gt;=100000), " ",IF(INDEX($U$2:$AC$1001,MATCH(ROWS($N$2:N846),$N$2:$N$1001,0),MATCH(COLUMNS($U$1006:U1006),$U$1006:$AC$1006,0)), HYPERLINK("#",""), HYPERLINK(CONCATENATE("#metadata!", ADDRESS(INDEX($P$2:$P$1001,MATCH(ROWS($N$2:N846),$N$2:$N$1001,0),0), INDEX($U$1004:$AC$1004,1,MATCH(COLUMNS($U$1006:U1006),$U$1006:$AC$1006,0)))),"Fix")))</f>
        <v>0</v>
      </c>
      <c r="C846" s="3">
        <f>IF(OR(INDEX($O$2:$O$1001,MATCH(ROWS($N$2:N846),$N$2:$N$1001,0),1)&gt;=100000,INDEX($U$1005:$AC$1005,1,MATCH(COLUMNS($U$1006:V1006),$U$1006:$AC$1006,0))&gt;=100000), " ",IF(INDEX($U$2:$AC$1001,MATCH(ROWS($N$2:N846),$N$2:$N$1001,0),MATCH(COLUMNS($U$1006:V1006),$U$1006:$AC$1006,0)), HYPERLINK("#",""), HYPERLINK(CONCATENATE("#metadata!", ADDRESS(INDEX($P$2:$P$1001,MATCH(ROWS($N$2:N846),$N$2:$N$1001,0),0), INDEX($U$1004:$AC$1004,1,MATCH(COLUMNS($U$1006:V1006),$U$1006:$AC$1006,0)))),"Fix")))</f>
        <v>0</v>
      </c>
      <c r="D846" s="3">
        <f>IF(OR(INDEX($O$2:$O$1001,MATCH(ROWS($N$2:N846),$N$2:$N$1001,0),1)&gt;=100000,INDEX($U$1005:$AC$1005,1,MATCH(COLUMNS($U$1006:W1006),$U$1006:$AC$1006,0))&gt;=100000), " ",IF(INDEX($U$2:$AC$1001,MATCH(ROWS($N$2:N846),$N$2:$N$1001,0),MATCH(COLUMNS($U$1006:W1006),$U$1006:$AC$1006,0)), HYPERLINK("#",""), HYPERLINK(CONCATENATE("#metadata!", ADDRESS(INDEX($P$2:$P$1001,MATCH(ROWS($N$2:N846),$N$2:$N$1001,0),0), INDEX($U$1004:$AC$1004,1,MATCH(COLUMNS($U$1006:W1006),$U$1006:$AC$1006,0)))),"Fix")))</f>
        <v>0</v>
      </c>
      <c r="E846" s="3">
        <f>IF(OR(INDEX($O$2:$O$1001,MATCH(ROWS($N$2:N846),$N$2:$N$1001,0),1)&gt;=100000,INDEX($U$1005:$AC$1005,1,MATCH(COLUMNS($U$1006:X1006),$U$1006:$AC$1006,0))&gt;=100000), " ",IF(INDEX($U$2:$AC$1001,MATCH(ROWS($N$2:N846),$N$2:$N$1001,0),MATCH(COLUMNS($U$1006:X1006),$U$1006:$AC$1006,0)), HYPERLINK("#",""), HYPERLINK(CONCATENATE("#metadata!", ADDRESS(INDEX($P$2:$P$1001,MATCH(ROWS($N$2:N846),$N$2:$N$1001,0),0), INDEX($U$1004:$AC$1004,1,MATCH(COLUMNS($U$1006:X1006),$U$1006:$AC$1006,0)))),"Fix")))</f>
        <v>0</v>
      </c>
      <c r="F846" s="3">
        <f>IF(OR(INDEX($O$2:$O$1001,MATCH(ROWS($N$2:N846),$N$2:$N$1001,0),1)&gt;=100000,INDEX($U$1005:$AC$1005,1,MATCH(COLUMNS($U$1006:Y1006),$U$1006:$AC$1006,0))&gt;=100000), " ",IF(INDEX($U$2:$AC$1001,MATCH(ROWS($N$2:N846),$N$2:$N$1001,0),MATCH(COLUMNS($U$1006:Y1006),$U$1006:$AC$1006,0)), HYPERLINK("#",""), HYPERLINK(CONCATENATE("#metadata!", ADDRESS(INDEX($P$2:$P$1001,MATCH(ROWS($N$2:N846),$N$2:$N$1001,0),0), INDEX($U$1004:$AC$1004,1,MATCH(COLUMNS($U$1006:Y1006),$U$1006:$AC$1006,0)))),"Fix")))</f>
        <v>0</v>
      </c>
      <c r="G846" s="3">
        <f>IF(OR(INDEX($O$2:$O$1001,MATCH(ROWS($N$2:N846),$N$2:$N$1001,0),1)&gt;=100000,INDEX($U$1005:$AC$1005,1,MATCH(COLUMNS($U$1006:Z1006),$U$1006:$AC$1006,0))&gt;=100000), " ",IF(INDEX($U$2:$AC$1001,MATCH(ROWS($N$2:N846),$N$2:$N$1001,0),MATCH(COLUMNS($U$1006:Z1006),$U$1006:$AC$1006,0)), HYPERLINK("#",""), HYPERLINK(CONCATENATE("#metadata!", ADDRESS(INDEX($P$2:$P$1001,MATCH(ROWS($N$2:N846),$N$2:$N$1001,0),0), INDEX($U$1004:$AC$1004,1,MATCH(COLUMNS($U$1006:Z1006),$U$1006:$AC$1006,0)))),"Fix")))</f>
        <v>0</v>
      </c>
      <c r="H846" s="3">
        <f>IF(OR(INDEX($O$2:$O$1001,MATCH(ROWS($N$2:N846),$N$2:$N$1001,0),1)&gt;=100000,INDEX($U$1005:$AC$1005,1,MATCH(COLUMNS($U$1006:AA1006),$U$1006:$AC$1006,0))&gt;=100000), " ",IF(INDEX($U$2:$AC$1001,MATCH(ROWS($N$2:N846),$N$2:$N$1001,0),MATCH(COLUMNS($U$1006:AA1006),$U$1006:$AC$1006,0)), HYPERLINK("#",""), HYPERLINK(CONCATENATE("#metadata!", ADDRESS(INDEX($P$2:$P$1001,MATCH(ROWS($N$2:N846),$N$2:$N$1001,0),0), INDEX($U$1004:$AC$1004,1,MATCH(COLUMNS($U$1006:AA1006),$U$1006:$AC$1006,0)))),"Fix")))</f>
        <v>0</v>
      </c>
      <c r="I846" s="3">
        <f>IF(OR(INDEX($O$2:$O$1001,MATCH(ROWS($N$2:N846),$N$2:$N$1001,0),1)&gt;=100000,INDEX($U$1005:$AC$1005,1,MATCH(COLUMNS($U$1006:AB1006),$U$1006:$AC$1006,0))&gt;=100000), " ",IF(INDEX($U$2:$AC$1001,MATCH(ROWS($N$2:N846),$N$2:$N$1001,0),MATCH(COLUMNS($U$1006:AB1006),$U$1006:$AC$1006,0)), HYPERLINK("#",""), HYPERLINK(CONCATENATE("#metadata!", ADDRESS(INDEX($P$2:$P$1001,MATCH(ROWS($N$2:N846),$N$2:$N$1001,0),0), INDEX($U$1004:$AC$1004,1,MATCH(COLUMNS($U$1006:AB1006),$U$1006:$AC$1006,0)))),"Fix")))</f>
        <v>0</v>
      </c>
      <c r="J846" s="3">
        <f>IF(OR(INDEX($O$2:$O$1001,MATCH(ROWS($N$2:N846),$N$2:$N$1001,0),1)&gt;=100000,INDEX($U$1005:$AC$1005,1,MATCH(COLUMNS($U$1006:AC1006),$U$1006:$AC$1006,0))&gt;=100000), " ",IF(INDEX($U$2:$AC$1001,MATCH(ROWS($N$2:N846),$N$2:$N$1001,0),MATCH(COLUMNS($U$1006:AC1006),$U$1006:$AC$1006,0)), HYPERLINK("#",""), HYPERLINK(CONCATENATE("#metadata!", ADDRESS(INDEX($P$2:$P$1001,MATCH(ROWS($N$2:N846),$N$2:$N$1001,0),0), INDEX($U$1004:$AC$1004,1,MATCH(COLUMNS($U$1006:AC1006),$U$1006:$AC$1006,0)))),"Fix")))</f>
        <v>0</v>
      </c>
      <c r="N846">
        <v>0</v>
      </c>
      <c r="O846">
        <v>0</v>
      </c>
      <c r="P846">
        <v>0</v>
      </c>
      <c r="Q846">
        <f>IF(R846,TRUE,AND(U846:AC846))</f>
        <v>0</v>
      </c>
      <c r="R846">
        <f>COUNTBLANK(metadata!B846:J846)=COLUMNS(metadata!B846:J846)</f>
        <v>0</v>
      </c>
      <c r="S846">
        <v>0</v>
      </c>
      <c r="U846">
        <f>AND(IF(metadata!B846="",FALSE,TRUE),COUNTIF(metadata!B:B, metadata!B846) = 1,NOT(ISERROR(SUMPRODUCT(SEARCH(MID(metadata!B846,ROW(INDIRECT("1:"&amp;LEN(metadata!B846))), 1),"0123456789abcdefghijklmnopqrstuvwxyzABCDEFGHIJKLMNOPQRSTUVWXYZ.")))))</f>
        <v>0</v>
      </c>
      <c r="V846">
        <f>AND(IF(metadata!C846="",FALSE,TRUE),exact(metadata!C846,"UBERON:genitourinary"))</f>
        <v>0</v>
      </c>
      <c r="W846">
        <f>AND(IF(metadata!D846="",FALSE,TRUE),exact(metadata!D846,"UBERON:urine"))</f>
        <v>0</v>
      </c>
      <c r="X846">
        <f>AND(IF(metadata!E846="",FALSE,TRUE),exact(metadata!E846,"UBERON:kidney"))</f>
        <v>0</v>
      </c>
      <c r="Y846">
        <f>AND(IF(metadata!F846="",FALSE,TRUE),exact(metadata!F846,"animal corpus"))</f>
        <v>0</v>
      </c>
      <c r="Z846">
        <f>AND(IF(metadata!G846="",FALSE,TRUE),exact(metadata!G846,"urine"))</f>
        <v>0</v>
      </c>
      <c r="AA846">
        <f>AND(IF(metadata!H846="",FALSE,TRUE),exact(metadata!H846,"urine"))</f>
        <v>0</v>
      </c>
      <c r="AB846">
        <f>AND(IF(metadata!I846="",FALSE,TRUE),exact(metadata!I846,"urine metagenome"))</f>
        <v>0</v>
      </c>
      <c r="AC846">
        <f>AND(IF(metadata!J846="",FALSE,TRUE),exact(metadata!J846,"1346744"))</f>
        <v>0</v>
      </c>
    </row>
    <row r="847" spans="1:29">
      <c r="A847" s="4">
        <f>IF(B847=" "," ",HYPERLINK(CONCATENATE("#metadata!",ADDRESS(INDEX($P$2:$P$1001,MATCH(ROWS($N$2:N847),$N$2:$N$1001,0),0),1)),INDEX($S$2:$S$1001,MATCH(ROWS($N$2:N847),$N$2:$N$1001,0),0)))</f>
        <v>0</v>
      </c>
      <c r="B847" s="3">
        <f>IF(OR(INDEX($O$2:$O$1001,MATCH(ROWS($N$2:N847),$N$2:$N$1001,0),1)&gt;=100000,INDEX($U$1005:$AC$1005,1,MATCH(COLUMNS($U$1006:U1006),$U$1006:$AC$1006,0))&gt;=100000), " ",IF(INDEX($U$2:$AC$1001,MATCH(ROWS($N$2:N847),$N$2:$N$1001,0),MATCH(COLUMNS($U$1006:U1006),$U$1006:$AC$1006,0)), HYPERLINK("#",""), HYPERLINK(CONCATENATE("#metadata!", ADDRESS(INDEX($P$2:$P$1001,MATCH(ROWS($N$2:N847),$N$2:$N$1001,0),0), INDEX($U$1004:$AC$1004,1,MATCH(COLUMNS($U$1006:U1006),$U$1006:$AC$1006,0)))),"Fix")))</f>
        <v>0</v>
      </c>
      <c r="C847" s="3">
        <f>IF(OR(INDEX($O$2:$O$1001,MATCH(ROWS($N$2:N847),$N$2:$N$1001,0),1)&gt;=100000,INDEX($U$1005:$AC$1005,1,MATCH(COLUMNS($U$1006:V1006),$U$1006:$AC$1006,0))&gt;=100000), " ",IF(INDEX($U$2:$AC$1001,MATCH(ROWS($N$2:N847),$N$2:$N$1001,0),MATCH(COLUMNS($U$1006:V1006),$U$1006:$AC$1006,0)), HYPERLINK("#",""), HYPERLINK(CONCATENATE("#metadata!", ADDRESS(INDEX($P$2:$P$1001,MATCH(ROWS($N$2:N847),$N$2:$N$1001,0),0), INDEX($U$1004:$AC$1004,1,MATCH(COLUMNS($U$1006:V1006),$U$1006:$AC$1006,0)))),"Fix")))</f>
        <v>0</v>
      </c>
      <c r="D847" s="3">
        <f>IF(OR(INDEX($O$2:$O$1001,MATCH(ROWS($N$2:N847),$N$2:$N$1001,0),1)&gt;=100000,INDEX($U$1005:$AC$1005,1,MATCH(COLUMNS($U$1006:W1006),$U$1006:$AC$1006,0))&gt;=100000), " ",IF(INDEX($U$2:$AC$1001,MATCH(ROWS($N$2:N847),$N$2:$N$1001,0),MATCH(COLUMNS($U$1006:W1006),$U$1006:$AC$1006,0)), HYPERLINK("#",""), HYPERLINK(CONCATENATE("#metadata!", ADDRESS(INDEX($P$2:$P$1001,MATCH(ROWS($N$2:N847),$N$2:$N$1001,0),0), INDEX($U$1004:$AC$1004,1,MATCH(COLUMNS($U$1006:W1006),$U$1006:$AC$1006,0)))),"Fix")))</f>
        <v>0</v>
      </c>
      <c r="E847" s="3">
        <f>IF(OR(INDEX($O$2:$O$1001,MATCH(ROWS($N$2:N847),$N$2:$N$1001,0),1)&gt;=100000,INDEX($U$1005:$AC$1005,1,MATCH(COLUMNS($U$1006:X1006),$U$1006:$AC$1006,0))&gt;=100000), " ",IF(INDEX($U$2:$AC$1001,MATCH(ROWS($N$2:N847),$N$2:$N$1001,0),MATCH(COLUMNS($U$1006:X1006),$U$1006:$AC$1006,0)), HYPERLINK("#",""), HYPERLINK(CONCATENATE("#metadata!", ADDRESS(INDEX($P$2:$P$1001,MATCH(ROWS($N$2:N847),$N$2:$N$1001,0),0), INDEX($U$1004:$AC$1004,1,MATCH(COLUMNS($U$1006:X1006),$U$1006:$AC$1006,0)))),"Fix")))</f>
        <v>0</v>
      </c>
      <c r="F847" s="3">
        <f>IF(OR(INDEX($O$2:$O$1001,MATCH(ROWS($N$2:N847),$N$2:$N$1001,0),1)&gt;=100000,INDEX($U$1005:$AC$1005,1,MATCH(COLUMNS($U$1006:Y1006),$U$1006:$AC$1006,0))&gt;=100000), " ",IF(INDEX($U$2:$AC$1001,MATCH(ROWS($N$2:N847),$N$2:$N$1001,0),MATCH(COLUMNS($U$1006:Y1006),$U$1006:$AC$1006,0)), HYPERLINK("#",""), HYPERLINK(CONCATENATE("#metadata!", ADDRESS(INDEX($P$2:$P$1001,MATCH(ROWS($N$2:N847),$N$2:$N$1001,0),0), INDEX($U$1004:$AC$1004,1,MATCH(COLUMNS($U$1006:Y1006),$U$1006:$AC$1006,0)))),"Fix")))</f>
        <v>0</v>
      </c>
      <c r="G847" s="3">
        <f>IF(OR(INDEX($O$2:$O$1001,MATCH(ROWS($N$2:N847),$N$2:$N$1001,0),1)&gt;=100000,INDEX($U$1005:$AC$1005,1,MATCH(COLUMNS($U$1006:Z1006),$U$1006:$AC$1006,0))&gt;=100000), " ",IF(INDEX($U$2:$AC$1001,MATCH(ROWS($N$2:N847),$N$2:$N$1001,0),MATCH(COLUMNS($U$1006:Z1006),$U$1006:$AC$1006,0)), HYPERLINK("#",""), HYPERLINK(CONCATENATE("#metadata!", ADDRESS(INDEX($P$2:$P$1001,MATCH(ROWS($N$2:N847),$N$2:$N$1001,0),0), INDEX($U$1004:$AC$1004,1,MATCH(COLUMNS($U$1006:Z1006),$U$1006:$AC$1006,0)))),"Fix")))</f>
        <v>0</v>
      </c>
      <c r="H847" s="3">
        <f>IF(OR(INDEX($O$2:$O$1001,MATCH(ROWS($N$2:N847),$N$2:$N$1001,0),1)&gt;=100000,INDEX($U$1005:$AC$1005,1,MATCH(COLUMNS($U$1006:AA1006),$U$1006:$AC$1006,0))&gt;=100000), " ",IF(INDEX($U$2:$AC$1001,MATCH(ROWS($N$2:N847),$N$2:$N$1001,0),MATCH(COLUMNS($U$1006:AA1006),$U$1006:$AC$1006,0)), HYPERLINK("#",""), HYPERLINK(CONCATENATE("#metadata!", ADDRESS(INDEX($P$2:$P$1001,MATCH(ROWS($N$2:N847),$N$2:$N$1001,0),0), INDEX($U$1004:$AC$1004,1,MATCH(COLUMNS($U$1006:AA1006),$U$1006:$AC$1006,0)))),"Fix")))</f>
        <v>0</v>
      </c>
      <c r="I847" s="3">
        <f>IF(OR(INDEX($O$2:$O$1001,MATCH(ROWS($N$2:N847),$N$2:$N$1001,0),1)&gt;=100000,INDEX($U$1005:$AC$1005,1,MATCH(COLUMNS($U$1006:AB1006),$U$1006:$AC$1006,0))&gt;=100000), " ",IF(INDEX($U$2:$AC$1001,MATCH(ROWS($N$2:N847),$N$2:$N$1001,0),MATCH(COLUMNS($U$1006:AB1006),$U$1006:$AC$1006,0)), HYPERLINK("#",""), HYPERLINK(CONCATENATE("#metadata!", ADDRESS(INDEX($P$2:$P$1001,MATCH(ROWS($N$2:N847),$N$2:$N$1001,0),0), INDEX($U$1004:$AC$1004,1,MATCH(COLUMNS($U$1006:AB1006),$U$1006:$AC$1006,0)))),"Fix")))</f>
        <v>0</v>
      </c>
      <c r="J847" s="3">
        <f>IF(OR(INDEX($O$2:$O$1001,MATCH(ROWS($N$2:N847),$N$2:$N$1001,0),1)&gt;=100000,INDEX($U$1005:$AC$1005,1,MATCH(COLUMNS($U$1006:AC1006),$U$1006:$AC$1006,0))&gt;=100000), " ",IF(INDEX($U$2:$AC$1001,MATCH(ROWS($N$2:N847),$N$2:$N$1001,0),MATCH(COLUMNS($U$1006:AC1006),$U$1006:$AC$1006,0)), HYPERLINK("#",""), HYPERLINK(CONCATENATE("#metadata!", ADDRESS(INDEX($P$2:$P$1001,MATCH(ROWS($N$2:N847),$N$2:$N$1001,0),0), INDEX($U$1004:$AC$1004,1,MATCH(COLUMNS($U$1006:AC1006),$U$1006:$AC$1006,0)))),"Fix")))</f>
        <v>0</v>
      </c>
      <c r="N847">
        <v>0</v>
      </c>
      <c r="O847">
        <v>0</v>
      </c>
      <c r="P847">
        <v>0</v>
      </c>
      <c r="Q847">
        <f>IF(R847,TRUE,AND(U847:AC847))</f>
        <v>0</v>
      </c>
      <c r="R847">
        <f>COUNTBLANK(metadata!B847:J847)=COLUMNS(metadata!B847:J847)</f>
        <v>0</v>
      </c>
      <c r="S847">
        <v>0</v>
      </c>
      <c r="U847">
        <f>AND(IF(metadata!B847="",FALSE,TRUE),COUNTIF(metadata!B:B, metadata!B847) = 1,NOT(ISERROR(SUMPRODUCT(SEARCH(MID(metadata!B847,ROW(INDIRECT("1:"&amp;LEN(metadata!B847))), 1),"0123456789abcdefghijklmnopqrstuvwxyzABCDEFGHIJKLMNOPQRSTUVWXYZ.")))))</f>
        <v>0</v>
      </c>
      <c r="V847">
        <f>AND(IF(metadata!C847="",FALSE,TRUE),exact(metadata!C847,"UBERON:genitourinary"))</f>
        <v>0</v>
      </c>
      <c r="W847">
        <f>AND(IF(metadata!D847="",FALSE,TRUE),exact(metadata!D847,"UBERON:urine"))</f>
        <v>0</v>
      </c>
      <c r="X847">
        <f>AND(IF(metadata!E847="",FALSE,TRUE),exact(metadata!E847,"UBERON:kidney"))</f>
        <v>0</v>
      </c>
      <c r="Y847">
        <f>AND(IF(metadata!F847="",FALSE,TRUE),exact(metadata!F847,"animal corpus"))</f>
        <v>0</v>
      </c>
      <c r="Z847">
        <f>AND(IF(metadata!G847="",FALSE,TRUE),exact(metadata!G847,"urine"))</f>
        <v>0</v>
      </c>
      <c r="AA847">
        <f>AND(IF(metadata!H847="",FALSE,TRUE),exact(metadata!H847,"urine"))</f>
        <v>0</v>
      </c>
      <c r="AB847">
        <f>AND(IF(metadata!I847="",FALSE,TRUE),exact(metadata!I847,"urine metagenome"))</f>
        <v>0</v>
      </c>
      <c r="AC847">
        <f>AND(IF(metadata!J847="",FALSE,TRUE),exact(metadata!J847,"1346744"))</f>
        <v>0</v>
      </c>
    </row>
    <row r="848" spans="1:29">
      <c r="A848" s="4">
        <f>IF(B848=" "," ",HYPERLINK(CONCATENATE("#metadata!",ADDRESS(INDEX($P$2:$P$1001,MATCH(ROWS($N$2:N848),$N$2:$N$1001,0),0),1)),INDEX($S$2:$S$1001,MATCH(ROWS($N$2:N848),$N$2:$N$1001,0),0)))</f>
        <v>0</v>
      </c>
      <c r="B848" s="3">
        <f>IF(OR(INDEX($O$2:$O$1001,MATCH(ROWS($N$2:N848),$N$2:$N$1001,0),1)&gt;=100000,INDEX($U$1005:$AC$1005,1,MATCH(COLUMNS($U$1006:U1006),$U$1006:$AC$1006,0))&gt;=100000), " ",IF(INDEX($U$2:$AC$1001,MATCH(ROWS($N$2:N848),$N$2:$N$1001,0),MATCH(COLUMNS($U$1006:U1006),$U$1006:$AC$1006,0)), HYPERLINK("#",""), HYPERLINK(CONCATENATE("#metadata!", ADDRESS(INDEX($P$2:$P$1001,MATCH(ROWS($N$2:N848),$N$2:$N$1001,0),0), INDEX($U$1004:$AC$1004,1,MATCH(COLUMNS($U$1006:U1006),$U$1006:$AC$1006,0)))),"Fix")))</f>
        <v>0</v>
      </c>
      <c r="C848" s="3">
        <f>IF(OR(INDEX($O$2:$O$1001,MATCH(ROWS($N$2:N848),$N$2:$N$1001,0),1)&gt;=100000,INDEX($U$1005:$AC$1005,1,MATCH(COLUMNS($U$1006:V1006),$U$1006:$AC$1006,0))&gt;=100000), " ",IF(INDEX($U$2:$AC$1001,MATCH(ROWS($N$2:N848),$N$2:$N$1001,0),MATCH(COLUMNS($U$1006:V1006),$U$1006:$AC$1006,0)), HYPERLINK("#",""), HYPERLINK(CONCATENATE("#metadata!", ADDRESS(INDEX($P$2:$P$1001,MATCH(ROWS($N$2:N848),$N$2:$N$1001,0),0), INDEX($U$1004:$AC$1004,1,MATCH(COLUMNS($U$1006:V1006),$U$1006:$AC$1006,0)))),"Fix")))</f>
        <v>0</v>
      </c>
      <c r="D848" s="3">
        <f>IF(OR(INDEX($O$2:$O$1001,MATCH(ROWS($N$2:N848),$N$2:$N$1001,0),1)&gt;=100000,INDEX($U$1005:$AC$1005,1,MATCH(COLUMNS($U$1006:W1006),$U$1006:$AC$1006,0))&gt;=100000), " ",IF(INDEX($U$2:$AC$1001,MATCH(ROWS($N$2:N848),$N$2:$N$1001,0),MATCH(COLUMNS($U$1006:W1006),$U$1006:$AC$1006,0)), HYPERLINK("#",""), HYPERLINK(CONCATENATE("#metadata!", ADDRESS(INDEX($P$2:$P$1001,MATCH(ROWS($N$2:N848),$N$2:$N$1001,0),0), INDEX($U$1004:$AC$1004,1,MATCH(COLUMNS($U$1006:W1006),$U$1006:$AC$1006,0)))),"Fix")))</f>
        <v>0</v>
      </c>
      <c r="E848" s="3">
        <f>IF(OR(INDEX($O$2:$O$1001,MATCH(ROWS($N$2:N848),$N$2:$N$1001,0),1)&gt;=100000,INDEX($U$1005:$AC$1005,1,MATCH(COLUMNS($U$1006:X1006),$U$1006:$AC$1006,0))&gt;=100000), " ",IF(INDEX($U$2:$AC$1001,MATCH(ROWS($N$2:N848),$N$2:$N$1001,0),MATCH(COLUMNS($U$1006:X1006),$U$1006:$AC$1006,0)), HYPERLINK("#",""), HYPERLINK(CONCATENATE("#metadata!", ADDRESS(INDEX($P$2:$P$1001,MATCH(ROWS($N$2:N848),$N$2:$N$1001,0),0), INDEX($U$1004:$AC$1004,1,MATCH(COLUMNS($U$1006:X1006),$U$1006:$AC$1006,0)))),"Fix")))</f>
        <v>0</v>
      </c>
      <c r="F848" s="3">
        <f>IF(OR(INDEX($O$2:$O$1001,MATCH(ROWS($N$2:N848),$N$2:$N$1001,0),1)&gt;=100000,INDEX($U$1005:$AC$1005,1,MATCH(COLUMNS($U$1006:Y1006),$U$1006:$AC$1006,0))&gt;=100000), " ",IF(INDEX($U$2:$AC$1001,MATCH(ROWS($N$2:N848),$N$2:$N$1001,0),MATCH(COLUMNS($U$1006:Y1006),$U$1006:$AC$1006,0)), HYPERLINK("#",""), HYPERLINK(CONCATENATE("#metadata!", ADDRESS(INDEX($P$2:$P$1001,MATCH(ROWS($N$2:N848),$N$2:$N$1001,0),0), INDEX($U$1004:$AC$1004,1,MATCH(COLUMNS($U$1006:Y1006),$U$1006:$AC$1006,0)))),"Fix")))</f>
        <v>0</v>
      </c>
      <c r="G848" s="3">
        <f>IF(OR(INDEX($O$2:$O$1001,MATCH(ROWS($N$2:N848),$N$2:$N$1001,0),1)&gt;=100000,INDEX($U$1005:$AC$1005,1,MATCH(COLUMNS($U$1006:Z1006),$U$1006:$AC$1006,0))&gt;=100000), " ",IF(INDEX($U$2:$AC$1001,MATCH(ROWS($N$2:N848),$N$2:$N$1001,0),MATCH(COLUMNS($U$1006:Z1006),$U$1006:$AC$1006,0)), HYPERLINK("#",""), HYPERLINK(CONCATENATE("#metadata!", ADDRESS(INDEX($P$2:$P$1001,MATCH(ROWS($N$2:N848),$N$2:$N$1001,0),0), INDEX($U$1004:$AC$1004,1,MATCH(COLUMNS($U$1006:Z1006),$U$1006:$AC$1006,0)))),"Fix")))</f>
        <v>0</v>
      </c>
      <c r="H848" s="3">
        <f>IF(OR(INDEX($O$2:$O$1001,MATCH(ROWS($N$2:N848),$N$2:$N$1001,0),1)&gt;=100000,INDEX($U$1005:$AC$1005,1,MATCH(COLUMNS($U$1006:AA1006),$U$1006:$AC$1006,0))&gt;=100000), " ",IF(INDEX($U$2:$AC$1001,MATCH(ROWS($N$2:N848),$N$2:$N$1001,0),MATCH(COLUMNS($U$1006:AA1006),$U$1006:$AC$1006,0)), HYPERLINK("#",""), HYPERLINK(CONCATENATE("#metadata!", ADDRESS(INDEX($P$2:$P$1001,MATCH(ROWS($N$2:N848),$N$2:$N$1001,0),0), INDEX($U$1004:$AC$1004,1,MATCH(COLUMNS($U$1006:AA1006),$U$1006:$AC$1006,0)))),"Fix")))</f>
        <v>0</v>
      </c>
      <c r="I848" s="3">
        <f>IF(OR(INDEX($O$2:$O$1001,MATCH(ROWS($N$2:N848),$N$2:$N$1001,0),1)&gt;=100000,INDEX($U$1005:$AC$1005,1,MATCH(COLUMNS($U$1006:AB1006),$U$1006:$AC$1006,0))&gt;=100000), " ",IF(INDEX($U$2:$AC$1001,MATCH(ROWS($N$2:N848),$N$2:$N$1001,0),MATCH(COLUMNS($U$1006:AB1006),$U$1006:$AC$1006,0)), HYPERLINK("#",""), HYPERLINK(CONCATENATE("#metadata!", ADDRESS(INDEX($P$2:$P$1001,MATCH(ROWS($N$2:N848),$N$2:$N$1001,0),0), INDEX($U$1004:$AC$1004,1,MATCH(COLUMNS($U$1006:AB1006),$U$1006:$AC$1006,0)))),"Fix")))</f>
        <v>0</v>
      </c>
      <c r="J848" s="3">
        <f>IF(OR(INDEX($O$2:$O$1001,MATCH(ROWS($N$2:N848),$N$2:$N$1001,0),1)&gt;=100000,INDEX($U$1005:$AC$1005,1,MATCH(COLUMNS($U$1006:AC1006),$U$1006:$AC$1006,0))&gt;=100000), " ",IF(INDEX($U$2:$AC$1001,MATCH(ROWS($N$2:N848),$N$2:$N$1001,0),MATCH(COLUMNS($U$1006:AC1006),$U$1006:$AC$1006,0)), HYPERLINK("#",""), HYPERLINK(CONCATENATE("#metadata!", ADDRESS(INDEX($P$2:$P$1001,MATCH(ROWS($N$2:N848),$N$2:$N$1001,0),0), INDEX($U$1004:$AC$1004,1,MATCH(COLUMNS($U$1006:AC1006),$U$1006:$AC$1006,0)))),"Fix")))</f>
        <v>0</v>
      </c>
      <c r="N848">
        <v>0</v>
      </c>
      <c r="O848">
        <v>0</v>
      </c>
      <c r="P848">
        <v>0</v>
      </c>
      <c r="Q848">
        <f>IF(R848,TRUE,AND(U848:AC848))</f>
        <v>0</v>
      </c>
      <c r="R848">
        <f>COUNTBLANK(metadata!B848:J848)=COLUMNS(metadata!B848:J848)</f>
        <v>0</v>
      </c>
      <c r="S848">
        <v>0</v>
      </c>
      <c r="U848">
        <f>AND(IF(metadata!B848="",FALSE,TRUE),COUNTIF(metadata!B:B, metadata!B848) = 1,NOT(ISERROR(SUMPRODUCT(SEARCH(MID(metadata!B848,ROW(INDIRECT("1:"&amp;LEN(metadata!B848))), 1),"0123456789abcdefghijklmnopqrstuvwxyzABCDEFGHIJKLMNOPQRSTUVWXYZ.")))))</f>
        <v>0</v>
      </c>
      <c r="V848">
        <f>AND(IF(metadata!C848="",FALSE,TRUE),exact(metadata!C848,"UBERON:genitourinary"))</f>
        <v>0</v>
      </c>
      <c r="W848">
        <f>AND(IF(metadata!D848="",FALSE,TRUE),exact(metadata!D848,"UBERON:urine"))</f>
        <v>0</v>
      </c>
      <c r="X848">
        <f>AND(IF(metadata!E848="",FALSE,TRUE),exact(metadata!E848,"UBERON:kidney"))</f>
        <v>0</v>
      </c>
      <c r="Y848">
        <f>AND(IF(metadata!F848="",FALSE,TRUE),exact(metadata!F848,"animal corpus"))</f>
        <v>0</v>
      </c>
      <c r="Z848">
        <f>AND(IF(metadata!G848="",FALSE,TRUE),exact(metadata!G848,"urine"))</f>
        <v>0</v>
      </c>
      <c r="AA848">
        <f>AND(IF(metadata!H848="",FALSE,TRUE),exact(metadata!H848,"urine"))</f>
        <v>0</v>
      </c>
      <c r="AB848">
        <f>AND(IF(metadata!I848="",FALSE,TRUE),exact(metadata!I848,"urine metagenome"))</f>
        <v>0</v>
      </c>
      <c r="AC848">
        <f>AND(IF(metadata!J848="",FALSE,TRUE),exact(metadata!J848,"1346744"))</f>
        <v>0</v>
      </c>
    </row>
    <row r="849" spans="1:29">
      <c r="A849" s="4">
        <f>IF(B849=" "," ",HYPERLINK(CONCATENATE("#metadata!",ADDRESS(INDEX($P$2:$P$1001,MATCH(ROWS($N$2:N849),$N$2:$N$1001,0),0),1)),INDEX($S$2:$S$1001,MATCH(ROWS($N$2:N849),$N$2:$N$1001,0),0)))</f>
        <v>0</v>
      </c>
      <c r="B849" s="3">
        <f>IF(OR(INDEX($O$2:$O$1001,MATCH(ROWS($N$2:N849),$N$2:$N$1001,0),1)&gt;=100000,INDEX($U$1005:$AC$1005,1,MATCH(COLUMNS($U$1006:U1006),$U$1006:$AC$1006,0))&gt;=100000), " ",IF(INDEX($U$2:$AC$1001,MATCH(ROWS($N$2:N849),$N$2:$N$1001,0),MATCH(COLUMNS($U$1006:U1006),$U$1006:$AC$1006,0)), HYPERLINK("#",""), HYPERLINK(CONCATENATE("#metadata!", ADDRESS(INDEX($P$2:$P$1001,MATCH(ROWS($N$2:N849),$N$2:$N$1001,0),0), INDEX($U$1004:$AC$1004,1,MATCH(COLUMNS($U$1006:U1006),$U$1006:$AC$1006,0)))),"Fix")))</f>
        <v>0</v>
      </c>
      <c r="C849" s="3">
        <f>IF(OR(INDEX($O$2:$O$1001,MATCH(ROWS($N$2:N849),$N$2:$N$1001,0),1)&gt;=100000,INDEX($U$1005:$AC$1005,1,MATCH(COLUMNS($U$1006:V1006),$U$1006:$AC$1006,0))&gt;=100000), " ",IF(INDEX($U$2:$AC$1001,MATCH(ROWS($N$2:N849),$N$2:$N$1001,0),MATCH(COLUMNS($U$1006:V1006),$U$1006:$AC$1006,0)), HYPERLINK("#",""), HYPERLINK(CONCATENATE("#metadata!", ADDRESS(INDEX($P$2:$P$1001,MATCH(ROWS($N$2:N849),$N$2:$N$1001,0),0), INDEX($U$1004:$AC$1004,1,MATCH(COLUMNS($U$1006:V1006),$U$1006:$AC$1006,0)))),"Fix")))</f>
        <v>0</v>
      </c>
      <c r="D849" s="3">
        <f>IF(OR(INDEX($O$2:$O$1001,MATCH(ROWS($N$2:N849),$N$2:$N$1001,0),1)&gt;=100000,INDEX($U$1005:$AC$1005,1,MATCH(COLUMNS($U$1006:W1006),$U$1006:$AC$1006,0))&gt;=100000), " ",IF(INDEX($U$2:$AC$1001,MATCH(ROWS($N$2:N849),$N$2:$N$1001,0),MATCH(COLUMNS($U$1006:W1006),$U$1006:$AC$1006,0)), HYPERLINK("#",""), HYPERLINK(CONCATENATE("#metadata!", ADDRESS(INDEX($P$2:$P$1001,MATCH(ROWS($N$2:N849),$N$2:$N$1001,0),0), INDEX($U$1004:$AC$1004,1,MATCH(COLUMNS($U$1006:W1006),$U$1006:$AC$1006,0)))),"Fix")))</f>
        <v>0</v>
      </c>
      <c r="E849" s="3">
        <f>IF(OR(INDEX($O$2:$O$1001,MATCH(ROWS($N$2:N849),$N$2:$N$1001,0),1)&gt;=100000,INDEX($U$1005:$AC$1005,1,MATCH(COLUMNS($U$1006:X1006),$U$1006:$AC$1006,0))&gt;=100000), " ",IF(INDEX($U$2:$AC$1001,MATCH(ROWS($N$2:N849),$N$2:$N$1001,0),MATCH(COLUMNS($U$1006:X1006),$U$1006:$AC$1006,0)), HYPERLINK("#",""), HYPERLINK(CONCATENATE("#metadata!", ADDRESS(INDEX($P$2:$P$1001,MATCH(ROWS($N$2:N849),$N$2:$N$1001,0),0), INDEX($U$1004:$AC$1004,1,MATCH(COLUMNS($U$1006:X1006),$U$1006:$AC$1006,0)))),"Fix")))</f>
        <v>0</v>
      </c>
      <c r="F849" s="3">
        <f>IF(OR(INDEX($O$2:$O$1001,MATCH(ROWS($N$2:N849),$N$2:$N$1001,0),1)&gt;=100000,INDEX($U$1005:$AC$1005,1,MATCH(COLUMNS($U$1006:Y1006),$U$1006:$AC$1006,0))&gt;=100000), " ",IF(INDEX($U$2:$AC$1001,MATCH(ROWS($N$2:N849),$N$2:$N$1001,0),MATCH(COLUMNS($U$1006:Y1006),$U$1006:$AC$1006,0)), HYPERLINK("#",""), HYPERLINK(CONCATENATE("#metadata!", ADDRESS(INDEX($P$2:$P$1001,MATCH(ROWS($N$2:N849),$N$2:$N$1001,0),0), INDEX($U$1004:$AC$1004,1,MATCH(COLUMNS($U$1006:Y1006),$U$1006:$AC$1006,0)))),"Fix")))</f>
        <v>0</v>
      </c>
      <c r="G849" s="3">
        <f>IF(OR(INDEX($O$2:$O$1001,MATCH(ROWS($N$2:N849),$N$2:$N$1001,0),1)&gt;=100000,INDEX($U$1005:$AC$1005,1,MATCH(COLUMNS($U$1006:Z1006),$U$1006:$AC$1006,0))&gt;=100000), " ",IF(INDEX($U$2:$AC$1001,MATCH(ROWS($N$2:N849),$N$2:$N$1001,0),MATCH(COLUMNS($U$1006:Z1006),$U$1006:$AC$1006,0)), HYPERLINK("#",""), HYPERLINK(CONCATENATE("#metadata!", ADDRESS(INDEX($P$2:$P$1001,MATCH(ROWS($N$2:N849),$N$2:$N$1001,0),0), INDEX($U$1004:$AC$1004,1,MATCH(COLUMNS($U$1006:Z1006),$U$1006:$AC$1006,0)))),"Fix")))</f>
        <v>0</v>
      </c>
      <c r="H849" s="3">
        <f>IF(OR(INDEX($O$2:$O$1001,MATCH(ROWS($N$2:N849),$N$2:$N$1001,0),1)&gt;=100000,INDEX($U$1005:$AC$1005,1,MATCH(COLUMNS($U$1006:AA1006),$U$1006:$AC$1006,0))&gt;=100000), " ",IF(INDEX($U$2:$AC$1001,MATCH(ROWS($N$2:N849),$N$2:$N$1001,0),MATCH(COLUMNS($U$1006:AA1006),$U$1006:$AC$1006,0)), HYPERLINK("#",""), HYPERLINK(CONCATENATE("#metadata!", ADDRESS(INDEX($P$2:$P$1001,MATCH(ROWS($N$2:N849),$N$2:$N$1001,0),0), INDEX($U$1004:$AC$1004,1,MATCH(COLUMNS($U$1006:AA1006),$U$1006:$AC$1006,0)))),"Fix")))</f>
        <v>0</v>
      </c>
      <c r="I849" s="3">
        <f>IF(OR(INDEX($O$2:$O$1001,MATCH(ROWS($N$2:N849),$N$2:$N$1001,0),1)&gt;=100000,INDEX($U$1005:$AC$1005,1,MATCH(COLUMNS($U$1006:AB1006),$U$1006:$AC$1006,0))&gt;=100000), " ",IF(INDEX($U$2:$AC$1001,MATCH(ROWS($N$2:N849),$N$2:$N$1001,0),MATCH(COLUMNS($U$1006:AB1006),$U$1006:$AC$1006,0)), HYPERLINK("#",""), HYPERLINK(CONCATENATE("#metadata!", ADDRESS(INDEX($P$2:$P$1001,MATCH(ROWS($N$2:N849),$N$2:$N$1001,0),0), INDEX($U$1004:$AC$1004,1,MATCH(COLUMNS($U$1006:AB1006),$U$1006:$AC$1006,0)))),"Fix")))</f>
        <v>0</v>
      </c>
      <c r="J849" s="3">
        <f>IF(OR(INDEX($O$2:$O$1001,MATCH(ROWS($N$2:N849),$N$2:$N$1001,0),1)&gt;=100000,INDEX($U$1005:$AC$1005,1,MATCH(COLUMNS($U$1006:AC1006),$U$1006:$AC$1006,0))&gt;=100000), " ",IF(INDEX($U$2:$AC$1001,MATCH(ROWS($N$2:N849),$N$2:$N$1001,0),MATCH(COLUMNS($U$1006:AC1006),$U$1006:$AC$1006,0)), HYPERLINK("#",""), HYPERLINK(CONCATENATE("#metadata!", ADDRESS(INDEX($P$2:$P$1001,MATCH(ROWS($N$2:N849),$N$2:$N$1001,0),0), INDEX($U$1004:$AC$1004,1,MATCH(COLUMNS($U$1006:AC1006),$U$1006:$AC$1006,0)))),"Fix")))</f>
        <v>0</v>
      </c>
      <c r="N849">
        <v>0</v>
      </c>
      <c r="O849">
        <v>0</v>
      </c>
      <c r="P849">
        <v>0</v>
      </c>
      <c r="Q849">
        <f>IF(R849,TRUE,AND(U849:AC849))</f>
        <v>0</v>
      </c>
      <c r="R849">
        <f>COUNTBLANK(metadata!B849:J849)=COLUMNS(metadata!B849:J849)</f>
        <v>0</v>
      </c>
      <c r="S849">
        <v>0</v>
      </c>
      <c r="U849">
        <f>AND(IF(metadata!B849="",FALSE,TRUE),COUNTIF(metadata!B:B, metadata!B849) = 1,NOT(ISERROR(SUMPRODUCT(SEARCH(MID(metadata!B849,ROW(INDIRECT("1:"&amp;LEN(metadata!B849))), 1),"0123456789abcdefghijklmnopqrstuvwxyzABCDEFGHIJKLMNOPQRSTUVWXYZ.")))))</f>
        <v>0</v>
      </c>
      <c r="V849">
        <f>AND(IF(metadata!C849="",FALSE,TRUE),exact(metadata!C849,"UBERON:genitourinary"))</f>
        <v>0</v>
      </c>
      <c r="W849">
        <f>AND(IF(metadata!D849="",FALSE,TRUE),exact(metadata!D849,"UBERON:urine"))</f>
        <v>0</v>
      </c>
      <c r="X849">
        <f>AND(IF(metadata!E849="",FALSE,TRUE),exact(metadata!E849,"UBERON:kidney"))</f>
        <v>0</v>
      </c>
      <c r="Y849">
        <f>AND(IF(metadata!F849="",FALSE,TRUE),exact(metadata!F849,"animal corpus"))</f>
        <v>0</v>
      </c>
      <c r="Z849">
        <f>AND(IF(metadata!G849="",FALSE,TRUE),exact(metadata!G849,"urine"))</f>
        <v>0</v>
      </c>
      <c r="AA849">
        <f>AND(IF(metadata!H849="",FALSE,TRUE),exact(metadata!H849,"urine"))</f>
        <v>0</v>
      </c>
      <c r="AB849">
        <f>AND(IF(metadata!I849="",FALSE,TRUE),exact(metadata!I849,"urine metagenome"))</f>
        <v>0</v>
      </c>
      <c r="AC849">
        <f>AND(IF(metadata!J849="",FALSE,TRUE),exact(metadata!J849,"1346744"))</f>
        <v>0</v>
      </c>
    </row>
    <row r="850" spans="1:29">
      <c r="A850" s="4">
        <f>IF(B850=" "," ",HYPERLINK(CONCATENATE("#metadata!",ADDRESS(INDEX($P$2:$P$1001,MATCH(ROWS($N$2:N850),$N$2:$N$1001,0),0),1)),INDEX($S$2:$S$1001,MATCH(ROWS($N$2:N850),$N$2:$N$1001,0),0)))</f>
        <v>0</v>
      </c>
      <c r="B850" s="3">
        <f>IF(OR(INDEX($O$2:$O$1001,MATCH(ROWS($N$2:N850),$N$2:$N$1001,0),1)&gt;=100000,INDEX($U$1005:$AC$1005,1,MATCH(COLUMNS($U$1006:U1006),$U$1006:$AC$1006,0))&gt;=100000), " ",IF(INDEX($U$2:$AC$1001,MATCH(ROWS($N$2:N850),$N$2:$N$1001,0),MATCH(COLUMNS($U$1006:U1006),$U$1006:$AC$1006,0)), HYPERLINK("#",""), HYPERLINK(CONCATENATE("#metadata!", ADDRESS(INDEX($P$2:$P$1001,MATCH(ROWS($N$2:N850),$N$2:$N$1001,0),0), INDEX($U$1004:$AC$1004,1,MATCH(COLUMNS($U$1006:U1006),$U$1006:$AC$1006,0)))),"Fix")))</f>
        <v>0</v>
      </c>
      <c r="C850" s="3">
        <f>IF(OR(INDEX($O$2:$O$1001,MATCH(ROWS($N$2:N850),$N$2:$N$1001,0),1)&gt;=100000,INDEX($U$1005:$AC$1005,1,MATCH(COLUMNS($U$1006:V1006),$U$1006:$AC$1006,0))&gt;=100000), " ",IF(INDEX($U$2:$AC$1001,MATCH(ROWS($N$2:N850),$N$2:$N$1001,0),MATCH(COLUMNS($U$1006:V1006),$U$1006:$AC$1006,0)), HYPERLINK("#",""), HYPERLINK(CONCATENATE("#metadata!", ADDRESS(INDEX($P$2:$P$1001,MATCH(ROWS($N$2:N850),$N$2:$N$1001,0),0), INDEX($U$1004:$AC$1004,1,MATCH(COLUMNS($U$1006:V1006),$U$1006:$AC$1006,0)))),"Fix")))</f>
        <v>0</v>
      </c>
      <c r="D850" s="3">
        <f>IF(OR(INDEX($O$2:$O$1001,MATCH(ROWS($N$2:N850),$N$2:$N$1001,0),1)&gt;=100000,INDEX($U$1005:$AC$1005,1,MATCH(COLUMNS($U$1006:W1006),$U$1006:$AC$1006,0))&gt;=100000), " ",IF(INDEX($U$2:$AC$1001,MATCH(ROWS($N$2:N850),$N$2:$N$1001,0),MATCH(COLUMNS($U$1006:W1006),$U$1006:$AC$1006,0)), HYPERLINK("#",""), HYPERLINK(CONCATENATE("#metadata!", ADDRESS(INDEX($P$2:$P$1001,MATCH(ROWS($N$2:N850),$N$2:$N$1001,0),0), INDEX($U$1004:$AC$1004,1,MATCH(COLUMNS($U$1006:W1006),$U$1006:$AC$1006,0)))),"Fix")))</f>
        <v>0</v>
      </c>
      <c r="E850" s="3">
        <f>IF(OR(INDEX($O$2:$O$1001,MATCH(ROWS($N$2:N850),$N$2:$N$1001,0),1)&gt;=100000,INDEX($U$1005:$AC$1005,1,MATCH(COLUMNS($U$1006:X1006),$U$1006:$AC$1006,0))&gt;=100000), " ",IF(INDEX($U$2:$AC$1001,MATCH(ROWS($N$2:N850),$N$2:$N$1001,0),MATCH(COLUMNS($U$1006:X1006),$U$1006:$AC$1006,0)), HYPERLINK("#",""), HYPERLINK(CONCATENATE("#metadata!", ADDRESS(INDEX($P$2:$P$1001,MATCH(ROWS($N$2:N850),$N$2:$N$1001,0),0), INDEX($U$1004:$AC$1004,1,MATCH(COLUMNS($U$1006:X1006),$U$1006:$AC$1006,0)))),"Fix")))</f>
        <v>0</v>
      </c>
      <c r="F850" s="3">
        <f>IF(OR(INDEX($O$2:$O$1001,MATCH(ROWS($N$2:N850),$N$2:$N$1001,0),1)&gt;=100000,INDEX($U$1005:$AC$1005,1,MATCH(COLUMNS($U$1006:Y1006),$U$1006:$AC$1006,0))&gt;=100000), " ",IF(INDEX($U$2:$AC$1001,MATCH(ROWS($N$2:N850),$N$2:$N$1001,0),MATCH(COLUMNS($U$1006:Y1006),$U$1006:$AC$1006,0)), HYPERLINK("#",""), HYPERLINK(CONCATENATE("#metadata!", ADDRESS(INDEX($P$2:$P$1001,MATCH(ROWS($N$2:N850),$N$2:$N$1001,0),0), INDEX($U$1004:$AC$1004,1,MATCH(COLUMNS($U$1006:Y1006),$U$1006:$AC$1006,0)))),"Fix")))</f>
        <v>0</v>
      </c>
      <c r="G850" s="3">
        <f>IF(OR(INDEX($O$2:$O$1001,MATCH(ROWS($N$2:N850),$N$2:$N$1001,0),1)&gt;=100000,INDEX($U$1005:$AC$1005,1,MATCH(COLUMNS($U$1006:Z1006),$U$1006:$AC$1006,0))&gt;=100000), " ",IF(INDEX($U$2:$AC$1001,MATCH(ROWS($N$2:N850),$N$2:$N$1001,0),MATCH(COLUMNS($U$1006:Z1006),$U$1006:$AC$1006,0)), HYPERLINK("#",""), HYPERLINK(CONCATENATE("#metadata!", ADDRESS(INDEX($P$2:$P$1001,MATCH(ROWS($N$2:N850),$N$2:$N$1001,0),0), INDEX($U$1004:$AC$1004,1,MATCH(COLUMNS($U$1006:Z1006),$U$1006:$AC$1006,0)))),"Fix")))</f>
        <v>0</v>
      </c>
      <c r="H850" s="3">
        <f>IF(OR(INDEX($O$2:$O$1001,MATCH(ROWS($N$2:N850),$N$2:$N$1001,0),1)&gt;=100000,INDEX($U$1005:$AC$1005,1,MATCH(COLUMNS($U$1006:AA1006),$U$1006:$AC$1006,0))&gt;=100000), " ",IF(INDEX($U$2:$AC$1001,MATCH(ROWS($N$2:N850),$N$2:$N$1001,0),MATCH(COLUMNS($U$1006:AA1006),$U$1006:$AC$1006,0)), HYPERLINK("#",""), HYPERLINK(CONCATENATE("#metadata!", ADDRESS(INDEX($P$2:$P$1001,MATCH(ROWS($N$2:N850),$N$2:$N$1001,0),0), INDEX($U$1004:$AC$1004,1,MATCH(COLUMNS($U$1006:AA1006),$U$1006:$AC$1006,0)))),"Fix")))</f>
        <v>0</v>
      </c>
      <c r="I850" s="3">
        <f>IF(OR(INDEX($O$2:$O$1001,MATCH(ROWS($N$2:N850),$N$2:$N$1001,0),1)&gt;=100000,INDEX($U$1005:$AC$1005,1,MATCH(COLUMNS($U$1006:AB1006),$U$1006:$AC$1006,0))&gt;=100000), " ",IF(INDEX($U$2:$AC$1001,MATCH(ROWS($N$2:N850),$N$2:$N$1001,0),MATCH(COLUMNS($U$1006:AB1006),$U$1006:$AC$1006,0)), HYPERLINK("#",""), HYPERLINK(CONCATENATE("#metadata!", ADDRESS(INDEX($P$2:$P$1001,MATCH(ROWS($N$2:N850),$N$2:$N$1001,0),0), INDEX($U$1004:$AC$1004,1,MATCH(COLUMNS($U$1006:AB1006),$U$1006:$AC$1006,0)))),"Fix")))</f>
        <v>0</v>
      </c>
      <c r="J850" s="3">
        <f>IF(OR(INDEX($O$2:$O$1001,MATCH(ROWS($N$2:N850),$N$2:$N$1001,0),1)&gt;=100000,INDEX($U$1005:$AC$1005,1,MATCH(COLUMNS($U$1006:AC1006),$U$1006:$AC$1006,0))&gt;=100000), " ",IF(INDEX($U$2:$AC$1001,MATCH(ROWS($N$2:N850),$N$2:$N$1001,0),MATCH(COLUMNS($U$1006:AC1006),$U$1006:$AC$1006,0)), HYPERLINK("#",""), HYPERLINK(CONCATENATE("#metadata!", ADDRESS(INDEX($P$2:$P$1001,MATCH(ROWS($N$2:N850),$N$2:$N$1001,0),0), INDEX($U$1004:$AC$1004,1,MATCH(COLUMNS($U$1006:AC1006),$U$1006:$AC$1006,0)))),"Fix")))</f>
        <v>0</v>
      </c>
      <c r="N850">
        <v>0</v>
      </c>
      <c r="O850">
        <v>0</v>
      </c>
      <c r="P850">
        <v>0</v>
      </c>
      <c r="Q850">
        <f>IF(R850,TRUE,AND(U850:AC850))</f>
        <v>0</v>
      </c>
      <c r="R850">
        <f>COUNTBLANK(metadata!B850:J850)=COLUMNS(metadata!B850:J850)</f>
        <v>0</v>
      </c>
      <c r="S850">
        <v>0</v>
      </c>
      <c r="U850">
        <f>AND(IF(metadata!B850="",FALSE,TRUE),COUNTIF(metadata!B:B, metadata!B850) = 1,NOT(ISERROR(SUMPRODUCT(SEARCH(MID(metadata!B850,ROW(INDIRECT("1:"&amp;LEN(metadata!B850))), 1),"0123456789abcdefghijklmnopqrstuvwxyzABCDEFGHIJKLMNOPQRSTUVWXYZ.")))))</f>
        <v>0</v>
      </c>
      <c r="V850">
        <f>AND(IF(metadata!C850="",FALSE,TRUE),exact(metadata!C850,"UBERON:genitourinary"))</f>
        <v>0</v>
      </c>
      <c r="W850">
        <f>AND(IF(metadata!D850="",FALSE,TRUE),exact(metadata!D850,"UBERON:urine"))</f>
        <v>0</v>
      </c>
      <c r="X850">
        <f>AND(IF(metadata!E850="",FALSE,TRUE),exact(metadata!E850,"UBERON:kidney"))</f>
        <v>0</v>
      </c>
      <c r="Y850">
        <f>AND(IF(metadata!F850="",FALSE,TRUE),exact(metadata!F850,"animal corpus"))</f>
        <v>0</v>
      </c>
      <c r="Z850">
        <f>AND(IF(metadata!G850="",FALSE,TRUE),exact(metadata!G850,"urine"))</f>
        <v>0</v>
      </c>
      <c r="AA850">
        <f>AND(IF(metadata!H850="",FALSE,TRUE),exact(metadata!H850,"urine"))</f>
        <v>0</v>
      </c>
      <c r="AB850">
        <f>AND(IF(metadata!I850="",FALSE,TRUE),exact(metadata!I850,"urine metagenome"))</f>
        <v>0</v>
      </c>
      <c r="AC850">
        <f>AND(IF(metadata!J850="",FALSE,TRUE),exact(metadata!J850,"1346744"))</f>
        <v>0</v>
      </c>
    </row>
    <row r="851" spans="1:29">
      <c r="A851" s="4">
        <f>IF(B851=" "," ",HYPERLINK(CONCATENATE("#metadata!",ADDRESS(INDEX($P$2:$P$1001,MATCH(ROWS($N$2:N851),$N$2:$N$1001,0),0),1)),INDEX($S$2:$S$1001,MATCH(ROWS($N$2:N851),$N$2:$N$1001,0),0)))</f>
        <v>0</v>
      </c>
      <c r="B851" s="3">
        <f>IF(OR(INDEX($O$2:$O$1001,MATCH(ROWS($N$2:N851),$N$2:$N$1001,0),1)&gt;=100000,INDEX($U$1005:$AC$1005,1,MATCH(COLUMNS($U$1006:U1006),$U$1006:$AC$1006,0))&gt;=100000), " ",IF(INDEX($U$2:$AC$1001,MATCH(ROWS($N$2:N851),$N$2:$N$1001,0),MATCH(COLUMNS($U$1006:U1006),$U$1006:$AC$1006,0)), HYPERLINK("#",""), HYPERLINK(CONCATENATE("#metadata!", ADDRESS(INDEX($P$2:$P$1001,MATCH(ROWS($N$2:N851),$N$2:$N$1001,0),0), INDEX($U$1004:$AC$1004,1,MATCH(COLUMNS($U$1006:U1006),$U$1006:$AC$1006,0)))),"Fix")))</f>
        <v>0</v>
      </c>
      <c r="C851" s="3">
        <f>IF(OR(INDEX($O$2:$O$1001,MATCH(ROWS($N$2:N851),$N$2:$N$1001,0),1)&gt;=100000,INDEX($U$1005:$AC$1005,1,MATCH(COLUMNS($U$1006:V1006),$U$1006:$AC$1006,0))&gt;=100000), " ",IF(INDEX($U$2:$AC$1001,MATCH(ROWS($N$2:N851),$N$2:$N$1001,0),MATCH(COLUMNS($U$1006:V1006),$U$1006:$AC$1006,0)), HYPERLINK("#",""), HYPERLINK(CONCATENATE("#metadata!", ADDRESS(INDEX($P$2:$P$1001,MATCH(ROWS($N$2:N851),$N$2:$N$1001,0),0), INDEX($U$1004:$AC$1004,1,MATCH(COLUMNS($U$1006:V1006),$U$1006:$AC$1006,0)))),"Fix")))</f>
        <v>0</v>
      </c>
      <c r="D851" s="3">
        <f>IF(OR(INDEX($O$2:$O$1001,MATCH(ROWS($N$2:N851),$N$2:$N$1001,0),1)&gt;=100000,INDEX($U$1005:$AC$1005,1,MATCH(COLUMNS($U$1006:W1006),$U$1006:$AC$1006,0))&gt;=100000), " ",IF(INDEX($U$2:$AC$1001,MATCH(ROWS($N$2:N851),$N$2:$N$1001,0),MATCH(COLUMNS($U$1006:W1006),$U$1006:$AC$1006,0)), HYPERLINK("#",""), HYPERLINK(CONCATENATE("#metadata!", ADDRESS(INDEX($P$2:$P$1001,MATCH(ROWS($N$2:N851),$N$2:$N$1001,0),0), INDEX($U$1004:$AC$1004,1,MATCH(COLUMNS($U$1006:W1006),$U$1006:$AC$1006,0)))),"Fix")))</f>
        <v>0</v>
      </c>
      <c r="E851" s="3">
        <f>IF(OR(INDEX($O$2:$O$1001,MATCH(ROWS($N$2:N851),$N$2:$N$1001,0),1)&gt;=100000,INDEX($U$1005:$AC$1005,1,MATCH(COLUMNS($U$1006:X1006),$U$1006:$AC$1006,0))&gt;=100000), " ",IF(INDEX($U$2:$AC$1001,MATCH(ROWS($N$2:N851),$N$2:$N$1001,0),MATCH(COLUMNS($U$1006:X1006),$U$1006:$AC$1006,0)), HYPERLINK("#",""), HYPERLINK(CONCATENATE("#metadata!", ADDRESS(INDEX($P$2:$P$1001,MATCH(ROWS($N$2:N851),$N$2:$N$1001,0),0), INDEX($U$1004:$AC$1004,1,MATCH(COLUMNS($U$1006:X1006),$U$1006:$AC$1006,0)))),"Fix")))</f>
        <v>0</v>
      </c>
      <c r="F851" s="3">
        <f>IF(OR(INDEX($O$2:$O$1001,MATCH(ROWS($N$2:N851),$N$2:$N$1001,0),1)&gt;=100000,INDEX($U$1005:$AC$1005,1,MATCH(COLUMNS($U$1006:Y1006),$U$1006:$AC$1006,0))&gt;=100000), " ",IF(INDEX($U$2:$AC$1001,MATCH(ROWS($N$2:N851),$N$2:$N$1001,0),MATCH(COLUMNS($U$1006:Y1006),$U$1006:$AC$1006,0)), HYPERLINK("#",""), HYPERLINK(CONCATENATE("#metadata!", ADDRESS(INDEX($P$2:$P$1001,MATCH(ROWS($N$2:N851),$N$2:$N$1001,0),0), INDEX($U$1004:$AC$1004,1,MATCH(COLUMNS($U$1006:Y1006),$U$1006:$AC$1006,0)))),"Fix")))</f>
        <v>0</v>
      </c>
      <c r="G851" s="3">
        <f>IF(OR(INDEX($O$2:$O$1001,MATCH(ROWS($N$2:N851),$N$2:$N$1001,0),1)&gt;=100000,INDEX($U$1005:$AC$1005,1,MATCH(COLUMNS($U$1006:Z1006),$U$1006:$AC$1006,0))&gt;=100000), " ",IF(INDEX($U$2:$AC$1001,MATCH(ROWS($N$2:N851),$N$2:$N$1001,0),MATCH(COLUMNS($U$1006:Z1006),$U$1006:$AC$1006,0)), HYPERLINK("#",""), HYPERLINK(CONCATENATE("#metadata!", ADDRESS(INDEX($P$2:$P$1001,MATCH(ROWS($N$2:N851),$N$2:$N$1001,0),0), INDEX($U$1004:$AC$1004,1,MATCH(COLUMNS($U$1006:Z1006),$U$1006:$AC$1006,0)))),"Fix")))</f>
        <v>0</v>
      </c>
      <c r="H851" s="3">
        <f>IF(OR(INDEX($O$2:$O$1001,MATCH(ROWS($N$2:N851),$N$2:$N$1001,0),1)&gt;=100000,INDEX($U$1005:$AC$1005,1,MATCH(COLUMNS($U$1006:AA1006),$U$1006:$AC$1006,0))&gt;=100000), " ",IF(INDEX($U$2:$AC$1001,MATCH(ROWS($N$2:N851),$N$2:$N$1001,0),MATCH(COLUMNS($U$1006:AA1006),$U$1006:$AC$1006,0)), HYPERLINK("#",""), HYPERLINK(CONCATENATE("#metadata!", ADDRESS(INDEX($P$2:$P$1001,MATCH(ROWS($N$2:N851),$N$2:$N$1001,0),0), INDEX($U$1004:$AC$1004,1,MATCH(COLUMNS($U$1006:AA1006),$U$1006:$AC$1006,0)))),"Fix")))</f>
        <v>0</v>
      </c>
      <c r="I851" s="3">
        <f>IF(OR(INDEX($O$2:$O$1001,MATCH(ROWS($N$2:N851),$N$2:$N$1001,0),1)&gt;=100000,INDEX($U$1005:$AC$1005,1,MATCH(COLUMNS($U$1006:AB1006),$U$1006:$AC$1006,0))&gt;=100000), " ",IF(INDEX($U$2:$AC$1001,MATCH(ROWS($N$2:N851),$N$2:$N$1001,0),MATCH(COLUMNS($U$1006:AB1006),$U$1006:$AC$1006,0)), HYPERLINK("#",""), HYPERLINK(CONCATENATE("#metadata!", ADDRESS(INDEX($P$2:$P$1001,MATCH(ROWS($N$2:N851),$N$2:$N$1001,0),0), INDEX($U$1004:$AC$1004,1,MATCH(COLUMNS($U$1006:AB1006),$U$1006:$AC$1006,0)))),"Fix")))</f>
        <v>0</v>
      </c>
      <c r="J851" s="3">
        <f>IF(OR(INDEX($O$2:$O$1001,MATCH(ROWS($N$2:N851),$N$2:$N$1001,0),1)&gt;=100000,INDEX($U$1005:$AC$1005,1,MATCH(COLUMNS($U$1006:AC1006),$U$1006:$AC$1006,0))&gt;=100000), " ",IF(INDEX($U$2:$AC$1001,MATCH(ROWS($N$2:N851),$N$2:$N$1001,0),MATCH(COLUMNS($U$1006:AC1006),$U$1006:$AC$1006,0)), HYPERLINK("#",""), HYPERLINK(CONCATENATE("#metadata!", ADDRESS(INDEX($P$2:$P$1001,MATCH(ROWS($N$2:N851),$N$2:$N$1001,0),0), INDEX($U$1004:$AC$1004,1,MATCH(COLUMNS($U$1006:AC1006),$U$1006:$AC$1006,0)))),"Fix")))</f>
        <v>0</v>
      </c>
      <c r="N851">
        <v>0</v>
      </c>
      <c r="O851">
        <v>0</v>
      </c>
      <c r="P851">
        <v>0</v>
      </c>
      <c r="Q851">
        <f>IF(R851,TRUE,AND(U851:AC851))</f>
        <v>0</v>
      </c>
      <c r="R851">
        <f>COUNTBLANK(metadata!B851:J851)=COLUMNS(metadata!B851:J851)</f>
        <v>0</v>
      </c>
      <c r="S851">
        <v>0</v>
      </c>
      <c r="U851">
        <f>AND(IF(metadata!B851="",FALSE,TRUE),COUNTIF(metadata!B:B, metadata!B851) = 1,NOT(ISERROR(SUMPRODUCT(SEARCH(MID(metadata!B851,ROW(INDIRECT("1:"&amp;LEN(metadata!B851))), 1),"0123456789abcdefghijklmnopqrstuvwxyzABCDEFGHIJKLMNOPQRSTUVWXYZ.")))))</f>
        <v>0</v>
      </c>
      <c r="V851">
        <f>AND(IF(metadata!C851="",FALSE,TRUE),exact(metadata!C851,"UBERON:genitourinary"))</f>
        <v>0</v>
      </c>
      <c r="W851">
        <f>AND(IF(metadata!D851="",FALSE,TRUE),exact(metadata!D851,"UBERON:urine"))</f>
        <v>0</v>
      </c>
      <c r="X851">
        <f>AND(IF(metadata!E851="",FALSE,TRUE),exact(metadata!E851,"UBERON:kidney"))</f>
        <v>0</v>
      </c>
      <c r="Y851">
        <f>AND(IF(metadata!F851="",FALSE,TRUE),exact(metadata!F851,"animal corpus"))</f>
        <v>0</v>
      </c>
      <c r="Z851">
        <f>AND(IF(metadata!G851="",FALSE,TRUE),exact(metadata!G851,"urine"))</f>
        <v>0</v>
      </c>
      <c r="AA851">
        <f>AND(IF(metadata!H851="",FALSE,TRUE),exact(metadata!H851,"urine"))</f>
        <v>0</v>
      </c>
      <c r="AB851">
        <f>AND(IF(metadata!I851="",FALSE,TRUE),exact(metadata!I851,"urine metagenome"))</f>
        <v>0</v>
      </c>
      <c r="AC851">
        <f>AND(IF(metadata!J851="",FALSE,TRUE),exact(metadata!J851,"1346744"))</f>
        <v>0</v>
      </c>
    </row>
    <row r="852" spans="1:29">
      <c r="A852" s="4">
        <f>IF(B852=" "," ",HYPERLINK(CONCATENATE("#metadata!",ADDRESS(INDEX($P$2:$P$1001,MATCH(ROWS($N$2:N852),$N$2:$N$1001,0),0),1)),INDEX($S$2:$S$1001,MATCH(ROWS($N$2:N852),$N$2:$N$1001,0),0)))</f>
        <v>0</v>
      </c>
      <c r="B852" s="3">
        <f>IF(OR(INDEX($O$2:$O$1001,MATCH(ROWS($N$2:N852),$N$2:$N$1001,0),1)&gt;=100000,INDEX($U$1005:$AC$1005,1,MATCH(COLUMNS($U$1006:U1006),$U$1006:$AC$1006,0))&gt;=100000), " ",IF(INDEX($U$2:$AC$1001,MATCH(ROWS($N$2:N852),$N$2:$N$1001,0),MATCH(COLUMNS($U$1006:U1006),$U$1006:$AC$1006,0)), HYPERLINK("#",""), HYPERLINK(CONCATENATE("#metadata!", ADDRESS(INDEX($P$2:$P$1001,MATCH(ROWS($N$2:N852),$N$2:$N$1001,0),0), INDEX($U$1004:$AC$1004,1,MATCH(COLUMNS($U$1006:U1006),$U$1006:$AC$1006,0)))),"Fix")))</f>
        <v>0</v>
      </c>
      <c r="C852" s="3">
        <f>IF(OR(INDEX($O$2:$O$1001,MATCH(ROWS($N$2:N852),$N$2:$N$1001,0),1)&gt;=100000,INDEX($U$1005:$AC$1005,1,MATCH(COLUMNS($U$1006:V1006),$U$1006:$AC$1006,0))&gt;=100000), " ",IF(INDEX($U$2:$AC$1001,MATCH(ROWS($N$2:N852),$N$2:$N$1001,0),MATCH(COLUMNS($U$1006:V1006),$U$1006:$AC$1006,0)), HYPERLINK("#",""), HYPERLINK(CONCATENATE("#metadata!", ADDRESS(INDEX($P$2:$P$1001,MATCH(ROWS($N$2:N852),$N$2:$N$1001,0),0), INDEX($U$1004:$AC$1004,1,MATCH(COLUMNS($U$1006:V1006),$U$1006:$AC$1006,0)))),"Fix")))</f>
        <v>0</v>
      </c>
      <c r="D852" s="3">
        <f>IF(OR(INDEX($O$2:$O$1001,MATCH(ROWS($N$2:N852),$N$2:$N$1001,0),1)&gt;=100000,INDEX($U$1005:$AC$1005,1,MATCH(COLUMNS($U$1006:W1006),$U$1006:$AC$1006,0))&gt;=100000), " ",IF(INDEX($U$2:$AC$1001,MATCH(ROWS($N$2:N852),$N$2:$N$1001,0),MATCH(COLUMNS($U$1006:W1006),$U$1006:$AC$1006,0)), HYPERLINK("#",""), HYPERLINK(CONCATENATE("#metadata!", ADDRESS(INDEX($P$2:$P$1001,MATCH(ROWS($N$2:N852),$N$2:$N$1001,0),0), INDEX($U$1004:$AC$1004,1,MATCH(COLUMNS($U$1006:W1006),$U$1006:$AC$1006,0)))),"Fix")))</f>
        <v>0</v>
      </c>
      <c r="E852" s="3">
        <f>IF(OR(INDEX($O$2:$O$1001,MATCH(ROWS($N$2:N852),$N$2:$N$1001,0),1)&gt;=100000,INDEX($U$1005:$AC$1005,1,MATCH(COLUMNS($U$1006:X1006),$U$1006:$AC$1006,0))&gt;=100000), " ",IF(INDEX($U$2:$AC$1001,MATCH(ROWS($N$2:N852),$N$2:$N$1001,0),MATCH(COLUMNS($U$1006:X1006),$U$1006:$AC$1006,0)), HYPERLINK("#",""), HYPERLINK(CONCATENATE("#metadata!", ADDRESS(INDEX($P$2:$P$1001,MATCH(ROWS($N$2:N852),$N$2:$N$1001,0),0), INDEX($U$1004:$AC$1004,1,MATCH(COLUMNS($U$1006:X1006),$U$1006:$AC$1006,0)))),"Fix")))</f>
        <v>0</v>
      </c>
      <c r="F852" s="3">
        <f>IF(OR(INDEX($O$2:$O$1001,MATCH(ROWS($N$2:N852),$N$2:$N$1001,0),1)&gt;=100000,INDEX($U$1005:$AC$1005,1,MATCH(COLUMNS($U$1006:Y1006),$U$1006:$AC$1006,0))&gt;=100000), " ",IF(INDEX($U$2:$AC$1001,MATCH(ROWS($N$2:N852),$N$2:$N$1001,0),MATCH(COLUMNS($U$1006:Y1006),$U$1006:$AC$1006,0)), HYPERLINK("#",""), HYPERLINK(CONCATENATE("#metadata!", ADDRESS(INDEX($P$2:$P$1001,MATCH(ROWS($N$2:N852),$N$2:$N$1001,0),0), INDEX($U$1004:$AC$1004,1,MATCH(COLUMNS($U$1006:Y1006),$U$1006:$AC$1006,0)))),"Fix")))</f>
        <v>0</v>
      </c>
      <c r="G852" s="3">
        <f>IF(OR(INDEX($O$2:$O$1001,MATCH(ROWS($N$2:N852),$N$2:$N$1001,0),1)&gt;=100000,INDEX($U$1005:$AC$1005,1,MATCH(COLUMNS($U$1006:Z1006),$U$1006:$AC$1006,0))&gt;=100000), " ",IF(INDEX($U$2:$AC$1001,MATCH(ROWS($N$2:N852),$N$2:$N$1001,0),MATCH(COLUMNS($U$1006:Z1006),$U$1006:$AC$1006,0)), HYPERLINK("#",""), HYPERLINK(CONCATENATE("#metadata!", ADDRESS(INDEX($P$2:$P$1001,MATCH(ROWS($N$2:N852),$N$2:$N$1001,0),0), INDEX($U$1004:$AC$1004,1,MATCH(COLUMNS($U$1006:Z1006),$U$1006:$AC$1006,0)))),"Fix")))</f>
        <v>0</v>
      </c>
      <c r="H852" s="3">
        <f>IF(OR(INDEX($O$2:$O$1001,MATCH(ROWS($N$2:N852),$N$2:$N$1001,0),1)&gt;=100000,INDEX($U$1005:$AC$1005,1,MATCH(COLUMNS($U$1006:AA1006),$U$1006:$AC$1006,0))&gt;=100000), " ",IF(INDEX($U$2:$AC$1001,MATCH(ROWS($N$2:N852),$N$2:$N$1001,0),MATCH(COLUMNS($U$1006:AA1006),$U$1006:$AC$1006,0)), HYPERLINK("#",""), HYPERLINK(CONCATENATE("#metadata!", ADDRESS(INDEX($P$2:$P$1001,MATCH(ROWS($N$2:N852),$N$2:$N$1001,0),0), INDEX($U$1004:$AC$1004,1,MATCH(COLUMNS($U$1006:AA1006),$U$1006:$AC$1006,0)))),"Fix")))</f>
        <v>0</v>
      </c>
      <c r="I852" s="3">
        <f>IF(OR(INDEX($O$2:$O$1001,MATCH(ROWS($N$2:N852),$N$2:$N$1001,0),1)&gt;=100000,INDEX($U$1005:$AC$1005,1,MATCH(COLUMNS($U$1006:AB1006),$U$1006:$AC$1006,0))&gt;=100000), " ",IF(INDEX($U$2:$AC$1001,MATCH(ROWS($N$2:N852),$N$2:$N$1001,0),MATCH(COLUMNS($U$1006:AB1006),$U$1006:$AC$1006,0)), HYPERLINK("#",""), HYPERLINK(CONCATENATE("#metadata!", ADDRESS(INDEX($P$2:$P$1001,MATCH(ROWS($N$2:N852),$N$2:$N$1001,0),0), INDEX($U$1004:$AC$1004,1,MATCH(COLUMNS($U$1006:AB1006),$U$1006:$AC$1006,0)))),"Fix")))</f>
        <v>0</v>
      </c>
      <c r="J852" s="3">
        <f>IF(OR(INDEX($O$2:$O$1001,MATCH(ROWS($N$2:N852),$N$2:$N$1001,0),1)&gt;=100000,INDEX($U$1005:$AC$1005,1,MATCH(COLUMNS($U$1006:AC1006),$U$1006:$AC$1006,0))&gt;=100000), " ",IF(INDEX($U$2:$AC$1001,MATCH(ROWS($N$2:N852),$N$2:$N$1001,0),MATCH(COLUMNS($U$1006:AC1006),$U$1006:$AC$1006,0)), HYPERLINK("#",""), HYPERLINK(CONCATENATE("#metadata!", ADDRESS(INDEX($P$2:$P$1001,MATCH(ROWS($N$2:N852),$N$2:$N$1001,0),0), INDEX($U$1004:$AC$1004,1,MATCH(COLUMNS($U$1006:AC1006),$U$1006:$AC$1006,0)))),"Fix")))</f>
        <v>0</v>
      </c>
      <c r="N852">
        <v>0</v>
      </c>
      <c r="O852">
        <v>0</v>
      </c>
      <c r="P852">
        <v>0</v>
      </c>
      <c r="Q852">
        <f>IF(R852,TRUE,AND(U852:AC852))</f>
        <v>0</v>
      </c>
      <c r="R852">
        <f>COUNTBLANK(metadata!B852:J852)=COLUMNS(metadata!B852:J852)</f>
        <v>0</v>
      </c>
      <c r="S852">
        <v>0</v>
      </c>
      <c r="U852">
        <f>AND(IF(metadata!B852="",FALSE,TRUE),COUNTIF(metadata!B:B, metadata!B852) = 1,NOT(ISERROR(SUMPRODUCT(SEARCH(MID(metadata!B852,ROW(INDIRECT("1:"&amp;LEN(metadata!B852))), 1),"0123456789abcdefghijklmnopqrstuvwxyzABCDEFGHIJKLMNOPQRSTUVWXYZ.")))))</f>
        <v>0</v>
      </c>
      <c r="V852">
        <f>AND(IF(metadata!C852="",FALSE,TRUE),exact(metadata!C852,"UBERON:genitourinary"))</f>
        <v>0</v>
      </c>
      <c r="W852">
        <f>AND(IF(metadata!D852="",FALSE,TRUE),exact(metadata!D852,"UBERON:urine"))</f>
        <v>0</v>
      </c>
      <c r="X852">
        <f>AND(IF(metadata!E852="",FALSE,TRUE),exact(metadata!E852,"UBERON:kidney"))</f>
        <v>0</v>
      </c>
      <c r="Y852">
        <f>AND(IF(metadata!F852="",FALSE,TRUE),exact(metadata!F852,"animal corpus"))</f>
        <v>0</v>
      </c>
      <c r="Z852">
        <f>AND(IF(metadata!G852="",FALSE,TRUE),exact(metadata!G852,"urine"))</f>
        <v>0</v>
      </c>
      <c r="AA852">
        <f>AND(IF(metadata!H852="",FALSE,TRUE),exact(metadata!H852,"urine"))</f>
        <v>0</v>
      </c>
      <c r="AB852">
        <f>AND(IF(metadata!I852="",FALSE,TRUE),exact(metadata!I852,"urine metagenome"))</f>
        <v>0</v>
      </c>
      <c r="AC852">
        <f>AND(IF(metadata!J852="",FALSE,TRUE),exact(metadata!J852,"1346744"))</f>
        <v>0</v>
      </c>
    </row>
    <row r="853" spans="1:29">
      <c r="A853" s="4">
        <f>IF(B853=" "," ",HYPERLINK(CONCATENATE("#metadata!",ADDRESS(INDEX($P$2:$P$1001,MATCH(ROWS($N$2:N853),$N$2:$N$1001,0),0),1)),INDEX($S$2:$S$1001,MATCH(ROWS($N$2:N853),$N$2:$N$1001,0),0)))</f>
        <v>0</v>
      </c>
      <c r="B853" s="3">
        <f>IF(OR(INDEX($O$2:$O$1001,MATCH(ROWS($N$2:N853),$N$2:$N$1001,0),1)&gt;=100000,INDEX($U$1005:$AC$1005,1,MATCH(COLUMNS($U$1006:U1006),$U$1006:$AC$1006,0))&gt;=100000), " ",IF(INDEX($U$2:$AC$1001,MATCH(ROWS($N$2:N853),$N$2:$N$1001,0),MATCH(COLUMNS($U$1006:U1006),$U$1006:$AC$1006,0)), HYPERLINK("#",""), HYPERLINK(CONCATENATE("#metadata!", ADDRESS(INDEX($P$2:$P$1001,MATCH(ROWS($N$2:N853),$N$2:$N$1001,0),0), INDEX($U$1004:$AC$1004,1,MATCH(COLUMNS($U$1006:U1006),$U$1006:$AC$1006,0)))),"Fix")))</f>
        <v>0</v>
      </c>
      <c r="C853" s="3">
        <f>IF(OR(INDEX($O$2:$O$1001,MATCH(ROWS($N$2:N853),$N$2:$N$1001,0),1)&gt;=100000,INDEX($U$1005:$AC$1005,1,MATCH(COLUMNS($U$1006:V1006),$U$1006:$AC$1006,0))&gt;=100000), " ",IF(INDEX($U$2:$AC$1001,MATCH(ROWS($N$2:N853),$N$2:$N$1001,0),MATCH(COLUMNS($U$1006:V1006),$U$1006:$AC$1006,0)), HYPERLINK("#",""), HYPERLINK(CONCATENATE("#metadata!", ADDRESS(INDEX($P$2:$P$1001,MATCH(ROWS($N$2:N853),$N$2:$N$1001,0),0), INDEX($U$1004:$AC$1004,1,MATCH(COLUMNS($U$1006:V1006),$U$1006:$AC$1006,0)))),"Fix")))</f>
        <v>0</v>
      </c>
      <c r="D853" s="3">
        <f>IF(OR(INDEX($O$2:$O$1001,MATCH(ROWS($N$2:N853),$N$2:$N$1001,0),1)&gt;=100000,INDEX($U$1005:$AC$1005,1,MATCH(COLUMNS($U$1006:W1006),$U$1006:$AC$1006,0))&gt;=100000), " ",IF(INDEX($U$2:$AC$1001,MATCH(ROWS($N$2:N853),$N$2:$N$1001,0),MATCH(COLUMNS($U$1006:W1006),$U$1006:$AC$1006,0)), HYPERLINK("#",""), HYPERLINK(CONCATENATE("#metadata!", ADDRESS(INDEX($P$2:$P$1001,MATCH(ROWS($N$2:N853),$N$2:$N$1001,0),0), INDEX($U$1004:$AC$1004,1,MATCH(COLUMNS($U$1006:W1006),$U$1006:$AC$1006,0)))),"Fix")))</f>
        <v>0</v>
      </c>
      <c r="E853" s="3">
        <f>IF(OR(INDEX($O$2:$O$1001,MATCH(ROWS($N$2:N853),$N$2:$N$1001,0),1)&gt;=100000,INDEX($U$1005:$AC$1005,1,MATCH(COLUMNS($U$1006:X1006),$U$1006:$AC$1006,0))&gt;=100000), " ",IF(INDEX($U$2:$AC$1001,MATCH(ROWS($N$2:N853),$N$2:$N$1001,0),MATCH(COLUMNS($U$1006:X1006),$U$1006:$AC$1006,0)), HYPERLINK("#",""), HYPERLINK(CONCATENATE("#metadata!", ADDRESS(INDEX($P$2:$P$1001,MATCH(ROWS($N$2:N853),$N$2:$N$1001,0),0), INDEX($U$1004:$AC$1004,1,MATCH(COLUMNS($U$1006:X1006),$U$1006:$AC$1006,0)))),"Fix")))</f>
        <v>0</v>
      </c>
      <c r="F853" s="3">
        <f>IF(OR(INDEX($O$2:$O$1001,MATCH(ROWS($N$2:N853),$N$2:$N$1001,0),1)&gt;=100000,INDEX($U$1005:$AC$1005,1,MATCH(COLUMNS($U$1006:Y1006),$U$1006:$AC$1006,0))&gt;=100000), " ",IF(INDEX($U$2:$AC$1001,MATCH(ROWS($N$2:N853),$N$2:$N$1001,0),MATCH(COLUMNS($U$1006:Y1006),$U$1006:$AC$1006,0)), HYPERLINK("#",""), HYPERLINK(CONCATENATE("#metadata!", ADDRESS(INDEX($P$2:$P$1001,MATCH(ROWS($N$2:N853),$N$2:$N$1001,0),0), INDEX($U$1004:$AC$1004,1,MATCH(COLUMNS($U$1006:Y1006),$U$1006:$AC$1006,0)))),"Fix")))</f>
        <v>0</v>
      </c>
      <c r="G853" s="3">
        <f>IF(OR(INDEX($O$2:$O$1001,MATCH(ROWS($N$2:N853),$N$2:$N$1001,0),1)&gt;=100000,INDEX($U$1005:$AC$1005,1,MATCH(COLUMNS($U$1006:Z1006),$U$1006:$AC$1006,0))&gt;=100000), " ",IF(INDEX($U$2:$AC$1001,MATCH(ROWS($N$2:N853),$N$2:$N$1001,0),MATCH(COLUMNS($U$1006:Z1006),$U$1006:$AC$1006,0)), HYPERLINK("#",""), HYPERLINK(CONCATENATE("#metadata!", ADDRESS(INDEX($P$2:$P$1001,MATCH(ROWS($N$2:N853),$N$2:$N$1001,0),0), INDEX($U$1004:$AC$1004,1,MATCH(COLUMNS($U$1006:Z1006),$U$1006:$AC$1006,0)))),"Fix")))</f>
        <v>0</v>
      </c>
      <c r="H853" s="3">
        <f>IF(OR(INDEX($O$2:$O$1001,MATCH(ROWS($N$2:N853),$N$2:$N$1001,0),1)&gt;=100000,INDEX($U$1005:$AC$1005,1,MATCH(COLUMNS($U$1006:AA1006),$U$1006:$AC$1006,0))&gt;=100000), " ",IF(INDEX($U$2:$AC$1001,MATCH(ROWS($N$2:N853),$N$2:$N$1001,0),MATCH(COLUMNS($U$1006:AA1006),$U$1006:$AC$1006,0)), HYPERLINK("#",""), HYPERLINK(CONCATENATE("#metadata!", ADDRESS(INDEX($P$2:$P$1001,MATCH(ROWS($N$2:N853),$N$2:$N$1001,0),0), INDEX($U$1004:$AC$1004,1,MATCH(COLUMNS($U$1006:AA1006),$U$1006:$AC$1006,0)))),"Fix")))</f>
        <v>0</v>
      </c>
      <c r="I853" s="3">
        <f>IF(OR(INDEX($O$2:$O$1001,MATCH(ROWS($N$2:N853),$N$2:$N$1001,0),1)&gt;=100000,INDEX($U$1005:$AC$1005,1,MATCH(COLUMNS($U$1006:AB1006),$U$1006:$AC$1006,0))&gt;=100000), " ",IF(INDEX($U$2:$AC$1001,MATCH(ROWS($N$2:N853),$N$2:$N$1001,0),MATCH(COLUMNS($U$1006:AB1006),$U$1006:$AC$1006,0)), HYPERLINK("#",""), HYPERLINK(CONCATENATE("#metadata!", ADDRESS(INDEX($P$2:$P$1001,MATCH(ROWS($N$2:N853),$N$2:$N$1001,0),0), INDEX($U$1004:$AC$1004,1,MATCH(COLUMNS($U$1006:AB1006),$U$1006:$AC$1006,0)))),"Fix")))</f>
        <v>0</v>
      </c>
      <c r="J853" s="3">
        <f>IF(OR(INDEX($O$2:$O$1001,MATCH(ROWS($N$2:N853),$N$2:$N$1001,0),1)&gt;=100000,INDEX($U$1005:$AC$1005,1,MATCH(COLUMNS($U$1006:AC1006),$U$1006:$AC$1006,0))&gt;=100000), " ",IF(INDEX($U$2:$AC$1001,MATCH(ROWS($N$2:N853),$N$2:$N$1001,0),MATCH(COLUMNS($U$1006:AC1006),$U$1006:$AC$1006,0)), HYPERLINK("#",""), HYPERLINK(CONCATENATE("#metadata!", ADDRESS(INDEX($P$2:$P$1001,MATCH(ROWS($N$2:N853),$N$2:$N$1001,0),0), INDEX($U$1004:$AC$1004,1,MATCH(COLUMNS($U$1006:AC1006),$U$1006:$AC$1006,0)))),"Fix")))</f>
        <v>0</v>
      </c>
      <c r="N853">
        <v>0</v>
      </c>
      <c r="O853">
        <v>0</v>
      </c>
      <c r="P853">
        <v>0</v>
      </c>
      <c r="Q853">
        <f>IF(R853,TRUE,AND(U853:AC853))</f>
        <v>0</v>
      </c>
      <c r="R853">
        <f>COUNTBLANK(metadata!B853:J853)=COLUMNS(metadata!B853:J853)</f>
        <v>0</v>
      </c>
      <c r="S853">
        <v>0</v>
      </c>
      <c r="U853">
        <f>AND(IF(metadata!B853="",FALSE,TRUE),COUNTIF(metadata!B:B, metadata!B853) = 1,NOT(ISERROR(SUMPRODUCT(SEARCH(MID(metadata!B853,ROW(INDIRECT("1:"&amp;LEN(metadata!B853))), 1),"0123456789abcdefghijklmnopqrstuvwxyzABCDEFGHIJKLMNOPQRSTUVWXYZ.")))))</f>
        <v>0</v>
      </c>
      <c r="V853">
        <f>AND(IF(metadata!C853="",FALSE,TRUE),exact(metadata!C853,"UBERON:genitourinary"))</f>
        <v>0</v>
      </c>
      <c r="W853">
        <f>AND(IF(metadata!D853="",FALSE,TRUE),exact(metadata!D853,"UBERON:urine"))</f>
        <v>0</v>
      </c>
      <c r="X853">
        <f>AND(IF(metadata!E853="",FALSE,TRUE),exact(metadata!E853,"UBERON:kidney"))</f>
        <v>0</v>
      </c>
      <c r="Y853">
        <f>AND(IF(metadata!F853="",FALSE,TRUE),exact(metadata!F853,"animal corpus"))</f>
        <v>0</v>
      </c>
      <c r="Z853">
        <f>AND(IF(metadata!G853="",FALSE,TRUE),exact(metadata!G853,"urine"))</f>
        <v>0</v>
      </c>
      <c r="AA853">
        <f>AND(IF(metadata!H853="",FALSE,TRUE),exact(metadata!H853,"urine"))</f>
        <v>0</v>
      </c>
      <c r="AB853">
        <f>AND(IF(metadata!I853="",FALSE,TRUE),exact(metadata!I853,"urine metagenome"))</f>
        <v>0</v>
      </c>
      <c r="AC853">
        <f>AND(IF(metadata!J853="",FALSE,TRUE),exact(metadata!J853,"1346744"))</f>
        <v>0</v>
      </c>
    </row>
    <row r="854" spans="1:29">
      <c r="A854" s="4">
        <f>IF(B854=" "," ",HYPERLINK(CONCATENATE("#metadata!",ADDRESS(INDEX($P$2:$P$1001,MATCH(ROWS($N$2:N854),$N$2:$N$1001,0),0),1)),INDEX($S$2:$S$1001,MATCH(ROWS($N$2:N854),$N$2:$N$1001,0),0)))</f>
        <v>0</v>
      </c>
      <c r="B854" s="3">
        <f>IF(OR(INDEX($O$2:$O$1001,MATCH(ROWS($N$2:N854),$N$2:$N$1001,0),1)&gt;=100000,INDEX($U$1005:$AC$1005,1,MATCH(COLUMNS($U$1006:U1006),$U$1006:$AC$1006,0))&gt;=100000), " ",IF(INDEX($U$2:$AC$1001,MATCH(ROWS($N$2:N854),$N$2:$N$1001,0),MATCH(COLUMNS($U$1006:U1006),$U$1006:$AC$1006,0)), HYPERLINK("#",""), HYPERLINK(CONCATENATE("#metadata!", ADDRESS(INDEX($P$2:$P$1001,MATCH(ROWS($N$2:N854),$N$2:$N$1001,0),0), INDEX($U$1004:$AC$1004,1,MATCH(COLUMNS($U$1006:U1006),$U$1006:$AC$1006,0)))),"Fix")))</f>
        <v>0</v>
      </c>
      <c r="C854" s="3">
        <f>IF(OR(INDEX($O$2:$O$1001,MATCH(ROWS($N$2:N854),$N$2:$N$1001,0),1)&gt;=100000,INDEX($U$1005:$AC$1005,1,MATCH(COLUMNS($U$1006:V1006),$U$1006:$AC$1006,0))&gt;=100000), " ",IF(INDEX($U$2:$AC$1001,MATCH(ROWS($N$2:N854),$N$2:$N$1001,0),MATCH(COLUMNS($U$1006:V1006),$U$1006:$AC$1006,0)), HYPERLINK("#",""), HYPERLINK(CONCATENATE("#metadata!", ADDRESS(INDEX($P$2:$P$1001,MATCH(ROWS($N$2:N854),$N$2:$N$1001,0),0), INDEX($U$1004:$AC$1004,1,MATCH(COLUMNS($U$1006:V1006),$U$1006:$AC$1006,0)))),"Fix")))</f>
        <v>0</v>
      </c>
      <c r="D854" s="3">
        <f>IF(OR(INDEX($O$2:$O$1001,MATCH(ROWS($N$2:N854),$N$2:$N$1001,0),1)&gt;=100000,INDEX($U$1005:$AC$1005,1,MATCH(COLUMNS($U$1006:W1006),$U$1006:$AC$1006,0))&gt;=100000), " ",IF(INDEX($U$2:$AC$1001,MATCH(ROWS($N$2:N854),$N$2:$N$1001,0),MATCH(COLUMNS($U$1006:W1006),$U$1006:$AC$1006,0)), HYPERLINK("#",""), HYPERLINK(CONCATENATE("#metadata!", ADDRESS(INDEX($P$2:$P$1001,MATCH(ROWS($N$2:N854),$N$2:$N$1001,0),0), INDEX($U$1004:$AC$1004,1,MATCH(COLUMNS($U$1006:W1006),$U$1006:$AC$1006,0)))),"Fix")))</f>
        <v>0</v>
      </c>
      <c r="E854" s="3">
        <f>IF(OR(INDEX($O$2:$O$1001,MATCH(ROWS($N$2:N854),$N$2:$N$1001,0),1)&gt;=100000,INDEX($U$1005:$AC$1005,1,MATCH(COLUMNS($U$1006:X1006),$U$1006:$AC$1006,0))&gt;=100000), " ",IF(INDEX($U$2:$AC$1001,MATCH(ROWS($N$2:N854),$N$2:$N$1001,0),MATCH(COLUMNS($U$1006:X1006),$U$1006:$AC$1006,0)), HYPERLINK("#",""), HYPERLINK(CONCATENATE("#metadata!", ADDRESS(INDEX($P$2:$P$1001,MATCH(ROWS($N$2:N854),$N$2:$N$1001,0),0), INDEX($U$1004:$AC$1004,1,MATCH(COLUMNS($U$1006:X1006),$U$1006:$AC$1006,0)))),"Fix")))</f>
        <v>0</v>
      </c>
      <c r="F854" s="3">
        <f>IF(OR(INDEX($O$2:$O$1001,MATCH(ROWS($N$2:N854),$N$2:$N$1001,0),1)&gt;=100000,INDEX($U$1005:$AC$1005,1,MATCH(COLUMNS($U$1006:Y1006),$U$1006:$AC$1006,0))&gt;=100000), " ",IF(INDEX($U$2:$AC$1001,MATCH(ROWS($N$2:N854),$N$2:$N$1001,0),MATCH(COLUMNS($U$1006:Y1006),$U$1006:$AC$1006,0)), HYPERLINK("#",""), HYPERLINK(CONCATENATE("#metadata!", ADDRESS(INDEX($P$2:$P$1001,MATCH(ROWS($N$2:N854),$N$2:$N$1001,0),0), INDEX($U$1004:$AC$1004,1,MATCH(COLUMNS($U$1006:Y1006),$U$1006:$AC$1006,0)))),"Fix")))</f>
        <v>0</v>
      </c>
      <c r="G854" s="3">
        <f>IF(OR(INDEX($O$2:$O$1001,MATCH(ROWS($N$2:N854),$N$2:$N$1001,0),1)&gt;=100000,INDEX($U$1005:$AC$1005,1,MATCH(COLUMNS($U$1006:Z1006),$U$1006:$AC$1006,0))&gt;=100000), " ",IF(INDEX($U$2:$AC$1001,MATCH(ROWS($N$2:N854),$N$2:$N$1001,0),MATCH(COLUMNS($U$1006:Z1006),$U$1006:$AC$1006,0)), HYPERLINK("#",""), HYPERLINK(CONCATENATE("#metadata!", ADDRESS(INDEX($P$2:$P$1001,MATCH(ROWS($N$2:N854),$N$2:$N$1001,0),0), INDEX($U$1004:$AC$1004,1,MATCH(COLUMNS($U$1006:Z1006),$U$1006:$AC$1006,0)))),"Fix")))</f>
        <v>0</v>
      </c>
      <c r="H854" s="3">
        <f>IF(OR(INDEX($O$2:$O$1001,MATCH(ROWS($N$2:N854),$N$2:$N$1001,0),1)&gt;=100000,INDEX($U$1005:$AC$1005,1,MATCH(COLUMNS($U$1006:AA1006),$U$1006:$AC$1006,0))&gt;=100000), " ",IF(INDEX($U$2:$AC$1001,MATCH(ROWS($N$2:N854),$N$2:$N$1001,0),MATCH(COLUMNS($U$1006:AA1006),$U$1006:$AC$1006,0)), HYPERLINK("#",""), HYPERLINK(CONCATENATE("#metadata!", ADDRESS(INDEX($P$2:$P$1001,MATCH(ROWS($N$2:N854),$N$2:$N$1001,0),0), INDEX($U$1004:$AC$1004,1,MATCH(COLUMNS($U$1006:AA1006),$U$1006:$AC$1006,0)))),"Fix")))</f>
        <v>0</v>
      </c>
      <c r="I854" s="3">
        <f>IF(OR(INDEX($O$2:$O$1001,MATCH(ROWS($N$2:N854),$N$2:$N$1001,0),1)&gt;=100000,INDEX($U$1005:$AC$1005,1,MATCH(COLUMNS($U$1006:AB1006),$U$1006:$AC$1006,0))&gt;=100000), " ",IF(INDEX($U$2:$AC$1001,MATCH(ROWS($N$2:N854),$N$2:$N$1001,0),MATCH(COLUMNS($U$1006:AB1006),$U$1006:$AC$1006,0)), HYPERLINK("#",""), HYPERLINK(CONCATENATE("#metadata!", ADDRESS(INDEX($P$2:$P$1001,MATCH(ROWS($N$2:N854),$N$2:$N$1001,0),0), INDEX($U$1004:$AC$1004,1,MATCH(COLUMNS($U$1006:AB1006),$U$1006:$AC$1006,0)))),"Fix")))</f>
        <v>0</v>
      </c>
      <c r="J854" s="3">
        <f>IF(OR(INDEX($O$2:$O$1001,MATCH(ROWS($N$2:N854),$N$2:$N$1001,0),1)&gt;=100000,INDEX($U$1005:$AC$1005,1,MATCH(COLUMNS($U$1006:AC1006),$U$1006:$AC$1006,0))&gt;=100000), " ",IF(INDEX($U$2:$AC$1001,MATCH(ROWS($N$2:N854),$N$2:$N$1001,0),MATCH(COLUMNS($U$1006:AC1006),$U$1006:$AC$1006,0)), HYPERLINK("#",""), HYPERLINK(CONCATENATE("#metadata!", ADDRESS(INDEX($P$2:$P$1001,MATCH(ROWS($N$2:N854),$N$2:$N$1001,0),0), INDEX($U$1004:$AC$1004,1,MATCH(COLUMNS($U$1006:AC1006),$U$1006:$AC$1006,0)))),"Fix")))</f>
        <v>0</v>
      </c>
      <c r="N854">
        <v>0</v>
      </c>
      <c r="O854">
        <v>0</v>
      </c>
      <c r="P854">
        <v>0</v>
      </c>
      <c r="Q854">
        <f>IF(R854,TRUE,AND(U854:AC854))</f>
        <v>0</v>
      </c>
      <c r="R854">
        <f>COUNTBLANK(metadata!B854:J854)=COLUMNS(metadata!B854:J854)</f>
        <v>0</v>
      </c>
      <c r="S854">
        <v>0</v>
      </c>
      <c r="U854">
        <f>AND(IF(metadata!B854="",FALSE,TRUE),COUNTIF(metadata!B:B, metadata!B854) = 1,NOT(ISERROR(SUMPRODUCT(SEARCH(MID(metadata!B854,ROW(INDIRECT("1:"&amp;LEN(metadata!B854))), 1),"0123456789abcdefghijklmnopqrstuvwxyzABCDEFGHIJKLMNOPQRSTUVWXYZ.")))))</f>
        <v>0</v>
      </c>
      <c r="V854">
        <f>AND(IF(metadata!C854="",FALSE,TRUE),exact(metadata!C854,"UBERON:genitourinary"))</f>
        <v>0</v>
      </c>
      <c r="W854">
        <f>AND(IF(metadata!D854="",FALSE,TRUE),exact(metadata!D854,"UBERON:urine"))</f>
        <v>0</v>
      </c>
      <c r="X854">
        <f>AND(IF(metadata!E854="",FALSE,TRUE),exact(metadata!E854,"UBERON:kidney"))</f>
        <v>0</v>
      </c>
      <c r="Y854">
        <f>AND(IF(metadata!F854="",FALSE,TRUE),exact(metadata!F854,"animal corpus"))</f>
        <v>0</v>
      </c>
      <c r="Z854">
        <f>AND(IF(metadata!G854="",FALSE,TRUE),exact(metadata!G854,"urine"))</f>
        <v>0</v>
      </c>
      <c r="AA854">
        <f>AND(IF(metadata!H854="",FALSE,TRUE),exact(metadata!H854,"urine"))</f>
        <v>0</v>
      </c>
      <c r="AB854">
        <f>AND(IF(metadata!I854="",FALSE,TRUE),exact(metadata!I854,"urine metagenome"))</f>
        <v>0</v>
      </c>
      <c r="AC854">
        <f>AND(IF(metadata!J854="",FALSE,TRUE),exact(metadata!J854,"1346744"))</f>
        <v>0</v>
      </c>
    </row>
    <row r="855" spans="1:29">
      <c r="A855" s="4">
        <f>IF(B855=" "," ",HYPERLINK(CONCATENATE("#metadata!",ADDRESS(INDEX($P$2:$P$1001,MATCH(ROWS($N$2:N855),$N$2:$N$1001,0),0),1)),INDEX($S$2:$S$1001,MATCH(ROWS($N$2:N855),$N$2:$N$1001,0),0)))</f>
        <v>0</v>
      </c>
      <c r="B855" s="3">
        <f>IF(OR(INDEX($O$2:$O$1001,MATCH(ROWS($N$2:N855),$N$2:$N$1001,0),1)&gt;=100000,INDEX($U$1005:$AC$1005,1,MATCH(COLUMNS($U$1006:U1006),$U$1006:$AC$1006,0))&gt;=100000), " ",IF(INDEX($U$2:$AC$1001,MATCH(ROWS($N$2:N855),$N$2:$N$1001,0),MATCH(COLUMNS($U$1006:U1006),$U$1006:$AC$1006,0)), HYPERLINK("#",""), HYPERLINK(CONCATENATE("#metadata!", ADDRESS(INDEX($P$2:$P$1001,MATCH(ROWS($N$2:N855),$N$2:$N$1001,0),0), INDEX($U$1004:$AC$1004,1,MATCH(COLUMNS($U$1006:U1006),$U$1006:$AC$1006,0)))),"Fix")))</f>
        <v>0</v>
      </c>
      <c r="C855" s="3">
        <f>IF(OR(INDEX($O$2:$O$1001,MATCH(ROWS($N$2:N855),$N$2:$N$1001,0),1)&gt;=100000,INDEX($U$1005:$AC$1005,1,MATCH(COLUMNS($U$1006:V1006),$U$1006:$AC$1006,0))&gt;=100000), " ",IF(INDEX($U$2:$AC$1001,MATCH(ROWS($N$2:N855),$N$2:$N$1001,0),MATCH(COLUMNS($U$1006:V1006),$U$1006:$AC$1006,0)), HYPERLINK("#",""), HYPERLINK(CONCATENATE("#metadata!", ADDRESS(INDEX($P$2:$P$1001,MATCH(ROWS($N$2:N855),$N$2:$N$1001,0),0), INDEX($U$1004:$AC$1004,1,MATCH(COLUMNS($U$1006:V1006),$U$1006:$AC$1006,0)))),"Fix")))</f>
        <v>0</v>
      </c>
      <c r="D855" s="3">
        <f>IF(OR(INDEX($O$2:$O$1001,MATCH(ROWS($N$2:N855),$N$2:$N$1001,0),1)&gt;=100000,INDEX($U$1005:$AC$1005,1,MATCH(COLUMNS($U$1006:W1006),$U$1006:$AC$1006,0))&gt;=100000), " ",IF(INDEX($U$2:$AC$1001,MATCH(ROWS($N$2:N855),$N$2:$N$1001,0),MATCH(COLUMNS($U$1006:W1006),$U$1006:$AC$1006,0)), HYPERLINK("#",""), HYPERLINK(CONCATENATE("#metadata!", ADDRESS(INDEX($P$2:$P$1001,MATCH(ROWS($N$2:N855),$N$2:$N$1001,0),0), INDEX($U$1004:$AC$1004,1,MATCH(COLUMNS($U$1006:W1006),$U$1006:$AC$1006,0)))),"Fix")))</f>
        <v>0</v>
      </c>
      <c r="E855" s="3">
        <f>IF(OR(INDEX($O$2:$O$1001,MATCH(ROWS($N$2:N855),$N$2:$N$1001,0),1)&gt;=100000,INDEX($U$1005:$AC$1005,1,MATCH(COLUMNS($U$1006:X1006),$U$1006:$AC$1006,0))&gt;=100000), " ",IF(INDEX($U$2:$AC$1001,MATCH(ROWS($N$2:N855),$N$2:$N$1001,0),MATCH(COLUMNS($U$1006:X1006),$U$1006:$AC$1006,0)), HYPERLINK("#",""), HYPERLINK(CONCATENATE("#metadata!", ADDRESS(INDEX($P$2:$P$1001,MATCH(ROWS($N$2:N855),$N$2:$N$1001,0),0), INDEX($U$1004:$AC$1004,1,MATCH(COLUMNS($U$1006:X1006),$U$1006:$AC$1006,0)))),"Fix")))</f>
        <v>0</v>
      </c>
      <c r="F855" s="3">
        <f>IF(OR(INDEX($O$2:$O$1001,MATCH(ROWS($N$2:N855),$N$2:$N$1001,0),1)&gt;=100000,INDEX($U$1005:$AC$1005,1,MATCH(COLUMNS($U$1006:Y1006),$U$1006:$AC$1006,0))&gt;=100000), " ",IF(INDEX($U$2:$AC$1001,MATCH(ROWS($N$2:N855),$N$2:$N$1001,0),MATCH(COLUMNS($U$1006:Y1006),$U$1006:$AC$1006,0)), HYPERLINK("#",""), HYPERLINK(CONCATENATE("#metadata!", ADDRESS(INDEX($P$2:$P$1001,MATCH(ROWS($N$2:N855),$N$2:$N$1001,0),0), INDEX($U$1004:$AC$1004,1,MATCH(COLUMNS($U$1006:Y1006),$U$1006:$AC$1006,0)))),"Fix")))</f>
        <v>0</v>
      </c>
      <c r="G855" s="3">
        <f>IF(OR(INDEX($O$2:$O$1001,MATCH(ROWS($N$2:N855),$N$2:$N$1001,0),1)&gt;=100000,INDEX($U$1005:$AC$1005,1,MATCH(COLUMNS($U$1006:Z1006),$U$1006:$AC$1006,0))&gt;=100000), " ",IF(INDEX($U$2:$AC$1001,MATCH(ROWS($N$2:N855),$N$2:$N$1001,0),MATCH(COLUMNS($U$1006:Z1006),$U$1006:$AC$1006,0)), HYPERLINK("#",""), HYPERLINK(CONCATENATE("#metadata!", ADDRESS(INDEX($P$2:$P$1001,MATCH(ROWS($N$2:N855),$N$2:$N$1001,0),0), INDEX($U$1004:$AC$1004,1,MATCH(COLUMNS($U$1006:Z1006),$U$1006:$AC$1006,0)))),"Fix")))</f>
        <v>0</v>
      </c>
      <c r="H855" s="3">
        <f>IF(OR(INDEX($O$2:$O$1001,MATCH(ROWS($N$2:N855),$N$2:$N$1001,0),1)&gt;=100000,INDEX($U$1005:$AC$1005,1,MATCH(COLUMNS($U$1006:AA1006),$U$1006:$AC$1006,0))&gt;=100000), " ",IF(INDEX($U$2:$AC$1001,MATCH(ROWS($N$2:N855),$N$2:$N$1001,0),MATCH(COLUMNS($U$1006:AA1006),$U$1006:$AC$1006,0)), HYPERLINK("#",""), HYPERLINK(CONCATENATE("#metadata!", ADDRESS(INDEX($P$2:$P$1001,MATCH(ROWS($N$2:N855),$N$2:$N$1001,0),0), INDEX($U$1004:$AC$1004,1,MATCH(COLUMNS($U$1006:AA1006),$U$1006:$AC$1006,0)))),"Fix")))</f>
        <v>0</v>
      </c>
      <c r="I855" s="3">
        <f>IF(OR(INDEX($O$2:$O$1001,MATCH(ROWS($N$2:N855),$N$2:$N$1001,0),1)&gt;=100000,INDEX($U$1005:$AC$1005,1,MATCH(COLUMNS($U$1006:AB1006),$U$1006:$AC$1006,0))&gt;=100000), " ",IF(INDEX($U$2:$AC$1001,MATCH(ROWS($N$2:N855),$N$2:$N$1001,0),MATCH(COLUMNS($U$1006:AB1006),$U$1006:$AC$1006,0)), HYPERLINK("#",""), HYPERLINK(CONCATENATE("#metadata!", ADDRESS(INDEX($P$2:$P$1001,MATCH(ROWS($N$2:N855),$N$2:$N$1001,0),0), INDEX($U$1004:$AC$1004,1,MATCH(COLUMNS($U$1006:AB1006),$U$1006:$AC$1006,0)))),"Fix")))</f>
        <v>0</v>
      </c>
      <c r="J855" s="3">
        <f>IF(OR(INDEX($O$2:$O$1001,MATCH(ROWS($N$2:N855),$N$2:$N$1001,0),1)&gt;=100000,INDEX($U$1005:$AC$1005,1,MATCH(COLUMNS($U$1006:AC1006),$U$1006:$AC$1006,0))&gt;=100000), " ",IF(INDEX($U$2:$AC$1001,MATCH(ROWS($N$2:N855),$N$2:$N$1001,0),MATCH(COLUMNS($U$1006:AC1006),$U$1006:$AC$1006,0)), HYPERLINK("#",""), HYPERLINK(CONCATENATE("#metadata!", ADDRESS(INDEX($P$2:$P$1001,MATCH(ROWS($N$2:N855),$N$2:$N$1001,0),0), INDEX($U$1004:$AC$1004,1,MATCH(COLUMNS($U$1006:AC1006),$U$1006:$AC$1006,0)))),"Fix")))</f>
        <v>0</v>
      </c>
      <c r="N855">
        <v>0</v>
      </c>
      <c r="O855">
        <v>0</v>
      </c>
      <c r="P855">
        <v>0</v>
      </c>
      <c r="Q855">
        <f>IF(R855,TRUE,AND(U855:AC855))</f>
        <v>0</v>
      </c>
      <c r="R855">
        <f>COUNTBLANK(metadata!B855:J855)=COLUMNS(metadata!B855:J855)</f>
        <v>0</v>
      </c>
      <c r="S855">
        <v>0</v>
      </c>
      <c r="U855">
        <f>AND(IF(metadata!B855="",FALSE,TRUE),COUNTIF(metadata!B:B, metadata!B855) = 1,NOT(ISERROR(SUMPRODUCT(SEARCH(MID(metadata!B855,ROW(INDIRECT("1:"&amp;LEN(metadata!B855))), 1),"0123456789abcdefghijklmnopqrstuvwxyzABCDEFGHIJKLMNOPQRSTUVWXYZ.")))))</f>
        <v>0</v>
      </c>
      <c r="V855">
        <f>AND(IF(metadata!C855="",FALSE,TRUE),exact(metadata!C855,"UBERON:genitourinary"))</f>
        <v>0</v>
      </c>
      <c r="W855">
        <f>AND(IF(metadata!D855="",FALSE,TRUE),exact(metadata!D855,"UBERON:urine"))</f>
        <v>0</v>
      </c>
      <c r="X855">
        <f>AND(IF(metadata!E855="",FALSE,TRUE),exact(metadata!E855,"UBERON:kidney"))</f>
        <v>0</v>
      </c>
      <c r="Y855">
        <f>AND(IF(metadata!F855="",FALSE,TRUE),exact(metadata!F855,"animal corpus"))</f>
        <v>0</v>
      </c>
      <c r="Z855">
        <f>AND(IF(metadata!G855="",FALSE,TRUE),exact(metadata!G855,"urine"))</f>
        <v>0</v>
      </c>
      <c r="AA855">
        <f>AND(IF(metadata!H855="",FALSE,TRUE),exact(metadata!H855,"urine"))</f>
        <v>0</v>
      </c>
      <c r="AB855">
        <f>AND(IF(metadata!I855="",FALSE,TRUE),exact(metadata!I855,"urine metagenome"))</f>
        <v>0</v>
      </c>
      <c r="AC855">
        <f>AND(IF(metadata!J855="",FALSE,TRUE),exact(metadata!J855,"1346744"))</f>
        <v>0</v>
      </c>
    </row>
    <row r="856" spans="1:29">
      <c r="A856" s="4">
        <f>IF(B856=" "," ",HYPERLINK(CONCATENATE("#metadata!",ADDRESS(INDEX($P$2:$P$1001,MATCH(ROWS($N$2:N856),$N$2:$N$1001,0),0),1)),INDEX($S$2:$S$1001,MATCH(ROWS($N$2:N856),$N$2:$N$1001,0),0)))</f>
        <v>0</v>
      </c>
      <c r="B856" s="3">
        <f>IF(OR(INDEX($O$2:$O$1001,MATCH(ROWS($N$2:N856),$N$2:$N$1001,0),1)&gt;=100000,INDEX($U$1005:$AC$1005,1,MATCH(COLUMNS($U$1006:U1006),$U$1006:$AC$1006,0))&gt;=100000), " ",IF(INDEX($U$2:$AC$1001,MATCH(ROWS($N$2:N856),$N$2:$N$1001,0),MATCH(COLUMNS($U$1006:U1006),$U$1006:$AC$1006,0)), HYPERLINK("#",""), HYPERLINK(CONCATENATE("#metadata!", ADDRESS(INDEX($P$2:$P$1001,MATCH(ROWS($N$2:N856),$N$2:$N$1001,0),0), INDEX($U$1004:$AC$1004,1,MATCH(COLUMNS($U$1006:U1006),$U$1006:$AC$1006,0)))),"Fix")))</f>
        <v>0</v>
      </c>
      <c r="C856" s="3">
        <f>IF(OR(INDEX($O$2:$O$1001,MATCH(ROWS($N$2:N856),$N$2:$N$1001,0),1)&gt;=100000,INDEX($U$1005:$AC$1005,1,MATCH(COLUMNS($U$1006:V1006),$U$1006:$AC$1006,0))&gt;=100000), " ",IF(INDEX($U$2:$AC$1001,MATCH(ROWS($N$2:N856),$N$2:$N$1001,0),MATCH(COLUMNS($U$1006:V1006),$U$1006:$AC$1006,0)), HYPERLINK("#",""), HYPERLINK(CONCATENATE("#metadata!", ADDRESS(INDEX($P$2:$P$1001,MATCH(ROWS($N$2:N856),$N$2:$N$1001,0),0), INDEX($U$1004:$AC$1004,1,MATCH(COLUMNS($U$1006:V1006),$U$1006:$AC$1006,0)))),"Fix")))</f>
        <v>0</v>
      </c>
      <c r="D856" s="3">
        <f>IF(OR(INDEX($O$2:$O$1001,MATCH(ROWS($N$2:N856),$N$2:$N$1001,0),1)&gt;=100000,INDEX($U$1005:$AC$1005,1,MATCH(COLUMNS($U$1006:W1006),$U$1006:$AC$1006,0))&gt;=100000), " ",IF(INDEX($U$2:$AC$1001,MATCH(ROWS($N$2:N856),$N$2:$N$1001,0),MATCH(COLUMNS($U$1006:W1006),$U$1006:$AC$1006,0)), HYPERLINK("#",""), HYPERLINK(CONCATENATE("#metadata!", ADDRESS(INDEX($P$2:$P$1001,MATCH(ROWS($N$2:N856),$N$2:$N$1001,0),0), INDEX($U$1004:$AC$1004,1,MATCH(COLUMNS($U$1006:W1006),$U$1006:$AC$1006,0)))),"Fix")))</f>
        <v>0</v>
      </c>
      <c r="E856" s="3">
        <f>IF(OR(INDEX($O$2:$O$1001,MATCH(ROWS($N$2:N856),$N$2:$N$1001,0),1)&gt;=100000,INDEX($U$1005:$AC$1005,1,MATCH(COLUMNS($U$1006:X1006),$U$1006:$AC$1006,0))&gt;=100000), " ",IF(INDEX($U$2:$AC$1001,MATCH(ROWS($N$2:N856),$N$2:$N$1001,0),MATCH(COLUMNS($U$1006:X1006),$U$1006:$AC$1006,0)), HYPERLINK("#",""), HYPERLINK(CONCATENATE("#metadata!", ADDRESS(INDEX($P$2:$P$1001,MATCH(ROWS($N$2:N856),$N$2:$N$1001,0),0), INDEX($U$1004:$AC$1004,1,MATCH(COLUMNS($U$1006:X1006),$U$1006:$AC$1006,0)))),"Fix")))</f>
        <v>0</v>
      </c>
      <c r="F856" s="3">
        <f>IF(OR(INDEX($O$2:$O$1001,MATCH(ROWS($N$2:N856),$N$2:$N$1001,0),1)&gt;=100000,INDEX($U$1005:$AC$1005,1,MATCH(COLUMNS($U$1006:Y1006),$U$1006:$AC$1006,0))&gt;=100000), " ",IF(INDEX($U$2:$AC$1001,MATCH(ROWS($N$2:N856),$N$2:$N$1001,0),MATCH(COLUMNS($U$1006:Y1006),$U$1006:$AC$1006,0)), HYPERLINK("#",""), HYPERLINK(CONCATENATE("#metadata!", ADDRESS(INDEX($P$2:$P$1001,MATCH(ROWS($N$2:N856),$N$2:$N$1001,0),0), INDEX($U$1004:$AC$1004,1,MATCH(COLUMNS($U$1006:Y1006),$U$1006:$AC$1006,0)))),"Fix")))</f>
        <v>0</v>
      </c>
      <c r="G856" s="3">
        <f>IF(OR(INDEX($O$2:$O$1001,MATCH(ROWS($N$2:N856),$N$2:$N$1001,0),1)&gt;=100000,INDEX($U$1005:$AC$1005,1,MATCH(COLUMNS($U$1006:Z1006),$U$1006:$AC$1006,0))&gt;=100000), " ",IF(INDEX($U$2:$AC$1001,MATCH(ROWS($N$2:N856),$N$2:$N$1001,0),MATCH(COLUMNS($U$1006:Z1006),$U$1006:$AC$1006,0)), HYPERLINK("#",""), HYPERLINK(CONCATENATE("#metadata!", ADDRESS(INDEX($P$2:$P$1001,MATCH(ROWS($N$2:N856),$N$2:$N$1001,0),0), INDEX($U$1004:$AC$1004,1,MATCH(COLUMNS($U$1006:Z1006),$U$1006:$AC$1006,0)))),"Fix")))</f>
        <v>0</v>
      </c>
      <c r="H856" s="3">
        <f>IF(OR(INDEX($O$2:$O$1001,MATCH(ROWS($N$2:N856),$N$2:$N$1001,0),1)&gt;=100000,INDEX($U$1005:$AC$1005,1,MATCH(COLUMNS($U$1006:AA1006),$U$1006:$AC$1006,0))&gt;=100000), " ",IF(INDEX($U$2:$AC$1001,MATCH(ROWS($N$2:N856),$N$2:$N$1001,0),MATCH(COLUMNS($U$1006:AA1006),$U$1006:$AC$1006,0)), HYPERLINK("#",""), HYPERLINK(CONCATENATE("#metadata!", ADDRESS(INDEX($P$2:$P$1001,MATCH(ROWS($N$2:N856),$N$2:$N$1001,0),0), INDEX($U$1004:$AC$1004,1,MATCH(COLUMNS($U$1006:AA1006),$U$1006:$AC$1006,0)))),"Fix")))</f>
        <v>0</v>
      </c>
      <c r="I856" s="3">
        <f>IF(OR(INDEX($O$2:$O$1001,MATCH(ROWS($N$2:N856),$N$2:$N$1001,0),1)&gt;=100000,INDEX($U$1005:$AC$1005,1,MATCH(COLUMNS($U$1006:AB1006),$U$1006:$AC$1006,0))&gt;=100000), " ",IF(INDEX($U$2:$AC$1001,MATCH(ROWS($N$2:N856),$N$2:$N$1001,0),MATCH(COLUMNS($U$1006:AB1006),$U$1006:$AC$1006,0)), HYPERLINK("#",""), HYPERLINK(CONCATENATE("#metadata!", ADDRESS(INDEX($P$2:$P$1001,MATCH(ROWS($N$2:N856),$N$2:$N$1001,0),0), INDEX($U$1004:$AC$1004,1,MATCH(COLUMNS($U$1006:AB1006),$U$1006:$AC$1006,0)))),"Fix")))</f>
        <v>0</v>
      </c>
      <c r="J856" s="3">
        <f>IF(OR(INDEX($O$2:$O$1001,MATCH(ROWS($N$2:N856),$N$2:$N$1001,0),1)&gt;=100000,INDEX($U$1005:$AC$1005,1,MATCH(COLUMNS($U$1006:AC1006),$U$1006:$AC$1006,0))&gt;=100000), " ",IF(INDEX($U$2:$AC$1001,MATCH(ROWS($N$2:N856),$N$2:$N$1001,0),MATCH(COLUMNS($U$1006:AC1006),$U$1006:$AC$1006,0)), HYPERLINK("#",""), HYPERLINK(CONCATENATE("#metadata!", ADDRESS(INDEX($P$2:$P$1001,MATCH(ROWS($N$2:N856),$N$2:$N$1001,0),0), INDEX($U$1004:$AC$1004,1,MATCH(COLUMNS($U$1006:AC1006),$U$1006:$AC$1006,0)))),"Fix")))</f>
        <v>0</v>
      </c>
      <c r="N856">
        <v>0</v>
      </c>
      <c r="O856">
        <v>0</v>
      </c>
      <c r="P856">
        <v>0</v>
      </c>
      <c r="Q856">
        <f>IF(R856,TRUE,AND(U856:AC856))</f>
        <v>0</v>
      </c>
      <c r="R856">
        <f>COUNTBLANK(metadata!B856:J856)=COLUMNS(metadata!B856:J856)</f>
        <v>0</v>
      </c>
      <c r="S856">
        <v>0</v>
      </c>
      <c r="U856">
        <f>AND(IF(metadata!B856="",FALSE,TRUE),COUNTIF(metadata!B:B, metadata!B856) = 1,NOT(ISERROR(SUMPRODUCT(SEARCH(MID(metadata!B856,ROW(INDIRECT("1:"&amp;LEN(metadata!B856))), 1),"0123456789abcdefghijklmnopqrstuvwxyzABCDEFGHIJKLMNOPQRSTUVWXYZ.")))))</f>
        <v>0</v>
      </c>
      <c r="V856">
        <f>AND(IF(metadata!C856="",FALSE,TRUE),exact(metadata!C856,"UBERON:genitourinary"))</f>
        <v>0</v>
      </c>
      <c r="W856">
        <f>AND(IF(metadata!D856="",FALSE,TRUE),exact(metadata!D856,"UBERON:urine"))</f>
        <v>0</v>
      </c>
      <c r="X856">
        <f>AND(IF(metadata!E856="",FALSE,TRUE),exact(metadata!E856,"UBERON:kidney"))</f>
        <v>0</v>
      </c>
      <c r="Y856">
        <f>AND(IF(metadata!F856="",FALSE,TRUE),exact(metadata!F856,"animal corpus"))</f>
        <v>0</v>
      </c>
      <c r="Z856">
        <f>AND(IF(metadata!G856="",FALSE,TRUE),exact(metadata!G856,"urine"))</f>
        <v>0</v>
      </c>
      <c r="AA856">
        <f>AND(IF(metadata!H856="",FALSE,TRUE),exact(metadata!H856,"urine"))</f>
        <v>0</v>
      </c>
      <c r="AB856">
        <f>AND(IF(metadata!I856="",FALSE,TRUE),exact(metadata!I856,"urine metagenome"))</f>
        <v>0</v>
      </c>
      <c r="AC856">
        <f>AND(IF(metadata!J856="",FALSE,TRUE),exact(metadata!J856,"1346744"))</f>
        <v>0</v>
      </c>
    </row>
    <row r="857" spans="1:29">
      <c r="A857" s="4">
        <f>IF(B857=" "," ",HYPERLINK(CONCATENATE("#metadata!",ADDRESS(INDEX($P$2:$P$1001,MATCH(ROWS($N$2:N857),$N$2:$N$1001,0),0),1)),INDEX($S$2:$S$1001,MATCH(ROWS($N$2:N857),$N$2:$N$1001,0),0)))</f>
        <v>0</v>
      </c>
      <c r="B857" s="3">
        <f>IF(OR(INDEX($O$2:$O$1001,MATCH(ROWS($N$2:N857),$N$2:$N$1001,0),1)&gt;=100000,INDEX($U$1005:$AC$1005,1,MATCH(COLUMNS($U$1006:U1006),$U$1006:$AC$1006,0))&gt;=100000), " ",IF(INDEX($U$2:$AC$1001,MATCH(ROWS($N$2:N857),$N$2:$N$1001,0),MATCH(COLUMNS($U$1006:U1006),$U$1006:$AC$1006,0)), HYPERLINK("#",""), HYPERLINK(CONCATENATE("#metadata!", ADDRESS(INDEX($P$2:$P$1001,MATCH(ROWS($N$2:N857),$N$2:$N$1001,0),0), INDEX($U$1004:$AC$1004,1,MATCH(COLUMNS($U$1006:U1006),$U$1006:$AC$1006,0)))),"Fix")))</f>
        <v>0</v>
      </c>
      <c r="C857" s="3">
        <f>IF(OR(INDEX($O$2:$O$1001,MATCH(ROWS($N$2:N857),$N$2:$N$1001,0),1)&gt;=100000,INDEX($U$1005:$AC$1005,1,MATCH(COLUMNS($U$1006:V1006),$U$1006:$AC$1006,0))&gt;=100000), " ",IF(INDEX($U$2:$AC$1001,MATCH(ROWS($N$2:N857),$N$2:$N$1001,0),MATCH(COLUMNS($U$1006:V1006),$U$1006:$AC$1006,0)), HYPERLINK("#",""), HYPERLINK(CONCATENATE("#metadata!", ADDRESS(INDEX($P$2:$P$1001,MATCH(ROWS($N$2:N857),$N$2:$N$1001,0),0), INDEX($U$1004:$AC$1004,1,MATCH(COLUMNS($U$1006:V1006),$U$1006:$AC$1006,0)))),"Fix")))</f>
        <v>0</v>
      </c>
      <c r="D857" s="3">
        <f>IF(OR(INDEX($O$2:$O$1001,MATCH(ROWS($N$2:N857),$N$2:$N$1001,0),1)&gt;=100000,INDEX($U$1005:$AC$1005,1,MATCH(COLUMNS($U$1006:W1006),$U$1006:$AC$1006,0))&gt;=100000), " ",IF(INDEX($U$2:$AC$1001,MATCH(ROWS($N$2:N857),$N$2:$N$1001,0),MATCH(COLUMNS($U$1006:W1006),$U$1006:$AC$1006,0)), HYPERLINK("#",""), HYPERLINK(CONCATENATE("#metadata!", ADDRESS(INDEX($P$2:$P$1001,MATCH(ROWS($N$2:N857),$N$2:$N$1001,0),0), INDEX($U$1004:$AC$1004,1,MATCH(COLUMNS($U$1006:W1006),$U$1006:$AC$1006,0)))),"Fix")))</f>
        <v>0</v>
      </c>
      <c r="E857" s="3">
        <f>IF(OR(INDEX($O$2:$O$1001,MATCH(ROWS($N$2:N857),$N$2:$N$1001,0),1)&gt;=100000,INDEX($U$1005:$AC$1005,1,MATCH(COLUMNS($U$1006:X1006),$U$1006:$AC$1006,0))&gt;=100000), " ",IF(INDEX($U$2:$AC$1001,MATCH(ROWS($N$2:N857),$N$2:$N$1001,0),MATCH(COLUMNS($U$1006:X1006),$U$1006:$AC$1006,0)), HYPERLINK("#",""), HYPERLINK(CONCATENATE("#metadata!", ADDRESS(INDEX($P$2:$P$1001,MATCH(ROWS($N$2:N857),$N$2:$N$1001,0),0), INDEX($U$1004:$AC$1004,1,MATCH(COLUMNS($U$1006:X1006),$U$1006:$AC$1006,0)))),"Fix")))</f>
        <v>0</v>
      </c>
      <c r="F857" s="3">
        <f>IF(OR(INDEX($O$2:$O$1001,MATCH(ROWS($N$2:N857),$N$2:$N$1001,0),1)&gt;=100000,INDEX($U$1005:$AC$1005,1,MATCH(COLUMNS($U$1006:Y1006),$U$1006:$AC$1006,0))&gt;=100000), " ",IF(INDEX($U$2:$AC$1001,MATCH(ROWS($N$2:N857),$N$2:$N$1001,0),MATCH(COLUMNS($U$1006:Y1006),$U$1006:$AC$1006,0)), HYPERLINK("#",""), HYPERLINK(CONCATENATE("#metadata!", ADDRESS(INDEX($P$2:$P$1001,MATCH(ROWS($N$2:N857),$N$2:$N$1001,0),0), INDEX($U$1004:$AC$1004,1,MATCH(COLUMNS($U$1006:Y1006),$U$1006:$AC$1006,0)))),"Fix")))</f>
        <v>0</v>
      </c>
      <c r="G857" s="3">
        <f>IF(OR(INDEX($O$2:$O$1001,MATCH(ROWS($N$2:N857),$N$2:$N$1001,0),1)&gt;=100000,INDEX($U$1005:$AC$1005,1,MATCH(COLUMNS($U$1006:Z1006),$U$1006:$AC$1006,0))&gt;=100000), " ",IF(INDEX($U$2:$AC$1001,MATCH(ROWS($N$2:N857),$N$2:$N$1001,0),MATCH(COLUMNS($U$1006:Z1006),$U$1006:$AC$1006,0)), HYPERLINK("#",""), HYPERLINK(CONCATENATE("#metadata!", ADDRESS(INDEX($P$2:$P$1001,MATCH(ROWS($N$2:N857),$N$2:$N$1001,0),0), INDEX($U$1004:$AC$1004,1,MATCH(COLUMNS($U$1006:Z1006),$U$1006:$AC$1006,0)))),"Fix")))</f>
        <v>0</v>
      </c>
      <c r="H857" s="3">
        <f>IF(OR(INDEX($O$2:$O$1001,MATCH(ROWS($N$2:N857),$N$2:$N$1001,0),1)&gt;=100000,INDEX($U$1005:$AC$1005,1,MATCH(COLUMNS($U$1006:AA1006),$U$1006:$AC$1006,0))&gt;=100000), " ",IF(INDEX($U$2:$AC$1001,MATCH(ROWS($N$2:N857),$N$2:$N$1001,0),MATCH(COLUMNS($U$1006:AA1006),$U$1006:$AC$1006,0)), HYPERLINK("#",""), HYPERLINK(CONCATENATE("#metadata!", ADDRESS(INDEX($P$2:$P$1001,MATCH(ROWS($N$2:N857),$N$2:$N$1001,0),0), INDEX($U$1004:$AC$1004,1,MATCH(COLUMNS($U$1006:AA1006),$U$1006:$AC$1006,0)))),"Fix")))</f>
        <v>0</v>
      </c>
      <c r="I857" s="3">
        <f>IF(OR(INDEX($O$2:$O$1001,MATCH(ROWS($N$2:N857),$N$2:$N$1001,0),1)&gt;=100000,INDEX($U$1005:$AC$1005,1,MATCH(COLUMNS($U$1006:AB1006),$U$1006:$AC$1006,0))&gt;=100000), " ",IF(INDEX($U$2:$AC$1001,MATCH(ROWS($N$2:N857),$N$2:$N$1001,0),MATCH(COLUMNS($U$1006:AB1006),$U$1006:$AC$1006,0)), HYPERLINK("#",""), HYPERLINK(CONCATENATE("#metadata!", ADDRESS(INDEX($P$2:$P$1001,MATCH(ROWS($N$2:N857),$N$2:$N$1001,0),0), INDEX($U$1004:$AC$1004,1,MATCH(COLUMNS($U$1006:AB1006),$U$1006:$AC$1006,0)))),"Fix")))</f>
        <v>0</v>
      </c>
      <c r="J857" s="3">
        <f>IF(OR(INDEX($O$2:$O$1001,MATCH(ROWS($N$2:N857),$N$2:$N$1001,0),1)&gt;=100000,INDEX($U$1005:$AC$1005,1,MATCH(COLUMNS($U$1006:AC1006),$U$1006:$AC$1006,0))&gt;=100000), " ",IF(INDEX($U$2:$AC$1001,MATCH(ROWS($N$2:N857),$N$2:$N$1001,0),MATCH(COLUMNS($U$1006:AC1006),$U$1006:$AC$1006,0)), HYPERLINK("#",""), HYPERLINK(CONCATENATE("#metadata!", ADDRESS(INDEX($P$2:$P$1001,MATCH(ROWS($N$2:N857),$N$2:$N$1001,0),0), INDEX($U$1004:$AC$1004,1,MATCH(COLUMNS($U$1006:AC1006),$U$1006:$AC$1006,0)))),"Fix")))</f>
        <v>0</v>
      </c>
      <c r="N857">
        <v>0</v>
      </c>
      <c r="O857">
        <v>0</v>
      </c>
      <c r="P857">
        <v>0</v>
      </c>
      <c r="Q857">
        <f>IF(R857,TRUE,AND(U857:AC857))</f>
        <v>0</v>
      </c>
      <c r="R857">
        <f>COUNTBLANK(metadata!B857:J857)=COLUMNS(metadata!B857:J857)</f>
        <v>0</v>
      </c>
      <c r="S857">
        <v>0</v>
      </c>
      <c r="U857">
        <f>AND(IF(metadata!B857="",FALSE,TRUE),COUNTIF(metadata!B:B, metadata!B857) = 1,NOT(ISERROR(SUMPRODUCT(SEARCH(MID(metadata!B857,ROW(INDIRECT("1:"&amp;LEN(metadata!B857))), 1),"0123456789abcdefghijklmnopqrstuvwxyzABCDEFGHIJKLMNOPQRSTUVWXYZ.")))))</f>
        <v>0</v>
      </c>
      <c r="V857">
        <f>AND(IF(metadata!C857="",FALSE,TRUE),exact(metadata!C857,"UBERON:genitourinary"))</f>
        <v>0</v>
      </c>
      <c r="W857">
        <f>AND(IF(metadata!D857="",FALSE,TRUE),exact(metadata!D857,"UBERON:urine"))</f>
        <v>0</v>
      </c>
      <c r="X857">
        <f>AND(IF(metadata!E857="",FALSE,TRUE),exact(metadata!E857,"UBERON:kidney"))</f>
        <v>0</v>
      </c>
      <c r="Y857">
        <f>AND(IF(metadata!F857="",FALSE,TRUE),exact(metadata!F857,"animal corpus"))</f>
        <v>0</v>
      </c>
      <c r="Z857">
        <f>AND(IF(metadata!G857="",FALSE,TRUE),exact(metadata!G857,"urine"))</f>
        <v>0</v>
      </c>
      <c r="AA857">
        <f>AND(IF(metadata!H857="",FALSE,TRUE),exact(metadata!H857,"urine"))</f>
        <v>0</v>
      </c>
      <c r="AB857">
        <f>AND(IF(metadata!I857="",FALSE,TRUE),exact(metadata!I857,"urine metagenome"))</f>
        <v>0</v>
      </c>
      <c r="AC857">
        <f>AND(IF(metadata!J857="",FALSE,TRUE),exact(metadata!J857,"1346744"))</f>
        <v>0</v>
      </c>
    </row>
    <row r="858" spans="1:29">
      <c r="A858" s="4">
        <f>IF(B858=" "," ",HYPERLINK(CONCATENATE("#metadata!",ADDRESS(INDEX($P$2:$P$1001,MATCH(ROWS($N$2:N858),$N$2:$N$1001,0),0),1)),INDEX($S$2:$S$1001,MATCH(ROWS($N$2:N858),$N$2:$N$1001,0),0)))</f>
        <v>0</v>
      </c>
      <c r="B858" s="3">
        <f>IF(OR(INDEX($O$2:$O$1001,MATCH(ROWS($N$2:N858),$N$2:$N$1001,0),1)&gt;=100000,INDEX($U$1005:$AC$1005,1,MATCH(COLUMNS($U$1006:U1006),$U$1006:$AC$1006,0))&gt;=100000), " ",IF(INDEX($U$2:$AC$1001,MATCH(ROWS($N$2:N858),$N$2:$N$1001,0),MATCH(COLUMNS($U$1006:U1006),$U$1006:$AC$1006,0)), HYPERLINK("#",""), HYPERLINK(CONCATENATE("#metadata!", ADDRESS(INDEX($P$2:$P$1001,MATCH(ROWS($N$2:N858),$N$2:$N$1001,0),0), INDEX($U$1004:$AC$1004,1,MATCH(COLUMNS($U$1006:U1006),$U$1006:$AC$1006,0)))),"Fix")))</f>
        <v>0</v>
      </c>
      <c r="C858" s="3">
        <f>IF(OR(INDEX($O$2:$O$1001,MATCH(ROWS($N$2:N858),$N$2:$N$1001,0),1)&gt;=100000,INDEX($U$1005:$AC$1005,1,MATCH(COLUMNS($U$1006:V1006),$U$1006:$AC$1006,0))&gt;=100000), " ",IF(INDEX($U$2:$AC$1001,MATCH(ROWS($N$2:N858),$N$2:$N$1001,0),MATCH(COLUMNS($U$1006:V1006),$U$1006:$AC$1006,0)), HYPERLINK("#",""), HYPERLINK(CONCATENATE("#metadata!", ADDRESS(INDEX($P$2:$P$1001,MATCH(ROWS($N$2:N858),$N$2:$N$1001,0),0), INDEX($U$1004:$AC$1004,1,MATCH(COLUMNS($U$1006:V1006),$U$1006:$AC$1006,0)))),"Fix")))</f>
        <v>0</v>
      </c>
      <c r="D858" s="3">
        <f>IF(OR(INDEX($O$2:$O$1001,MATCH(ROWS($N$2:N858),$N$2:$N$1001,0),1)&gt;=100000,INDEX($U$1005:$AC$1005,1,MATCH(COLUMNS($U$1006:W1006),$U$1006:$AC$1006,0))&gt;=100000), " ",IF(INDEX($U$2:$AC$1001,MATCH(ROWS($N$2:N858),$N$2:$N$1001,0),MATCH(COLUMNS($U$1006:W1006),$U$1006:$AC$1006,0)), HYPERLINK("#",""), HYPERLINK(CONCATENATE("#metadata!", ADDRESS(INDEX($P$2:$P$1001,MATCH(ROWS($N$2:N858),$N$2:$N$1001,0),0), INDEX($U$1004:$AC$1004,1,MATCH(COLUMNS($U$1006:W1006),$U$1006:$AC$1006,0)))),"Fix")))</f>
        <v>0</v>
      </c>
      <c r="E858" s="3">
        <f>IF(OR(INDEX($O$2:$O$1001,MATCH(ROWS($N$2:N858),$N$2:$N$1001,0),1)&gt;=100000,INDEX($U$1005:$AC$1005,1,MATCH(COLUMNS($U$1006:X1006),$U$1006:$AC$1006,0))&gt;=100000), " ",IF(INDEX($U$2:$AC$1001,MATCH(ROWS($N$2:N858),$N$2:$N$1001,0),MATCH(COLUMNS($U$1006:X1006),$U$1006:$AC$1006,0)), HYPERLINK("#",""), HYPERLINK(CONCATENATE("#metadata!", ADDRESS(INDEX($P$2:$P$1001,MATCH(ROWS($N$2:N858),$N$2:$N$1001,0),0), INDEX($U$1004:$AC$1004,1,MATCH(COLUMNS($U$1006:X1006),$U$1006:$AC$1006,0)))),"Fix")))</f>
        <v>0</v>
      </c>
      <c r="F858" s="3">
        <f>IF(OR(INDEX($O$2:$O$1001,MATCH(ROWS($N$2:N858),$N$2:$N$1001,0),1)&gt;=100000,INDEX($U$1005:$AC$1005,1,MATCH(COLUMNS($U$1006:Y1006),$U$1006:$AC$1006,0))&gt;=100000), " ",IF(INDEX($U$2:$AC$1001,MATCH(ROWS($N$2:N858),$N$2:$N$1001,0),MATCH(COLUMNS($U$1006:Y1006),$U$1006:$AC$1006,0)), HYPERLINK("#",""), HYPERLINK(CONCATENATE("#metadata!", ADDRESS(INDEX($P$2:$P$1001,MATCH(ROWS($N$2:N858),$N$2:$N$1001,0),0), INDEX($U$1004:$AC$1004,1,MATCH(COLUMNS($U$1006:Y1006),$U$1006:$AC$1006,0)))),"Fix")))</f>
        <v>0</v>
      </c>
      <c r="G858" s="3">
        <f>IF(OR(INDEX($O$2:$O$1001,MATCH(ROWS($N$2:N858),$N$2:$N$1001,0),1)&gt;=100000,INDEX($U$1005:$AC$1005,1,MATCH(COLUMNS($U$1006:Z1006),$U$1006:$AC$1006,0))&gt;=100000), " ",IF(INDEX($U$2:$AC$1001,MATCH(ROWS($N$2:N858),$N$2:$N$1001,0),MATCH(COLUMNS($U$1006:Z1006),$U$1006:$AC$1006,0)), HYPERLINK("#",""), HYPERLINK(CONCATENATE("#metadata!", ADDRESS(INDEX($P$2:$P$1001,MATCH(ROWS($N$2:N858),$N$2:$N$1001,0),0), INDEX($U$1004:$AC$1004,1,MATCH(COLUMNS($U$1006:Z1006),$U$1006:$AC$1006,0)))),"Fix")))</f>
        <v>0</v>
      </c>
      <c r="H858" s="3">
        <f>IF(OR(INDEX($O$2:$O$1001,MATCH(ROWS($N$2:N858),$N$2:$N$1001,0),1)&gt;=100000,INDEX($U$1005:$AC$1005,1,MATCH(COLUMNS($U$1006:AA1006),$U$1006:$AC$1006,0))&gt;=100000), " ",IF(INDEX($U$2:$AC$1001,MATCH(ROWS($N$2:N858),$N$2:$N$1001,0),MATCH(COLUMNS($U$1006:AA1006),$U$1006:$AC$1006,0)), HYPERLINK("#",""), HYPERLINK(CONCATENATE("#metadata!", ADDRESS(INDEX($P$2:$P$1001,MATCH(ROWS($N$2:N858),$N$2:$N$1001,0),0), INDEX($U$1004:$AC$1004,1,MATCH(COLUMNS($U$1006:AA1006),$U$1006:$AC$1006,0)))),"Fix")))</f>
        <v>0</v>
      </c>
      <c r="I858" s="3">
        <f>IF(OR(INDEX($O$2:$O$1001,MATCH(ROWS($N$2:N858),$N$2:$N$1001,0),1)&gt;=100000,INDEX($U$1005:$AC$1005,1,MATCH(COLUMNS($U$1006:AB1006),$U$1006:$AC$1006,0))&gt;=100000), " ",IF(INDEX($U$2:$AC$1001,MATCH(ROWS($N$2:N858),$N$2:$N$1001,0),MATCH(COLUMNS($U$1006:AB1006),$U$1006:$AC$1006,0)), HYPERLINK("#",""), HYPERLINK(CONCATENATE("#metadata!", ADDRESS(INDEX($P$2:$P$1001,MATCH(ROWS($N$2:N858),$N$2:$N$1001,0),0), INDEX($U$1004:$AC$1004,1,MATCH(COLUMNS($U$1006:AB1006),$U$1006:$AC$1006,0)))),"Fix")))</f>
        <v>0</v>
      </c>
      <c r="J858" s="3">
        <f>IF(OR(INDEX($O$2:$O$1001,MATCH(ROWS($N$2:N858),$N$2:$N$1001,0),1)&gt;=100000,INDEX($U$1005:$AC$1005,1,MATCH(COLUMNS($U$1006:AC1006),$U$1006:$AC$1006,0))&gt;=100000), " ",IF(INDEX($U$2:$AC$1001,MATCH(ROWS($N$2:N858),$N$2:$N$1001,0),MATCH(COLUMNS($U$1006:AC1006),$U$1006:$AC$1006,0)), HYPERLINK("#",""), HYPERLINK(CONCATENATE("#metadata!", ADDRESS(INDEX($P$2:$P$1001,MATCH(ROWS($N$2:N858),$N$2:$N$1001,0),0), INDEX($U$1004:$AC$1004,1,MATCH(COLUMNS($U$1006:AC1006),$U$1006:$AC$1006,0)))),"Fix")))</f>
        <v>0</v>
      </c>
      <c r="N858">
        <v>0</v>
      </c>
      <c r="O858">
        <v>0</v>
      </c>
      <c r="P858">
        <v>0</v>
      </c>
      <c r="Q858">
        <f>IF(R858,TRUE,AND(U858:AC858))</f>
        <v>0</v>
      </c>
      <c r="R858">
        <f>COUNTBLANK(metadata!B858:J858)=COLUMNS(metadata!B858:J858)</f>
        <v>0</v>
      </c>
      <c r="S858">
        <v>0</v>
      </c>
      <c r="U858">
        <f>AND(IF(metadata!B858="",FALSE,TRUE),COUNTIF(metadata!B:B, metadata!B858) = 1,NOT(ISERROR(SUMPRODUCT(SEARCH(MID(metadata!B858,ROW(INDIRECT("1:"&amp;LEN(metadata!B858))), 1),"0123456789abcdefghijklmnopqrstuvwxyzABCDEFGHIJKLMNOPQRSTUVWXYZ.")))))</f>
        <v>0</v>
      </c>
      <c r="V858">
        <f>AND(IF(metadata!C858="",FALSE,TRUE),exact(metadata!C858,"UBERON:genitourinary"))</f>
        <v>0</v>
      </c>
      <c r="W858">
        <f>AND(IF(metadata!D858="",FALSE,TRUE),exact(metadata!D858,"UBERON:urine"))</f>
        <v>0</v>
      </c>
      <c r="X858">
        <f>AND(IF(metadata!E858="",FALSE,TRUE),exact(metadata!E858,"UBERON:kidney"))</f>
        <v>0</v>
      </c>
      <c r="Y858">
        <f>AND(IF(metadata!F858="",FALSE,TRUE),exact(metadata!F858,"animal corpus"))</f>
        <v>0</v>
      </c>
      <c r="Z858">
        <f>AND(IF(metadata!G858="",FALSE,TRUE),exact(metadata!G858,"urine"))</f>
        <v>0</v>
      </c>
      <c r="AA858">
        <f>AND(IF(metadata!H858="",FALSE,TRUE),exact(metadata!H858,"urine"))</f>
        <v>0</v>
      </c>
      <c r="AB858">
        <f>AND(IF(metadata!I858="",FALSE,TRUE),exact(metadata!I858,"urine metagenome"))</f>
        <v>0</v>
      </c>
      <c r="AC858">
        <f>AND(IF(metadata!J858="",FALSE,TRUE),exact(metadata!J858,"1346744"))</f>
        <v>0</v>
      </c>
    </row>
    <row r="859" spans="1:29">
      <c r="A859" s="4">
        <f>IF(B859=" "," ",HYPERLINK(CONCATENATE("#metadata!",ADDRESS(INDEX($P$2:$P$1001,MATCH(ROWS($N$2:N859),$N$2:$N$1001,0),0),1)),INDEX($S$2:$S$1001,MATCH(ROWS($N$2:N859),$N$2:$N$1001,0),0)))</f>
        <v>0</v>
      </c>
      <c r="B859" s="3">
        <f>IF(OR(INDEX($O$2:$O$1001,MATCH(ROWS($N$2:N859),$N$2:$N$1001,0),1)&gt;=100000,INDEX($U$1005:$AC$1005,1,MATCH(COLUMNS($U$1006:U1006),$U$1006:$AC$1006,0))&gt;=100000), " ",IF(INDEX($U$2:$AC$1001,MATCH(ROWS($N$2:N859),$N$2:$N$1001,0),MATCH(COLUMNS($U$1006:U1006),$U$1006:$AC$1006,0)), HYPERLINK("#",""), HYPERLINK(CONCATENATE("#metadata!", ADDRESS(INDEX($P$2:$P$1001,MATCH(ROWS($N$2:N859),$N$2:$N$1001,0),0), INDEX($U$1004:$AC$1004,1,MATCH(COLUMNS($U$1006:U1006),$U$1006:$AC$1006,0)))),"Fix")))</f>
        <v>0</v>
      </c>
      <c r="C859" s="3">
        <f>IF(OR(INDEX($O$2:$O$1001,MATCH(ROWS($N$2:N859),$N$2:$N$1001,0),1)&gt;=100000,INDEX($U$1005:$AC$1005,1,MATCH(COLUMNS($U$1006:V1006),$U$1006:$AC$1006,0))&gt;=100000), " ",IF(INDEX($U$2:$AC$1001,MATCH(ROWS($N$2:N859),$N$2:$N$1001,0),MATCH(COLUMNS($U$1006:V1006),$U$1006:$AC$1006,0)), HYPERLINK("#",""), HYPERLINK(CONCATENATE("#metadata!", ADDRESS(INDEX($P$2:$P$1001,MATCH(ROWS($N$2:N859),$N$2:$N$1001,0),0), INDEX($U$1004:$AC$1004,1,MATCH(COLUMNS($U$1006:V1006),$U$1006:$AC$1006,0)))),"Fix")))</f>
        <v>0</v>
      </c>
      <c r="D859" s="3">
        <f>IF(OR(INDEX($O$2:$O$1001,MATCH(ROWS($N$2:N859),$N$2:$N$1001,0),1)&gt;=100000,INDEX($U$1005:$AC$1005,1,MATCH(COLUMNS($U$1006:W1006),$U$1006:$AC$1006,0))&gt;=100000), " ",IF(INDEX($U$2:$AC$1001,MATCH(ROWS($N$2:N859),$N$2:$N$1001,0),MATCH(COLUMNS($U$1006:W1006),$U$1006:$AC$1006,0)), HYPERLINK("#",""), HYPERLINK(CONCATENATE("#metadata!", ADDRESS(INDEX($P$2:$P$1001,MATCH(ROWS($N$2:N859),$N$2:$N$1001,0),0), INDEX($U$1004:$AC$1004,1,MATCH(COLUMNS($U$1006:W1006),$U$1006:$AC$1006,0)))),"Fix")))</f>
        <v>0</v>
      </c>
      <c r="E859" s="3">
        <f>IF(OR(INDEX($O$2:$O$1001,MATCH(ROWS($N$2:N859),$N$2:$N$1001,0),1)&gt;=100000,INDEX($U$1005:$AC$1005,1,MATCH(COLUMNS($U$1006:X1006),$U$1006:$AC$1006,0))&gt;=100000), " ",IF(INDEX($U$2:$AC$1001,MATCH(ROWS($N$2:N859),$N$2:$N$1001,0),MATCH(COLUMNS($U$1006:X1006),$U$1006:$AC$1006,0)), HYPERLINK("#",""), HYPERLINK(CONCATENATE("#metadata!", ADDRESS(INDEX($P$2:$P$1001,MATCH(ROWS($N$2:N859),$N$2:$N$1001,0),0), INDEX($U$1004:$AC$1004,1,MATCH(COLUMNS($U$1006:X1006),$U$1006:$AC$1006,0)))),"Fix")))</f>
        <v>0</v>
      </c>
      <c r="F859" s="3">
        <f>IF(OR(INDEX($O$2:$O$1001,MATCH(ROWS($N$2:N859),$N$2:$N$1001,0),1)&gt;=100000,INDEX($U$1005:$AC$1005,1,MATCH(COLUMNS($U$1006:Y1006),$U$1006:$AC$1006,0))&gt;=100000), " ",IF(INDEX($U$2:$AC$1001,MATCH(ROWS($N$2:N859),$N$2:$N$1001,0),MATCH(COLUMNS($U$1006:Y1006),$U$1006:$AC$1006,0)), HYPERLINK("#",""), HYPERLINK(CONCATENATE("#metadata!", ADDRESS(INDEX($P$2:$P$1001,MATCH(ROWS($N$2:N859),$N$2:$N$1001,0),0), INDEX($U$1004:$AC$1004,1,MATCH(COLUMNS($U$1006:Y1006),$U$1006:$AC$1006,0)))),"Fix")))</f>
        <v>0</v>
      </c>
      <c r="G859" s="3">
        <f>IF(OR(INDEX($O$2:$O$1001,MATCH(ROWS($N$2:N859),$N$2:$N$1001,0),1)&gt;=100000,INDEX($U$1005:$AC$1005,1,MATCH(COLUMNS($U$1006:Z1006),$U$1006:$AC$1006,0))&gt;=100000), " ",IF(INDEX($U$2:$AC$1001,MATCH(ROWS($N$2:N859),$N$2:$N$1001,0),MATCH(COLUMNS($U$1006:Z1006),$U$1006:$AC$1006,0)), HYPERLINK("#",""), HYPERLINK(CONCATENATE("#metadata!", ADDRESS(INDEX($P$2:$P$1001,MATCH(ROWS($N$2:N859),$N$2:$N$1001,0),0), INDEX($U$1004:$AC$1004,1,MATCH(COLUMNS($U$1006:Z1006),$U$1006:$AC$1006,0)))),"Fix")))</f>
        <v>0</v>
      </c>
      <c r="H859" s="3">
        <f>IF(OR(INDEX($O$2:$O$1001,MATCH(ROWS($N$2:N859),$N$2:$N$1001,0),1)&gt;=100000,INDEX($U$1005:$AC$1005,1,MATCH(COLUMNS($U$1006:AA1006),$U$1006:$AC$1006,0))&gt;=100000), " ",IF(INDEX($U$2:$AC$1001,MATCH(ROWS($N$2:N859),$N$2:$N$1001,0),MATCH(COLUMNS($U$1006:AA1006),$U$1006:$AC$1006,0)), HYPERLINK("#",""), HYPERLINK(CONCATENATE("#metadata!", ADDRESS(INDEX($P$2:$P$1001,MATCH(ROWS($N$2:N859),$N$2:$N$1001,0),0), INDEX($U$1004:$AC$1004,1,MATCH(COLUMNS($U$1006:AA1006),$U$1006:$AC$1006,0)))),"Fix")))</f>
        <v>0</v>
      </c>
      <c r="I859" s="3">
        <f>IF(OR(INDEX($O$2:$O$1001,MATCH(ROWS($N$2:N859),$N$2:$N$1001,0),1)&gt;=100000,INDEX($U$1005:$AC$1005,1,MATCH(COLUMNS($U$1006:AB1006),$U$1006:$AC$1006,0))&gt;=100000), " ",IF(INDEX($U$2:$AC$1001,MATCH(ROWS($N$2:N859),$N$2:$N$1001,0),MATCH(COLUMNS($U$1006:AB1006),$U$1006:$AC$1006,0)), HYPERLINK("#",""), HYPERLINK(CONCATENATE("#metadata!", ADDRESS(INDEX($P$2:$P$1001,MATCH(ROWS($N$2:N859),$N$2:$N$1001,0),0), INDEX($U$1004:$AC$1004,1,MATCH(COLUMNS($U$1006:AB1006),$U$1006:$AC$1006,0)))),"Fix")))</f>
        <v>0</v>
      </c>
      <c r="J859" s="3">
        <f>IF(OR(INDEX($O$2:$O$1001,MATCH(ROWS($N$2:N859),$N$2:$N$1001,0),1)&gt;=100000,INDEX($U$1005:$AC$1005,1,MATCH(COLUMNS($U$1006:AC1006),$U$1006:$AC$1006,0))&gt;=100000), " ",IF(INDEX($U$2:$AC$1001,MATCH(ROWS($N$2:N859),$N$2:$N$1001,0),MATCH(COLUMNS($U$1006:AC1006),$U$1006:$AC$1006,0)), HYPERLINK("#",""), HYPERLINK(CONCATENATE("#metadata!", ADDRESS(INDEX($P$2:$P$1001,MATCH(ROWS($N$2:N859),$N$2:$N$1001,0),0), INDEX($U$1004:$AC$1004,1,MATCH(COLUMNS($U$1006:AC1006),$U$1006:$AC$1006,0)))),"Fix")))</f>
        <v>0</v>
      </c>
      <c r="N859">
        <v>0</v>
      </c>
      <c r="O859">
        <v>0</v>
      </c>
      <c r="P859">
        <v>0</v>
      </c>
      <c r="Q859">
        <f>IF(R859,TRUE,AND(U859:AC859))</f>
        <v>0</v>
      </c>
      <c r="R859">
        <f>COUNTBLANK(metadata!B859:J859)=COLUMNS(metadata!B859:J859)</f>
        <v>0</v>
      </c>
      <c r="S859">
        <v>0</v>
      </c>
      <c r="U859">
        <f>AND(IF(metadata!B859="",FALSE,TRUE),COUNTIF(metadata!B:B, metadata!B859) = 1,NOT(ISERROR(SUMPRODUCT(SEARCH(MID(metadata!B859,ROW(INDIRECT("1:"&amp;LEN(metadata!B859))), 1),"0123456789abcdefghijklmnopqrstuvwxyzABCDEFGHIJKLMNOPQRSTUVWXYZ.")))))</f>
        <v>0</v>
      </c>
      <c r="V859">
        <f>AND(IF(metadata!C859="",FALSE,TRUE),exact(metadata!C859,"UBERON:genitourinary"))</f>
        <v>0</v>
      </c>
      <c r="W859">
        <f>AND(IF(metadata!D859="",FALSE,TRUE),exact(metadata!D859,"UBERON:urine"))</f>
        <v>0</v>
      </c>
      <c r="X859">
        <f>AND(IF(metadata!E859="",FALSE,TRUE),exact(metadata!E859,"UBERON:kidney"))</f>
        <v>0</v>
      </c>
      <c r="Y859">
        <f>AND(IF(metadata!F859="",FALSE,TRUE),exact(metadata!F859,"animal corpus"))</f>
        <v>0</v>
      </c>
      <c r="Z859">
        <f>AND(IF(metadata!G859="",FALSE,TRUE),exact(metadata!G859,"urine"))</f>
        <v>0</v>
      </c>
      <c r="AA859">
        <f>AND(IF(metadata!H859="",FALSE,TRUE),exact(metadata!H859,"urine"))</f>
        <v>0</v>
      </c>
      <c r="AB859">
        <f>AND(IF(metadata!I859="",FALSE,TRUE),exact(metadata!I859,"urine metagenome"))</f>
        <v>0</v>
      </c>
      <c r="AC859">
        <f>AND(IF(metadata!J859="",FALSE,TRUE),exact(metadata!J859,"1346744"))</f>
        <v>0</v>
      </c>
    </row>
    <row r="860" spans="1:29">
      <c r="A860" s="4">
        <f>IF(B860=" "," ",HYPERLINK(CONCATENATE("#metadata!",ADDRESS(INDEX($P$2:$P$1001,MATCH(ROWS($N$2:N860),$N$2:$N$1001,0),0),1)),INDEX($S$2:$S$1001,MATCH(ROWS($N$2:N860),$N$2:$N$1001,0),0)))</f>
        <v>0</v>
      </c>
      <c r="B860" s="3">
        <f>IF(OR(INDEX($O$2:$O$1001,MATCH(ROWS($N$2:N860),$N$2:$N$1001,0),1)&gt;=100000,INDEX($U$1005:$AC$1005,1,MATCH(COLUMNS($U$1006:U1006),$U$1006:$AC$1006,0))&gt;=100000), " ",IF(INDEX($U$2:$AC$1001,MATCH(ROWS($N$2:N860),$N$2:$N$1001,0),MATCH(COLUMNS($U$1006:U1006),$U$1006:$AC$1006,0)), HYPERLINK("#",""), HYPERLINK(CONCATENATE("#metadata!", ADDRESS(INDEX($P$2:$P$1001,MATCH(ROWS($N$2:N860),$N$2:$N$1001,0),0), INDEX($U$1004:$AC$1004,1,MATCH(COLUMNS($U$1006:U1006),$U$1006:$AC$1006,0)))),"Fix")))</f>
        <v>0</v>
      </c>
      <c r="C860" s="3">
        <f>IF(OR(INDEX($O$2:$O$1001,MATCH(ROWS($N$2:N860),$N$2:$N$1001,0),1)&gt;=100000,INDEX($U$1005:$AC$1005,1,MATCH(COLUMNS($U$1006:V1006),$U$1006:$AC$1006,0))&gt;=100000), " ",IF(INDEX($U$2:$AC$1001,MATCH(ROWS($N$2:N860),$N$2:$N$1001,0),MATCH(COLUMNS($U$1006:V1006),$U$1006:$AC$1006,0)), HYPERLINK("#",""), HYPERLINK(CONCATENATE("#metadata!", ADDRESS(INDEX($P$2:$P$1001,MATCH(ROWS($N$2:N860),$N$2:$N$1001,0),0), INDEX($U$1004:$AC$1004,1,MATCH(COLUMNS($U$1006:V1006),$U$1006:$AC$1006,0)))),"Fix")))</f>
        <v>0</v>
      </c>
      <c r="D860" s="3">
        <f>IF(OR(INDEX($O$2:$O$1001,MATCH(ROWS($N$2:N860),$N$2:$N$1001,0),1)&gt;=100000,INDEX($U$1005:$AC$1005,1,MATCH(COLUMNS($U$1006:W1006),$U$1006:$AC$1006,0))&gt;=100000), " ",IF(INDEX($U$2:$AC$1001,MATCH(ROWS($N$2:N860),$N$2:$N$1001,0),MATCH(COLUMNS($U$1006:W1006),$U$1006:$AC$1006,0)), HYPERLINK("#",""), HYPERLINK(CONCATENATE("#metadata!", ADDRESS(INDEX($P$2:$P$1001,MATCH(ROWS($N$2:N860),$N$2:$N$1001,0),0), INDEX($U$1004:$AC$1004,1,MATCH(COLUMNS($U$1006:W1006),$U$1006:$AC$1006,0)))),"Fix")))</f>
        <v>0</v>
      </c>
      <c r="E860" s="3">
        <f>IF(OR(INDEX($O$2:$O$1001,MATCH(ROWS($N$2:N860),$N$2:$N$1001,0),1)&gt;=100000,INDEX($U$1005:$AC$1005,1,MATCH(COLUMNS($U$1006:X1006),$U$1006:$AC$1006,0))&gt;=100000), " ",IF(INDEX($U$2:$AC$1001,MATCH(ROWS($N$2:N860),$N$2:$N$1001,0),MATCH(COLUMNS($U$1006:X1006),$U$1006:$AC$1006,0)), HYPERLINK("#",""), HYPERLINK(CONCATENATE("#metadata!", ADDRESS(INDEX($P$2:$P$1001,MATCH(ROWS($N$2:N860),$N$2:$N$1001,0),0), INDEX($U$1004:$AC$1004,1,MATCH(COLUMNS($U$1006:X1006),$U$1006:$AC$1006,0)))),"Fix")))</f>
        <v>0</v>
      </c>
      <c r="F860" s="3">
        <f>IF(OR(INDEX($O$2:$O$1001,MATCH(ROWS($N$2:N860),$N$2:$N$1001,0),1)&gt;=100000,INDEX($U$1005:$AC$1005,1,MATCH(COLUMNS($U$1006:Y1006),$U$1006:$AC$1006,0))&gt;=100000), " ",IF(INDEX($U$2:$AC$1001,MATCH(ROWS($N$2:N860),$N$2:$N$1001,0),MATCH(COLUMNS($U$1006:Y1006),$U$1006:$AC$1006,0)), HYPERLINK("#",""), HYPERLINK(CONCATENATE("#metadata!", ADDRESS(INDEX($P$2:$P$1001,MATCH(ROWS($N$2:N860),$N$2:$N$1001,0),0), INDEX($U$1004:$AC$1004,1,MATCH(COLUMNS($U$1006:Y1006),$U$1006:$AC$1006,0)))),"Fix")))</f>
        <v>0</v>
      </c>
      <c r="G860" s="3">
        <f>IF(OR(INDEX($O$2:$O$1001,MATCH(ROWS($N$2:N860),$N$2:$N$1001,0),1)&gt;=100000,INDEX($U$1005:$AC$1005,1,MATCH(COLUMNS($U$1006:Z1006),$U$1006:$AC$1006,0))&gt;=100000), " ",IF(INDEX($U$2:$AC$1001,MATCH(ROWS($N$2:N860),$N$2:$N$1001,0),MATCH(COLUMNS($U$1006:Z1006),$U$1006:$AC$1006,0)), HYPERLINK("#",""), HYPERLINK(CONCATENATE("#metadata!", ADDRESS(INDEX($P$2:$P$1001,MATCH(ROWS($N$2:N860),$N$2:$N$1001,0),0), INDEX($U$1004:$AC$1004,1,MATCH(COLUMNS($U$1006:Z1006),$U$1006:$AC$1006,0)))),"Fix")))</f>
        <v>0</v>
      </c>
      <c r="H860" s="3">
        <f>IF(OR(INDEX($O$2:$O$1001,MATCH(ROWS($N$2:N860),$N$2:$N$1001,0),1)&gt;=100000,INDEX($U$1005:$AC$1005,1,MATCH(COLUMNS($U$1006:AA1006),$U$1006:$AC$1006,0))&gt;=100000), " ",IF(INDEX($U$2:$AC$1001,MATCH(ROWS($N$2:N860),$N$2:$N$1001,0),MATCH(COLUMNS($U$1006:AA1006),$U$1006:$AC$1006,0)), HYPERLINK("#",""), HYPERLINK(CONCATENATE("#metadata!", ADDRESS(INDEX($P$2:$P$1001,MATCH(ROWS($N$2:N860),$N$2:$N$1001,0),0), INDEX($U$1004:$AC$1004,1,MATCH(COLUMNS($U$1006:AA1006),$U$1006:$AC$1006,0)))),"Fix")))</f>
        <v>0</v>
      </c>
      <c r="I860" s="3">
        <f>IF(OR(INDEX($O$2:$O$1001,MATCH(ROWS($N$2:N860),$N$2:$N$1001,0),1)&gt;=100000,INDEX($U$1005:$AC$1005,1,MATCH(COLUMNS($U$1006:AB1006),$U$1006:$AC$1006,0))&gt;=100000), " ",IF(INDEX($U$2:$AC$1001,MATCH(ROWS($N$2:N860),$N$2:$N$1001,0),MATCH(COLUMNS($U$1006:AB1006),$U$1006:$AC$1006,0)), HYPERLINK("#",""), HYPERLINK(CONCATENATE("#metadata!", ADDRESS(INDEX($P$2:$P$1001,MATCH(ROWS($N$2:N860),$N$2:$N$1001,0),0), INDEX($U$1004:$AC$1004,1,MATCH(COLUMNS($U$1006:AB1006),$U$1006:$AC$1006,0)))),"Fix")))</f>
        <v>0</v>
      </c>
      <c r="J860" s="3">
        <f>IF(OR(INDEX($O$2:$O$1001,MATCH(ROWS($N$2:N860),$N$2:$N$1001,0),1)&gt;=100000,INDEX($U$1005:$AC$1005,1,MATCH(COLUMNS($U$1006:AC1006),$U$1006:$AC$1006,0))&gt;=100000), " ",IF(INDEX($U$2:$AC$1001,MATCH(ROWS($N$2:N860),$N$2:$N$1001,0),MATCH(COLUMNS($U$1006:AC1006),$U$1006:$AC$1006,0)), HYPERLINK("#",""), HYPERLINK(CONCATENATE("#metadata!", ADDRESS(INDEX($P$2:$P$1001,MATCH(ROWS($N$2:N860),$N$2:$N$1001,0),0), INDEX($U$1004:$AC$1004,1,MATCH(COLUMNS($U$1006:AC1006),$U$1006:$AC$1006,0)))),"Fix")))</f>
        <v>0</v>
      </c>
      <c r="N860">
        <v>0</v>
      </c>
      <c r="O860">
        <v>0</v>
      </c>
      <c r="P860">
        <v>0</v>
      </c>
      <c r="Q860">
        <f>IF(R860,TRUE,AND(U860:AC860))</f>
        <v>0</v>
      </c>
      <c r="R860">
        <f>COUNTBLANK(metadata!B860:J860)=COLUMNS(metadata!B860:J860)</f>
        <v>0</v>
      </c>
      <c r="S860">
        <v>0</v>
      </c>
      <c r="U860">
        <f>AND(IF(metadata!B860="",FALSE,TRUE),COUNTIF(metadata!B:B, metadata!B860) = 1,NOT(ISERROR(SUMPRODUCT(SEARCH(MID(metadata!B860,ROW(INDIRECT("1:"&amp;LEN(metadata!B860))), 1),"0123456789abcdefghijklmnopqrstuvwxyzABCDEFGHIJKLMNOPQRSTUVWXYZ.")))))</f>
        <v>0</v>
      </c>
      <c r="V860">
        <f>AND(IF(metadata!C860="",FALSE,TRUE),exact(metadata!C860,"UBERON:genitourinary"))</f>
        <v>0</v>
      </c>
      <c r="W860">
        <f>AND(IF(metadata!D860="",FALSE,TRUE),exact(metadata!D860,"UBERON:urine"))</f>
        <v>0</v>
      </c>
      <c r="X860">
        <f>AND(IF(metadata!E860="",FALSE,TRUE),exact(metadata!E860,"UBERON:kidney"))</f>
        <v>0</v>
      </c>
      <c r="Y860">
        <f>AND(IF(metadata!F860="",FALSE,TRUE),exact(metadata!F860,"animal corpus"))</f>
        <v>0</v>
      </c>
      <c r="Z860">
        <f>AND(IF(metadata!G860="",FALSE,TRUE),exact(metadata!G860,"urine"))</f>
        <v>0</v>
      </c>
      <c r="AA860">
        <f>AND(IF(metadata!H860="",FALSE,TRUE),exact(metadata!H860,"urine"))</f>
        <v>0</v>
      </c>
      <c r="AB860">
        <f>AND(IF(metadata!I860="",FALSE,TRUE),exact(metadata!I860,"urine metagenome"))</f>
        <v>0</v>
      </c>
      <c r="AC860">
        <f>AND(IF(metadata!J860="",FALSE,TRUE),exact(metadata!J860,"1346744"))</f>
        <v>0</v>
      </c>
    </row>
    <row r="861" spans="1:29">
      <c r="A861" s="4">
        <f>IF(B861=" "," ",HYPERLINK(CONCATENATE("#metadata!",ADDRESS(INDEX($P$2:$P$1001,MATCH(ROWS($N$2:N861),$N$2:$N$1001,0),0),1)),INDEX($S$2:$S$1001,MATCH(ROWS($N$2:N861),$N$2:$N$1001,0),0)))</f>
        <v>0</v>
      </c>
      <c r="B861" s="3">
        <f>IF(OR(INDEX($O$2:$O$1001,MATCH(ROWS($N$2:N861),$N$2:$N$1001,0),1)&gt;=100000,INDEX($U$1005:$AC$1005,1,MATCH(COLUMNS($U$1006:U1006),$U$1006:$AC$1006,0))&gt;=100000), " ",IF(INDEX($U$2:$AC$1001,MATCH(ROWS($N$2:N861),$N$2:$N$1001,0),MATCH(COLUMNS($U$1006:U1006),$U$1006:$AC$1006,0)), HYPERLINK("#",""), HYPERLINK(CONCATENATE("#metadata!", ADDRESS(INDEX($P$2:$P$1001,MATCH(ROWS($N$2:N861),$N$2:$N$1001,0),0), INDEX($U$1004:$AC$1004,1,MATCH(COLUMNS($U$1006:U1006),$U$1006:$AC$1006,0)))),"Fix")))</f>
        <v>0</v>
      </c>
      <c r="C861" s="3">
        <f>IF(OR(INDEX($O$2:$O$1001,MATCH(ROWS($N$2:N861),$N$2:$N$1001,0),1)&gt;=100000,INDEX($U$1005:$AC$1005,1,MATCH(COLUMNS($U$1006:V1006),$U$1006:$AC$1006,0))&gt;=100000), " ",IF(INDEX($U$2:$AC$1001,MATCH(ROWS($N$2:N861),$N$2:$N$1001,0),MATCH(COLUMNS($U$1006:V1006),$U$1006:$AC$1006,0)), HYPERLINK("#",""), HYPERLINK(CONCATENATE("#metadata!", ADDRESS(INDEX($P$2:$P$1001,MATCH(ROWS($N$2:N861),$N$2:$N$1001,0),0), INDEX($U$1004:$AC$1004,1,MATCH(COLUMNS($U$1006:V1006),$U$1006:$AC$1006,0)))),"Fix")))</f>
        <v>0</v>
      </c>
      <c r="D861" s="3">
        <f>IF(OR(INDEX($O$2:$O$1001,MATCH(ROWS($N$2:N861),$N$2:$N$1001,0),1)&gt;=100000,INDEX($U$1005:$AC$1005,1,MATCH(COLUMNS($U$1006:W1006),$U$1006:$AC$1006,0))&gt;=100000), " ",IF(INDEX($U$2:$AC$1001,MATCH(ROWS($N$2:N861),$N$2:$N$1001,0),MATCH(COLUMNS($U$1006:W1006),$U$1006:$AC$1006,0)), HYPERLINK("#",""), HYPERLINK(CONCATENATE("#metadata!", ADDRESS(INDEX($P$2:$P$1001,MATCH(ROWS($N$2:N861),$N$2:$N$1001,0),0), INDEX($U$1004:$AC$1004,1,MATCH(COLUMNS($U$1006:W1006),$U$1006:$AC$1006,0)))),"Fix")))</f>
        <v>0</v>
      </c>
      <c r="E861" s="3">
        <f>IF(OR(INDEX($O$2:$O$1001,MATCH(ROWS($N$2:N861),$N$2:$N$1001,0),1)&gt;=100000,INDEX($U$1005:$AC$1005,1,MATCH(COLUMNS($U$1006:X1006),$U$1006:$AC$1006,0))&gt;=100000), " ",IF(INDEX($U$2:$AC$1001,MATCH(ROWS($N$2:N861),$N$2:$N$1001,0),MATCH(COLUMNS($U$1006:X1006),$U$1006:$AC$1006,0)), HYPERLINK("#",""), HYPERLINK(CONCATENATE("#metadata!", ADDRESS(INDEX($P$2:$P$1001,MATCH(ROWS($N$2:N861),$N$2:$N$1001,0),0), INDEX($U$1004:$AC$1004,1,MATCH(COLUMNS($U$1006:X1006),$U$1006:$AC$1006,0)))),"Fix")))</f>
        <v>0</v>
      </c>
      <c r="F861" s="3">
        <f>IF(OR(INDEX($O$2:$O$1001,MATCH(ROWS($N$2:N861),$N$2:$N$1001,0),1)&gt;=100000,INDEX($U$1005:$AC$1005,1,MATCH(COLUMNS($U$1006:Y1006),$U$1006:$AC$1006,0))&gt;=100000), " ",IF(INDEX($U$2:$AC$1001,MATCH(ROWS($N$2:N861),$N$2:$N$1001,0),MATCH(COLUMNS($U$1006:Y1006),$U$1006:$AC$1006,0)), HYPERLINK("#",""), HYPERLINK(CONCATENATE("#metadata!", ADDRESS(INDEX($P$2:$P$1001,MATCH(ROWS($N$2:N861),$N$2:$N$1001,0),0), INDEX($U$1004:$AC$1004,1,MATCH(COLUMNS($U$1006:Y1006),$U$1006:$AC$1006,0)))),"Fix")))</f>
        <v>0</v>
      </c>
      <c r="G861" s="3">
        <f>IF(OR(INDEX($O$2:$O$1001,MATCH(ROWS($N$2:N861),$N$2:$N$1001,0),1)&gt;=100000,INDEX($U$1005:$AC$1005,1,MATCH(COLUMNS($U$1006:Z1006),$U$1006:$AC$1006,0))&gt;=100000), " ",IF(INDEX($U$2:$AC$1001,MATCH(ROWS($N$2:N861),$N$2:$N$1001,0),MATCH(COLUMNS($U$1006:Z1006),$U$1006:$AC$1006,0)), HYPERLINK("#",""), HYPERLINK(CONCATENATE("#metadata!", ADDRESS(INDEX($P$2:$P$1001,MATCH(ROWS($N$2:N861),$N$2:$N$1001,0),0), INDEX($U$1004:$AC$1004,1,MATCH(COLUMNS($U$1006:Z1006),$U$1006:$AC$1006,0)))),"Fix")))</f>
        <v>0</v>
      </c>
      <c r="H861" s="3">
        <f>IF(OR(INDEX($O$2:$O$1001,MATCH(ROWS($N$2:N861),$N$2:$N$1001,0),1)&gt;=100000,INDEX($U$1005:$AC$1005,1,MATCH(COLUMNS($U$1006:AA1006),$U$1006:$AC$1006,0))&gt;=100000), " ",IF(INDEX($U$2:$AC$1001,MATCH(ROWS($N$2:N861),$N$2:$N$1001,0),MATCH(COLUMNS($U$1006:AA1006),$U$1006:$AC$1006,0)), HYPERLINK("#",""), HYPERLINK(CONCATENATE("#metadata!", ADDRESS(INDEX($P$2:$P$1001,MATCH(ROWS($N$2:N861),$N$2:$N$1001,0),0), INDEX($U$1004:$AC$1004,1,MATCH(COLUMNS($U$1006:AA1006),$U$1006:$AC$1006,0)))),"Fix")))</f>
        <v>0</v>
      </c>
      <c r="I861" s="3">
        <f>IF(OR(INDEX($O$2:$O$1001,MATCH(ROWS($N$2:N861),$N$2:$N$1001,0),1)&gt;=100000,INDEX($U$1005:$AC$1005,1,MATCH(COLUMNS($U$1006:AB1006),$U$1006:$AC$1006,0))&gt;=100000), " ",IF(INDEX($U$2:$AC$1001,MATCH(ROWS($N$2:N861),$N$2:$N$1001,0),MATCH(COLUMNS($U$1006:AB1006),$U$1006:$AC$1006,0)), HYPERLINK("#",""), HYPERLINK(CONCATENATE("#metadata!", ADDRESS(INDEX($P$2:$P$1001,MATCH(ROWS($N$2:N861),$N$2:$N$1001,0),0), INDEX($U$1004:$AC$1004,1,MATCH(COLUMNS($U$1006:AB1006),$U$1006:$AC$1006,0)))),"Fix")))</f>
        <v>0</v>
      </c>
      <c r="J861" s="3">
        <f>IF(OR(INDEX($O$2:$O$1001,MATCH(ROWS($N$2:N861),$N$2:$N$1001,0),1)&gt;=100000,INDEX($U$1005:$AC$1005,1,MATCH(COLUMNS($U$1006:AC1006),$U$1006:$AC$1006,0))&gt;=100000), " ",IF(INDEX($U$2:$AC$1001,MATCH(ROWS($N$2:N861),$N$2:$N$1001,0),MATCH(COLUMNS($U$1006:AC1006),$U$1006:$AC$1006,0)), HYPERLINK("#",""), HYPERLINK(CONCATENATE("#metadata!", ADDRESS(INDEX($P$2:$P$1001,MATCH(ROWS($N$2:N861),$N$2:$N$1001,0),0), INDEX($U$1004:$AC$1004,1,MATCH(COLUMNS($U$1006:AC1006),$U$1006:$AC$1006,0)))),"Fix")))</f>
        <v>0</v>
      </c>
      <c r="N861">
        <v>0</v>
      </c>
      <c r="O861">
        <v>0</v>
      </c>
      <c r="P861">
        <v>0</v>
      </c>
      <c r="Q861">
        <f>IF(R861,TRUE,AND(U861:AC861))</f>
        <v>0</v>
      </c>
      <c r="R861">
        <f>COUNTBLANK(metadata!B861:J861)=COLUMNS(metadata!B861:J861)</f>
        <v>0</v>
      </c>
      <c r="S861">
        <v>0</v>
      </c>
      <c r="U861">
        <f>AND(IF(metadata!B861="",FALSE,TRUE),COUNTIF(metadata!B:B, metadata!B861) = 1,NOT(ISERROR(SUMPRODUCT(SEARCH(MID(metadata!B861,ROW(INDIRECT("1:"&amp;LEN(metadata!B861))), 1),"0123456789abcdefghijklmnopqrstuvwxyzABCDEFGHIJKLMNOPQRSTUVWXYZ.")))))</f>
        <v>0</v>
      </c>
      <c r="V861">
        <f>AND(IF(metadata!C861="",FALSE,TRUE),exact(metadata!C861,"UBERON:genitourinary"))</f>
        <v>0</v>
      </c>
      <c r="W861">
        <f>AND(IF(metadata!D861="",FALSE,TRUE),exact(metadata!D861,"UBERON:urine"))</f>
        <v>0</v>
      </c>
      <c r="X861">
        <f>AND(IF(metadata!E861="",FALSE,TRUE),exact(metadata!E861,"UBERON:kidney"))</f>
        <v>0</v>
      </c>
      <c r="Y861">
        <f>AND(IF(metadata!F861="",FALSE,TRUE),exact(metadata!F861,"animal corpus"))</f>
        <v>0</v>
      </c>
      <c r="Z861">
        <f>AND(IF(metadata!G861="",FALSE,TRUE),exact(metadata!G861,"urine"))</f>
        <v>0</v>
      </c>
      <c r="AA861">
        <f>AND(IF(metadata!H861="",FALSE,TRUE),exact(metadata!H861,"urine"))</f>
        <v>0</v>
      </c>
      <c r="AB861">
        <f>AND(IF(metadata!I861="",FALSE,TRUE),exact(metadata!I861,"urine metagenome"))</f>
        <v>0</v>
      </c>
      <c r="AC861">
        <f>AND(IF(metadata!J861="",FALSE,TRUE),exact(metadata!J861,"1346744"))</f>
        <v>0</v>
      </c>
    </row>
    <row r="862" spans="1:29">
      <c r="A862" s="4">
        <f>IF(B862=" "," ",HYPERLINK(CONCATENATE("#metadata!",ADDRESS(INDEX($P$2:$P$1001,MATCH(ROWS($N$2:N862),$N$2:$N$1001,0),0),1)),INDEX($S$2:$S$1001,MATCH(ROWS($N$2:N862),$N$2:$N$1001,0),0)))</f>
        <v>0</v>
      </c>
      <c r="B862" s="3">
        <f>IF(OR(INDEX($O$2:$O$1001,MATCH(ROWS($N$2:N862),$N$2:$N$1001,0),1)&gt;=100000,INDEX($U$1005:$AC$1005,1,MATCH(COLUMNS($U$1006:U1006),$U$1006:$AC$1006,0))&gt;=100000), " ",IF(INDEX($U$2:$AC$1001,MATCH(ROWS($N$2:N862),$N$2:$N$1001,0),MATCH(COLUMNS($U$1006:U1006),$U$1006:$AC$1006,0)), HYPERLINK("#",""), HYPERLINK(CONCATENATE("#metadata!", ADDRESS(INDEX($P$2:$P$1001,MATCH(ROWS($N$2:N862),$N$2:$N$1001,0),0), INDEX($U$1004:$AC$1004,1,MATCH(COLUMNS($U$1006:U1006),$U$1006:$AC$1006,0)))),"Fix")))</f>
        <v>0</v>
      </c>
      <c r="C862" s="3">
        <f>IF(OR(INDEX($O$2:$O$1001,MATCH(ROWS($N$2:N862),$N$2:$N$1001,0),1)&gt;=100000,INDEX($U$1005:$AC$1005,1,MATCH(COLUMNS($U$1006:V1006),$U$1006:$AC$1006,0))&gt;=100000), " ",IF(INDEX($U$2:$AC$1001,MATCH(ROWS($N$2:N862),$N$2:$N$1001,0),MATCH(COLUMNS($U$1006:V1006),$U$1006:$AC$1006,0)), HYPERLINK("#",""), HYPERLINK(CONCATENATE("#metadata!", ADDRESS(INDEX($P$2:$P$1001,MATCH(ROWS($N$2:N862),$N$2:$N$1001,0),0), INDEX($U$1004:$AC$1004,1,MATCH(COLUMNS($U$1006:V1006),$U$1006:$AC$1006,0)))),"Fix")))</f>
        <v>0</v>
      </c>
      <c r="D862" s="3">
        <f>IF(OR(INDEX($O$2:$O$1001,MATCH(ROWS($N$2:N862),$N$2:$N$1001,0),1)&gt;=100000,INDEX($U$1005:$AC$1005,1,MATCH(COLUMNS($U$1006:W1006),$U$1006:$AC$1006,0))&gt;=100000), " ",IF(INDEX($U$2:$AC$1001,MATCH(ROWS($N$2:N862),$N$2:$N$1001,0),MATCH(COLUMNS($U$1006:W1006),$U$1006:$AC$1006,0)), HYPERLINK("#",""), HYPERLINK(CONCATENATE("#metadata!", ADDRESS(INDEX($P$2:$P$1001,MATCH(ROWS($N$2:N862),$N$2:$N$1001,0),0), INDEX($U$1004:$AC$1004,1,MATCH(COLUMNS($U$1006:W1006),$U$1006:$AC$1006,0)))),"Fix")))</f>
        <v>0</v>
      </c>
      <c r="E862" s="3">
        <f>IF(OR(INDEX($O$2:$O$1001,MATCH(ROWS($N$2:N862),$N$2:$N$1001,0),1)&gt;=100000,INDEX($U$1005:$AC$1005,1,MATCH(COLUMNS($U$1006:X1006),$U$1006:$AC$1006,0))&gt;=100000), " ",IF(INDEX($U$2:$AC$1001,MATCH(ROWS($N$2:N862),$N$2:$N$1001,0),MATCH(COLUMNS($U$1006:X1006),$U$1006:$AC$1006,0)), HYPERLINK("#",""), HYPERLINK(CONCATENATE("#metadata!", ADDRESS(INDEX($P$2:$P$1001,MATCH(ROWS($N$2:N862),$N$2:$N$1001,0),0), INDEX($U$1004:$AC$1004,1,MATCH(COLUMNS($U$1006:X1006),$U$1006:$AC$1006,0)))),"Fix")))</f>
        <v>0</v>
      </c>
      <c r="F862" s="3">
        <f>IF(OR(INDEX($O$2:$O$1001,MATCH(ROWS($N$2:N862),$N$2:$N$1001,0),1)&gt;=100000,INDEX($U$1005:$AC$1005,1,MATCH(COLUMNS($U$1006:Y1006),$U$1006:$AC$1006,0))&gt;=100000), " ",IF(INDEX($U$2:$AC$1001,MATCH(ROWS($N$2:N862),$N$2:$N$1001,0),MATCH(COLUMNS($U$1006:Y1006),$U$1006:$AC$1006,0)), HYPERLINK("#",""), HYPERLINK(CONCATENATE("#metadata!", ADDRESS(INDEX($P$2:$P$1001,MATCH(ROWS($N$2:N862),$N$2:$N$1001,0),0), INDEX($U$1004:$AC$1004,1,MATCH(COLUMNS($U$1006:Y1006),$U$1006:$AC$1006,0)))),"Fix")))</f>
        <v>0</v>
      </c>
      <c r="G862" s="3">
        <f>IF(OR(INDEX($O$2:$O$1001,MATCH(ROWS($N$2:N862),$N$2:$N$1001,0),1)&gt;=100000,INDEX($U$1005:$AC$1005,1,MATCH(COLUMNS($U$1006:Z1006),$U$1006:$AC$1006,0))&gt;=100000), " ",IF(INDEX($U$2:$AC$1001,MATCH(ROWS($N$2:N862),$N$2:$N$1001,0),MATCH(COLUMNS($U$1006:Z1006),$U$1006:$AC$1006,0)), HYPERLINK("#",""), HYPERLINK(CONCATENATE("#metadata!", ADDRESS(INDEX($P$2:$P$1001,MATCH(ROWS($N$2:N862),$N$2:$N$1001,0),0), INDEX($U$1004:$AC$1004,1,MATCH(COLUMNS($U$1006:Z1006),$U$1006:$AC$1006,0)))),"Fix")))</f>
        <v>0</v>
      </c>
      <c r="H862" s="3">
        <f>IF(OR(INDEX($O$2:$O$1001,MATCH(ROWS($N$2:N862),$N$2:$N$1001,0),1)&gt;=100000,INDEX($U$1005:$AC$1005,1,MATCH(COLUMNS($U$1006:AA1006),$U$1006:$AC$1006,0))&gt;=100000), " ",IF(INDEX($U$2:$AC$1001,MATCH(ROWS($N$2:N862),$N$2:$N$1001,0),MATCH(COLUMNS($U$1006:AA1006),$U$1006:$AC$1006,0)), HYPERLINK("#",""), HYPERLINK(CONCATENATE("#metadata!", ADDRESS(INDEX($P$2:$P$1001,MATCH(ROWS($N$2:N862),$N$2:$N$1001,0),0), INDEX($U$1004:$AC$1004,1,MATCH(COLUMNS($U$1006:AA1006),$U$1006:$AC$1006,0)))),"Fix")))</f>
        <v>0</v>
      </c>
      <c r="I862" s="3">
        <f>IF(OR(INDEX($O$2:$O$1001,MATCH(ROWS($N$2:N862),$N$2:$N$1001,0),1)&gt;=100000,INDEX($U$1005:$AC$1005,1,MATCH(COLUMNS($U$1006:AB1006),$U$1006:$AC$1006,0))&gt;=100000), " ",IF(INDEX($U$2:$AC$1001,MATCH(ROWS($N$2:N862),$N$2:$N$1001,0),MATCH(COLUMNS($U$1006:AB1006),$U$1006:$AC$1006,0)), HYPERLINK("#",""), HYPERLINK(CONCATENATE("#metadata!", ADDRESS(INDEX($P$2:$P$1001,MATCH(ROWS($N$2:N862),$N$2:$N$1001,0),0), INDEX($U$1004:$AC$1004,1,MATCH(COLUMNS($U$1006:AB1006),$U$1006:$AC$1006,0)))),"Fix")))</f>
        <v>0</v>
      </c>
      <c r="J862" s="3">
        <f>IF(OR(INDEX($O$2:$O$1001,MATCH(ROWS($N$2:N862),$N$2:$N$1001,0),1)&gt;=100000,INDEX($U$1005:$AC$1005,1,MATCH(COLUMNS($U$1006:AC1006),$U$1006:$AC$1006,0))&gt;=100000), " ",IF(INDEX($U$2:$AC$1001,MATCH(ROWS($N$2:N862),$N$2:$N$1001,0),MATCH(COLUMNS($U$1006:AC1006),$U$1006:$AC$1006,0)), HYPERLINK("#",""), HYPERLINK(CONCATENATE("#metadata!", ADDRESS(INDEX($P$2:$P$1001,MATCH(ROWS($N$2:N862),$N$2:$N$1001,0),0), INDEX($U$1004:$AC$1004,1,MATCH(COLUMNS($U$1006:AC1006),$U$1006:$AC$1006,0)))),"Fix")))</f>
        <v>0</v>
      </c>
      <c r="N862">
        <v>0</v>
      </c>
      <c r="O862">
        <v>0</v>
      </c>
      <c r="P862">
        <v>0</v>
      </c>
      <c r="Q862">
        <f>IF(R862,TRUE,AND(U862:AC862))</f>
        <v>0</v>
      </c>
      <c r="R862">
        <f>COUNTBLANK(metadata!B862:J862)=COLUMNS(metadata!B862:J862)</f>
        <v>0</v>
      </c>
      <c r="S862">
        <v>0</v>
      </c>
      <c r="U862">
        <f>AND(IF(metadata!B862="",FALSE,TRUE),COUNTIF(metadata!B:B, metadata!B862) = 1,NOT(ISERROR(SUMPRODUCT(SEARCH(MID(metadata!B862,ROW(INDIRECT("1:"&amp;LEN(metadata!B862))), 1),"0123456789abcdefghijklmnopqrstuvwxyzABCDEFGHIJKLMNOPQRSTUVWXYZ.")))))</f>
        <v>0</v>
      </c>
      <c r="V862">
        <f>AND(IF(metadata!C862="",FALSE,TRUE),exact(metadata!C862,"UBERON:genitourinary"))</f>
        <v>0</v>
      </c>
      <c r="W862">
        <f>AND(IF(metadata!D862="",FALSE,TRUE),exact(metadata!D862,"UBERON:urine"))</f>
        <v>0</v>
      </c>
      <c r="X862">
        <f>AND(IF(metadata!E862="",FALSE,TRUE),exact(metadata!E862,"UBERON:kidney"))</f>
        <v>0</v>
      </c>
      <c r="Y862">
        <f>AND(IF(metadata!F862="",FALSE,TRUE),exact(metadata!F862,"animal corpus"))</f>
        <v>0</v>
      </c>
      <c r="Z862">
        <f>AND(IF(metadata!G862="",FALSE,TRUE),exact(metadata!G862,"urine"))</f>
        <v>0</v>
      </c>
      <c r="AA862">
        <f>AND(IF(metadata!H862="",FALSE,TRUE),exact(metadata!H862,"urine"))</f>
        <v>0</v>
      </c>
      <c r="AB862">
        <f>AND(IF(metadata!I862="",FALSE,TRUE),exact(metadata!I862,"urine metagenome"))</f>
        <v>0</v>
      </c>
      <c r="AC862">
        <f>AND(IF(metadata!J862="",FALSE,TRUE),exact(metadata!J862,"1346744"))</f>
        <v>0</v>
      </c>
    </row>
    <row r="863" spans="1:29">
      <c r="A863" s="4">
        <f>IF(B863=" "," ",HYPERLINK(CONCATENATE("#metadata!",ADDRESS(INDEX($P$2:$P$1001,MATCH(ROWS($N$2:N863),$N$2:$N$1001,0),0),1)),INDEX($S$2:$S$1001,MATCH(ROWS($N$2:N863),$N$2:$N$1001,0),0)))</f>
        <v>0</v>
      </c>
      <c r="B863" s="3">
        <f>IF(OR(INDEX($O$2:$O$1001,MATCH(ROWS($N$2:N863),$N$2:$N$1001,0),1)&gt;=100000,INDEX($U$1005:$AC$1005,1,MATCH(COLUMNS($U$1006:U1006),$U$1006:$AC$1006,0))&gt;=100000), " ",IF(INDEX($U$2:$AC$1001,MATCH(ROWS($N$2:N863),$N$2:$N$1001,0),MATCH(COLUMNS($U$1006:U1006),$U$1006:$AC$1006,0)), HYPERLINK("#",""), HYPERLINK(CONCATENATE("#metadata!", ADDRESS(INDEX($P$2:$P$1001,MATCH(ROWS($N$2:N863),$N$2:$N$1001,0),0), INDEX($U$1004:$AC$1004,1,MATCH(COLUMNS($U$1006:U1006),$U$1006:$AC$1006,0)))),"Fix")))</f>
        <v>0</v>
      </c>
      <c r="C863" s="3">
        <f>IF(OR(INDEX($O$2:$O$1001,MATCH(ROWS($N$2:N863),$N$2:$N$1001,0),1)&gt;=100000,INDEX($U$1005:$AC$1005,1,MATCH(COLUMNS($U$1006:V1006),$U$1006:$AC$1006,0))&gt;=100000), " ",IF(INDEX($U$2:$AC$1001,MATCH(ROWS($N$2:N863),$N$2:$N$1001,0),MATCH(COLUMNS($U$1006:V1006),$U$1006:$AC$1006,0)), HYPERLINK("#",""), HYPERLINK(CONCATENATE("#metadata!", ADDRESS(INDEX($P$2:$P$1001,MATCH(ROWS($N$2:N863),$N$2:$N$1001,0),0), INDEX($U$1004:$AC$1004,1,MATCH(COLUMNS($U$1006:V1006),$U$1006:$AC$1006,0)))),"Fix")))</f>
        <v>0</v>
      </c>
      <c r="D863" s="3">
        <f>IF(OR(INDEX($O$2:$O$1001,MATCH(ROWS($N$2:N863),$N$2:$N$1001,0),1)&gt;=100000,INDEX($U$1005:$AC$1005,1,MATCH(COLUMNS($U$1006:W1006),$U$1006:$AC$1006,0))&gt;=100000), " ",IF(INDEX($U$2:$AC$1001,MATCH(ROWS($N$2:N863),$N$2:$N$1001,0),MATCH(COLUMNS($U$1006:W1006),$U$1006:$AC$1006,0)), HYPERLINK("#",""), HYPERLINK(CONCATENATE("#metadata!", ADDRESS(INDEX($P$2:$P$1001,MATCH(ROWS($N$2:N863),$N$2:$N$1001,0),0), INDEX($U$1004:$AC$1004,1,MATCH(COLUMNS($U$1006:W1006),$U$1006:$AC$1006,0)))),"Fix")))</f>
        <v>0</v>
      </c>
      <c r="E863" s="3">
        <f>IF(OR(INDEX($O$2:$O$1001,MATCH(ROWS($N$2:N863),$N$2:$N$1001,0),1)&gt;=100000,INDEX($U$1005:$AC$1005,1,MATCH(COLUMNS($U$1006:X1006),$U$1006:$AC$1006,0))&gt;=100000), " ",IF(INDEX($U$2:$AC$1001,MATCH(ROWS($N$2:N863),$N$2:$N$1001,0),MATCH(COLUMNS($U$1006:X1006),$U$1006:$AC$1006,0)), HYPERLINK("#",""), HYPERLINK(CONCATENATE("#metadata!", ADDRESS(INDEX($P$2:$P$1001,MATCH(ROWS($N$2:N863),$N$2:$N$1001,0),0), INDEX($U$1004:$AC$1004,1,MATCH(COLUMNS($U$1006:X1006),$U$1006:$AC$1006,0)))),"Fix")))</f>
        <v>0</v>
      </c>
      <c r="F863" s="3">
        <f>IF(OR(INDEX($O$2:$O$1001,MATCH(ROWS($N$2:N863),$N$2:$N$1001,0),1)&gt;=100000,INDEX($U$1005:$AC$1005,1,MATCH(COLUMNS($U$1006:Y1006),$U$1006:$AC$1006,0))&gt;=100000), " ",IF(INDEX($U$2:$AC$1001,MATCH(ROWS($N$2:N863),$N$2:$N$1001,0),MATCH(COLUMNS($U$1006:Y1006),$U$1006:$AC$1006,0)), HYPERLINK("#",""), HYPERLINK(CONCATENATE("#metadata!", ADDRESS(INDEX($P$2:$P$1001,MATCH(ROWS($N$2:N863),$N$2:$N$1001,0),0), INDEX($U$1004:$AC$1004,1,MATCH(COLUMNS($U$1006:Y1006),$U$1006:$AC$1006,0)))),"Fix")))</f>
        <v>0</v>
      </c>
      <c r="G863" s="3">
        <f>IF(OR(INDEX($O$2:$O$1001,MATCH(ROWS($N$2:N863),$N$2:$N$1001,0),1)&gt;=100000,INDEX($U$1005:$AC$1005,1,MATCH(COLUMNS($U$1006:Z1006),$U$1006:$AC$1006,0))&gt;=100000), " ",IF(INDEX($U$2:$AC$1001,MATCH(ROWS($N$2:N863),$N$2:$N$1001,0),MATCH(COLUMNS($U$1006:Z1006),$U$1006:$AC$1006,0)), HYPERLINK("#",""), HYPERLINK(CONCATENATE("#metadata!", ADDRESS(INDEX($P$2:$P$1001,MATCH(ROWS($N$2:N863),$N$2:$N$1001,0),0), INDEX($U$1004:$AC$1004,1,MATCH(COLUMNS($U$1006:Z1006),$U$1006:$AC$1006,0)))),"Fix")))</f>
        <v>0</v>
      </c>
      <c r="H863" s="3">
        <f>IF(OR(INDEX($O$2:$O$1001,MATCH(ROWS($N$2:N863),$N$2:$N$1001,0),1)&gt;=100000,INDEX($U$1005:$AC$1005,1,MATCH(COLUMNS($U$1006:AA1006),$U$1006:$AC$1006,0))&gt;=100000), " ",IF(INDEX($U$2:$AC$1001,MATCH(ROWS($N$2:N863),$N$2:$N$1001,0),MATCH(COLUMNS($U$1006:AA1006),$U$1006:$AC$1006,0)), HYPERLINK("#",""), HYPERLINK(CONCATENATE("#metadata!", ADDRESS(INDEX($P$2:$P$1001,MATCH(ROWS($N$2:N863),$N$2:$N$1001,0),0), INDEX($U$1004:$AC$1004,1,MATCH(COLUMNS($U$1006:AA1006),$U$1006:$AC$1006,0)))),"Fix")))</f>
        <v>0</v>
      </c>
      <c r="I863" s="3">
        <f>IF(OR(INDEX($O$2:$O$1001,MATCH(ROWS($N$2:N863),$N$2:$N$1001,0),1)&gt;=100000,INDEX($U$1005:$AC$1005,1,MATCH(COLUMNS($U$1006:AB1006),$U$1006:$AC$1006,0))&gt;=100000), " ",IF(INDEX($U$2:$AC$1001,MATCH(ROWS($N$2:N863),$N$2:$N$1001,0),MATCH(COLUMNS($U$1006:AB1006),$U$1006:$AC$1006,0)), HYPERLINK("#",""), HYPERLINK(CONCATENATE("#metadata!", ADDRESS(INDEX($P$2:$P$1001,MATCH(ROWS($N$2:N863),$N$2:$N$1001,0),0), INDEX($U$1004:$AC$1004,1,MATCH(COLUMNS($U$1006:AB1006),$U$1006:$AC$1006,0)))),"Fix")))</f>
        <v>0</v>
      </c>
      <c r="J863" s="3">
        <f>IF(OR(INDEX($O$2:$O$1001,MATCH(ROWS($N$2:N863),$N$2:$N$1001,0),1)&gt;=100000,INDEX($U$1005:$AC$1005,1,MATCH(COLUMNS($U$1006:AC1006),$U$1006:$AC$1006,0))&gt;=100000), " ",IF(INDEX($U$2:$AC$1001,MATCH(ROWS($N$2:N863),$N$2:$N$1001,0),MATCH(COLUMNS($U$1006:AC1006),$U$1006:$AC$1006,0)), HYPERLINK("#",""), HYPERLINK(CONCATENATE("#metadata!", ADDRESS(INDEX($P$2:$P$1001,MATCH(ROWS($N$2:N863),$N$2:$N$1001,0),0), INDEX($U$1004:$AC$1004,1,MATCH(COLUMNS($U$1006:AC1006),$U$1006:$AC$1006,0)))),"Fix")))</f>
        <v>0</v>
      </c>
      <c r="N863">
        <v>0</v>
      </c>
      <c r="O863">
        <v>0</v>
      </c>
      <c r="P863">
        <v>0</v>
      </c>
      <c r="Q863">
        <f>IF(R863,TRUE,AND(U863:AC863))</f>
        <v>0</v>
      </c>
      <c r="R863">
        <f>COUNTBLANK(metadata!B863:J863)=COLUMNS(metadata!B863:J863)</f>
        <v>0</v>
      </c>
      <c r="S863">
        <v>0</v>
      </c>
      <c r="U863">
        <f>AND(IF(metadata!B863="",FALSE,TRUE),COUNTIF(metadata!B:B, metadata!B863) = 1,NOT(ISERROR(SUMPRODUCT(SEARCH(MID(metadata!B863,ROW(INDIRECT("1:"&amp;LEN(metadata!B863))), 1),"0123456789abcdefghijklmnopqrstuvwxyzABCDEFGHIJKLMNOPQRSTUVWXYZ.")))))</f>
        <v>0</v>
      </c>
      <c r="V863">
        <f>AND(IF(metadata!C863="",FALSE,TRUE),exact(metadata!C863,"UBERON:genitourinary"))</f>
        <v>0</v>
      </c>
      <c r="W863">
        <f>AND(IF(metadata!D863="",FALSE,TRUE),exact(metadata!D863,"UBERON:urine"))</f>
        <v>0</v>
      </c>
      <c r="X863">
        <f>AND(IF(metadata!E863="",FALSE,TRUE),exact(metadata!E863,"UBERON:kidney"))</f>
        <v>0</v>
      </c>
      <c r="Y863">
        <f>AND(IF(metadata!F863="",FALSE,TRUE),exact(metadata!F863,"animal corpus"))</f>
        <v>0</v>
      </c>
      <c r="Z863">
        <f>AND(IF(metadata!G863="",FALSE,TRUE),exact(metadata!G863,"urine"))</f>
        <v>0</v>
      </c>
      <c r="AA863">
        <f>AND(IF(metadata!H863="",FALSE,TRUE),exact(metadata!H863,"urine"))</f>
        <v>0</v>
      </c>
      <c r="AB863">
        <f>AND(IF(metadata!I863="",FALSE,TRUE),exact(metadata!I863,"urine metagenome"))</f>
        <v>0</v>
      </c>
      <c r="AC863">
        <f>AND(IF(metadata!J863="",FALSE,TRUE),exact(metadata!J863,"1346744"))</f>
        <v>0</v>
      </c>
    </row>
    <row r="864" spans="1:29">
      <c r="A864" s="4">
        <f>IF(B864=" "," ",HYPERLINK(CONCATENATE("#metadata!",ADDRESS(INDEX($P$2:$P$1001,MATCH(ROWS($N$2:N864),$N$2:$N$1001,0),0),1)),INDEX($S$2:$S$1001,MATCH(ROWS($N$2:N864),$N$2:$N$1001,0),0)))</f>
        <v>0</v>
      </c>
      <c r="B864" s="3">
        <f>IF(OR(INDEX($O$2:$O$1001,MATCH(ROWS($N$2:N864),$N$2:$N$1001,0),1)&gt;=100000,INDEX($U$1005:$AC$1005,1,MATCH(COLUMNS($U$1006:U1006),$U$1006:$AC$1006,0))&gt;=100000), " ",IF(INDEX($U$2:$AC$1001,MATCH(ROWS($N$2:N864),$N$2:$N$1001,0),MATCH(COLUMNS($U$1006:U1006),$U$1006:$AC$1006,0)), HYPERLINK("#",""), HYPERLINK(CONCATENATE("#metadata!", ADDRESS(INDEX($P$2:$P$1001,MATCH(ROWS($N$2:N864),$N$2:$N$1001,0),0), INDEX($U$1004:$AC$1004,1,MATCH(COLUMNS($U$1006:U1006),$U$1006:$AC$1006,0)))),"Fix")))</f>
        <v>0</v>
      </c>
      <c r="C864" s="3">
        <f>IF(OR(INDEX($O$2:$O$1001,MATCH(ROWS($N$2:N864),$N$2:$N$1001,0),1)&gt;=100000,INDEX($U$1005:$AC$1005,1,MATCH(COLUMNS($U$1006:V1006),$U$1006:$AC$1006,0))&gt;=100000), " ",IF(INDEX($U$2:$AC$1001,MATCH(ROWS($N$2:N864),$N$2:$N$1001,0),MATCH(COLUMNS($U$1006:V1006),$U$1006:$AC$1006,0)), HYPERLINK("#",""), HYPERLINK(CONCATENATE("#metadata!", ADDRESS(INDEX($P$2:$P$1001,MATCH(ROWS($N$2:N864),$N$2:$N$1001,0),0), INDEX($U$1004:$AC$1004,1,MATCH(COLUMNS($U$1006:V1006),$U$1006:$AC$1006,0)))),"Fix")))</f>
        <v>0</v>
      </c>
      <c r="D864" s="3">
        <f>IF(OR(INDEX($O$2:$O$1001,MATCH(ROWS($N$2:N864),$N$2:$N$1001,0),1)&gt;=100000,INDEX($U$1005:$AC$1005,1,MATCH(COLUMNS($U$1006:W1006),$U$1006:$AC$1006,0))&gt;=100000), " ",IF(INDEX($U$2:$AC$1001,MATCH(ROWS($N$2:N864),$N$2:$N$1001,0),MATCH(COLUMNS($U$1006:W1006),$U$1006:$AC$1006,0)), HYPERLINK("#",""), HYPERLINK(CONCATENATE("#metadata!", ADDRESS(INDEX($P$2:$P$1001,MATCH(ROWS($N$2:N864),$N$2:$N$1001,0),0), INDEX($U$1004:$AC$1004,1,MATCH(COLUMNS($U$1006:W1006),$U$1006:$AC$1006,0)))),"Fix")))</f>
        <v>0</v>
      </c>
      <c r="E864" s="3">
        <f>IF(OR(INDEX($O$2:$O$1001,MATCH(ROWS($N$2:N864),$N$2:$N$1001,0),1)&gt;=100000,INDEX($U$1005:$AC$1005,1,MATCH(COLUMNS($U$1006:X1006),$U$1006:$AC$1006,0))&gt;=100000), " ",IF(INDEX($U$2:$AC$1001,MATCH(ROWS($N$2:N864),$N$2:$N$1001,0),MATCH(COLUMNS($U$1006:X1006),$U$1006:$AC$1006,0)), HYPERLINK("#",""), HYPERLINK(CONCATENATE("#metadata!", ADDRESS(INDEX($P$2:$P$1001,MATCH(ROWS($N$2:N864),$N$2:$N$1001,0),0), INDEX($U$1004:$AC$1004,1,MATCH(COLUMNS($U$1006:X1006),$U$1006:$AC$1006,0)))),"Fix")))</f>
        <v>0</v>
      </c>
      <c r="F864" s="3">
        <f>IF(OR(INDEX($O$2:$O$1001,MATCH(ROWS($N$2:N864),$N$2:$N$1001,0),1)&gt;=100000,INDEX($U$1005:$AC$1005,1,MATCH(COLUMNS($U$1006:Y1006),$U$1006:$AC$1006,0))&gt;=100000), " ",IF(INDEX($U$2:$AC$1001,MATCH(ROWS($N$2:N864),$N$2:$N$1001,0),MATCH(COLUMNS($U$1006:Y1006),$U$1006:$AC$1006,0)), HYPERLINK("#",""), HYPERLINK(CONCATENATE("#metadata!", ADDRESS(INDEX($P$2:$P$1001,MATCH(ROWS($N$2:N864),$N$2:$N$1001,0),0), INDEX($U$1004:$AC$1004,1,MATCH(COLUMNS($U$1006:Y1006),$U$1006:$AC$1006,0)))),"Fix")))</f>
        <v>0</v>
      </c>
      <c r="G864" s="3">
        <f>IF(OR(INDEX($O$2:$O$1001,MATCH(ROWS($N$2:N864),$N$2:$N$1001,0),1)&gt;=100000,INDEX($U$1005:$AC$1005,1,MATCH(COLUMNS($U$1006:Z1006),$U$1006:$AC$1006,0))&gt;=100000), " ",IF(INDEX($U$2:$AC$1001,MATCH(ROWS($N$2:N864),$N$2:$N$1001,0),MATCH(COLUMNS($U$1006:Z1006),$U$1006:$AC$1006,0)), HYPERLINK("#",""), HYPERLINK(CONCATENATE("#metadata!", ADDRESS(INDEX($P$2:$P$1001,MATCH(ROWS($N$2:N864),$N$2:$N$1001,0),0), INDEX($U$1004:$AC$1004,1,MATCH(COLUMNS($U$1006:Z1006),$U$1006:$AC$1006,0)))),"Fix")))</f>
        <v>0</v>
      </c>
      <c r="H864" s="3">
        <f>IF(OR(INDEX($O$2:$O$1001,MATCH(ROWS($N$2:N864),$N$2:$N$1001,0),1)&gt;=100000,INDEX($U$1005:$AC$1005,1,MATCH(COLUMNS($U$1006:AA1006),$U$1006:$AC$1006,0))&gt;=100000), " ",IF(INDEX($U$2:$AC$1001,MATCH(ROWS($N$2:N864),$N$2:$N$1001,0),MATCH(COLUMNS($U$1006:AA1006),$U$1006:$AC$1006,0)), HYPERLINK("#",""), HYPERLINK(CONCATENATE("#metadata!", ADDRESS(INDEX($P$2:$P$1001,MATCH(ROWS($N$2:N864),$N$2:$N$1001,0),0), INDEX($U$1004:$AC$1004,1,MATCH(COLUMNS($U$1006:AA1006),$U$1006:$AC$1006,0)))),"Fix")))</f>
        <v>0</v>
      </c>
      <c r="I864" s="3">
        <f>IF(OR(INDEX($O$2:$O$1001,MATCH(ROWS($N$2:N864),$N$2:$N$1001,0),1)&gt;=100000,INDEX($U$1005:$AC$1005,1,MATCH(COLUMNS($U$1006:AB1006),$U$1006:$AC$1006,0))&gt;=100000), " ",IF(INDEX($U$2:$AC$1001,MATCH(ROWS($N$2:N864),$N$2:$N$1001,0),MATCH(COLUMNS($U$1006:AB1006),$U$1006:$AC$1006,0)), HYPERLINK("#",""), HYPERLINK(CONCATENATE("#metadata!", ADDRESS(INDEX($P$2:$P$1001,MATCH(ROWS($N$2:N864),$N$2:$N$1001,0),0), INDEX($U$1004:$AC$1004,1,MATCH(COLUMNS($U$1006:AB1006),$U$1006:$AC$1006,0)))),"Fix")))</f>
        <v>0</v>
      </c>
      <c r="J864" s="3">
        <f>IF(OR(INDEX($O$2:$O$1001,MATCH(ROWS($N$2:N864),$N$2:$N$1001,0),1)&gt;=100000,INDEX($U$1005:$AC$1005,1,MATCH(COLUMNS($U$1006:AC1006),$U$1006:$AC$1006,0))&gt;=100000), " ",IF(INDEX($U$2:$AC$1001,MATCH(ROWS($N$2:N864),$N$2:$N$1001,0),MATCH(COLUMNS($U$1006:AC1006),$U$1006:$AC$1006,0)), HYPERLINK("#",""), HYPERLINK(CONCATENATE("#metadata!", ADDRESS(INDEX($P$2:$P$1001,MATCH(ROWS($N$2:N864),$N$2:$N$1001,0),0), INDEX($U$1004:$AC$1004,1,MATCH(COLUMNS($U$1006:AC1006),$U$1006:$AC$1006,0)))),"Fix")))</f>
        <v>0</v>
      </c>
      <c r="N864">
        <v>0</v>
      </c>
      <c r="O864">
        <v>0</v>
      </c>
      <c r="P864">
        <v>0</v>
      </c>
      <c r="Q864">
        <f>IF(R864,TRUE,AND(U864:AC864))</f>
        <v>0</v>
      </c>
      <c r="R864">
        <f>COUNTBLANK(metadata!B864:J864)=COLUMNS(metadata!B864:J864)</f>
        <v>0</v>
      </c>
      <c r="S864">
        <v>0</v>
      </c>
      <c r="U864">
        <f>AND(IF(metadata!B864="",FALSE,TRUE),COUNTIF(metadata!B:B, metadata!B864) = 1,NOT(ISERROR(SUMPRODUCT(SEARCH(MID(metadata!B864,ROW(INDIRECT("1:"&amp;LEN(metadata!B864))), 1),"0123456789abcdefghijklmnopqrstuvwxyzABCDEFGHIJKLMNOPQRSTUVWXYZ.")))))</f>
        <v>0</v>
      </c>
      <c r="V864">
        <f>AND(IF(metadata!C864="",FALSE,TRUE),exact(metadata!C864,"UBERON:genitourinary"))</f>
        <v>0</v>
      </c>
      <c r="W864">
        <f>AND(IF(metadata!D864="",FALSE,TRUE),exact(metadata!D864,"UBERON:urine"))</f>
        <v>0</v>
      </c>
      <c r="X864">
        <f>AND(IF(metadata!E864="",FALSE,TRUE),exact(metadata!E864,"UBERON:kidney"))</f>
        <v>0</v>
      </c>
      <c r="Y864">
        <f>AND(IF(metadata!F864="",FALSE,TRUE),exact(metadata!F864,"animal corpus"))</f>
        <v>0</v>
      </c>
      <c r="Z864">
        <f>AND(IF(metadata!G864="",FALSE,TRUE),exact(metadata!G864,"urine"))</f>
        <v>0</v>
      </c>
      <c r="AA864">
        <f>AND(IF(metadata!H864="",FALSE,TRUE),exact(metadata!H864,"urine"))</f>
        <v>0</v>
      </c>
      <c r="AB864">
        <f>AND(IF(metadata!I864="",FALSE,TRUE),exact(metadata!I864,"urine metagenome"))</f>
        <v>0</v>
      </c>
      <c r="AC864">
        <f>AND(IF(metadata!J864="",FALSE,TRUE),exact(metadata!J864,"1346744"))</f>
        <v>0</v>
      </c>
    </row>
    <row r="865" spans="1:29">
      <c r="A865" s="4">
        <f>IF(B865=" "," ",HYPERLINK(CONCATENATE("#metadata!",ADDRESS(INDEX($P$2:$P$1001,MATCH(ROWS($N$2:N865),$N$2:$N$1001,0),0),1)),INDEX($S$2:$S$1001,MATCH(ROWS($N$2:N865),$N$2:$N$1001,0),0)))</f>
        <v>0</v>
      </c>
      <c r="B865" s="3">
        <f>IF(OR(INDEX($O$2:$O$1001,MATCH(ROWS($N$2:N865),$N$2:$N$1001,0),1)&gt;=100000,INDEX($U$1005:$AC$1005,1,MATCH(COLUMNS($U$1006:U1006),$U$1006:$AC$1006,0))&gt;=100000), " ",IF(INDEX($U$2:$AC$1001,MATCH(ROWS($N$2:N865),$N$2:$N$1001,0),MATCH(COLUMNS($U$1006:U1006),$U$1006:$AC$1006,0)), HYPERLINK("#",""), HYPERLINK(CONCATENATE("#metadata!", ADDRESS(INDEX($P$2:$P$1001,MATCH(ROWS($N$2:N865),$N$2:$N$1001,0),0), INDEX($U$1004:$AC$1004,1,MATCH(COLUMNS($U$1006:U1006),$U$1006:$AC$1006,0)))),"Fix")))</f>
        <v>0</v>
      </c>
      <c r="C865" s="3">
        <f>IF(OR(INDEX($O$2:$O$1001,MATCH(ROWS($N$2:N865),$N$2:$N$1001,0),1)&gt;=100000,INDEX($U$1005:$AC$1005,1,MATCH(COLUMNS($U$1006:V1006),$U$1006:$AC$1006,0))&gt;=100000), " ",IF(INDEX($U$2:$AC$1001,MATCH(ROWS($N$2:N865),$N$2:$N$1001,0),MATCH(COLUMNS($U$1006:V1006),$U$1006:$AC$1006,0)), HYPERLINK("#",""), HYPERLINK(CONCATENATE("#metadata!", ADDRESS(INDEX($P$2:$P$1001,MATCH(ROWS($N$2:N865),$N$2:$N$1001,0),0), INDEX($U$1004:$AC$1004,1,MATCH(COLUMNS($U$1006:V1006),$U$1006:$AC$1006,0)))),"Fix")))</f>
        <v>0</v>
      </c>
      <c r="D865" s="3">
        <f>IF(OR(INDEX($O$2:$O$1001,MATCH(ROWS($N$2:N865),$N$2:$N$1001,0),1)&gt;=100000,INDEX($U$1005:$AC$1005,1,MATCH(COLUMNS($U$1006:W1006),$U$1006:$AC$1006,0))&gt;=100000), " ",IF(INDEX($U$2:$AC$1001,MATCH(ROWS($N$2:N865),$N$2:$N$1001,0),MATCH(COLUMNS($U$1006:W1006),$U$1006:$AC$1006,0)), HYPERLINK("#",""), HYPERLINK(CONCATENATE("#metadata!", ADDRESS(INDEX($P$2:$P$1001,MATCH(ROWS($N$2:N865),$N$2:$N$1001,0),0), INDEX($U$1004:$AC$1004,1,MATCH(COLUMNS($U$1006:W1006),$U$1006:$AC$1006,0)))),"Fix")))</f>
        <v>0</v>
      </c>
      <c r="E865" s="3">
        <f>IF(OR(INDEX($O$2:$O$1001,MATCH(ROWS($N$2:N865),$N$2:$N$1001,0),1)&gt;=100000,INDEX($U$1005:$AC$1005,1,MATCH(COLUMNS($U$1006:X1006),$U$1006:$AC$1006,0))&gt;=100000), " ",IF(INDEX($U$2:$AC$1001,MATCH(ROWS($N$2:N865),$N$2:$N$1001,0),MATCH(COLUMNS($U$1006:X1006),$U$1006:$AC$1006,0)), HYPERLINK("#",""), HYPERLINK(CONCATENATE("#metadata!", ADDRESS(INDEX($P$2:$P$1001,MATCH(ROWS($N$2:N865),$N$2:$N$1001,0),0), INDEX($U$1004:$AC$1004,1,MATCH(COLUMNS($U$1006:X1006),$U$1006:$AC$1006,0)))),"Fix")))</f>
        <v>0</v>
      </c>
      <c r="F865" s="3">
        <f>IF(OR(INDEX($O$2:$O$1001,MATCH(ROWS($N$2:N865),$N$2:$N$1001,0),1)&gt;=100000,INDEX($U$1005:$AC$1005,1,MATCH(COLUMNS($U$1006:Y1006),$U$1006:$AC$1006,0))&gt;=100000), " ",IF(INDEX($U$2:$AC$1001,MATCH(ROWS($N$2:N865),$N$2:$N$1001,0),MATCH(COLUMNS($U$1006:Y1006),$U$1006:$AC$1006,0)), HYPERLINK("#",""), HYPERLINK(CONCATENATE("#metadata!", ADDRESS(INDEX($P$2:$P$1001,MATCH(ROWS($N$2:N865),$N$2:$N$1001,0),0), INDEX($U$1004:$AC$1004,1,MATCH(COLUMNS($U$1006:Y1006),$U$1006:$AC$1006,0)))),"Fix")))</f>
        <v>0</v>
      </c>
      <c r="G865" s="3">
        <f>IF(OR(INDEX($O$2:$O$1001,MATCH(ROWS($N$2:N865),$N$2:$N$1001,0),1)&gt;=100000,INDEX($U$1005:$AC$1005,1,MATCH(COLUMNS($U$1006:Z1006),$U$1006:$AC$1006,0))&gt;=100000), " ",IF(INDEX($U$2:$AC$1001,MATCH(ROWS($N$2:N865),$N$2:$N$1001,0),MATCH(COLUMNS($U$1006:Z1006),$U$1006:$AC$1006,0)), HYPERLINK("#",""), HYPERLINK(CONCATENATE("#metadata!", ADDRESS(INDEX($P$2:$P$1001,MATCH(ROWS($N$2:N865),$N$2:$N$1001,0),0), INDEX($U$1004:$AC$1004,1,MATCH(COLUMNS($U$1006:Z1006),$U$1006:$AC$1006,0)))),"Fix")))</f>
        <v>0</v>
      </c>
      <c r="H865" s="3">
        <f>IF(OR(INDEX($O$2:$O$1001,MATCH(ROWS($N$2:N865),$N$2:$N$1001,0),1)&gt;=100000,INDEX($U$1005:$AC$1005,1,MATCH(COLUMNS($U$1006:AA1006),$U$1006:$AC$1006,0))&gt;=100000), " ",IF(INDEX($U$2:$AC$1001,MATCH(ROWS($N$2:N865),$N$2:$N$1001,0),MATCH(COLUMNS($U$1006:AA1006),$U$1006:$AC$1006,0)), HYPERLINK("#",""), HYPERLINK(CONCATENATE("#metadata!", ADDRESS(INDEX($P$2:$P$1001,MATCH(ROWS($N$2:N865),$N$2:$N$1001,0),0), INDEX($U$1004:$AC$1004,1,MATCH(COLUMNS($U$1006:AA1006),$U$1006:$AC$1006,0)))),"Fix")))</f>
        <v>0</v>
      </c>
      <c r="I865" s="3">
        <f>IF(OR(INDEX($O$2:$O$1001,MATCH(ROWS($N$2:N865),$N$2:$N$1001,0),1)&gt;=100000,INDEX($U$1005:$AC$1005,1,MATCH(COLUMNS($U$1006:AB1006),$U$1006:$AC$1006,0))&gt;=100000), " ",IF(INDEX($U$2:$AC$1001,MATCH(ROWS($N$2:N865),$N$2:$N$1001,0),MATCH(COLUMNS($U$1006:AB1006),$U$1006:$AC$1006,0)), HYPERLINK("#",""), HYPERLINK(CONCATENATE("#metadata!", ADDRESS(INDEX($P$2:$P$1001,MATCH(ROWS($N$2:N865),$N$2:$N$1001,0),0), INDEX($U$1004:$AC$1004,1,MATCH(COLUMNS($U$1006:AB1006),$U$1006:$AC$1006,0)))),"Fix")))</f>
        <v>0</v>
      </c>
      <c r="J865" s="3">
        <f>IF(OR(INDEX($O$2:$O$1001,MATCH(ROWS($N$2:N865),$N$2:$N$1001,0),1)&gt;=100000,INDEX($U$1005:$AC$1005,1,MATCH(COLUMNS($U$1006:AC1006),$U$1006:$AC$1006,0))&gt;=100000), " ",IF(INDEX($U$2:$AC$1001,MATCH(ROWS($N$2:N865),$N$2:$N$1001,0),MATCH(COLUMNS($U$1006:AC1006),$U$1006:$AC$1006,0)), HYPERLINK("#",""), HYPERLINK(CONCATENATE("#metadata!", ADDRESS(INDEX($P$2:$P$1001,MATCH(ROWS($N$2:N865),$N$2:$N$1001,0),0), INDEX($U$1004:$AC$1004,1,MATCH(COLUMNS($U$1006:AC1006),$U$1006:$AC$1006,0)))),"Fix")))</f>
        <v>0</v>
      </c>
      <c r="N865">
        <v>0</v>
      </c>
      <c r="O865">
        <v>0</v>
      </c>
      <c r="P865">
        <v>0</v>
      </c>
      <c r="Q865">
        <f>IF(R865,TRUE,AND(U865:AC865))</f>
        <v>0</v>
      </c>
      <c r="R865">
        <f>COUNTBLANK(metadata!B865:J865)=COLUMNS(metadata!B865:J865)</f>
        <v>0</v>
      </c>
      <c r="S865">
        <v>0</v>
      </c>
      <c r="U865">
        <f>AND(IF(metadata!B865="",FALSE,TRUE),COUNTIF(metadata!B:B, metadata!B865) = 1,NOT(ISERROR(SUMPRODUCT(SEARCH(MID(metadata!B865,ROW(INDIRECT("1:"&amp;LEN(metadata!B865))), 1),"0123456789abcdefghijklmnopqrstuvwxyzABCDEFGHIJKLMNOPQRSTUVWXYZ.")))))</f>
        <v>0</v>
      </c>
      <c r="V865">
        <f>AND(IF(metadata!C865="",FALSE,TRUE),exact(metadata!C865,"UBERON:genitourinary"))</f>
        <v>0</v>
      </c>
      <c r="W865">
        <f>AND(IF(metadata!D865="",FALSE,TRUE),exact(metadata!D865,"UBERON:urine"))</f>
        <v>0</v>
      </c>
      <c r="X865">
        <f>AND(IF(metadata!E865="",FALSE,TRUE),exact(metadata!E865,"UBERON:kidney"))</f>
        <v>0</v>
      </c>
      <c r="Y865">
        <f>AND(IF(metadata!F865="",FALSE,TRUE),exact(metadata!F865,"animal corpus"))</f>
        <v>0</v>
      </c>
      <c r="Z865">
        <f>AND(IF(metadata!G865="",FALSE,TRUE),exact(metadata!G865,"urine"))</f>
        <v>0</v>
      </c>
      <c r="AA865">
        <f>AND(IF(metadata!H865="",FALSE,TRUE),exact(metadata!H865,"urine"))</f>
        <v>0</v>
      </c>
      <c r="AB865">
        <f>AND(IF(metadata!I865="",FALSE,TRUE),exact(metadata!I865,"urine metagenome"))</f>
        <v>0</v>
      </c>
      <c r="AC865">
        <f>AND(IF(metadata!J865="",FALSE,TRUE),exact(metadata!J865,"1346744"))</f>
        <v>0</v>
      </c>
    </row>
    <row r="866" spans="1:29">
      <c r="A866" s="4">
        <f>IF(B866=" "," ",HYPERLINK(CONCATENATE("#metadata!",ADDRESS(INDEX($P$2:$P$1001,MATCH(ROWS($N$2:N866),$N$2:$N$1001,0),0),1)),INDEX($S$2:$S$1001,MATCH(ROWS($N$2:N866),$N$2:$N$1001,0),0)))</f>
        <v>0</v>
      </c>
      <c r="B866" s="3">
        <f>IF(OR(INDEX($O$2:$O$1001,MATCH(ROWS($N$2:N866),$N$2:$N$1001,0),1)&gt;=100000,INDEX($U$1005:$AC$1005,1,MATCH(COLUMNS($U$1006:U1006),$U$1006:$AC$1006,0))&gt;=100000), " ",IF(INDEX($U$2:$AC$1001,MATCH(ROWS($N$2:N866),$N$2:$N$1001,0),MATCH(COLUMNS($U$1006:U1006),$U$1006:$AC$1006,0)), HYPERLINK("#",""), HYPERLINK(CONCATENATE("#metadata!", ADDRESS(INDEX($P$2:$P$1001,MATCH(ROWS($N$2:N866),$N$2:$N$1001,0),0), INDEX($U$1004:$AC$1004,1,MATCH(COLUMNS($U$1006:U1006),$U$1006:$AC$1006,0)))),"Fix")))</f>
        <v>0</v>
      </c>
      <c r="C866" s="3">
        <f>IF(OR(INDEX($O$2:$O$1001,MATCH(ROWS($N$2:N866),$N$2:$N$1001,0),1)&gt;=100000,INDEX($U$1005:$AC$1005,1,MATCH(COLUMNS($U$1006:V1006),$U$1006:$AC$1006,0))&gt;=100000), " ",IF(INDEX($U$2:$AC$1001,MATCH(ROWS($N$2:N866),$N$2:$N$1001,0),MATCH(COLUMNS($U$1006:V1006),$U$1006:$AC$1006,0)), HYPERLINK("#",""), HYPERLINK(CONCATENATE("#metadata!", ADDRESS(INDEX($P$2:$P$1001,MATCH(ROWS($N$2:N866),$N$2:$N$1001,0),0), INDEX($U$1004:$AC$1004,1,MATCH(COLUMNS($U$1006:V1006),$U$1006:$AC$1006,0)))),"Fix")))</f>
        <v>0</v>
      </c>
      <c r="D866" s="3">
        <f>IF(OR(INDEX($O$2:$O$1001,MATCH(ROWS($N$2:N866),$N$2:$N$1001,0),1)&gt;=100000,INDEX($U$1005:$AC$1005,1,MATCH(COLUMNS($U$1006:W1006),$U$1006:$AC$1006,0))&gt;=100000), " ",IF(INDEX($U$2:$AC$1001,MATCH(ROWS($N$2:N866),$N$2:$N$1001,0),MATCH(COLUMNS($U$1006:W1006),$U$1006:$AC$1006,0)), HYPERLINK("#",""), HYPERLINK(CONCATENATE("#metadata!", ADDRESS(INDEX($P$2:$P$1001,MATCH(ROWS($N$2:N866),$N$2:$N$1001,0),0), INDEX($U$1004:$AC$1004,1,MATCH(COLUMNS($U$1006:W1006),$U$1006:$AC$1006,0)))),"Fix")))</f>
        <v>0</v>
      </c>
      <c r="E866" s="3">
        <f>IF(OR(INDEX($O$2:$O$1001,MATCH(ROWS($N$2:N866),$N$2:$N$1001,0),1)&gt;=100000,INDEX($U$1005:$AC$1005,1,MATCH(COLUMNS($U$1006:X1006),$U$1006:$AC$1006,0))&gt;=100000), " ",IF(INDEX($U$2:$AC$1001,MATCH(ROWS($N$2:N866),$N$2:$N$1001,0),MATCH(COLUMNS($U$1006:X1006),$U$1006:$AC$1006,0)), HYPERLINK("#",""), HYPERLINK(CONCATENATE("#metadata!", ADDRESS(INDEX($P$2:$P$1001,MATCH(ROWS($N$2:N866),$N$2:$N$1001,0),0), INDEX($U$1004:$AC$1004,1,MATCH(COLUMNS($U$1006:X1006),$U$1006:$AC$1006,0)))),"Fix")))</f>
        <v>0</v>
      </c>
      <c r="F866" s="3">
        <f>IF(OR(INDEX($O$2:$O$1001,MATCH(ROWS($N$2:N866),$N$2:$N$1001,0),1)&gt;=100000,INDEX($U$1005:$AC$1005,1,MATCH(COLUMNS($U$1006:Y1006),$U$1006:$AC$1006,0))&gt;=100000), " ",IF(INDEX($U$2:$AC$1001,MATCH(ROWS($N$2:N866),$N$2:$N$1001,0),MATCH(COLUMNS($U$1006:Y1006),$U$1006:$AC$1006,0)), HYPERLINK("#",""), HYPERLINK(CONCATENATE("#metadata!", ADDRESS(INDEX($P$2:$P$1001,MATCH(ROWS($N$2:N866),$N$2:$N$1001,0),0), INDEX($U$1004:$AC$1004,1,MATCH(COLUMNS($U$1006:Y1006),$U$1006:$AC$1006,0)))),"Fix")))</f>
        <v>0</v>
      </c>
      <c r="G866" s="3">
        <f>IF(OR(INDEX($O$2:$O$1001,MATCH(ROWS($N$2:N866),$N$2:$N$1001,0),1)&gt;=100000,INDEX($U$1005:$AC$1005,1,MATCH(COLUMNS($U$1006:Z1006),$U$1006:$AC$1006,0))&gt;=100000), " ",IF(INDEX($U$2:$AC$1001,MATCH(ROWS($N$2:N866),$N$2:$N$1001,0),MATCH(COLUMNS($U$1006:Z1006),$U$1006:$AC$1006,0)), HYPERLINK("#",""), HYPERLINK(CONCATENATE("#metadata!", ADDRESS(INDEX($P$2:$P$1001,MATCH(ROWS($N$2:N866),$N$2:$N$1001,0),0), INDEX($U$1004:$AC$1004,1,MATCH(COLUMNS($U$1006:Z1006),$U$1006:$AC$1006,0)))),"Fix")))</f>
        <v>0</v>
      </c>
      <c r="H866" s="3">
        <f>IF(OR(INDEX($O$2:$O$1001,MATCH(ROWS($N$2:N866),$N$2:$N$1001,0),1)&gt;=100000,INDEX($U$1005:$AC$1005,1,MATCH(COLUMNS($U$1006:AA1006),$U$1006:$AC$1006,0))&gt;=100000), " ",IF(INDEX($U$2:$AC$1001,MATCH(ROWS($N$2:N866),$N$2:$N$1001,0),MATCH(COLUMNS($U$1006:AA1006),$U$1006:$AC$1006,0)), HYPERLINK("#",""), HYPERLINK(CONCATENATE("#metadata!", ADDRESS(INDEX($P$2:$P$1001,MATCH(ROWS($N$2:N866),$N$2:$N$1001,0),0), INDEX($U$1004:$AC$1004,1,MATCH(COLUMNS($U$1006:AA1006),$U$1006:$AC$1006,0)))),"Fix")))</f>
        <v>0</v>
      </c>
      <c r="I866" s="3">
        <f>IF(OR(INDEX($O$2:$O$1001,MATCH(ROWS($N$2:N866),$N$2:$N$1001,0),1)&gt;=100000,INDEX($U$1005:$AC$1005,1,MATCH(COLUMNS($U$1006:AB1006),$U$1006:$AC$1006,0))&gt;=100000), " ",IF(INDEX($U$2:$AC$1001,MATCH(ROWS($N$2:N866),$N$2:$N$1001,0),MATCH(COLUMNS($U$1006:AB1006),$U$1006:$AC$1006,0)), HYPERLINK("#",""), HYPERLINK(CONCATENATE("#metadata!", ADDRESS(INDEX($P$2:$P$1001,MATCH(ROWS($N$2:N866),$N$2:$N$1001,0),0), INDEX($U$1004:$AC$1004,1,MATCH(COLUMNS($U$1006:AB1006),$U$1006:$AC$1006,0)))),"Fix")))</f>
        <v>0</v>
      </c>
      <c r="J866" s="3">
        <f>IF(OR(INDEX($O$2:$O$1001,MATCH(ROWS($N$2:N866),$N$2:$N$1001,0),1)&gt;=100000,INDEX($U$1005:$AC$1005,1,MATCH(COLUMNS($U$1006:AC1006),$U$1006:$AC$1006,0))&gt;=100000), " ",IF(INDEX($U$2:$AC$1001,MATCH(ROWS($N$2:N866),$N$2:$N$1001,0),MATCH(COLUMNS($U$1006:AC1006),$U$1006:$AC$1006,0)), HYPERLINK("#",""), HYPERLINK(CONCATENATE("#metadata!", ADDRESS(INDEX($P$2:$P$1001,MATCH(ROWS($N$2:N866),$N$2:$N$1001,0),0), INDEX($U$1004:$AC$1004,1,MATCH(COLUMNS($U$1006:AC1006),$U$1006:$AC$1006,0)))),"Fix")))</f>
        <v>0</v>
      </c>
      <c r="N866">
        <v>0</v>
      </c>
      <c r="O866">
        <v>0</v>
      </c>
      <c r="P866">
        <v>0</v>
      </c>
      <c r="Q866">
        <f>IF(R866,TRUE,AND(U866:AC866))</f>
        <v>0</v>
      </c>
      <c r="R866">
        <f>COUNTBLANK(metadata!B866:J866)=COLUMNS(metadata!B866:J866)</f>
        <v>0</v>
      </c>
      <c r="S866">
        <v>0</v>
      </c>
      <c r="U866">
        <f>AND(IF(metadata!B866="",FALSE,TRUE),COUNTIF(metadata!B:B, metadata!B866) = 1,NOT(ISERROR(SUMPRODUCT(SEARCH(MID(metadata!B866,ROW(INDIRECT("1:"&amp;LEN(metadata!B866))), 1),"0123456789abcdefghijklmnopqrstuvwxyzABCDEFGHIJKLMNOPQRSTUVWXYZ.")))))</f>
        <v>0</v>
      </c>
      <c r="V866">
        <f>AND(IF(metadata!C866="",FALSE,TRUE),exact(metadata!C866,"UBERON:genitourinary"))</f>
        <v>0</v>
      </c>
      <c r="W866">
        <f>AND(IF(metadata!D866="",FALSE,TRUE),exact(metadata!D866,"UBERON:urine"))</f>
        <v>0</v>
      </c>
      <c r="X866">
        <f>AND(IF(metadata!E866="",FALSE,TRUE),exact(metadata!E866,"UBERON:kidney"))</f>
        <v>0</v>
      </c>
      <c r="Y866">
        <f>AND(IF(metadata!F866="",FALSE,TRUE),exact(metadata!F866,"animal corpus"))</f>
        <v>0</v>
      </c>
      <c r="Z866">
        <f>AND(IF(metadata!G866="",FALSE,TRUE),exact(metadata!G866,"urine"))</f>
        <v>0</v>
      </c>
      <c r="AA866">
        <f>AND(IF(metadata!H866="",FALSE,TRUE),exact(metadata!H866,"urine"))</f>
        <v>0</v>
      </c>
      <c r="AB866">
        <f>AND(IF(metadata!I866="",FALSE,TRUE),exact(metadata!I866,"urine metagenome"))</f>
        <v>0</v>
      </c>
      <c r="AC866">
        <f>AND(IF(metadata!J866="",FALSE,TRUE),exact(metadata!J866,"1346744"))</f>
        <v>0</v>
      </c>
    </row>
    <row r="867" spans="1:29">
      <c r="A867" s="4">
        <f>IF(B867=" "," ",HYPERLINK(CONCATENATE("#metadata!",ADDRESS(INDEX($P$2:$P$1001,MATCH(ROWS($N$2:N867),$N$2:$N$1001,0),0),1)),INDEX($S$2:$S$1001,MATCH(ROWS($N$2:N867),$N$2:$N$1001,0),0)))</f>
        <v>0</v>
      </c>
      <c r="B867" s="3">
        <f>IF(OR(INDEX($O$2:$O$1001,MATCH(ROWS($N$2:N867),$N$2:$N$1001,0),1)&gt;=100000,INDEX($U$1005:$AC$1005,1,MATCH(COLUMNS($U$1006:U1006),$U$1006:$AC$1006,0))&gt;=100000), " ",IF(INDEX($U$2:$AC$1001,MATCH(ROWS($N$2:N867),$N$2:$N$1001,0),MATCH(COLUMNS($U$1006:U1006),$U$1006:$AC$1006,0)), HYPERLINK("#",""), HYPERLINK(CONCATENATE("#metadata!", ADDRESS(INDEX($P$2:$P$1001,MATCH(ROWS($N$2:N867),$N$2:$N$1001,0),0), INDEX($U$1004:$AC$1004,1,MATCH(COLUMNS($U$1006:U1006),$U$1006:$AC$1006,0)))),"Fix")))</f>
        <v>0</v>
      </c>
      <c r="C867" s="3">
        <f>IF(OR(INDEX($O$2:$O$1001,MATCH(ROWS($N$2:N867),$N$2:$N$1001,0),1)&gt;=100000,INDEX($U$1005:$AC$1005,1,MATCH(COLUMNS($U$1006:V1006),$U$1006:$AC$1006,0))&gt;=100000), " ",IF(INDEX($U$2:$AC$1001,MATCH(ROWS($N$2:N867),$N$2:$N$1001,0),MATCH(COLUMNS($U$1006:V1006),$U$1006:$AC$1006,0)), HYPERLINK("#",""), HYPERLINK(CONCATENATE("#metadata!", ADDRESS(INDEX($P$2:$P$1001,MATCH(ROWS($N$2:N867),$N$2:$N$1001,0),0), INDEX($U$1004:$AC$1004,1,MATCH(COLUMNS($U$1006:V1006),$U$1006:$AC$1006,0)))),"Fix")))</f>
        <v>0</v>
      </c>
      <c r="D867" s="3">
        <f>IF(OR(INDEX($O$2:$O$1001,MATCH(ROWS($N$2:N867),$N$2:$N$1001,0),1)&gt;=100000,INDEX($U$1005:$AC$1005,1,MATCH(COLUMNS($U$1006:W1006),$U$1006:$AC$1006,0))&gt;=100000), " ",IF(INDEX($U$2:$AC$1001,MATCH(ROWS($N$2:N867),$N$2:$N$1001,0),MATCH(COLUMNS($U$1006:W1006),$U$1006:$AC$1006,0)), HYPERLINK("#",""), HYPERLINK(CONCATENATE("#metadata!", ADDRESS(INDEX($P$2:$P$1001,MATCH(ROWS($N$2:N867),$N$2:$N$1001,0),0), INDEX($U$1004:$AC$1004,1,MATCH(COLUMNS($U$1006:W1006),$U$1006:$AC$1006,0)))),"Fix")))</f>
        <v>0</v>
      </c>
      <c r="E867" s="3">
        <f>IF(OR(INDEX($O$2:$O$1001,MATCH(ROWS($N$2:N867),$N$2:$N$1001,0),1)&gt;=100000,INDEX($U$1005:$AC$1005,1,MATCH(COLUMNS($U$1006:X1006),$U$1006:$AC$1006,0))&gt;=100000), " ",IF(INDEX($U$2:$AC$1001,MATCH(ROWS($N$2:N867),$N$2:$N$1001,0),MATCH(COLUMNS($U$1006:X1006),$U$1006:$AC$1006,0)), HYPERLINK("#",""), HYPERLINK(CONCATENATE("#metadata!", ADDRESS(INDEX($P$2:$P$1001,MATCH(ROWS($N$2:N867),$N$2:$N$1001,0),0), INDEX($U$1004:$AC$1004,1,MATCH(COLUMNS($U$1006:X1006),$U$1006:$AC$1006,0)))),"Fix")))</f>
        <v>0</v>
      </c>
      <c r="F867" s="3">
        <f>IF(OR(INDEX($O$2:$O$1001,MATCH(ROWS($N$2:N867),$N$2:$N$1001,0),1)&gt;=100000,INDEX($U$1005:$AC$1005,1,MATCH(COLUMNS($U$1006:Y1006),$U$1006:$AC$1006,0))&gt;=100000), " ",IF(INDEX($U$2:$AC$1001,MATCH(ROWS($N$2:N867),$N$2:$N$1001,0),MATCH(COLUMNS($U$1006:Y1006),$U$1006:$AC$1006,0)), HYPERLINK("#",""), HYPERLINK(CONCATENATE("#metadata!", ADDRESS(INDEX($P$2:$P$1001,MATCH(ROWS($N$2:N867),$N$2:$N$1001,0),0), INDEX($U$1004:$AC$1004,1,MATCH(COLUMNS($U$1006:Y1006),$U$1006:$AC$1006,0)))),"Fix")))</f>
        <v>0</v>
      </c>
      <c r="G867" s="3">
        <f>IF(OR(INDEX($O$2:$O$1001,MATCH(ROWS($N$2:N867),$N$2:$N$1001,0),1)&gt;=100000,INDEX($U$1005:$AC$1005,1,MATCH(COLUMNS($U$1006:Z1006),$U$1006:$AC$1006,0))&gt;=100000), " ",IF(INDEX($U$2:$AC$1001,MATCH(ROWS($N$2:N867),$N$2:$N$1001,0),MATCH(COLUMNS($U$1006:Z1006),$U$1006:$AC$1006,0)), HYPERLINK("#",""), HYPERLINK(CONCATENATE("#metadata!", ADDRESS(INDEX($P$2:$P$1001,MATCH(ROWS($N$2:N867),$N$2:$N$1001,0),0), INDEX($U$1004:$AC$1004,1,MATCH(COLUMNS($U$1006:Z1006),$U$1006:$AC$1006,0)))),"Fix")))</f>
        <v>0</v>
      </c>
      <c r="H867" s="3">
        <f>IF(OR(INDEX($O$2:$O$1001,MATCH(ROWS($N$2:N867),$N$2:$N$1001,0),1)&gt;=100000,INDEX($U$1005:$AC$1005,1,MATCH(COLUMNS($U$1006:AA1006),$U$1006:$AC$1006,0))&gt;=100000), " ",IF(INDEX($U$2:$AC$1001,MATCH(ROWS($N$2:N867),$N$2:$N$1001,0),MATCH(COLUMNS($U$1006:AA1006),$U$1006:$AC$1006,0)), HYPERLINK("#",""), HYPERLINK(CONCATENATE("#metadata!", ADDRESS(INDEX($P$2:$P$1001,MATCH(ROWS($N$2:N867),$N$2:$N$1001,0),0), INDEX($U$1004:$AC$1004,1,MATCH(COLUMNS($U$1006:AA1006),$U$1006:$AC$1006,0)))),"Fix")))</f>
        <v>0</v>
      </c>
      <c r="I867" s="3">
        <f>IF(OR(INDEX($O$2:$O$1001,MATCH(ROWS($N$2:N867),$N$2:$N$1001,0),1)&gt;=100000,INDEX($U$1005:$AC$1005,1,MATCH(COLUMNS($U$1006:AB1006),$U$1006:$AC$1006,0))&gt;=100000), " ",IF(INDEX($U$2:$AC$1001,MATCH(ROWS($N$2:N867),$N$2:$N$1001,0),MATCH(COLUMNS($U$1006:AB1006),$U$1006:$AC$1006,0)), HYPERLINK("#",""), HYPERLINK(CONCATENATE("#metadata!", ADDRESS(INDEX($P$2:$P$1001,MATCH(ROWS($N$2:N867),$N$2:$N$1001,0),0), INDEX($U$1004:$AC$1004,1,MATCH(COLUMNS($U$1006:AB1006),$U$1006:$AC$1006,0)))),"Fix")))</f>
        <v>0</v>
      </c>
      <c r="J867" s="3">
        <f>IF(OR(INDEX($O$2:$O$1001,MATCH(ROWS($N$2:N867),$N$2:$N$1001,0),1)&gt;=100000,INDEX($U$1005:$AC$1005,1,MATCH(COLUMNS($U$1006:AC1006),$U$1006:$AC$1006,0))&gt;=100000), " ",IF(INDEX($U$2:$AC$1001,MATCH(ROWS($N$2:N867),$N$2:$N$1001,0),MATCH(COLUMNS($U$1006:AC1006),$U$1006:$AC$1006,0)), HYPERLINK("#",""), HYPERLINK(CONCATENATE("#metadata!", ADDRESS(INDEX($P$2:$P$1001,MATCH(ROWS($N$2:N867),$N$2:$N$1001,0),0), INDEX($U$1004:$AC$1004,1,MATCH(COLUMNS($U$1006:AC1006),$U$1006:$AC$1006,0)))),"Fix")))</f>
        <v>0</v>
      </c>
      <c r="N867">
        <v>0</v>
      </c>
      <c r="O867">
        <v>0</v>
      </c>
      <c r="P867">
        <v>0</v>
      </c>
      <c r="Q867">
        <f>IF(R867,TRUE,AND(U867:AC867))</f>
        <v>0</v>
      </c>
      <c r="R867">
        <f>COUNTBLANK(metadata!B867:J867)=COLUMNS(metadata!B867:J867)</f>
        <v>0</v>
      </c>
      <c r="S867">
        <v>0</v>
      </c>
      <c r="U867">
        <f>AND(IF(metadata!B867="",FALSE,TRUE),COUNTIF(metadata!B:B, metadata!B867) = 1,NOT(ISERROR(SUMPRODUCT(SEARCH(MID(metadata!B867,ROW(INDIRECT("1:"&amp;LEN(metadata!B867))), 1),"0123456789abcdefghijklmnopqrstuvwxyzABCDEFGHIJKLMNOPQRSTUVWXYZ.")))))</f>
        <v>0</v>
      </c>
      <c r="V867">
        <f>AND(IF(metadata!C867="",FALSE,TRUE),exact(metadata!C867,"UBERON:genitourinary"))</f>
        <v>0</v>
      </c>
      <c r="W867">
        <f>AND(IF(metadata!D867="",FALSE,TRUE),exact(metadata!D867,"UBERON:urine"))</f>
        <v>0</v>
      </c>
      <c r="X867">
        <f>AND(IF(metadata!E867="",FALSE,TRUE),exact(metadata!E867,"UBERON:kidney"))</f>
        <v>0</v>
      </c>
      <c r="Y867">
        <f>AND(IF(metadata!F867="",FALSE,TRUE),exact(metadata!F867,"animal corpus"))</f>
        <v>0</v>
      </c>
      <c r="Z867">
        <f>AND(IF(metadata!G867="",FALSE,TRUE),exact(metadata!G867,"urine"))</f>
        <v>0</v>
      </c>
      <c r="AA867">
        <f>AND(IF(metadata!H867="",FALSE,TRUE),exact(metadata!H867,"urine"))</f>
        <v>0</v>
      </c>
      <c r="AB867">
        <f>AND(IF(metadata!I867="",FALSE,TRUE),exact(metadata!I867,"urine metagenome"))</f>
        <v>0</v>
      </c>
      <c r="AC867">
        <f>AND(IF(metadata!J867="",FALSE,TRUE),exact(metadata!J867,"1346744"))</f>
        <v>0</v>
      </c>
    </row>
    <row r="868" spans="1:29">
      <c r="A868" s="4">
        <f>IF(B868=" "," ",HYPERLINK(CONCATENATE("#metadata!",ADDRESS(INDEX($P$2:$P$1001,MATCH(ROWS($N$2:N868),$N$2:$N$1001,0),0),1)),INDEX($S$2:$S$1001,MATCH(ROWS($N$2:N868),$N$2:$N$1001,0),0)))</f>
        <v>0</v>
      </c>
      <c r="B868" s="3">
        <f>IF(OR(INDEX($O$2:$O$1001,MATCH(ROWS($N$2:N868),$N$2:$N$1001,0),1)&gt;=100000,INDEX($U$1005:$AC$1005,1,MATCH(COLUMNS($U$1006:U1006),$U$1006:$AC$1006,0))&gt;=100000), " ",IF(INDEX($U$2:$AC$1001,MATCH(ROWS($N$2:N868),$N$2:$N$1001,0),MATCH(COLUMNS($U$1006:U1006),$U$1006:$AC$1006,0)), HYPERLINK("#",""), HYPERLINK(CONCATENATE("#metadata!", ADDRESS(INDEX($P$2:$P$1001,MATCH(ROWS($N$2:N868),$N$2:$N$1001,0),0), INDEX($U$1004:$AC$1004,1,MATCH(COLUMNS($U$1006:U1006),$U$1006:$AC$1006,0)))),"Fix")))</f>
        <v>0</v>
      </c>
      <c r="C868" s="3">
        <f>IF(OR(INDEX($O$2:$O$1001,MATCH(ROWS($N$2:N868),$N$2:$N$1001,0),1)&gt;=100000,INDEX($U$1005:$AC$1005,1,MATCH(COLUMNS($U$1006:V1006),$U$1006:$AC$1006,0))&gt;=100000), " ",IF(INDEX($U$2:$AC$1001,MATCH(ROWS($N$2:N868),$N$2:$N$1001,0),MATCH(COLUMNS($U$1006:V1006),$U$1006:$AC$1006,0)), HYPERLINK("#",""), HYPERLINK(CONCATENATE("#metadata!", ADDRESS(INDEX($P$2:$P$1001,MATCH(ROWS($N$2:N868),$N$2:$N$1001,0),0), INDEX($U$1004:$AC$1004,1,MATCH(COLUMNS($U$1006:V1006),$U$1006:$AC$1006,0)))),"Fix")))</f>
        <v>0</v>
      </c>
      <c r="D868" s="3">
        <f>IF(OR(INDEX($O$2:$O$1001,MATCH(ROWS($N$2:N868),$N$2:$N$1001,0),1)&gt;=100000,INDEX($U$1005:$AC$1005,1,MATCH(COLUMNS($U$1006:W1006),$U$1006:$AC$1006,0))&gt;=100000), " ",IF(INDEX($U$2:$AC$1001,MATCH(ROWS($N$2:N868),$N$2:$N$1001,0),MATCH(COLUMNS($U$1006:W1006),$U$1006:$AC$1006,0)), HYPERLINK("#",""), HYPERLINK(CONCATENATE("#metadata!", ADDRESS(INDEX($P$2:$P$1001,MATCH(ROWS($N$2:N868),$N$2:$N$1001,0),0), INDEX($U$1004:$AC$1004,1,MATCH(COLUMNS($U$1006:W1006),$U$1006:$AC$1006,0)))),"Fix")))</f>
        <v>0</v>
      </c>
      <c r="E868" s="3">
        <f>IF(OR(INDEX($O$2:$O$1001,MATCH(ROWS($N$2:N868),$N$2:$N$1001,0),1)&gt;=100000,INDEX($U$1005:$AC$1005,1,MATCH(COLUMNS($U$1006:X1006),$U$1006:$AC$1006,0))&gt;=100000), " ",IF(INDEX($U$2:$AC$1001,MATCH(ROWS($N$2:N868),$N$2:$N$1001,0),MATCH(COLUMNS($U$1006:X1006),$U$1006:$AC$1006,0)), HYPERLINK("#",""), HYPERLINK(CONCATENATE("#metadata!", ADDRESS(INDEX($P$2:$P$1001,MATCH(ROWS($N$2:N868),$N$2:$N$1001,0),0), INDEX($U$1004:$AC$1004,1,MATCH(COLUMNS($U$1006:X1006),$U$1006:$AC$1006,0)))),"Fix")))</f>
        <v>0</v>
      </c>
      <c r="F868" s="3">
        <f>IF(OR(INDEX($O$2:$O$1001,MATCH(ROWS($N$2:N868),$N$2:$N$1001,0),1)&gt;=100000,INDEX($U$1005:$AC$1005,1,MATCH(COLUMNS($U$1006:Y1006),$U$1006:$AC$1006,0))&gt;=100000), " ",IF(INDEX($U$2:$AC$1001,MATCH(ROWS($N$2:N868),$N$2:$N$1001,0),MATCH(COLUMNS($U$1006:Y1006),$U$1006:$AC$1006,0)), HYPERLINK("#",""), HYPERLINK(CONCATENATE("#metadata!", ADDRESS(INDEX($P$2:$P$1001,MATCH(ROWS($N$2:N868),$N$2:$N$1001,0),0), INDEX($U$1004:$AC$1004,1,MATCH(COLUMNS($U$1006:Y1006),$U$1006:$AC$1006,0)))),"Fix")))</f>
        <v>0</v>
      </c>
      <c r="G868" s="3">
        <f>IF(OR(INDEX($O$2:$O$1001,MATCH(ROWS($N$2:N868),$N$2:$N$1001,0),1)&gt;=100000,INDEX($U$1005:$AC$1005,1,MATCH(COLUMNS($U$1006:Z1006),$U$1006:$AC$1006,0))&gt;=100000), " ",IF(INDEX($U$2:$AC$1001,MATCH(ROWS($N$2:N868),$N$2:$N$1001,0),MATCH(COLUMNS($U$1006:Z1006),$U$1006:$AC$1006,0)), HYPERLINK("#",""), HYPERLINK(CONCATENATE("#metadata!", ADDRESS(INDEX($P$2:$P$1001,MATCH(ROWS($N$2:N868),$N$2:$N$1001,0),0), INDEX($U$1004:$AC$1004,1,MATCH(COLUMNS($U$1006:Z1006),$U$1006:$AC$1006,0)))),"Fix")))</f>
        <v>0</v>
      </c>
      <c r="H868" s="3">
        <f>IF(OR(INDEX($O$2:$O$1001,MATCH(ROWS($N$2:N868),$N$2:$N$1001,0),1)&gt;=100000,INDEX($U$1005:$AC$1005,1,MATCH(COLUMNS($U$1006:AA1006),$U$1006:$AC$1006,0))&gt;=100000), " ",IF(INDEX($U$2:$AC$1001,MATCH(ROWS($N$2:N868),$N$2:$N$1001,0),MATCH(COLUMNS($U$1006:AA1006),$U$1006:$AC$1006,0)), HYPERLINK("#",""), HYPERLINK(CONCATENATE("#metadata!", ADDRESS(INDEX($P$2:$P$1001,MATCH(ROWS($N$2:N868),$N$2:$N$1001,0),0), INDEX($U$1004:$AC$1004,1,MATCH(COLUMNS($U$1006:AA1006),$U$1006:$AC$1006,0)))),"Fix")))</f>
        <v>0</v>
      </c>
      <c r="I868" s="3">
        <f>IF(OR(INDEX($O$2:$O$1001,MATCH(ROWS($N$2:N868),$N$2:$N$1001,0),1)&gt;=100000,INDEX($U$1005:$AC$1005,1,MATCH(COLUMNS($U$1006:AB1006),$U$1006:$AC$1006,0))&gt;=100000), " ",IF(INDEX($U$2:$AC$1001,MATCH(ROWS($N$2:N868),$N$2:$N$1001,0),MATCH(COLUMNS($U$1006:AB1006),$U$1006:$AC$1006,0)), HYPERLINK("#",""), HYPERLINK(CONCATENATE("#metadata!", ADDRESS(INDEX($P$2:$P$1001,MATCH(ROWS($N$2:N868),$N$2:$N$1001,0),0), INDEX($U$1004:$AC$1004,1,MATCH(COLUMNS($U$1006:AB1006),$U$1006:$AC$1006,0)))),"Fix")))</f>
        <v>0</v>
      </c>
      <c r="J868" s="3">
        <f>IF(OR(INDEX($O$2:$O$1001,MATCH(ROWS($N$2:N868),$N$2:$N$1001,0),1)&gt;=100000,INDEX($U$1005:$AC$1005,1,MATCH(COLUMNS($U$1006:AC1006),$U$1006:$AC$1006,0))&gt;=100000), " ",IF(INDEX($U$2:$AC$1001,MATCH(ROWS($N$2:N868),$N$2:$N$1001,0),MATCH(COLUMNS($U$1006:AC1006),$U$1006:$AC$1006,0)), HYPERLINK("#",""), HYPERLINK(CONCATENATE("#metadata!", ADDRESS(INDEX($P$2:$P$1001,MATCH(ROWS($N$2:N868),$N$2:$N$1001,0),0), INDEX($U$1004:$AC$1004,1,MATCH(COLUMNS($U$1006:AC1006),$U$1006:$AC$1006,0)))),"Fix")))</f>
        <v>0</v>
      </c>
      <c r="N868">
        <v>0</v>
      </c>
      <c r="O868">
        <v>0</v>
      </c>
      <c r="P868">
        <v>0</v>
      </c>
      <c r="Q868">
        <f>IF(R868,TRUE,AND(U868:AC868))</f>
        <v>0</v>
      </c>
      <c r="R868">
        <f>COUNTBLANK(metadata!B868:J868)=COLUMNS(metadata!B868:J868)</f>
        <v>0</v>
      </c>
      <c r="S868">
        <v>0</v>
      </c>
      <c r="U868">
        <f>AND(IF(metadata!B868="",FALSE,TRUE),COUNTIF(metadata!B:B, metadata!B868) = 1,NOT(ISERROR(SUMPRODUCT(SEARCH(MID(metadata!B868,ROW(INDIRECT("1:"&amp;LEN(metadata!B868))), 1),"0123456789abcdefghijklmnopqrstuvwxyzABCDEFGHIJKLMNOPQRSTUVWXYZ.")))))</f>
        <v>0</v>
      </c>
      <c r="V868">
        <f>AND(IF(metadata!C868="",FALSE,TRUE),exact(metadata!C868,"UBERON:genitourinary"))</f>
        <v>0</v>
      </c>
      <c r="W868">
        <f>AND(IF(metadata!D868="",FALSE,TRUE),exact(metadata!D868,"UBERON:urine"))</f>
        <v>0</v>
      </c>
      <c r="X868">
        <f>AND(IF(metadata!E868="",FALSE,TRUE),exact(metadata!E868,"UBERON:kidney"))</f>
        <v>0</v>
      </c>
      <c r="Y868">
        <f>AND(IF(metadata!F868="",FALSE,TRUE),exact(metadata!F868,"animal corpus"))</f>
        <v>0</v>
      </c>
      <c r="Z868">
        <f>AND(IF(metadata!G868="",FALSE,TRUE),exact(metadata!G868,"urine"))</f>
        <v>0</v>
      </c>
      <c r="AA868">
        <f>AND(IF(metadata!H868="",FALSE,TRUE),exact(metadata!H868,"urine"))</f>
        <v>0</v>
      </c>
      <c r="AB868">
        <f>AND(IF(metadata!I868="",FALSE,TRUE),exact(metadata!I868,"urine metagenome"))</f>
        <v>0</v>
      </c>
      <c r="AC868">
        <f>AND(IF(metadata!J868="",FALSE,TRUE),exact(metadata!J868,"1346744"))</f>
        <v>0</v>
      </c>
    </row>
    <row r="869" spans="1:29">
      <c r="A869" s="4">
        <f>IF(B869=" "," ",HYPERLINK(CONCATENATE("#metadata!",ADDRESS(INDEX($P$2:$P$1001,MATCH(ROWS($N$2:N869),$N$2:$N$1001,0),0),1)),INDEX($S$2:$S$1001,MATCH(ROWS($N$2:N869),$N$2:$N$1001,0),0)))</f>
        <v>0</v>
      </c>
      <c r="B869" s="3">
        <f>IF(OR(INDEX($O$2:$O$1001,MATCH(ROWS($N$2:N869),$N$2:$N$1001,0),1)&gt;=100000,INDEX($U$1005:$AC$1005,1,MATCH(COLUMNS($U$1006:U1006),$U$1006:$AC$1006,0))&gt;=100000), " ",IF(INDEX($U$2:$AC$1001,MATCH(ROWS($N$2:N869),$N$2:$N$1001,0),MATCH(COLUMNS($U$1006:U1006),$U$1006:$AC$1006,0)), HYPERLINK("#",""), HYPERLINK(CONCATENATE("#metadata!", ADDRESS(INDEX($P$2:$P$1001,MATCH(ROWS($N$2:N869),$N$2:$N$1001,0),0), INDEX($U$1004:$AC$1004,1,MATCH(COLUMNS($U$1006:U1006),$U$1006:$AC$1006,0)))),"Fix")))</f>
        <v>0</v>
      </c>
      <c r="C869" s="3">
        <f>IF(OR(INDEX($O$2:$O$1001,MATCH(ROWS($N$2:N869),$N$2:$N$1001,0),1)&gt;=100000,INDEX($U$1005:$AC$1005,1,MATCH(COLUMNS($U$1006:V1006),$U$1006:$AC$1006,0))&gt;=100000), " ",IF(INDEX($U$2:$AC$1001,MATCH(ROWS($N$2:N869),$N$2:$N$1001,0),MATCH(COLUMNS($U$1006:V1006),$U$1006:$AC$1006,0)), HYPERLINK("#",""), HYPERLINK(CONCATENATE("#metadata!", ADDRESS(INDEX($P$2:$P$1001,MATCH(ROWS($N$2:N869),$N$2:$N$1001,0),0), INDEX($U$1004:$AC$1004,1,MATCH(COLUMNS($U$1006:V1006),$U$1006:$AC$1006,0)))),"Fix")))</f>
        <v>0</v>
      </c>
      <c r="D869" s="3">
        <f>IF(OR(INDEX($O$2:$O$1001,MATCH(ROWS($N$2:N869),$N$2:$N$1001,0),1)&gt;=100000,INDEX($U$1005:$AC$1005,1,MATCH(COLUMNS($U$1006:W1006),$U$1006:$AC$1006,0))&gt;=100000), " ",IF(INDEX($U$2:$AC$1001,MATCH(ROWS($N$2:N869),$N$2:$N$1001,0),MATCH(COLUMNS($U$1006:W1006),$U$1006:$AC$1006,0)), HYPERLINK("#",""), HYPERLINK(CONCATENATE("#metadata!", ADDRESS(INDEX($P$2:$P$1001,MATCH(ROWS($N$2:N869),$N$2:$N$1001,0),0), INDEX($U$1004:$AC$1004,1,MATCH(COLUMNS($U$1006:W1006),$U$1006:$AC$1006,0)))),"Fix")))</f>
        <v>0</v>
      </c>
      <c r="E869" s="3">
        <f>IF(OR(INDEX($O$2:$O$1001,MATCH(ROWS($N$2:N869),$N$2:$N$1001,0),1)&gt;=100000,INDEX($U$1005:$AC$1005,1,MATCH(COLUMNS($U$1006:X1006),$U$1006:$AC$1006,0))&gt;=100000), " ",IF(INDEX($U$2:$AC$1001,MATCH(ROWS($N$2:N869),$N$2:$N$1001,0),MATCH(COLUMNS($U$1006:X1006),$U$1006:$AC$1006,0)), HYPERLINK("#",""), HYPERLINK(CONCATENATE("#metadata!", ADDRESS(INDEX($P$2:$P$1001,MATCH(ROWS($N$2:N869),$N$2:$N$1001,0),0), INDEX($U$1004:$AC$1004,1,MATCH(COLUMNS($U$1006:X1006),$U$1006:$AC$1006,0)))),"Fix")))</f>
        <v>0</v>
      </c>
      <c r="F869" s="3">
        <f>IF(OR(INDEX($O$2:$O$1001,MATCH(ROWS($N$2:N869),$N$2:$N$1001,0),1)&gt;=100000,INDEX($U$1005:$AC$1005,1,MATCH(COLUMNS($U$1006:Y1006),$U$1006:$AC$1006,0))&gt;=100000), " ",IF(INDEX($U$2:$AC$1001,MATCH(ROWS($N$2:N869),$N$2:$N$1001,0),MATCH(COLUMNS($U$1006:Y1006),$U$1006:$AC$1006,0)), HYPERLINK("#",""), HYPERLINK(CONCATENATE("#metadata!", ADDRESS(INDEX($P$2:$P$1001,MATCH(ROWS($N$2:N869),$N$2:$N$1001,0),0), INDEX($U$1004:$AC$1004,1,MATCH(COLUMNS($U$1006:Y1006),$U$1006:$AC$1006,0)))),"Fix")))</f>
        <v>0</v>
      </c>
      <c r="G869" s="3">
        <f>IF(OR(INDEX($O$2:$O$1001,MATCH(ROWS($N$2:N869),$N$2:$N$1001,0),1)&gt;=100000,INDEX($U$1005:$AC$1005,1,MATCH(COLUMNS($U$1006:Z1006),$U$1006:$AC$1006,0))&gt;=100000), " ",IF(INDEX($U$2:$AC$1001,MATCH(ROWS($N$2:N869),$N$2:$N$1001,0),MATCH(COLUMNS($U$1006:Z1006),$U$1006:$AC$1006,0)), HYPERLINK("#",""), HYPERLINK(CONCATENATE("#metadata!", ADDRESS(INDEX($P$2:$P$1001,MATCH(ROWS($N$2:N869),$N$2:$N$1001,0),0), INDEX($U$1004:$AC$1004,1,MATCH(COLUMNS($U$1006:Z1006),$U$1006:$AC$1006,0)))),"Fix")))</f>
        <v>0</v>
      </c>
      <c r="H869" s="3">
        <f>IF(OR(INDEX($O$2:$O$1001,MATCH(ROWS($N$2:N869),$N$2:$N$1001,0),1)&gt;=100000,INDEX($U$1005:$AC$1005,1,MATCH(COLUMNS($U$1006:AA1006),$U$1006:$AC$1006,0))&gt;=100000), " ",IF(INDEX($U$2:$AC$1001,MATCH(ROWS($N$2:N869),$N$2:$N$1001,0),MATCH(COLUMNS($U$1006:AA1006),$U$1006:$AC$1006,0)), HYPERLINK("#",""), HYPERLINK(CONCATENATE("#metadata!", ADDRESS(INDEX($P$2:$P$1001,MATCH(ROWS($N$2:N869),$N$2:$N$1001,0),0), INDEX($U$1004:$AC$1004,1,MATCH(COLUMNS($U$1006:AA1006),$U$1006:$AC$1006,0)))),"Fix")))</f>
        <v>0</v>
      </c>
      <c r="I869" s="3">
        <f>IF(OR(INDEX($O$2:$O$1001,MATCH(ROWS($N$2:N869),$N$2:$N$1001,0),1)&gt;=100000,INDEX($U$1005:$AC$1005,1,MATCH(COLUMNS($U$1006:AB1006),$U$1006:$AC$1006,0))&gt;=100000), " ",IF(INDEX($U$2:$AC$1001,MATCH(ROWS($N$2:N869),$N$2:$N$1001,0),MATCH(COLUMNS($U$1006:AB1006),$U$1006:$AC$1006,0)), HYPERLINK("#",""), HYPERLINK(CONCATENATE("#metadata!", ADDRESS(INDEX($P$2:$P$1001,MATCH(ROWS($N$2:N869),$N$2:$N$1001,0),0), INDEX($U$1004:$AC$1004,1,MATCH(COLUMNS($U$1006:AB1006),$U$1006:$AC$1006,0)))),"Fix")))</f>
        <v>0</v>
      </c>
      <c r="J869" s="3">
        <f>IF(OR(INDEX($O$2:$O$1001,MATCH(ROWS($N$2:N869),$N$2:$N$1001,0),1)&gt;=100000,INDEX($U$1005:$AC$1005,1,MATCH(COLUMNS($U$1006:AC1006),$U$1006:$AC$1006,0))&gt;=100000), " ",IF(INDEX($U$2:$AC$1001,MATCH(ROWS($N$2:N869),$N$2:$N$1001,0),MATCH(COLUMNS($U$1006:AC1006),$U$1006:$AC$1006,0)), HYPERLINK("#",""), HYPERLINK(CONCATENATE("#metadata!", ADDRESS(INDEX($P$2:$P$1001,MATCH(ROWS($N$2:N869),$N$2:$N$1001,0),0), INDEX($U$1004:$AC$1004,1,MATCH(COLUMNS($U$1006:AC1006),$U$1006:$AC$1006,0)))),"Fix")))</f>
        <v>0</v>
      </c>
      <c r="N869">
        <v>0</v>
      </c>
      <c r="O869">
        <v>0</v>
      </c>
      <c r="P869">
        <v>0</v>
      </c>
      <c r="Q869">
        <f>IF(R869,TRUE,AND(U869:AC869))</f>
        <v>0</v>
      </c>
      <c r="R869">
        <f>COUNTBLANK(metadata!B869:J869)=COLUMNS(metadata!B869:J869)</f>
        <v>0</v>
      </c>
      <c r="S869">
        <v>0</v>
      </c>
      <c r="U869">
        <f>AND(IF(metadata!B869="",FALSE,TRUE),COUNTIF(metadata!B:B, metadata!B869) = 1,NOT(ISERROR(SUMPRODUCT(SEARCH(MID(metadata!B869,ROW(INDIRECT("1:"&amp;LEN(metadata!B869))), 1),"0123456789abcdefghijklmnopqrstuvwxyzABCDEFGHIJKLMNOPQRSTUVWXYZ.")))))</f>
        <v>0</v>
      </c>
      <c r="V869">
        <f>AND(IF(metadata!C869="",FALSE,TRUE),exact(metadata!C869,"UBERON:genitourinary"))</f>
        <v>0</v>
      </c>
      <c r="W869">
        <f>AND(IF(metadata!D869="",FALSE,TRUE),exact(metadata!D869,"UBERON:urine"))</f>
        <v>0</v>
      </c>
      <c r="X869">
        <f>AND(IF(metadata!E869="",FALSE,TRUE),exact(metadata!E869,"UBERON:kidney"))</f>
        <v>0</v>
      </c>
      <c r="Y869">
        <f>AND(IF(metadata!F869="",FALSE,TRUE),exact(metadata!F869,"animal corpus"))</f>
        <v>0</v>
      </c>
      <c r="Z869">
        <f>AND(IF(metadata!G869="",FALSE,TRUE),exact(metadata!G869,"urine"))</f>
        <v>0</v>
      </c>
      <c r="AA869">
        <f>AND(IF(metadata!H869="",FALSE,TRUE),exact(metadata!H869,"urine"))</f>
        <v>0</v>
      </c>
      <c r="AB869">
        <f>AND(IF(metadata!I869="",FALSE,TRUE),exact(metadata!I869,"urine metagenome"))</f>
        <v>0</v>
      </c>
      <c r="AC869">
        <f>AND(IF(metadata!J869="",FALSE,TRUE),exact(metadata!J869,"1346744"))</f>
        <v>0</v>
      </c>
    </row>
    <row r="870" spans="1:29">
      <c r="A870" s="4">
        <f>IF(B870=" "," ",HYPERLINK(CONCATENATE("#metadata!",ADDRESS(INDEX($P$2:$P$1001,MATCH(ROWS($N$2:N870),$N$2:$N$1001,0),0),1)),INDEX($S$2:$S$1001,MATCH(ROWS($N$2:N870),$N$2:$N$1001,0),0)))</f>
        <v>0</v>
      </c>
      <c r="B870" s="3">
        <f>IF(OR(INDEX($O$2:$O$1001,MATCH(ROWS($N$2:N870),$N$2:$N$1001,0),1)&gt;=100000,INDEX($U$1005:$AC$1005,1,MATCH(COLUMNS($U$1006:U1006),$U$1006:$AC$1006,0))&gt;=100000), " ",IF(INDEX($U$2:$AC$1001,MATCH(ROWS($N$2:N870),$N$2:$N$1001,0),MATCH(COLUMNS($U$1006:U1006),$U$1006:$AC$1006,0)), HYPERLINK("#",""), HYPERLINK(CONCATENATE("#metadata!", ADDRESS(INDEX($P$2:$P$1001,MATCH(ROWS($N$2:N870),$N$2:$N$1001,0),0), INDEX($U$1004:$AC$1004,1,MATCH(COLUMNS($U$1006:U1006),$U$1006:$AC$1006,0)))),"Fix")))</f>
        <v>0</v>
      </c>
      <c r="C870" s="3">
        <f>IF(OR(INDEX($O$2:$O$1001,MATCH(ROWS($N$2:N870),$N$2:$N$1001,0),1)&gt;=100000,INDEX($U$1005:$AC$1005,1,MATCH(COLUMNS($U$1006:V1006),$U$1006:$AC$1006,0))&gt;=100000), " ",IF(INDEX($U$2:$AC$1001,MATCH(ROWS($N$2:N870),$N$2:$N$1001,0),MATCH(COLUMNS($U$1006:V1006),$U$1006:$AC$1006,0)), HYPERLINK("#",""), HYPERLINK(CONCATENATE("#metadata!", ADDRESS(INDEX($P$2:$P$1001,MATCH(ROWS($N$2:N870),$N$2:$N$1001,0),0), INDEX($U$1004:$AC$1004,1,MATCH(COLUMNS($U$1006:V1006),$U$1006:$AC$1006,0)))),"Fix")))</f>
        <v>0</v>
      </c>
      <c r="D870" s="3">
        <f>IF(OR(INDEX($O$2:$O$1001,MATCH(ROWS($N$2:N870),$N$2:$N$1001,0),1)&gt;=100000,INDEX($U$1005:$AC$1005,1,MATCH(COLUMNS($U$1006:W1006),$U$1006:$AC$1006,0))&gt;=100000), " ",IF(INDEX($U$2:$AC$1001,MATCH(ROWS($N$2:N870),$N$2:$N$1001,0),MATCH(COLUMNS($U$1006:W1006),$U$1006:$AC$1006,0)), HYPERLINK("#",""), HYPERLINK(CONCATENATE("#metadata!", ADDRESS(INDEX($P$2:$P$1001,MATCH(ROWS($N$2:N870),$N$2:$N$1001,0),0), INDEX($U$1004:$AC$1004,1,MATCH(COLUMNS($U$1006:W1006),$U$1006:$AC$1006,0)))),"Fix")))</f>
        <v>0</v>
      </c>
      <c r="E870" s="3">
        <f>IF(OR(INDEX($O$2:$O$1001,MATCH(ROWS($N$2:N870),$N$2:$N$1001,0),1)&gt;=100000,INDEX($U$1005:$AC$1005,1,MATCH(COLUMNS($U$1006:X1006),$U$1006:$AC$1006,0))&gt;=100000), " ",IF(INDEX($U$2:$AC$1001,MATCH(ROWS($N$2:N870),$N$2:$N$1001,0),MATCH(COLUMNS($U$1006:X1006),$U$1006:$AC$1006,0)), HYPERLINK("#",""), HYPERLINK(CONCATENATE("#metadata!", ADDRESS(INDEX($P$2:$P$1001,MATCH(ROWS($N$2:N870),$N$2:$N$1001,0),0), INDEX($U$1004:$AC$1004,1,MATCH(COLUMNS($U$1006:X1006),$U$1006:$AC$1006,0)))),"Fix")))</f>
        <v>0</v>
      </c>
      <c r="F870" s="3">
        <f>IF(OR(INDEX($O$2:$O$1001,MATCH(ROWS($N$2:N870),$N$2:$N$1001,0),1)&gt;=100000,INDEX($U$1005:$AC$1005,1,MATCH(COLUMNS($U$1006:Y1006),$U$1006:$AC$1006,0))&gt;=100000), " ",IF(INDEX($U$2:$AC$1001,MATCH(ROWS($N$2:N870),$N$2:$N$1001,0),MATCH(COLUMNS($U$1006:Y1006),$U$1006:$AC$1006,0)), HYPERLINK("#",""), HYPERLINK(CONCATENATE("#metadata!", ADDRESS(INDEX($P$2:$P$1001,MATCH(ROWS($N$2:N870),$N$2:$N$1001,0),0), INDEX($U$1004:$AC$1004,1,MATCH(COLUMNS($U$1006:Y1006),$U$1006:$AC$1006,0)))),"Fix")))</f>
        <v>0</v>
      </c>
      <c r="G870" s="3">
        <f>IF(OR(INDEX($O$2:$O$1001,MATCH(ROWS($N$2:N870),$N$2:$N$1001,0),1)&gt;=100000,INDEX($U$1005:$AC$1005,1,MATCH(COLUMNS($U$1006:Z1006),$U$1006:$AC$1006,0))&gt;=100000), " ",IF(INDEX($U$2:$AC$1001,MATCH(ROWS($N$2:N870),$N$2:$N$1001,0),MATCH(COLUMNS($U$1006:Z1006),$U$1006:$AC$1006,0)), HYPERLINK("#",""), HYPERLINK(CONCATENATE("#metadata!", ADDRESS(INDEX($P$2:$P$1001,MATCH(ROWS($N$2:N870),$N$2:$N$1001,0),0), INDEX($U$1004:$AC$1004,1,MATCH(COLUMNS($U$1006:Z1006),$U$1006:$AC$1006,0)))),"Fix")))</f>
        <v>0</v>
      </c>
      <c r="H870" s="3">
        <f>IF(OR(INDEX($O$2:$O$1001,MATCH(ROWS($N$2:N870),$N$2:$N$1001,0),1)&gt;=100000,INDEX($U$1005:$AC$1005,1,MATCH(COLUMNS($U$1006:AA1006),$U$1006:$AC$1006,0))&gt;=100000), " ",IF(INDEX($U$2:$AC$1001,MATCH(ROWS($N$2:N870),$N$2:$N$1001,0),MATCH(COLUMNS($U$1006:AA1006),$U$1006:$AC$1006,0)), HYPERLINK("#",""), HYPERLINK(CONCATENATE("#metadata!", ADDRESS(INDEX($P$2:$P$1001,MATCH(ROWS($N$2:N870),$N$2:$N$1001,0),0), INDEX($U$1004:$AC$1004,1,MATCH(COLUMNS($U$1006:AA1006),$U$1006:$AC$1006,0)))),"Fix")))</f>
        <v>0</v>
      </c>
      <c r="I870" s="3">
        <f>IF(OR(INDEX($O$2:$O$1001,MATCH(ROWS($N$2:N870),$N$2:$N$1001,0),1)&gt;=100000,INDEX($U$1005:$AC$1005,1,MATCH(COLUMNS($U$1006:AB1006),$U$1006:$AC$1006,0))&gt;=100000), " ",IF(INDEX($U$2:$AC$1001,MATCH(ROWS($N$2:N870),$N$2:$N$1001,0),MATCH(COLUMNS($U$1006:AB1006),$U$1006:$AC$1006,0)), HYPERLINK("#",""), HYPERLINK(CONCATENATE("#metadata!", ADDRESS(INDEX($P$2:$P$1001,MATCH(ROWS($N$2:N870),$N$2:$N$1001,0),0), INDEX($U$1004:$AC$1004,1,MATCH(COLUMNS($U$1006:AB1006),$U$1006:$AC$1006,0)))),"Fix")))</f>
        <v>0</v>
      </c>
      <c r="J870" s="3">
        <f>IF(OR(INDEX($O$2:$O$1001,MATCH(ROWS($N$2:N870),$N$2:$N$1001,0),1)&gt;=100000,INDEX($U$1005:$AC$1005,1,MATCH(COLUMNS($U$1006:AC1006),$U$1006:$AC$1006,0))&gt;=100000), " ",IF(INDEX($U$2:$AC$1001,MATCH(ROWS($N$2:N870),$N$2:$N$1001,0),MATCH(COLUMNS($U$1006:AC1006),$U$1006:$AC$1006,0)), HYPERLINK("#",""), HYPERLINK(CONCATENATE("#metadata!", ADDRESS(INDEX($P$2:$P$1001,MATCH(ROWS($N$2:N870),$N$2:$N$1001,0),0), INDEX($U$1004:$AC$1004,1,MATCH(COLUMNS($U$1006:AC1006),$U$1006:$AC$1006,0)))),"Fix")))</f>
        <v>0</v>
      </c>
      <c r="N870">
        <v>0</v>
      </c>
      <c r="O870">
        <v>0</v>
      </c>
      <c r="P870">
        <v>0</v>
      </c>
      <c r="Q870">
        <f>IF(R870,TRUE,AND(U870:AC870))</f>
        <v>0</v>
      </c>
      <c r="R870">
        <f>COUNTBLANK(metadata!B870:J870)=COLUMNS(metadata!B870:J870)</f>
        <v>0</v>
      </c>
      <c r="S870">
        <v>0</v>
      </c>
      <c r="U870">
        <f>AND(IF(metadata!B870="",FALSE,TRUE),COUNTIF(metadata!B:B, metadata!B870) = 1,NOT(ISERROR(SUMPRODUCT(SEARCH(MID(metadata!B870,ROW(INDIRECT("1:"&amp;LEN(metadata!B870))), 1),"0123456789abcdefghijklmnopqrstuvwxyzABCDEFGHIJKLMNOPQRSTUVWXYZ.")))))</f>
        <v>0</v>
      </c>
      <c r="V870">
        <f>AND(IF(metadata!C870="",FALSE,TRUE),exact(metadata!C870,"UBERON:genitourinary"))</f>
        <v>0</v>
      </c>
      <c r="W870">
        <f>AND(IF(metadata!D870="",FALSE,TRUE),exact(metadata!D870,"UBERON:urine"))</f>
        <v>0</v>
      </c>
      <c r="X870">
        <f>AND(IF(metadata!E870="",FALSE,TRUE),exact(metadata!E870,"UBERON:kidney"))</f>
        <v>0</v>
      </c>
      <c r="Y870">
        <f>AND(IF(metadata!F870="",FALSE,TRUE),exact(metadata!F870,"animal corpus"))</f>
        <v>0</v>
      </c>
      <c r="Z870">
        <f>AND(IF(metadata!G870="",FALSE,TRUE),exact(metadata!G870,"urine"))</f>
        <v>0</v>
      </c>
      <c r="AA870">
        <f>AND(IF(metadata!H870="",FALSE,TRUE),exact(metadata!H870,"urine"))</f>
        <v>0</v>
      </c>
      <c r="AB870">
        <f>AND(IF(metadata!I870="",FALSE,TRUE),exact(metadata!I870,"urine metagenome"))</f>
        <v>0</v>
      </c>
      <c r="AC870">
        <f>AND(IF(metadata!J870="",FALSE,TRUE),exact(metadata!J870,"1346744"))</f>
        <v>0</v>
      </c>
    </row>
    <row r="871" spans="1:29">
      <c r="A871" s="4">
        <f>IF(B871=" "," ",HYPERLINK(CONCATENATE("#metadata!",ADDRESS(INDEX($P$2:$P$1001,MATCH(ROWS($N$2:N871),$N$2:$N$1001,0),0),1)),INDEX($S$2:$S$1001,MATCH(ROWS($N$2:N871),$N$2:$N$1001,0),0)))</f>
        <v>0</v>
      </c>
      <c r="B871" s="3">
        <f>IF(OR(INDEX($O$2:$O$1001,MATCH(ROWS($N$2:N871),$N$2:$N$1001,0),1)&gt;=100000,INDEX($U$1005:$AC$1005,1,MATCH(COLUMNS($U$1006:U1006),$U$1006:$AC$1006,0))&gt;=100000), " ",IF(INDEX($U$2:$AC$1001,MATCH(ROWS($N$2:N871),$N$2:$N$1001,0),MATCH(COLUMNS($U$1006:U1006),$U$1006:$AC$1006,0)), HYPERLINK("#",""), HYPERLINK(CONCATENATE("#metadata!", ADDRESS(INDEX($P$2:$P$1001,MATCH(ROWS($N$2:N871),$N$2:$N$1001,0),0), INDEX($U$1004:$AC$1004,1,MATCH(COLUMNS($U$1006:U1006),$U$1006:$AC$1006,0)))),"Fix")))</f>
        <v>0</v>
      </c>
      <c r="C871" s="3">
        <f>IF(OR(INDEX($O$2:$O$1001,MATCH(ROWS($N$2:N871),$N$2:$N$1001,0),1)&gt;=100000,INDEX($U$1005:$AC$1005,1,MATCH(COLUMNS($U$1006:V1006),$U$1006:$AC$1006,0))&gt;=100000), " ",IF(INDEX($U$2:$AC$1001,MATCH(ROWS($N$2:N871),$N$2:$N$1001,0),MATCH(COLUMNS($U$1006:V1006),$U$1006:$AC$1006,0)), HYPERLINK("#",""), HYPERLINK(CONCATENATE("#metadata!", ADDRESS(INDEX($P$2:$P$1001,MATCH(ROWS($N$2:N871),$N$2:$N$1001,0),0), INDEX($U$1004:$AC$1004,1,MATCH(COLUMNS($U$1006:V1006),$U$1006:$AC$1006,0)))),"Fix")))</f>
        <v>0</v>
      </c>
      <c r="D871" s="3">
        <f>IF(OR(INDEX($O$2:$O$1001,MATCH(ROWS($N$2:N871),$N$2:$N$1001,0),1)&gt;=100000,INDEX($U$1005:$AC$1005,1,MATCH(COLUMNS($U$1006:W1006),$U$1006:$AC$1006,0))&gt;=100000), " ",IF(INDEX($U$2:$AC$1001,MATCH(ROWS($N$2:N871),$N$2:$N$1001,0),MATCH(COLUMNS($U$1006:W1006),$U$1006:$AC$1006,0)), HYPERLINK("#",""), HYPERLINK(CONCATENATE("#metadata!", ADDRESS(INDEX($P$2:$P$1001,MATCH(ROWS($N$2:N871),$N$2:$N$1001,0),0), INDEX($U$1004:$AC$1004,1,MATCH(COLUMNS($U$1006:W1006),$U$1006:$AC$1006,0)))),"Fix")))</f>
        <v>0</v>
      </c>
      <c r="E871" s="3">
        <f>IF(OR(INDEX($O$2:$O$1001,MATCH(ROWS($N$2:N871),$N$2:$N$1001,0),1)&gt;=100000,INDEX($U$1005:$AC$1005,1,MATCH(COLUMNS($U$1006:X1006),$U$1006:$AC$1006,0))&gt;=100000), " ",IF(INDEX($U$2:$AC$1001,MATCH(ROWS($N$2:N871),$N$2:$N$1001,0),MATCH(COLUMNS($U$1006:X1006),$U$1006:$AC$1006,0)), HYPERLINK("#",""), HYPERLINK(CONCATENATE("#metadata!", ADDRESS(INDEX($P$2:$P$1001,MATCH(ROWS($N$2:N871),$N$2:$N$1001,0),0), INDEX($U$1004:$AC$1004,1,MATCH(COLUMNS($U$1006:X1006),$U$1006:$AC$1006,0)))),"Fix")))</f>
        <v>0</v>
      </c>
      <c r="F871" s="3">
        <f>IF(OR(INDEX($O$2:$O$1001,MATCH(ROWS($N$2:N871),$N$2:$N$1001,0),1)&gt;=100000,INDEX($U$1005:$AC$1005,1,MATCH(COLUMNS($U$1006:Y1006),$U$1006:$AC$1006,0))&gt;=100000), " ",IF(INDEX($U$2:$AC$1001,MATCH(ROWS($N$2:N871),$N$2:$N$1001,0),MATCH(COLUMNS($U$1006:Y1006),$U$1006:$AC$1006,0)), HYPERLINK("#",""), HYPERLINK(CONCATENATE("#metadata!", ADDRESS(INDEX($P$2:$P$1001,MATCH(ROWS($N$2:N871),$N$2:$N$1001,0),0), INDEX($U$1004:$AC$1004,1,MATCH(COLUMNS($U$1006:Y1006),$U$1006:$AC$1006,0)))),"Fix")))</f>
        <v>0</v>
      </c>
      <c r="G871" s="3">
        <f>IF(OR(INDEX($O$2:$O$1001,MATCH(ROWS($N$2:N871),$N$2:$N$1001,0),1)&gt;=100000,INDEX($U$1005:$AC$1005,1,MATCH(COLUMNS($U$1006:Z1006),$U$1006:$AC$1006,0))&gt;=100000), " ",IF(INDEX($U$2:$AC$1001,MATCH(ROWS($N$2:N871),$N$2:$N$1001,0),MATCH(COLUMNS($U$1006:Z1006),$U$1006:$AC$1006,0)), HYPERLINK("#",""), HYPERLINK(CONCATENATE("#metadata!", ADDRESS(INDEX($P$2:$P$1001,MATCH(ROWS($N$2:N871),$N$2:$N$1001,0),0), INDEX($U$1004:$AC$1004,1,MATCH(COLUMNS($U$1006:Z1006),$U$1006:$AC$1006,0)))),"Fix")))</f>
        <v>0</v>
      </c>
      <c r="H871" s="3">
        <f>IF(OR(INDEX($O$2:$O$1001,MATCH(ROWS($N$2:N871),$N$2:$N$1001,0),1)&gt;=100000,INDEX($U$1005:$AC$1005,1,MATCH(COLUMNS($U$1006:AA1006),$U$1006:$AC$1006,0))&gt;=100000), " ",IF(INDEX($U$2:$AC$1001,MATCH(ROWS($N$2:N871),$N$2:$N$1001,0),MATCH(COLUMNS($U$1006:AA1006),$U$1006:$AC$1006,0)), HYPERLINK("#",""), HYPERLINK(CONCATENATE("#metadata!", ADDRESS(INDEX($P$2:$P$1001,MATCH(ROWS($N$2:N871),$N$2:$N$1001,0),0), INDEX($U$1004:$AC$1004,1,MATCH(COLUMNS($U$1006:AA1006),$U$1006:$AC$1006,0)))),"Fix")))</f>
        <v>0</v>
      </c>
      <c r="I871" s="3">
        <f>IF(OR(INDEX($O$2:$O$1001,MATCH(ROWS($N$2:N871),$N$2:$N$1001,0),1)&gt;=100000,INDEX($U$1005:$AC$1005,1,MATCH(COLUMNS($U$1006:AB1006),$U$1006:$AC$1006,0))&gt;=100000), " ",IF(INDEX($U$2:$AC$1001,MATCH(ROWS($N$2:N871),$N$2:$N$1001,0),MATCH(COLUMNS($U$1006:AB1006),$U$1006:$AC$1006,0)), HYPERLINK("#",""), HYPERLINK(CONCATENATE("#metadata!", ADDRESS(INDEX($P$2:$P$1001,MATCH(ROWS($N$2:N871),$N$2:$N$1001,0),0), INDEX($U$1004:$AC$1004,1,MATCH(COLUMNS($U$1006:AB1006),$U$1006:$AC$1006,0)))),"Fix")))</f>
        <v>0</v>
      </c>
      <c r="J871" s="3">
        <f>IF(OR(INDEX($O$2:$O$1001,MATCH(ROWS($N$2:N871),$N$2:$N$1001,0),1)&gt;=100000,INDEX($U$1005:$AC$1005,1,MATCH(COLUMNS($U$1006:AC1006),$U$1006:$AC$1006,0))&gt;=100000), " ",IF(INDEX($U$2:$AC$1001,MATCH(ROWS($N$2:N871),$N$2:$N$1001,0),MATCH(COLUMNS($U$1006:AC1006),$U$1006:$AC$1006,0)), HYPERLINK("#",""), HYPERLINK(CONCATENATE("#metadata!", ADDRESS(INDEX($P$2:$P$1001,MATCH(ROWS($N$2:N871),$N$2:$N$1001,0),0), INDEX($U$1004:$AC$1004,1,MATCH(COLUMNS($U$1006:AC1006),$U$1006:$AC$1006,0)))),"Fix")))</f>
        <v>0</v>
      </c>
      <c r="N871">
        <v>0</v>
      </c>
      <c r="O871">
        <v>0</v>
      </c>
      <c r="P871">
        <v>0</v>
      </c>
      <c r="Q871">
        <f>IF(R871,TRUE,AND(U871:AC871))</f>
        <v>0</v>
      </c>
      <c r="R871">
        <f>COUNTBLANK(metadata!B871:J871)=COLUMNS(metadata!B871:J871)</f>
        <v>0</v>
      </c>
      <c r="S871">
        <v>0</v>
      </c>
      <c r="U871">
        <f>AND(IF(metadata!B871="",FALSE,TRUE),COUNTIF(metadata!B:B, metadata!B871) = 1,NOT(ISERROR(SUMPRODUCT(SEARCH(MID(metadata!B871,ROW(INDIRECT("1:"&amp;LEN(metadata!B871))), 1),"0123456789abcdefghijklmnopqrstuvwxyzABCDEFGHIJKLMNOPQRSTUVWXYZ.")))))</f>
        <v>0</v>
      </c>
      <c r="V871">
        <f>AND(IF(metadata!C871="",FALSE,TRUE),exact(metadata!C871,"UBERON:genitourinary"))</f>
        <v>0</v>
      </c>
      <c r="W871">
        <f>AND(IF(metadata!D871="",FALSE,TRUE),exact(metadata!D871,"UBERON:urine"))</f>
        <v>0</v>
      </c>
      <c r="X871">
        <f>AND(IF(metadata!E871="",FALSE,TRUE),exact(metadata!E871,"UBERON:kidney"))</f>
        <v>0</v>
      </c>
      <c r="Y871">
        <f>AND(IF(metadata!F871="",FALSE,TRUE),exact(metadata!F871,"animal corpus"))</f>
        <v>0</v>
      </c>
      <c r="Z871">
        <f>AND(IF(metadata!G871="",FALSE,TRUE),exact(metadata!G871,"urine"))</f>
        <v>0</v>
      </c>
      <c r="AA871">
        <f>AND(IF(metadata!H871="",FALSE,TRUE),exact(metadata!H871,"urine"))</f>
        <v>0</v>
      </c>
      <c r="AB871">
        <f>AND(IF(metadata!I871="",FALSE,TRUE),exact(metadata!I871,"urine metagenome"))</f>
        <v>0</v>
      </c>
      <c r="AC871">
        <f>AND(IF(metadata!J871="",FALSE,TRUE),exact(metadata!J871,"1346744"))</f>
        <v>0</v>
      </c>
    </row>
    <row r="872" spans="1:29">
      <c r="A872" s="4">
        <f>IF(B872=" "," ",HYPERLINK(CONCATENATE("#metadata!",ADDRESS(INDEX($P$2:$P$1001,MATCH(ROWS($N$2:N872),$N$2:$N$1001,0),0),1)),INDEX($S$2:$S$1001,MATCH(ROWS($N$2:N872),$N$2:$N$1001,0),0)))</f>
        <v>0</v>
      </c>
      <c r="B872" s="3">
        <f>IF(OR(INDEX($O$2:$O$1001,MATCH(ROWS($N$2:N872),$N$2:$N$1001,0),1)&gt;=100000,INDEX($U$1005:$AC$1005,1,MATCH(COLUMNS($U$1006:U1006),$U$1006:$AC$1006,0))&gt;=100000), " ",IF(INDEX($U$2:$AC$1001,MATCH(ROWS($N$2:N872),$N$2:$N$1001,0),MATCH(COLUMNS($U$1006:U1006),$U$1006:$AC$1006,0)), HYPERLINK("#",""), HYPERLINK(CONCATENATE("#metadata!", ADDRESS(INDEX($P$2:$P$1001,MATCH(ROWS($N$2:N872),$N$2:$N$1001,0),0), INDEX($U$1004:$AC$1004,1,MATCH(COLUMNS($U$1006:U1006),$U$1006:$AC$1006,0)))),"Fix")))</f>
        <v>0</v>
      </c>
      <c r="C872" s="3">
        <f>IF(OR(INDEX($O$2:$O$1001,MATCH(ROWS($N$2:N872),$N$2:$N$1001,0),1)&gt;=100000,INDEX($U$1005:$AC$1005,1,MATCH(COLUMNS($U$1006:V1006),$U$1006:$AC$1006,0))&gt;=100000), " ",IF(INDEX($U$2:$AC$1001,MATCH(ROWS($N$2:N872),$N$2:$N$1001,0),MATCH(COLUMNS($U$1006:V1006),$U$1006:$AC$1006,0)), HYPERLINK("#",""), HYPERLINK(CONCATENATE("#metadata!", ADDRESS(INDEX($P$2:$P$1001,MATCH(ROWS($N$2:N872),$N$2:$N$1001,0),0), INDEX($U$1004:$AC$1004,1,MATCH(COLUMNS($U$1006:V1006),$U$1006:$AC$1006,0)))),"Fix")))</f>
        <v>0</v>
      </c>
      <c r="D872" s="3">
        <f>IF(OR(INDEX($O$2:$O$1001,MATCH(ROWS($N$2:N872),$N$2:$N$1001,0),1)&gt;=100000,INDEX($U$1005:$AC$1005,1,MATCH(COLUMNS($U$1006:W1006),$U$1006:$AC$1006,0))&gt;=100000), " ",IF(INDEX($U$2:$AC$1001,MATCH(ROWS($N$2:N872),$N$2:$N$1001,0),MATCH(COLUMNS($U$1006:W1006),$U$1006:$AC$1006,0)), HYPERLINK("#",""), HYPERLINK(CONCATENATE("#metadata!", ADDRESS(INDEX($P$2:$P$1001,MATCH(ROWS($N$2:N872),$N$2:$N$1001,0),0), INDEX($U$1004:$AC$1004,1,MATCH(COLUMNS($U$1006:W1006),$U$1006:$AC$1006,0)))),"Fix")))</f>
        <v>0</v>
      </c>
      <c r="E872" s="3">
        <f>IF(OR(INDEX($O$2:$O$1001,MATCH(ROWS($N$2:N872),$N$2:$N$1001,0),1)&gt;=100000,INDEX($U$1005:$AC$1005,1,MATCH(COLUMNS($U$1006:X1006),$U$1006:$AC$1006,0))&gt;=100000), " ",IF(INDEX($U$2:$AC$1001,MATCH(ROWS($N$2:N872),$N$2:$N$1001,0),MATCH(COLUMNS($U$1006:X1006),$U$1006:$AC$1006,0)), HYPERLINK("#",""), HYPERLINK(CONCATENATE("#metadata!", ADDRESS(INDEX($P$2:$P$1001,MATCH(ROWS($N$2:N872),$N$2:$N$1001,0),0), INDEX($U$1004:$AC$1004,1,MATCH(COLUMNS($U$1006:X1006),$U$1006:$AC$1006,0)))),"Fix")))</f>
        <v>0</v>
      </c>
      <c r="F872" s="3">
        <f>IF(OR(INDEX($O$2:$O$1001,MATCH(ROWS($N$2:N872),$N$2:$N$1001,0),1)&gt;=100000,INDEX($U$1005:$AC$1005,1,MATCH(COLUMNS($U$1006:Y1006),$U$1006:$AC$1006,0))&gt;=100000), " ",IF(INDEX($U$2:$AC$1001,MATCH(ROWS($N$2:N872),$N$2:$N$1001,0),MATCH(COLUMNS($U$1006:Y1006),$U$1006:$AC$1006,0)), HYPERLINK("#",""), HYPERLINK(CONCATENATE("#metadata!", ADDRESS(INDEX($P$2:$P$1001,MATCH(ROWS($N$2:N872),$N$2:$N$1001,0),0), INDEX($U$1004:$AC$1004,1,MATCH(COLUMNS($U$1006:Y1006),$U$1006:$AC$1006,0)))),"Fix")))</f>
        <v>0</v>
      </c>
      <c r="G872" s="3">
        <f>IF(OR(INDEX($O$2:$O$1001,MATCH(ROWS($N$2:N872),$N$2:$N$1001,0),1)&gt;=100000,INDEX($U$1005:$AC$1005,1,MATCH(COLUMNS($U$1006:Z1006),$U$1006:$AC$1006,0))&gt;=100000), " ",IF(INDEX($U$2:$AC$1001,MATCH(ROWS($N$2:N872),$N$2:$N$1001,0),MATCH(COLUMNS($U$1006:Z1006),$U$1006:$AC$1006,0)), HYPERLINK("#",""), HYPERLINK(CONCATENATE("#metadata!", ADDRESS(INDEX($P$2:$P$1001,MATCH(ROWS($N$2:N872),$N$2:$N$1001,0),0), INDEX($U$1004:$AC$1004,1,MATCH(COLUMNS($U$1006:Z1006),$U$1006:$AC$1006,0)))),"Fix")))</f>
        <v>0</v>
      </c>
      <c r="H872" s="3">
        <f>IF(OR(INDEX($O$2:$O$1001,MATCH(ROWS($N$2:N872),$N$2:$N$1001,0),1)&gt;=100000,INDEX($U$1005:$AC$1005,1,MATCH(COLUMNS($U$1006:AA1006),$U$1006:$AC$1006,0))&gt;=100000), " ",IF(INDEX($U$2:$AC$1001,MATCH(ROWS($N$2:N872),$N$2:$N$1001,0),MATCH(COLUMNS($U$1006:AA1006),$U$1006:$AC$1006,0)), HYPERLINK("#",""), HYPERLINK(CONCATENATE("#metadata!", ADDRESS(INDEX($P$2:$P$1001,MATCH(ROWS($N$2:N872),$N$2:$N$1001,0),0), INDEX($U$1004:$AC$1004,1,MATCH(COLUMNS($U$1006:AA1006),$U$1006:$AC$1006,0)))),"Fix")))</f>
        <v>0</v>
      </c>
      <c r="I872" s="3">
        <f>IF(OR(INDEX($O$2:$O$1001,MATCH(ROWS($N$2:N872),$N$2:$N$1001,0),1)&gt;=100000,INDEX($U$1005:$AC$1005,1,MATCH(COLUMNS($U$1006:AB1006),$U$1006:$AC$1006,0))&gt;=100000), " ",IF(INDEX($U$2:$AC$1001,MATCH(ROWS($N$2:N872),$N$2:$N$1001,0),MATCH(COLUMNS($U$1006:AB1006),$U$1006:$AC$1006,0)), HYPERLINK("#",""), HYPERLINK(CONCATENATE("#metadata!", ADDRESS(INDEX($P$2:$P$1001,MATCH(ROWS($N$2:N872),$N$2:$N$1001,0),0), INDEX($U$1004:$AC$1004,1,MATCH(COLUMNS($U$1006:AB1006),$U$1006:$AC$1006,0)))),"Fix")))</f>
        <v>0</v>
      </c>
      <c r="J872" s="3">
        <f>IF(OR(INDEX($O$2:$O$1001,MATCH(ROWS($N$2:N872),$N$2:$N$1001,0),1)&gt;=100000,INDEX($U$1005:$AC$1005,1,MATCH(COLUMNS($U$1006:AC1006),$U$1006:$AC$1006,0))&gt;=100000), " ",IF(INDEX($U$2:$AC$1001,MATCH(ROWS($N$2:N872),$N$2:$N$1001,0),MATCH(COLUMNS($U$1006:AC1006),$U$1006:$AC$1006,0)), HYPERLINK("#",""), HYPERLINK(CONCATENATE("#metadata!", ADDRESS(INDEX($P$2:$P$1001,MATCH(ROWS($N$2:N872),$N$2:$N$1001,0),0), INDEX($U$1004:$AC$1004,1,MATCH(COLUMNS($U$1006:AC1006),$U$1006:$AC$1006,0)))),"Fix")))</f>
        <v>0</v>
      </c>
      <c r="N872">
        <v>0</v>
      </c>
      <c r="O872">
        <v>0</v>
      </c>
      <c r="P872">
        <v>0</v>
      </c>
      <c r="Q872">
        <f>IF(R872,TRUE,AND(U872:AC872))</f>
        <v>0</v>
      </c>
      <c r="R872">
        <f>COUNTBLANK(metadata!B872:J872)=COLUMNS(metadata!B872:J872)</f>
        <v>0</v>
      </c>
      <c r="S872">
        <v>0</v>
      </c>
      <c r="U872">
        <f>AND(IF(metadata!B872="",FALSE,TRUE),COUNTIF(metadata!B:B, metadata!B872) = 1,NOT(ISERROR(SUMPRODUCT(SEARCH(MID(metadata!B872,ROW(INDIRECT("1:"&amp;LEN(metadata!B872))), 1),"0123456789abcdefghijklmnopqrstuvwxyzABCDEFGHIJKLMNOPQRSTUVWXYZ.")))))</f>
        <v>0</v>
      </c>
      <c r="V872">
        <f>AND(IF(metadata!C872="",FALSE,TRUE),exact(metadata!C872,"UBERON:genitourinary"))</f>
        <v>0</v>
      </c>
      <c r="W872">
        <f>AND(IF(metadata!D872="",FALSE,TRUE),exact(metadata!D872,"UBERON:urine"))</f>
        <v>0</v>
      </c>
      <c r="X872">
        <f>AND(IF(metadata!E872="",FALSE,TRUE),exact(metadata!E872,"UBERON:kidney"))</f>
        <v>0</v>
      </c>
      <c r="Y872">
        <f>AND(IF(metadata!F872="",FALSE,TRUE),exact(metadata!F872,"animal corpus"))</f>
        <v>0</v>
      </c>
      <c r="Z872">
        <f>AND(IF(metadata!G872="",FALSE,TRUE),exact(metadata!G872,"urine"))</f>
        <v>0</v>
      </c>
      <c r="AA872">
        <f>AND(IF(metadata!H872="",FALSE,TRUE),exact(metadata!H872,"urine"))</f>
        <v>0</v>
      </c>
      <c r="AB872">
        <f>AND(IF(metadata!I872="",FALSE,TRUE),exact(metadata!I872,"urine metagenome"))</f>
        <v>0</v>
      </c>
      <c r="AC872">
        <f>AND(IF(metadata!J872="",FALSE,TRUE),exact(metadata!J872,"1346744"))</f>
        <v>0</v>
      </c>
    </row>
    <row r="873" spans="1:29">
      <c r="A873" s="4">
        <f>IF(B873=" "," ",HYPERLINK(CONCATENATE("#metadata!",ADDRESS(INDEX($P$2:$P$1001,MATCH(ROWS($N$2:N873),$N$2:$N$1001,0),0),1)),INDEX($S$2:$S$1001,MATCH(ROWS($N$2:N873),$N$2:$N$1001,0),0)))</f>
        <v>0</v>
      </c>
      <c r="B873" s="3">
        <f>IF(OR(INDEX($O$2:$O$1001,MATCH(ROWS($N$2:N873),$N$2:$N$1001,0),1)&gt;=100000,INDEX($U$1005:$AC$1005,1,MATCH(COLUMNS($U$1006:U1006),$U$1006:$AC$1006,0))&gt;=100000), " ",IF(INDEX($U$2:$AC$1001,MATCH(ROWS($N$2:N873),$N$2:$N$1001,0),MATCH(COLUMNS($U$1006:U1006),$U$1006:$AC$1006,0)), HYPERLINK("#",""), HYPERLINK(CONCATENATE("#metadata!", ADDRESS(INDEX($P$2:$P$1001,MATCH(ROWS($N$2:N873),$N$2:$N$1001,0),0), INDEX($U$1004:$AC$1004,1,MATCH(COLUMNS($U$1006:U1006),$U$1006:$AC$1006,0)))),"Fix")))</f>
        <v>0</v>
      </c>
      <c r="C873" s="3">
        <f>IF(OR(INDEX($O$2:$O$1001,MATCH(ROWS($N$2:N873),$N$2:$N$1001,0),1)&gt;=100000,INDEX($U$1005:$AC$1005,1,MATCH(COLUMNS($U$1006:V1006),$U$1006:$AC$1006,0))&gt;=100000), " ",IF(INDEX($U$2:$AC$1001,MATCH(ROWS($N$2:N873),$N$2:$N$1001,0),MATCH(COLUMNS($U$1006:V1006),$U$1006:$AC$1006,0)), HYPERLINK("#",""), HYPERLINK(CONCATENATE("#metadata!", ADDRESS(INDEX($P$2:$P$1001,MATCH(ROWS($N$2:N873),$N$2:$N$1001,0),0), INDEX($U$1004:$AC$1004,1,MATCH(COLUMNS($U$1006:V1006),$U$1006:$AC$1006,0)))),"Fix")))</f>
        <v>0</v>
      </c>
      <c r="D873" s="3">
        <f>IF(OR(INDEX($O$2:$O$1001,MATCH(ROWS($N$2:N873),$N$2:$N$1001,0),1)&gt;=100000,INDEX($U$1005:$AC$1005,1,MATCH(COLUMNS($U$1006:W1006),$U$1006:$AC$1006,0))&gt;=100000), " ",IF(INDEX($U$2:$AC$1001,MATCH(ROWS($N$2:N873),$N$2:$N$1001,0),MATCH(COLUMNS($U$1006:W1006),$U$1006:$AC$1006,0)), HYPERLINK("#",""), HYPERLINK(CONCATENATE("#metadata!", ADDRESS(INDEX($P$2:$P$1001,MATCH(ROWS($N$2:N873),$N$2:$N$1001,0),0), INDEX($U$1004:$AC$1004,1,MATCH(COLUMNS($U$1006:W1006),$U$1006:$AC$1006,0)))),"Fix")))</f>
        <v>0</v>
      </c>
      <c r="E873" s="3">
        <f>IF(OR(INDEX($O$2:$O$1001,MATCH(ROWS($N$2:N873),$N$2:$N$1001,0),1)&gt;=100000,INDEX($U$1005:$AC$1005,1,MATCH(COLUMNS($U$1006:X1006),$U$1006:$AC$1006,0))&gt;=100000), " ",IF(INDEX($U$2:$AC$1001,MATCH(ROWS($N$2:N873),$N$2:$N$1001,0),MATCH(COLUMNS($U$1006:X1006),$U$1006:$AC$1006,0)), HYPERLINK("#",""), HYPERLINK(CONCATENATE("#metadata!", ADDRESS(INDEX($P$2:$P$1001,MATCH(ROWS($N$2:N873),$N$2:$N$1001,0),0), INDEX($U$1004:$AC$1004,1,MATCH(COLUMNS($U$1006:X1006),$U$1006:$AC$1006,0)))),"Fix")))</f>
        <v>0</v>
      </c>
      <c r="F873" s="3">
        <f>IF(OR(INDEX($O$2:$O$1001,MATCH(ROWS($N$2:N873),$N$2:$N$1001,0),1)&gt;=100000,INDEX($U$1005:$AC$1005,1,MATCH(COLUMNS($U$1006:Y1006),$U$1006:$AC$1006,0))&gt;=100000), " ",IF(INDEX($U$2:$AC$1001,MATCH(ROWS($N$2:N873),$N$2:$N$1001,0),MATCH(COLUMNS($U$1006:Y1006),$U$1006:$AC$1006,0)), HYPERLINK("#",""), HYPERLINK(CONCATENATE("#metadata!", ADDRESS(INDEX($P$2:$P$1001,MATCH(ROWS($N$2:N873),$N$2:$N$1001,0),0), INDEX($U$1004:$AC$1004,1,MATCH(COLUMNS($U$1006:Y1006),$U$1006:$AC$1006,0)))),"Fix")))</f>
        <v>0</v>
      </c>
      <c r="G873" s="3">
        <f>IF(OR(INDEX($O$2:$O$1001,MATCH(ROWS($N$2:N873),$N$2:$N$1001,0),1)&gt;=100000,INDEX($U$1005:$AC$1005,1,MATCH(COLUMNS($U$1006:Z1006),$U$1006:$AC$1006,0))&gt;=100000), " ",IF(INDEX($U$2:$AC$1001,MATCH(ROWS($N$2:N873),$N$2:$N$1001,0),MATCH(COLUMNS($U$1006:Z1006),$U$1006:$AC$1006,0)), HYPERLINK("#",""), HYPERLINK(CONCATENATE("#metadata!", ADDRESS(INDEX($P$2:$P$1001,MATCH(ROWS($N$2:N873),$N$2:$N$1001,0),0), INDEX($U$1004:$AC$1004,1,MATCH(COLUMNS($U$1006:Z1006),$U$1006:$AC$1006,0)))),"Fix")))</f>
        <v>0</v>
      </c>
      <c r="H873" s="3">
        <f>IF(OR(INDEX($O$2:$O$1001,MATCH(ROWS($N$2:N873),$N$2:$N$1001,0),1)&gt;=100000,INDEX($U$1005:$AC$1005,1,MATCH(COLUMNS($U$1006:AA1006),$U$1006:$AC$1006,0))&gt;=100000), " ",IF(INDEX($U$2:$AC$1001,MATCH(ROWS($N$2:N873),$N$2:$N$1001,0),MATCH(COLUMNS($U$1006:AA1006),$U$1006:$AC$1006,0)), HYPERLINK("#",""), HYPERLINK(CONCATENATE("#metadata!", ADDRESS(INDEX($P$2:$P$1001,MATCH(ROWS($N$2:N873),$N$2:$N$1001,0),0), INDEX($U$1004:$AC$1004,1,MATCH(COLUMNS($U$1006:AA1006),$U$1006:$AC$1006,0)))),"Fix")))</f>
        <v>0</v>
      </c>
      <c r="I873" s="3">
        <f>IF(OR(INDEX($O$2:$O$1001,MATCH(ROWS($N$2:N873),$N$2:$N$1001,0),1)&gt;=100000,INDEX($U$1005:$AC$1005,1,MATCH(COLUMNS($U$1006:AB1006),$U$1006:$AC$1006,0))&gt;=100000), " ",IF(INDEX($U$2:$AC$1001,MATCH(ROWS($N$2:N873),$N$2:$N$1001,0),MATCH(COLUMNS($U$1006:AB1006),$U$1006:$AC$1006,0)), HYPERLINK("#",""), HYPERLINK(CONCATENATE("#metadata!", ADDRESS(INDEX($P$2:$P$1001,MATCH(ROWS($N$2:N873),$N$2:$N$1001,0),0), INDEX($U$1004:$AC$1004,1,MATCH(COLUMNS($U$1006:AB1006),$U$1006:$AC$1006,0)))),"Fix")))</f>
        <v>0</v>
      </c>
      <c r="J873" s="3">
        <f>IF(OR(INDEX($O$2:$O$1001,MATCH(ROWS($N$2:N873),$N$2:$N$1001,0),1)&gt;=100000,INDEX($U$1005:$AC$1005,1,MATCH(COLUMNS($U$1006:AC1006),$U$1006:$AC$1006,0))&gt;=100000), " ",IF(INDEX($U$2:$AC$1001,MATCH(ROWS($N$2:N873),$N$2:$N$1001,0),MATCH(COLUMNS($U$1006:AC1006),$U$1006:$AC$1006,0)), HYPERLINK("#",""), HYPERLINK(CONCATENATE("#metadata!", ADDRESS(INDEX($P$2:$P$1001,MATCH(ROWS($N$2:N873),$N$2:$N$1001,0),0), INDEX($U$1004:$AC$1004,1,MATCH(COLUMNS($U$1006:AC1006),$U$1006:$AC$1006,0)))),"Fix")))</f>
        <v>0</v>
      </c>
      <c r="N873">
        <v>0</v>
      </c>
      <c r="O873">
        <v>0</v>
      </c>
      <c r="P873">
        <v>0</v>
      </c>
      <c r="Q873">
        <f>IF(R873,TRUE,AND(U873:AC873))</f>
        <v>0</v>
      </c>
      <c r="R873">
        <f>COUNTBLANK(metadata!B873:J873)=COLUMNS(metadata!B873:J873)</f>
        <v>0</v>
      </c>
      <c r="S873">
        <v>0</v>
      </c>
      <c r="U873">
        <f>AND(IF(metadata!B873="",FALSE,TRUE),COUNTIF(metadata!B:B, metadata!B873) = 1,NOT(ISERROR(SUMPRODUCT(SEARCH(MID(metadata!B873,ROW(INDIRECT("1:"&amp;LEN(metadata!B873))), 1),"0123456789abcdefghijklmnopqrstuvwxyzABCDEFGHIJKLMNOPQRSTUVWXYZ.")))))</f>
        <v>0</v>
      </c>
      <c r="V873">
        <f>AND(IF(metadata!C873="",FALSE,TRUE),exact(metadata!C873,"UBERON:genitourinary"))</f>
        <v>0</v>
      </c>
      <c r="W873">
        <f>AND(IF(metadata!D873="",FALSE,TRUE),exact(metadata!D873,"UBERON:urine"))</f>
        <v>0</v>
      </c>
      <c r="X873">
        <f>AND(IF(metadata!E873="",FALSE,TRUE),exact(metadata!E873,"UBERON:kidney"))</f>
        <v>0</v>
      </c>
      <c r="Y873">
        <f>AND(IF(metadata!F873="",FALSE,TRUE),exact(metadata!F873,"animal corpus"))</f>
        <v>0</v>
      </c>
      <c r="Z873">
        <f>AND(IF(metadata!G873="",FALSE,TRUE),exact(metadata!G873,"urine"))</f>
        <v>0</v>
      </c>
      <c r="AA873">
        <f>AND(IF(metadata!H873="",FALSE,TRUE),exact(metadata!H873,"urine"))</f>
        <v>0</v>
      </c>
      <c r="AB873">
        <f>AND(IF(metadata!I873="",FALSE,TRUE),exact(metadata!I873,"urine metagenome"))</f>
        <v>0</v>
      </c>
      <c r="AC873">
        <f>AND(IF(metadata!J873="",FALSE,TRUE),exact(metadata!J873,"1346744"))</f>
        <v>0</v>
      </c>
    </row>
    <row r="874" spans="1:29">
      <c r="A874" s="4">
        <f>IF(B874=" "," ",HYPERLINK(CONCATENATE("#metadata!",ADDRESS(INDEX($P$2:$P$1001,MATCH(ROWS($N$2:N874),$N$2:$N$1001,0),0),1)),INDEX($S$2:$S$1001,MATCH(ROWS($N$2:N874),$N$2:$N$1001,0),0)))</f>
        <v>0</v>
      </c>
      <c r="B874" s="3">
        <f>IF(OR(INDEX($O$2:$O$1001,MATCH(ROWS($N$2:N874),$N$2:$N$1001,0),1)&gt;=100000,INDEX($U$1005:$AC$1005,1,MATCH(COLUMNS($U$1006:U1006),$U$1006:$AC$1006,0))&gt;=100000), " ",IF(INDEX($U$2:$AC$1001,MATCH(ROWS($N$2:N874),$N$2:$N$1001,0),MATCH(COLUMNS($U$1006:U1006),$U$1006:$AC$1006,0)), HYPERLINK("#",""), HYPERLINK(CONCATENATE("#metadata!", ADDRESS(INDEX($P$2:$P$1001,MATCH(ROWS($N$2:N874),$N$2:$N$1001,0),0), INDEX($U$1004:$AC$1004,1,MATCH(COLUMNS($U$1006:U1006),$U$1006:$AC$1006,0)))),"Fix")))</f>
        <v>0</v>
      </c>
      <c r="C874" s="3">
        <f>IF(OR(INDEX($O$2:$O$1001,MATCH(ROWS($N$2:N874),$N$2:$N$1001,0),1)&gt;=100000,INDEX($U$1005:$AC$1005,1,MATCH(COLUMNS($U$1006:V1006),$U$1006:$AC$1006,0))&gt;=100000), " ",IF(INDEX($U$2:$AC$1001,MATCH(ROWS($N$2:N874),$N$2:$N$1001,0),MATCH(COLUMNS($U$1006:V1006),$U$1006:$AC$1006,0)), HYPERLINK("#",""), HYPERLINK(CONCATENATE("#metadata!", ADDRESS(INDEX($P$2:$P$1001,MATCH(ROWS($N$2:N874),$N$2:$N$1001,0),0), INDEX($U$1004:$AC$1004,1,MATCH(COLUMNS($U$1006:V1006),$U$1006:$AC$1006,0)))),"Fix")))</f>
        <v>0</v>
      </c>
      <c r="D874" s="3">
        <f>IF(OR(INDEX($O$2:$O$1001,MATCH(ROWS($N$2:N874),$N$2:$N$1001,0),1)&gt;=100000,INDEX($U$1005:$AC$1005,1,MATCH(COLUMNS($U$1006:W1006),$U$1006:$AC$1006,0))&gt;=100000), " ",IF(INDEX($U$2:$AC$1001,MATCH(ROWS($N$2:N874),$N$2:$N$1001,0),MATCH(COLUMNS($U$1006:W1006),$U$1006:$AC$1006,0)), HYPERLINK("#",""), HYPERLINK(CONCATENATE("#metadata!", ADDRESS(INDEX($P$2:$P$1001,MATCH(ROWS($N$2:N874),$N$2:$N$1001,0),0), INDEX($U$1004:$AC$1004,1,MATCH(COLUMNS($U$1006:W1006),$U$1006:$AC$1006,0)))),"Fix")))</f>
        <v>0</v>
      </c>
      <c r="E874" s="3">
        <f>IF(OR(INDEX($O$2:$O$1001,MATCH(ROWS($N$2:N874),$N$2:$N$1001,0),1)&gt;=100000,INDEX($U$1005:$AC$1005,1,MATCH(COLUMNS($U$1006:X1006),$U$1006:$AC$1006,0))&gt;=100000), " ",IF(INDEX($U$2:$AC$1001,MATCH(ROWS($N$2:N874),$N$2:$N$1001,0),MATCH(COLUMNS($U$1006:X1006),$U$1006:$AC$1006,0)), HYPERLINK("#",""), HYPERLINK(CONCATENATE("#metadata!", ADDRESS(INDEX($P$2:$P$1001,MATCH(ROWS($N$2:N874),$N$2:$N$1001,0),0), INDEX($U$1004:$AC$1004,1,MATCH(COLUMNS($U$1006:X1006),$U$1006:$AC$1006,0)))),"Fix")))</f>
        <v>0</v>
      </c>
      <c r="F874" s="3">
        <f>IF(OR(INDEX($O$2:$O$1001,MATCH(ROWS($N$2:N874),$N$2:$N$1001,0),1)&gt;=100000,INDEX($U$1005:$AC$1005,1,MATCH(COLUMNS($U$1006:Y1006),$U$1006:$AC$1006,0))&gt;=100000), " ",IF(INDEX($U$2:$AC$1001,MATCH(ROWS($N$2:N874),$N$2:$N$1001,0),MATCH(COLUMNS($U$1006:Y1006),$U$1006:$AC$1006,0)), HYPERLINK("#",""), HYPERLINK(CONCATENATE("#metadata!", ADDRESS(INDEX($P$2:$P$1001,MATCH(ROWS($N$2:N874),$N$2:$N$1001,0),0), INDEX($U$1004:$AC$1004,1,MATCH(COLUMNS($U$1006:Y1006),$U$1006:$AC$1006,0)))),"Fix")))</f>
        <v>0</v>
      </c>
      <c r="G874" s="3">
        <f>IF(OR(INDEX($O$2:$O$1001,MATCH(ROWS($N$2:N874),$N$2:$N$1001,0),1)&gt;=100000,INDEX($U$1005:$AC$1005,1,MATCH(COLUMNS($U$1006:Z1006),$U$1006:$AC$1006,0))&gt;=100000), " ",IF(INDEX($U$2:$AC$1001,MATCH(ROWS($N$2:N874),$N$2:$N$1001,0),MATCH(COLUMNS($U$1006:Z1006),$U$1006:$AC$1006,0)), HYPERLINK("#",""), HYPERLINK(CONCATENATE("#metadata!", ADDRESS(INDEX($P$2:$P$1001,MATCH(ROWS($N$2:N874),$N$2:$N$1001,0),0), INDEX($U$1004:$AC$1004,1,MATCH(COLUMNS($U$1006:Z1006),$U$1006:$AC$1006,0)))),"Fix")))</f>
        <v>0</v>
      </c>
      <c r="H874" s="3">
        <f>IF(OR(INDEX($O$2:$O$1001,MATCH(ROWS($N$2:N874),$N$2:$N$1001,0),1)&gt;=100000,INDEX($U$1005:$AC$1005,1,MATCH(COLUMNS($U$1006:AA1006),$U$1006:$AC$1006,0))&gt;=100000), " ",IF(INDEX($U$2:$AC$1001,MATCH(ROWS($N$2:N874),$N$2:$N$1001,0),MATCH(COLUMNS($U$1006:AA1006),$U$1006:$AC$1006,0)), HYPERLINK("#",""), HYPERLINK(CONCATENATE("#metadata!", ADDRESS(INDEX($P$2:$P$1001,MATCH(ROWS($N$2:N874),$N$2:$N$1001,0),0), INDEX($U$1004:$AC$1004,1,MATCH(COLUMNS($U$1006:AA1006),$U$1006:$AC$1006,0)))),"Fix")))</f>
        <v>0</v>
      </c>
      <c r="I874" s="3">
        <f>IF(OR(INDEX($O$2:$O$1001,MATCH(ROWS($N$2:N874),$N$2:$N$1001,0),1)&gt;=100000,INDEX($U$1005:$AC$1005,1,MATCH(COLUMNS($U$1006:AB1006),$U$1006:$AC$1006,0))&gt;=100000), " ",IF(INDEX($U$2:$AC$1001,MATCH(ROWS($N$2:N874),$N$2:$N$1001,0),MATCH(COLUMNS($U$1006:AB1006),$U$1006:$AC$1006,0)), HYPERLINK("#",""), HYPERLINK(CONCATENATE("#metadata!", ADDRESS(INDEX($P$2:$P$1001,MATCH(ROWS($N$2:N874),$N$2:$N$1001,0),0), INDEX($U$1004:$AC$1004,1,MATCH(COLUMNS($U$1006:AB1006),$U$1006:$AC$1006,0)))),"Fix")))</f>
        <v>0</v>
      </c>
      <c r="J874" s="3">
        <f>IF(OR(INDEX($O$2:$O$1001,MATCH(ROWS($N$2:N874),$N$2:$N$1001,0),1)&gt;=100000,INDEX($U$1005:$AC$1005,1,MATCH(COLUMNS($U$1006:AC1006),$U$1006:$AC$1006,0))&gt;=100000), " ",IF(INDEX($U$2:$AC$1001,MATCH(ROWS($N$2:N874),$N$2:$N$1001,0),MATCH(COLUMNS($U$1006:AC1006),$U$1006:$AC$1006,0)), HYPERLINK("#",""), HYPERLINK(CONCATENATE("#metadata!", ADDRESS(INDEX($P$2:$P$1001,MATCH(ROWS($N$2:N874),$N$2:$N$1001,0),0), INDEX($U$1004:$AC$1004,1,MATCH(COLUMNS($U$1006:AC1006),$U$1006:$AC$1006,0)))),"Fix")))</f>
        <v>0</v>
      </c>
      <c r="N874">
        <v>0</v>
      </c>
      <c r="O874">
        <v>0</v>
      </c>
      <c r="P874">
        <v>0</v>
      </c>
      <c r="Q874">
        <f>IF(R874,TRUE,AND(U874:AC874))</f>
        <v>0</v>
      </c>
      <c r="R874">
        <f>COUNTBLANK(metadata!B874:J874)=COLUMNS(metadata!B874:J874)</f>
        <v>0</v>
      </c>
      <c r="S874">
        <v>0</v>
      </c>
      <c r="U874">
        <f>AND(IF(metadata!B874="",FALSE,TRUE),COUNTIF(metadata!B:B, metadata!B874) = 1,NOT(ISERROR(SUMPRODUCT(SEARCH(MID(metadata!B874,ROW(INDIRECT("1:"&amp;LEN(metadata!B874))), 1),"0123456789abcdefghijklmnopqrstuvwxyzABCDEFGHIJKLMNOPQRSTUVWXYZ.")))))</f>
        <v>0</v>
      </c>
      <c r="V874">
        <f>AND(IF(metadata!C874="",FALSE,TRUE),exact(metadata!C874,"UBERON:genitourinary"))</f>
        <v>0</v>
      </c>
      <c r="W874">
        <f>AND(IF(metadata!D874="",FALSE,TRUE),exact(metadata!D874,"UBERON:urine"))</f>
        <v>0</v>
      </c>
      <c r="X874">
        <f>AND(IF(metadata!E874="",FALSE,TRUE),exact(metadata!E874,"UBERON:kidney"))</f>
        <v>0</v>
      </c>
      <c r="Y874">
        <f>AND(IF(metadata!F874="",FALSE,TRUE),exact(metadata!F874,"animal corpus"))</f>
        <v>0</v>
      </c>
      <c r="Z874">
        <f>AND(IF(metadata!G874="",FALSE,TRUE),exact(metadata!G874,"urine"))</f>
        <v>0</v>
      </c>
      <c r="AA874">
        <f>AND(IF(metadata!H874="",FALSE,TRUE),exact(metadata!H874,"urine"))</f>
        <v>0</v>
      </c>
      <c r="AB874">
        <f>AND(IF(metadata!I874="",FALSE,TRUE),exact(metadata!I874,"urine metagenome"))</f>
        <v>0</v>
      </c>
      <c r="AC874">
        <f>AND(IF(metadata!J874="",FALSE,TRUE),exact(metadata!J874,"1346744"))</f>
        <v>0</v>
      </c>
    </row>
    <row r="875" spans="1:29">
      <c r="A875" s="4">
        <f>IF(B875=" "," ",HYPERLINK(CONCATENATE("#metadata!",ADDRESS(INDEX($P$2:$P$1001,MATCH(ROWS($N$2:N875),$N$2:$N$1001,0),0),1)),INDEX($S$2:$S$1001,MATCH(ROWS($N$2:N875),$N$2:$N$1001,0),0)))</f>
        <v>0</v>
      </c>
      <c r="B875" s="3">
        <f>IF(OR(INDEX($O$2:$O$1001,MATCH(ROWS($N$2:N875),$N$2:$N$1001,0),1)&gt;=100000,INDEX($U$1005:$AC$1005,1,MATCH(COLUMNS($U$1006:U1006),$U$1006:$AC$1006,0))&gt;=100000), " ",IF(INDEX($U$2:$AC$1001,MATCH(ROWS($N$2:N875),$N$2:$N$1001,0),MATCH(COLUMNS($U$1006:U1006),$U$1006:$AC$1006,0)), HYPERLINK("#",""), HYPERLINK(CONCATENATE("#metadata!", ADDRESS(INDEX($P$2:$P$1001,MATCH(ROWS($N$2:N875),$N$2:$N$1001,0),0), INDEX($U$1004:$AC$1004,1,MATCH(COLUMNS($U$1006:U1006),$U$1006:$AC$1006,0)))),"Fix")))</f>
        <v>0</v>
      </c>
      <c r="C875" s="3">
        <f>IF(OR(INDEX($O$2:$O$1001,MATCH(ROWS($N$2:N875),$N$2:$N$1001,0),1)&gt;=100000,INDEX($U$1005:$AC$1005,1,MATCH(COLUMNS($U$1006:V1006),$U$1006:$AC$1006,0))&gt;=100000), " ",IF(INDEX($U$2:$AC$1001,MATCH(ROWS($N$2:N875),$N$2:$N$1001,0),MATCH(COLUMNS($U$1006:V1006),$U$1006:$AC$1006,0)), HYPERLINK("#",""), HYPERLINK(CONCATENATE("#metadata!", ADDRESS(INDEX($P$2:$P$1001,MATCH(ROWS($N$2:N875),$N$2:$N$1001,0),0), INDEX($U$1004:$AC$1004,1,MATCH(COLUMNS($U$1006:V1006),$U$1006:$AC$1006,0)))),"Fix")))</f>
        <v>0</v>
      </c>
      <c r="D875" s="3">
        <f>IF(OR(INDEX($O$2:$O$1001,MATCH(ROWS($N$2:N875),$N$2:$N$1001,0),1)&gt;=100000,INDEX($U$1005:$AC$1005,1,MATCH(COLUMNS($U$1006:W1006),$U$1006:$AC$1006,0))&gt;=100000), " ",IF(INDEX($U$2:$AC$1001,MATCH(ROWS($N$2:N875),$N$2:$N$1001,0),MATCH(COLUMNS($U$1006:W1006),$U$1006:$AC$1006,0)), HYPERLINK("#",""), HYPERLINK(CONCATENATE("#metadata!", ADDRESS(INDEX($P$2:$P$1001,MATCH(ROWS($N$2:N875),$N$2:$N$1001,0),0), INDEX($U$1004:$AC$1004,1,MATCH(COLUMNS($U$1006:W1006),$U$1006:$AC$1006,0)))),"Fix")))</f>
        <v>0</v>
      </c>
      <c r="E875" s="3">
        <f>IF(OR(INDEX($O$2:$O$1001,MATCH(ROWS($N$2:N875),$N$2:$N$1001,0),1)&gt;=100000,INDEX($U$1005:$AC$1005,1,MATCH(COLUMNS($U$1006:X1006),$U$1006:$AC$1006,0))&gt;=100000), " ",IF(INDEX($U$2:$AC$1001,MATCH(ROWS($N$2:N875),$N$2:$N$1001,0),MATCH(COLUMNS($U$1006:X1006),$U$1006:$AC$1006,0)), HYPERLINK("#",""), HYPERLINK(CONCATENATE("#metadata!", ADDRESS(INDEX($P$2:$P$1001,MATCH(ROWS($N$2:N875),$N$2:$N$1001,0),0), INDEX($U$1004:$AC$1004,1,MATCH(COLUMNS($U$1006:X1006),$U$1006:$AC$1006,0)))),"Fix")))</f>
        <v>0</v>
      </c>
      <c r="F875" s="3">
        <f>IF(OR(INDEX($O$2:$O$1001,MATCH(ROWS($N$2:N875),$N$2:$N$1001,0),1)&gt;=100000,INDEX($U$1005:$AC$1005,1,MATCH(COLUMNS($U$1006:Y1006),$U$1006:$AC$1006,0))&gt;=100000), " ",IF(INDEX($U$2:$AC$1001,MATCH(ROWS($N$2:N875),$N$2:$N$1001,0),MATCH(COLUMNS($U$1006:Y1006),$U$1006:$AC$1006,0)), HYPERLINK("#",""), HYPERLINK(CONCATENATE("#metadata!", ADDRESS(INDEX($P$2:$P$1001,MATCH(ROWS($N$2:N875),$N$2:$N$1001,0),0), INDEX($U$1004:$AC$1004,1,MATCH(COLUMNS($U$1006:Y1006),$U$1006:$AC$1006,0)))),"Fix")))</f>
        <v>0</v>
      </c>
      <c r="G875" s="3">
        <f>IF(OR(INDEX($O$2:$O$1001,MATCH(ROWS($N$2:N875),$N$2:$N$1001,0),1)&gt;=100000,INDEX($U$1005:$AC$1005,1,MATCH(COLUMNS($U$1006:Z1006),$U$1006:$AC$1006,0))&gt;=100000), " ",IF(INDEX($U$2:$AC$1001,MATCH(ROWS($N$2:N875),$N$2:$N$1001,0),MATCH(COLUMNS($U$1006:Z1006),$U$1006:$AC$1006,0)), HYPERLINK("#",""), HYPERLINK(CONCATENATE("#metadata!", ADDRESS(INDEX($P$2:$P$1001,MATCH(ROWS($N$2:N875),$N$2:$N$1001,0),0), INDEX($U$1004:$AC$1004,1,MATCH(COLUMNS($U$1006:Z1006),$U$1006:$AC$1006,0)))),"Fix")))</f>
        <v>0</v>
      </c>
      <c r="H875" s="3">
        <f>IF(OR(INDEX($O$2:$O$1001,MATCH(ROWS($N$2:N875),$N$2:$N$1001,0),1)&gt;=100000,INDEX($U$1005:$AC$1005,1,MATCH(COLUMNS($U$1006:AA1006),$U$1006:$AC$1006,0))&gt;=100000), " ",IF(INDEX($U$2:$AC$1001,MATCH(ROWS($N$2:N875),$N$2:$N$1001,0),MATCH(COLUMNS($U$1006:AA1006),$U$1006:$AC$1006,0)), HYPERLINK("#",""), HYPERLINK(CONCATENATE("#metadata!", ADDRESS(INDEX($P$2:$P$1001,MATCH(ROWS($N$2:N875),$N$2:$N$1001,0),0), INDEX($U$1004:$AC$1004,1,MATCH(COLUMNS($U$1006:AA1006),$U$1006:$AC$1006,0)))),"Fix")))</f>
        <v>0</v>
      </c>
      <c r="I875" s="3">
        <f>IF(OR(INDEX($O$2:$O$1001,MATCH(ROWS($N$2:N875),$N$2:$N$1001,0),1)&gt;=100000,INDEX($U$1005:$AC$1005,1,MATCH(COLUMNS($U$1006:AB1006),$U$1006:$AC$1006,0))&gt;=100000), " ",IF(INDEX($U$2:$AC$1001,MATCH(ROWS($N$2:N875),$N$2:$N$1001,0),MATCH(COLUMNS($U$1006:AB1006),$U$1006:$AC$1006,0)), HYPERLINK("#",""), HYPERLINK(CONCATENATE("#metadata!", ADDRESS(INDEX($P$2:$P$1001,MATCH(ROWS($N$2:N875),$N$2:$N$1001,0),0), INDEX($U$1004:$AC$1004,1,MATCH(COLUMNS($U$1006:AB1006),$U$1006:$AC$1006,0)))),"Fix")))</f>
        <v>0</v>
      </c>
      <c r="J875" s="3">
        <f>IF(OR(INDEX($O$2:$O$1001,MATCH(ROWS($N$2:N875),$N$2:$N$1001,0),1)&gt;=100000,INDEX($U$1005:$AC$1005,1,MATCH(COLUMNS($U$1006:AC1006),$U$1006:$AC$1006,0))&gt;=100000), " ",IF(INDEX($U$2:$AC$1001,MATCH(ROWS($N$2:N875),$N$2:$N$1001,0),MATCH(COLUMNS($U$1006:AC1006),$U$1006:$AC$1006,0)), HYPERLINK("#",""), HYPERLINK(CONCATENATE("#metadata!", ADDRESS(INDEX($P$2:$P$1001,MATCH(ROWS($N$2:N875),$N$2:$N$1001,0),0), INDEX($U$1004:$AC$1004,1,MATCH(COLUMNS($U$1006:AC1006),$U$1006:$AC$1006,0)))),"Fix")))</f>
        <v>0</v>
      </c>
      <c r="N875">
        <v>0</v>
      </c>
      <c r="O875">
        <v>0</v>
      </c>
      <c r="P875">
        <v>0</v>
      </c>
      <c r="Q875">
        <f>IF(R875,TRUE,AND(U875:AC875))</f>
        <v>0</v>
      </c>
      <c r="R875">
        <f>COUNTBLANK(metadata!B875:J875)=COLUMNS(metadata!B875:J875)</f>
        <v>0</v>
      </c>
      <c r="S875">
        <v>0</v>
      </c>
      <c r="U875">
        <f>AND(IF(metadata!B875="",FALSE,TRUE),COUNTIF(metadata!B:B, metadata!B875) = 1,NOT(ISERROR(SUMPRODUCT(SEARCH(MID(metadata!B875,ROW(INDIRECT("1:"&amp;LEN(metadata!B875))), 1),"0123456789abcdefghijklmnopqrstuvwxyzABCDEFGHIJKLMNOPQRSTUVWXYZ.")))))</f>
        <v>0</v>
      </c>
      <c r="V875">
        <f>AND(IF(metadata!C875="",FALSE,TRUE),exact(metadata!C875,"UBERON:genitourinary"))</f>
        <v>0</v>
      </c>
      <c r="W875">
        <f>AND(IF(metadata!D875="",FALSE,TRUE),exact(metadata!D875,"UBERON:urine"))</f>
        <v>0</v>
      </c>
      <c r="X875">
        <f>AND(IF(metadata!E875="",FALSE,TRUE),exact(metadata!E875,"UBERON:kidney"))</f>
        <v>0</v>
      </c>
      <c r="Y875">
        <f>AND(IF(metadata!F875="",FALSE,TRUE),exact(metadata!F875,"animal corpus"))</f>
        <v>0</v>
      </c>
      <c r="Z875">
        <f>AND(IF(metadata!G875="",FALSE,TRUE),exact(metadata!G875,"urine"))</f>
        <v>0</v>
      </c>
      <c r="AA875">
        <f>AND(IF(metadata!H875="",FALSE,TRUE),exact(metadata!H875,"urine"))</f>
        <v>0</v>
      </c>
      <c r="AB875">
        <f>AND(IF(metadata!I875="",FALSE,TRUE),exact(metadata!I875,"urine metagenome"))</f>
        <v>0</v>
      </c>
      <c r="AC875">
        <f>AND(IF(metadata!J875="",FALSE,TRUE),exact(metadata!J875,"1346744"))</f>
        <v>0</v>
      </c>
    </row>
    <row r="876" spans="1:29">
      <c r="A876" s="4">
        <f>IF(B876=" "," ",HYPERLINK(CONCATENATE("#metadata!",ADDRESS(INDEX($P$2:$P$1001,MATCH(ROWS($N$2:N876),$N$2:$N$1001,0),0),1)),INDEX($S$2:$S$1001,MATCH(ROWS($N$2:N876),$N$2:$N$1001,0),0)))</f>
        <v>0</v>
      </c>
      <c r="B876" s="3">
        <f>IF(OR(INDEX($O$2:$O$1001,MATCH(ROWS($N$2:N876),$N$2:$N$1001,0),1)&gt;=100000,INDEX($U$1005:$AC$1005,1,MATCH(COLUMNS($U$1006:U1006),$U$1006:$AC$1006,0))&gt;=100000), " ",IF(INDEX($U$2:$AC$1001,MATCH(ROWS($N$2:N876),$N$2:$N$1001,0),MATCH(COLUMNS($U$1006:U1006),$U$1006:$AC$1006,0)), HYPERLINK("#",""), HYPERLINK(CONCATENATE("#metadata!", ADDRESS(INDEX($P$2:$P$1001,MATCH(ROWS($N$2:N876),$N$2:$N$1001,0),0), INDEX($U$1004:$AC$1004,1,MATCH(COLUMNS($U$1006:U1006),$U$1006:$AC$1006,0)))),"Fix")))</f>
        <v>0</v>
      </c>
      <c r="C876" s="3">
        <f>IF(OR(INDEX($O$2:$O$1001,MATCH(ROWS($N$2:N876),$N$2:$N$1001,0),1)&gt;=100000,INDEX($U$1005:$AC$1005,1,MATCH(COLUMNS($U$1006:V1006),$U$1006:$AC$1006,0))&gt;=100000), " ",IF(INDEX($U$2:$AC$1001,MATCH(ROWS($N$2:N876),$N$2:$N$1001,0),MATCH(COLUMNS($U$1006:V1006),$U$1006:$AC$1006,0)), HYPERLINK("#",""), HYPERLINK(CONCATENATE("#metadata!", ADDRESS(INDEX($P$2:$P$1001,MATCH(ROWS($N$2:N876),$N$2:$N$1001,0),0), INDEX($U$1004:$AC$1004,1,MATCH(COLUMNS($U$1006:V1006),$U$1006:$AC$1006,0)))),"Fix")))</f>
        <v>0</v>
      </c>
      <c r="D876" s="3">
        <f>IF(OR(INDEX($O$2:$O$1001,MATCH(ROWS($N$2:N876),$N$2:$N$1001,0),1)&gt;=100000,INDEX($U$1005:$AC$1005,1,MATCH(COLUMNS($U$1006:W1006),$U$1006:$AC$1006,0))&gt;=100000), " ",IF(INDEX($U$2:$AC$1001,MATCH(ROWS($N$2:N876),$N$2:$N$1001,0),MATCH(COLUMNS($U$1006:W1006),$U$1006:$AC$1006,0)), HYPERLINK("#",""), HYPERLINK(CONCATENATE("#metadata!", ADDRESS(INDEX($P$2:$P$1001,MATCH(ROWS($N$2:N876),$N$2:$N$1001,0),0), INDEX($U$1004:$AC$1004,1,MATCH(COLUMNS($U$1006:W1006),$U$1006:$AC$1006,0)))),"Fix")))</f>
        <v>0</v>
      </c>
      <c r="E876" s="3">
        <f>IF(OR(INDEX($O$2:$O$1001,MATCH(ROWS($N$2:N876),$N$2:$N$1001,0),1)&gt;=100000,INDEX($U$1005:$AC$1005,1,MATCH(COLUMNS($U$1006:X1006),$U$1006:$AC$1006,0))&gt;=100000), " ",IF(INDEX($U$2:$AC$1001,MATCH(ROWS($N$2:N876),$N$2:$N$1001,0),MATCH(COLUMNS($U$1006:X1006),$U$1006:$AC$1006,0)), HYPERLINK("#",""), HYPERLINK(CONCATENATE("#metadata!", ADDRESS(INDEX($P$2:$P$1001,MATCH(ROWS($N$2:N876),$N$2:$N$1001,0),0), INDEX($U$1004:$AC$1004,1,MATCH(COLUMNS($U$1006:X1006),$U$1006:$AC$1006,0)))),"Fix")))</f>
        <v>0</v>
      </c>
      <c r="F876" s="3">
        <f>IF(OR(INDEX($O$2:$O$1001,MATCH(ROWS($N$2:N876),$N$2:$N$1001,0),1)&gt;=100000,INDEX($U$1005:$AC$1005,1,MATCH(COLUMNS($U$1006:Y1006),$U$1006:$AC$1006,0))&gt;=100000), " ",IF(INDEX($U$2:$AC$1001,MATCH(ROWS($N$2:N876),$N$2:$N$1001,0),MATCH(COLUMNS($U$1006:Y1006),$U$1006:$AC$1006,0)), HYPERLINK("#",""), HYPERLINK(CONCATENATE("#metadata!", ADDRESS(INDEX($P$2:$P$1001,MATCH(ROWS($N$2:N876),$N$2:$N$1001,0),0), INDEX($U$1004:$AC$1004,1,MATCH(COLUMNS($U$1006:Y1006),$U$1006:$AC$1006,0)))),"Fix")))</f>
        <v>0</v>
      </c>
      <c r="G876" s="3">
        <f>IF(OR(INDEX($O$2:$O$1001,MATCH(ROWS($N$2:N876),$N$2:$N$1001,0),1)&gt;=100000,INDEX($U$1005:$AC$1005,1,MATCH(COLUMNS($U$1006:Z1006),$U$1006:$AC$1006,0))&gt;=100000), " ",IF(INDEX($U$2:$AC$1001,MATCH(ROWS($N$2:N876),$N$2:$N$1001,0),MATCH(COLUMNS($U$1006:Z1006),$U$1006:$AC$1006,0)), HYPERLINK("#",""), HYPERLINK(CONCATENATE("#metadata!", ADDRESS(INDEX($P$2:$P$1001,MATCH(ROWS($N$2:N876),$N$2:$N$1001,0),0), INDEX($U$1004:$AC$1004,1,MATCH(COLUMNS($U$1006:Z1006),$U$1006:$AC$1006,0)))),"Fix")))</f>
        <v>0</v>
      </c>
      <c r="H876" s="3">
        <f>IF(OR(INDEX($O$2:$O$1001,MATCH(ROWS($N$2:N876),$N$2:$N$1001,0),1)&gt;=100000,INDEX($U$1005:$AC$1005,1,MATCH(COLUMNS($U$1006:AA1006),$U$1006:$AC$1006,0))&gt;=100000), " ",IF(INDEX($U$2:$AC$1001,MATCH(ROWS($N$2:N876),$N$2:$N$1001,0),MATCH(COLUMNS($U$1006:AA1006),$U$1006:$AC$1006,0)), HYPERLINK("#",""), HYPERLINK(CONCATENATE("#metadata!", ADDRESS(INDEX($P$2:$P$1001,MATCH(ROWS($N$2:N876),$N$2:$N$1001,0),0), INDEX($U$1004:$AC$1004,1,MATCH(COLUMNS($U$1006:AA1006),$U$1006:$AC$1006,0)))),"Fix")))</f>
        <v>0</v>
      </c>
      <c r="I876" s="3">
        <f>IF(OR(INDEX($O$2:$O$1001,MATCH(ROWS($N$2:N876),$N$2:$N$1001,0),1)&gt;=100000,INDEX($U$1005:$AC$1005,1,MATCH(COLUMNS($U$1006:AB1006),$U$1006:$AC$1006,0))&gt;=100000), " ",IF(INDEX($U$2:$AC$1001,MATCH(ROWS($N$2:N876),$N$2:$N$1001,0),MATCH(COLUMNS($U$1006:AB1006),$U$1006:$AC$1006,0)), HYPERLINK("#",""), HYPERLINK(CONCATENATE("#metadata!", ADDRESS(INDEX($P$2:$P$1001,MATCH(ROWS($N$2:N876),$N$2:$N$1001,0),0), INDEX($U$1004:$AC$1004,1,MATCH(COLUMNS($U$1006:AB1006),$U$1006:$AC$1006,0)))),"Fix")))</f>
        <v>0</v>
      </c>
      <c r="J876" s="3">
        <f>IF(OR(INDEX($O$2:$O$1001,MATCH(ROWS($N$2:N876),$N$2:$N$1001,0),1)&gt;=100000,INDEX($U$1005:$AC$1005,1,MATCH(COLUMNS($U$1006:AC1006),$U$1006:$AC$1006,0))&gt;=100000), " ",IF(INDEX($U$2:$AC$1001,MATCH(ROWS($N$2:N876),$N$2:$N$1001,0),MATCH(COLUMNS($U$1006:AC1006),$U$1006:$AC$1006,0)), HYPERLINK("#",""), HYPERLINK(CONCATENATE("#metadata!", ADDRESS(INDEX($P$2:$P$1001,MATCH(ROWS($N$2:N876),$N$2:$N$1001,0),0), INDEX($U$1004:$AC$1004,1,MATCH(COLUMNS($U$1006:AC1006),$U$1006:$AC$1006,0)))),"Fix")))</f>
        <v>0</v>
      </c>
      <c r="N876">
        <v>0</v>
      </c>
      <c r="O876">
        <v>0</v>
      </c>
      <c r="P876">
        <v>0</v>
      </c>
      <c r="Q876">
        <f>IF(R876,TRUE,AND(U876:AC876))</f>
        <v>0</v>
      </c>
      <c r="R876">
        <f>COUNTBLANK(metadata!B876:J876)=COLUMNS(metadata!B876:J876)</f>
        <v>0</v>
      </c>
      <c r="S876">
        <v>0</v>
      </c>
      <c r="U876">
        <f>AND(IF(metadata!B876="",FALSE,TRUE),COUNTIF(metadata!B:B, metadata!B876) = 1,NOT(ISERROR(SUMPRODUCT(SEARCH(MID(metadata!B876,ROW(INDIRECT("1:"&amp;LEN(metadata!B876))), 1),"0123456789abcdefghijklmnopqrstuvwxyzABCDEFGHIJKLMNOPQRSTUVWXYZ.")))))</f>
        <v>0</v>
      </c>
      <c r="V876">
        <f>AND(IF(metadata!C876="",FALSE,TRUE),exact(metadata!C876,"UBERON:genitourinary"))</f>
        <v>0</v>
      </c>
      <c r="W876">
        <f>AND(IF(metadata!D876="",FALSE,TRUE),exact(metadata!D876,"UBERON:urine"))</f>
        <v>0</v>
      </c>
      <c r="X876">
        <f>AND(IF(metadata!E876="",FALSE,TRUE),exact(metadata!E876,"UBERON:kidney"))</f>
        <v>0</v>
      </c>
      <c r="Y876">
        <f>AND(IF(metadata!F876="",FALSE,TRUE),exact(metadata!F876,"animal corpus"))</f>
        <v>0</v>
      </c>
      <c r="Z876">
        <f>AND(IF(metadata!G876="",FALSE,TRUE),exact(metadata!G876,"urine"))</f>
        <v>0</v>
      </c>
      <c r="AA876">
        <f>AND(IF(metadata!H876="",FALSE,TRUE),exact(metadata!H876,"urine"))</f>
        <v>0</v>
      </c>
      <c r="AB876">
        <f>AND(IF(metadata!I876="",FALSE,TRUE),exact(metadata!I876,"urine metagenome"))</f>
        <v>0</v>
      </c>
      <c r="AC876">
        <f>AND(IF(metadata!J876="",FALSE,TRUE),exact(metadata!J876,"1346744"))</f>
        <v>0</v>
      </c>
    </row>
    <row r="877" spans="1:29">
      <c r="A877" s="4">
        <f>IF(B877=" "," ",HYPERLINK(CONCATENATE("#metadata!",ADDRESS(INDEX($P$2:$P$1001,MATCH(ROWS($N$2:N877),$N$2:$N$1001,0),0),1)),INDEX($S$2:$S$1001,MATCH(ROWS($N$2:N877),$N$2:$N$1001,0),0)))</f>
        <v>0</v>
      </c>
      <c r="B877" s="3">
        <f>IF(OR(INDEX($O$2:$O$1001,MATCH(ROWS($N$2:N877),$N$2:$N$1001,0),1)&gt;=100000,INDEX($U$1005:$AC$1005,1,MATCH(COLUMNS($U$1006:U1006),$U$1006:$AC$1006,0))&gt;=100000), " ",IF(INDEX($U$2:$AC$1001,MATCH(ROWS($N$2:N877),$N$2:$N$1001,0),MATCH(COLUMNS($U$1006:U1006),$U$1006:$AC$1006,0)), HYPERLINK("#",""), HYPERLINK(CONCATENATE("#metadata!", ADDRESS(INDEX($P$2:$P$1001,MATCH(ROWS($N$2:N877),$N$2:$N$1001,0),0), INDEX($U$1004:$AC$1004,1,MATCH(COLUMNS($U$1006:U1006),$U$1006:$AC$1006,0)))),"Fix")))</f>
        <v>0</v>
      </c>
      <c r="C877" s="3">
        <f>IF(OR(INDEX($O$2:$O$1001,MATCH(ROWS($N$2:N877),$N$2:$N$1001,0),1)&gt;=100000,INDEX($U$1005:$AC$1005,1,MATCH(COLUMNS($U$1006:V1006),$U$1006:$AC$1006,0))&gt;=100000), " ",IF(INDEX($U$2:$AC$1001,MATCH(ROWS($N$2:N877),$N$2:$N$1001,0),MATCH(COLUMNS($U$1006:V1006),$U$1006:$AC$1006,0)), HYPERLINK("#",""), HYPERLINK(CONCATENATE("#metadata!", ADDRESS(INDEX($P$2:$P$1001,MATCH(ROWS($N$2:N877),$N$2:$N$1001,0),0), INDEX($U$1004:$AC$1004,1,MATCH(COLUMNS($U$1006:V1006),$U$1006:$AC$1006,0)))),"Fix")))</f>
        <v>0</v>
      </c>
      <c r="D877" s="3">
        <f>IF(OR(INDEX($O$2:$O$1001,MATCH(ROWS($N$2:N877),$N$2:$N$1001,0),1)&gt;=100000,INDEX($U$1005:$AC$1005,1,MATCH(COLUMNS($U$1006:W1006),$U$1006:$AC$1006,0))&gt;=100000), " ",IF(INDEX($U$2:$AC$1001,MATCH(ROWS($N$2:N877),$N$2:$N$1001,0),MATCH(COLUMNS($U$1006:W1006),$U$1006:$AC$1006,0)), HYPERLINK("#",""), HYPERLINK(CONCATENATE("#metadata!", ADDRESS(INDEX($P$2:$P$1001,MATCH(ROWS($N$2:N877),$N$2:$N$1001,0),0), INDEX($U$1004:$AC$1004,1,MATCH(COLUMNS($U$1006:W1006),$U$1006:$AC$1006,0)))),"Fix")))</f>
        <v>0</v>
      </c>
      <c r="E877" s="3">
        <f>IF(OR(INDEX($O$2:$O$1001,MATCH(ROWS($N$2:N877),$N$2:$N$1001,0),1)&gt;=100000,INDEX($U$1005:$AC$1005,1,MATCH(COLUMNS($U$1006:X1006),$U$1006:$AC$1006,0))&gt;=100000), " ",IF(INDEX($U$2:$AC$1001,MATCH(ROWS($N$2:N877),$N$2:$N$1001,0),MATCH(COLUMNS($U$1006:X1006),$U$1006:$AC$1006,0)), HYPERLINK("#",""), HYPERLINK(CONCATENATE("#metadata!", ADDRESS(INDEX($P$2:$P$1001,MATCH(ROWS($N$2:N877),$N$2:$N$1001,0),0), INDEX($U$1004:$AC$1004,1,MATCH(COLUMNS($U$1006:X1006),$U$1006:$AC$1006,0)))),"Fix")))</f>
        <v>0</v>
      </c>
      <c r="F877" s="3">
        <f>IF(OR(INDEX($O$2:$O$1001,MATCH(ROWS($N$2:N877),$N$2:$N$1001,0),1)&gt;=100000,INDEX($U$1005:$AC$1005,1,MATCH(COLUMNS($U$1006:Y1006),$U$1006:$AC$1006,0))&gt;=100000), " ",IF(INDEX($U$2:$AC$1001,MATCH(ROWS($N$2:N877),$N$2:$N$1001,0),MATCH(COLUMNS($U$1006:Y1006),$U$1006:$AC$1006,0)), HYPERLINK("#",""), HYPERLINK(CONCATENATE("#metadata!", ADDRESS(INDEX($P$2:$P$1001,MATCH(ROWS($N$2:N877),$N$2:$N$1001,0),0), INDEX($U$1004:$AC$1004,1,MATCH(COLUMNS($U$1006:Y1006),$U$1006:$AC$1006,0)))),"Fix")))</f>
        <v>0</v>
      </c>
      <c r="G877" s="3">
        <f>IF(OR(INDEX($O$2:$O$1001,MATCH(ROWS($N$2:N877),$N$2:$N$1001,0),1)&gt;=100000,INDEX($U$1005:$AC$1005,1,MATCH(COLUMNS($U$1006:Z1006),$U$1006:$AC$1006,0))&gt;=100000), " ",IF(INDEX($U$2:$AC$1001,MATCH(ROWS($N$2:N877),$N$2:$N$1001,0),MATCH(COLUMNS($U$1006:Z1006),$U$1006:$AC$1006,0)), HYPERLINK("#",""), HYPERLINK(CONCATENATE("#metadata!", ADDRESS(INDEX($P$2:$P$1001,MATCH(ROWS($N$2:N877),$N$2:$N$1001,0),0), INDEX($U$1004:$AC$1004,1,MATCH(COLUMNS($U$1006:Z1006),$U$1006:$AC$1006,0)))),"Fix")))</f>
        <v>0</v>
      </c>
      <c r="H877" s="3">
        <f>IF(OR(INDEX($O$2:$O$1001,MATCH(ROWS($N$2:N877),$N$2:$N$1001,0),1)&gt;=100000,INDEX($U$1005:$AC$1005,1,MATCH(COLUMNS($U$1006:AA1006),$U$1006:$AC$1006,0))&gt;=100000), " ",IF(INDEX($U$2:$AC$1001,MATCH(ROWS($N$2:N877),$N$2:$N$1001,0),MATCH(COLUMNS($U$1006:AA1006),$U$1006:$AC$1006,0)), HYPERLINK("#",""), HYPERLINK(CONCATENATE("#metadata!", ADDRESS(INDEX($P$2:$P$1001,MATCH(ROWS($N$2:N877),$N$2:$N$1001,0),0), INDEX($U$1004:$AC$1004,1,MATCH(COLUMNS($U$1006:AA1006),$U$1006:$AC$1006,0)))),"Fix")))</f>
        <v>0</v>
      </c>
      <c r="I877" s="3">
        <f>IF(OR(INDEX($O$2:$O$1001,MATCH(ROWS($N$2:N877),$N$2:$N$1001,0),1)&gt;=100000,INDEX($U$1005:$AC$1005,1,MATCH(COLUMNS($U$1006:AB1006),$U$1006:$AC$1006,0))&gt;=100000), " ",IF(INDEX($U$2:$AC$1001,MATCH(ROWS($N$2:N877),$N$2:$N$1001,0),MATCH(COLUMNS($U$1006:AB1006),$U$1006:$AC$1006,0)), HYPERLINK("#",""), HYPERLINK(CONCATENATE("#metadata!", ADDRESS(INDEX($P$2:$P$1001,MATCH(ROWS($N$2:N877),$N$2:$N$1001,0),0), INDEX($U$1004:$AC$1004,1,MATCH(COLUMNS($U$1006:AB1006),$U$1006:$AC$1006,0)))),"Fix")))</f>
        <v>0</v>
      </c>
      <c r="J877" s="3">
        <f>IF(OR(INDEX($O$2:$O$1001,MATCH(ROWS($N$2:N877),$N$2:$N$1001,0),1)&gt;=100000,INDEX($U$1005:$AC$1005,1,MATCH(COLUMNS($U$1006:AC1006),$U$1006:$AC$1006,0))&gt;=100000), " ",IF(INDEX($U$2:$AC$1001,MATCH(ROWS($N$2:N877),$N$2:$N$1001,0),MATCH(COLUMNS($U$1006:AC1006),$U$1006:$AC$1006,0)), HYPERLINK("#",""), HYPERLINK(CONCATENATE("#metadata!", ADDRESS(INDEX($P$2:$P$1001,MATCH(ROWS($N$2:N877),$N$2:$N$1001,0),0), INDEX($U$1004:$AC$1004,1,MATCH(COLUMNS($U$1006:AC1006),$U$1006:$AC$1006,0)))),"Fix")))</f>
        <v>0</v>
      </c>
      <c r="N877">
        <v>0</v>
      </c>
      <c r="O877">
        <v>0</v>
      </c>
      <c r="P877">
        <v>0</v>
      </c>
      <c r="Q877">
        <f>IF(R877,TRUE,AND(U877:AC877))</f>
        <v>0</v>
      </c>
      <c r="R877">
        <f>COUNTBLANK(metadata!B877:J877)=COLUMNS(metadata!B877:J877)</f>
        <v>0</v>
      </c>
      <c r="S877">
        <v>0</v>
      </c>
      <c r="U877">
        <f>AND(IF(metadata!B877="",FALSE,TRUE),COUNTIF(metadata!B:B, metadata!B877) = 1,NOT(ISERROR(SUMPRODUCT(SEARCH(MID(metadata!B877,ROW(INDIRECT("1:"&amp;LEN(metadata!B877))), 1),"0123456789abcdefghijklmnopqrstuvwxyzABCDEFGHIJKLMNOPQRSTUVWXYZ.")))))</f>
        <v>0</v>
      </c>
      <c r="V877">
        <f>AND(IF(metadata!C877="",FALSE,TRUE),exact(metadata!C877,"UBERON:genitourinary"))</f>
        <v>0</v>
      </c>
      <c r="W877">
        <f>AND(IF(metadata!D877="",FALSE,TRUE),exact(metadata!D877,"UBERON:urine"))</f>
        <v>0</v>
      </c>
      <c r="X877">
        <f>AND(IF(metadata!E877="",FALSE,TRUE),exact(metadata!E877,"UBERON:kidney"))</f>
        <v>0</v>
      </c>
      <c r="Y877">
        <f>AND(IF(metadata!F877="",FALSE,TRUE),exact(metadata!F877,"animal corpus"))</f>
        <v>0</v>
      </c>
      <c r="Z877">
        <f>AND(IF(metadata!G877="",FALSE,TRUE),exact(metadata!G877,"urine"))</f>
        <v>0</v>
      </c>
      <c r="AA877">
        <f>AND(IF(metadata!H877="",FALSE,TRUE),exact(metadata!H877,"urine"))</f>
        <v>0</v>
      </c>
      <c r="AB877">
        <f>AND(IF(metadata!I877="",FALSE,TRUE),exact(metadata!I877,"urine metagenome"))</f>
        <v>0</v>
      </c>
      <c r="AC877">
        <f>AND(IF(metadata!J877="",FALSE,TRUE),exact(metadata!J877,"1346744"))</f>
        <v>0</v>
      </c>
    </row>
    <row r="878" spans="1:29">
      <c r="A878" s="4">
        <f>IF(B878=" "," ",HYPERLINK(CONCATENATE("#metadata!",ADDRESS(INDEX($P$2:$P$1001,MATCH(ROWS($N$2:N878),$N$2:$N$1001,0),0),1)),INDEX($S$2:$S$1001,MATCH(ROWS($N$2:N878),$N$2:$N$1001,0),0)))</f>
        <v>0</v>
      </c>
      <c r="B878" s="3">
        <f>IF(OR(INDEX($O$2:$O$1001,MATCH(ROWS($N$2:N878),$N$2:$N$1001,0),1)&gt;=100000,INDEX($U$1005:$AC$1005,1,MATCH(COLUMNS($U$1006:U1006),$U$1006:$AC$1006,0))&gt;=100000), " ",IF(INDEX($U$2:$AC$1001,MATCH(ROWS($N$2:N878),$N$2:$N$1001,0),MATCH(COLUMNS($U$1006:U1006),$U$1006:$AC$1006,0)), HYPERLINK("#",""), HYPERLINK(CONCATENATE("#metadata!", ADDRESS(INDEX($P$2:$P$1001,MATCH(ROWS($N$2:N878),$N$2:$N$1001,0),0), INDEX($U$1004:$AC$1004,1,MATCH(COLUMNS($U$1006:U1006),$U$1006:$AC$1006,0)))),"Fix")))</f>
        <v>0</v>
      </c>
      <c r="C878" s="3">
        <f>IF(OR(INDEX($O$2:$O$1001,MATCH(ROWS($N$2:N878),$N$2:$N$1001,0),1)&gt;=100000,INDEX($U$1005:$AC$1005,1,MATCH(COLUMNS($U$1006:V1006),$U$1006:$AC$1006,0))&gt;=100000), " ",IF(INDEX($U$2:$AC$1001,MATCH(ROWS($N$2:N878),$N$2:$N$1001,0),MATCH(COLUMNS($U$1006:V1006),$U$1006:$AC$1006,0)), HYPERLINK("#",""), HYPERLINK(CONCATENATE("#metadata!", ADDRESS(INDEX($P$2:$P$1001,MATCH(ROWS($N$2:N878),$N$2:$N$1001,0),0), INDEX($U$1004:$AC$1004,1,MATCH(COLUMNS($U$1006:V1006),$U$1006:$AC$1006,0)))),"Fix")))</f>
        <v>0</v>
      </c>
      <c r="D878" s="3">
        <f>IF(OR(INDEX($O$2:$O$1001,MATCH(ROWS($N$2:N878),$N$2:$N$1001,0),1)&gt;=100000,INDEX($U$1005:$AC$1005,1,MATCH(COLUMNS($U$1006:W1006),$U$1006:$AC$1006,0))&gt;=100000), " ",IF(INDEX($U$2:$AC$1001,MATCH(ROWS($N$2:N878),$N$2:$N$1001,0),MATCH(COLUMNS($U$1006:W1006),$U$1006:$AC$1006,0)), HYPERLINK("#",""), HYPERLINK(CONCATENATE("#metadata!", ADDRESS(INDEX($P$2:$P$1001,MATCH(ROWS($N$2:N878),$N$2:$N$1001,0),0), INDEX($U$1004:$AC$1004,1,MATCH(COLUMNS($U$1006:W1006),$U$1006:$AC$1006,0)))),"Fix")))</f>
        <v>0</v>
      </c>
      <c r="E878" s="3">
        <f>IF(OR(INDEX($O$2:$O$1001,MATCH(ROWS($N$2:N878),$N$2:$N$1001,0),1)&gt;=100000,INDEX($U$1005:$AC$1005,1,MATCH(COLUMNS($U$1006:X1006),$U$1006:$AC$1006,0))&gt;=100000), " ",IF(INDEX($U$2:$AC$1001,MATCH(ROWS($N$2:N878),$N$2:$N$1001,0),MATCH(COLUMNS($U$1006:X1006),$U$1006:$AC$1006,0)), HYPERLINK("#",""), HYPERLINK(CONCATENATE("#metadata!", ADDRESS(INDEX($P$2:$P$1001,MATCH(ROWS($N$2:N878),$N$2:$N$1001,0),0), INDEX($U$1004:$AC$1004,1,MATCH(COLUMNS($U$1006:X1006),$U$1006:$AC$1006,0)))),"Fix")))</f>
        <v>0</v>
      </c>
      <c r="F878" s="3">
        <f>IF(OR(INDEX($O$2:$O$1001,MATCH(ROWS($N$2:N878),$N$2:$N$1001,0),1)&gt;=100000,INDEX($U$1005:$AC$1005,1,MATCH(COLUMNS($U$1006:Y1006),$U$1006:$AC$1006,0))&gt;=100000), " ",IF(INDEX($U$2:$AC$1001,MATCH(ROWS($N$2:N878),$N$2:$N$1001,0),MATCH(COLUMNS($U$1006:Y1006),$U$1006:$AC$1006,0)), HYPERLINK("#",""), HYPERLINK(CONCATENATE("#metadata!", ADDRESS(INDEX($P$2:$P$1001,MATCH(ROWS($N$2:N878),$N$2:$N$1001,0),0), INDEX($U$1004:$AC$1004,1,MATCH(COLUMNS($U$1006:Y1006),$U$1006:$AC$1006,0)))),"Fix")))</f>
        <v>0</v>
      </c>
      <c r="G878" s="3">
        <f>IF(OR(INDEX($O$2:$O$1001,MATCH(ROWS($N$2:N878),$N$2:$N$1001,0),1)&gt;=100000,INDEX($U$1005:$AC$1005,1,MATCH(COLUMNS($U$1006:Z1006),$U$1006:$AC$1006,0))&gt;=100000), " ",IF(INDEX($U$2:$AC$1001,MATCH(ROWS($N$2:N878),$N$2:$N$1001,0),MATCH(COLUMNS($U$1006:Z1006),$U$1006:$AC$1006,0)), HYPERLINK("#",""), HYPERLINK(CONCATENATE("#metadata!", ADDRESS(INDEX($P$2:$P$1001,MATCH(ROWS($N$2:N878),$N$2:$N$1001,0),0), INDEX($U$1004:$AC$1004,1,MATCH(COLUMNS($U$1006:Z1006),$U$1006:$AC$1006,0)))),"Fix")))</f>
        <v>0</v>
      </c>
      <c r="H878" s="3">
        <f>IF(OR(INDEX($O$2:$O$1001,MATCH(ROWS($N$2:N878),$N$2:$N$1001,0),1)&gt;=100000,INDEX($U$1005:$AC$1005,1,MATCH(COLUMNS($U$1006:AA1006),$U$1006:$AC$1006,0))&gt;=100000), " ",IF(INDEX($U$2:$AC$1001,MATCH(ROWS($N$2:N878),$N$2:$N$1001,0),MATCH(COLUMNS($U$1006:AA1006),$U$1006:$AC$1006,0)), HYPERLINK("#",""), HYPERLINK(CONCATENATE("#metadata!", ADDRESS(INDEX($P$2:$P$1001,MATCH(ROWS($N$2:N878),$N$2:$N$1001,0),0), INDEX($U$1004:$AC$1004,1,MATCH(COLUMNS($U$1006:AA1006),$U$1006:$AC$1006,0)))),"Fix")))</f>
        <v>0</v>
      </c>
      <c r="I878" s="3">
        <f>IF(OR(INDEX($O$2:$O$1001,MATCH(ROWS($N$2:N878),$N$2:$N$1001,0),1)&gt;=100000,INDEX($U$1005:$AC$1005,1,MATCH(COLUMNS($U$1006:AB1006),$U$1006:$AC$1006,0))&gt;=100000), " ",IF(INDEX($U$2:$AC$1001,MATCH(ROWS($N$2:N878),$N$2:$N$1001,0),MATCH(COLUMNS($U$1006:AB1006),$U$1006:$AC$1006,0)), HYPERLINK("#",""), HYPERLINK(CONCATENATE("#metadata!", ADDRESS(INDEX($P$2:$P$1001,MATCH(ROWS($N$2:N878),$N$2:$N$1001,0),0), INDEX($U$1004:$AC$1004,1,MATCH(COLUMNS($U$1006:AB1006),$U$1006:$AC$1006,0)))),"Fix")))</f>
        <v>0</v>
      </c>
      <c r="J878" s="3">
        <f>IF(OR(INDEX($O$2:$O$1001,MATCH(ROWS($N$2:N878),$N$2:$N$1001,0),1)&gt;=100000,INDEX($U$1005:$AC$1005,1,MATCH(COLUMNS($U$1006:AC1006),$U$1006:$AC$1006,0))&gt;=100000), " ",IF(INDEX($U$2:$AC$1001,MATCH(ROWS($N$2:N878),$N$2:$N$1001,0),MATCH(COLUMNS($U$1006:AC1006),$U$1006:$AC$1006,0)), HYPERLINK("#",""), HYPERLINK(CONCATENATE("#metadata!", ADDRESS(INDEX($P$2:$P$1001,MATCH(ROWS($N$2:N878),$N$2:$N$1001,0),0), INDEX($U$1004:$AC$1004,1,MATCH(COLUMNS($U$1006:AC1006),$U$1006:$AC$1006,0)))),"Fix")))</f>
        <v>0</v>
      </c>
      <c r="N878">
        <v>0</v>
      </c>
      <c r="O878">
        <v>0</v>
      </c>
      <c r="P878">
        <v>0</v>
      </c>
      <c r="Q878">
        <f>IF(R878,TRUE,AND(U878:AC878))</f>
        <v>0</v>
      </c>
      <c r="R878">
        <f>COUNTBLANK(metadata!B878:J878)=COLUMNS(metadata!B878:J878)</f>
        <v>0</v>
      </c>
      <c r="S878">
        <v>0</v>
      </c>
      <c r="U878">
        <f>AND(IF(metadata!B878="",FALSE,TRUE),COUNTIF(metadata!B:B, metadata!B878) = 1,NOT(ISERROR(SUMPRODUCT(SEARCH(MID(metadata!B878,ROW(INDIRECT("1:"&amp;LEN(metadata!B878))), 1),"0123456789abcdefghijklmnopqrstuvwxyzABCDEFGHIJKLMNOPQRSTUVWXYZ.")))))</f>
        <v>0</v>
      </c>
      <c r="V878">
        <f>AND(IF(metadata!C878="",FALSE,TRUE),exact(metadata!C878,"UBERON:genitourinary"))</f>
        <v>0</v>
      </c>
      <c r="W878">
        <f>AND(IF(metadata!D878="",FALSE,TRUE),exact(metadata!D878,"UBERON:urine"))</f>
        <v>0</v>
      </c>
      <c r="X878">
        <f>AND(IF(metadata!E878="",FALSE,TRUE),exact(metadata!E878,"UBERON:kidney"))</f>
        <v>0</v>
      </c>
      <c r="Y878">
        <f>AND(IF(metadata!F878="",FALSE,TRUE),exact(metadata!F878,"animal corpus"))</f>
        <v>0</v>
      </c>
      <c r="Z878">
        <f>AND(IF(metadata!G878="",FALSE,TRUE),exact(metadata!G878,"urine"))</f>
        <v>0</v>
      </c>
      <c r="AA878">
        <f>AND(IF(metadata!H878="",FALSE,TRUE),exact(metadata!H878,"urine"))</f>
        <v>0</v>
      </c>
      <c r="AB878">
        <f>AND(IF(metadata!I878="",FALSE,TRUE),exact(metadata!I878,"urine metagenome"))</f>
        <v>0</v>
      </c>
      <c r="AC878">
        <f>AND(IF(metadata!J878="",FALSE,TRUE),exact(metadata!J878,"1346744"))</f>
        <v>0</v>
      </c>
    </row>
    <row r="879" spans="1:29">
      <c r="A879" s="4">
        <f>IF(B879=" "," ",HYPERLINK(CONCATENATE("#metadata!",ADDRESS(INDEX($P$2:$P$1001,MATCH(ROWS($N$2:N879),$N$2:$N$1001,0),0),1)),INDEX($S$2:$S$1001,MATCH(ROWS($N$2:N879),$N$2:$N$1001,0),0)))</f>
        <v>0</v>
      </c>
      <c r="B879" s="3">
        <f>IF(OR(INDEX($O$2:$O$1001,MATCH(ROWS($N$2:N879),$N$2:$N$1001,0),1)&gt;=100000,INDEX($U$1005:$AC$1005,1,MATCH(COLUMNS($U$1006:U1006),$U$1006:$AC$1006,0))&gt;=100000), " ",IF(INDEX($U$2:$AC$1001,MATCH(ROWS($N$2:N879),$N$2:$N$1001,0),MATCH(COLUMNS($U$1006:U1006),$U$1006:$AC$1006,0)), HYPERLINK("#",""), HYPERLINK(CONCATENATE("#metadata!", ADDRESS(INDEX($P$2:$P$1001,MATCH(ROWS($N$2:N879),$N$2:$N$1001,0),0), INDEX($U$1004:$AC$1004,1,MATCH(COLUMNS($U$1006:U1006),$U$1006:$AC$1006,0)))),"Fix")))</f>
        <v>0</v>
      </c>
      <c r="C879" s="3">
        <f>IF(OR(INDEX($O$2:$O$1001,MATCH(ROWS($N$2:N879),$N$2:$N$1001,0),1)&gt;=100000,INDEX($U$1005:$AC$1005,1,MATCH(COLUMNS($U$1006:V1006),$U$1006:$AC$1006,0))&gt;=100000), " ",IF(INDEX($U$2:$AC$1001,MATCH(ROWS($N$2:N879),$N$2:$N$1001,0),MATCH(COLUMNS($U$1006:V1006),$U$1006:$AC$1006,0)), HYPERLINK("#",""), HYPERLINK(CONCATENATE("#metadata!", ADDRESS(INDEX($P$2:$P$1001,MATCH(ROWS($N$2:N879),$N$2:$N$1001,0),0), INDEX($U$1004:$AC$1004,1,MATCH(COLUMNS($U$1006:V1006),$U$1006:$AC$1006,0)))),"Fix")))</f>
        <v>0</v>
      </c>
      <c r="D879" s="3">
        <f>IF(OR(INDEX($O$2:$O$1001,MATCH(ROWS($N$2:N879),$N$2:$N$1001,0),1)&gt;=100000,INDEX($U$1005:$AC$1005,1,MATCH(COLUMNS($U$1006:W1006),$U$1006:$AC$1006,0))&gt;=100000), " ",IF(INDEX($U$2:$AC$1001,MATCH(ROWS($N$2:N879),$N$2:$N$1001,0),MATCH(COLUMNS($U$1006:W1006),$U$1006:$AC$1006,0)), HYPERLINK("#",""), HYPERLINK(CONCATENATE("#metadata!", ADDRESS(INDEX($P$2:$P$1001,MATCH(ROWS($N$2:N879),$N$2:$N$1001,0),0), INDEX($U$1004:$AC$1004,1,MATCH(COLUMNS($U$1006:W1006),$U$1006:$AC$1006,0)))),"Fix")))</f>
        <v>0</v>
      </c>
      <c r="E879" s="3">
        <f>IF(OR(INDEX($O$2:$O$1001,MATCH(ROWS($N$2:N879),$N$2:$N$1001,0),1)&gt;=100000,INDEX($U$1005:$AC$1005,1,MATCH(COLUMNS($U$1006:X1006),$U$1006:$AC$1006,0))&gt;=100000), " ",IF(INDEX($U$2:$AC$1001,MATCH(ROWS($N$2:N879),$N$2:$N$1001,0),MATCH(COLUMNS($U$1006:X1006),$U$1006:$AC$1006,0)), HYPERLINK("#",""), HYPERLINK(CONCATENATE("#metadata!", ADDRESS(INDEX($P$2:$P$1001,MATCH(ROWS($N$2:N879),$N$2:$N$1001,0),0), INDEX($U$1004:$AC$1004,1,MATCH(COLUMNS($U$1006:X1006),$U$1006:$AC$1006,0)))),"Fix")))</f>
        <v>0</v>
      </c>
      <c r="F879" s="3">
        <f>IF(OR(INDEX($O$2:$O$1001,MATCH(ROWS($N$2:N879),$N$2:$N$1001,0),1)&gt;=100000,INDEX($U$1005:$AC$1005,1,MATCH(COLUMNS($U$1006:Y1006),$U$1006:$AC$1006,0))&gt;=100000), " ",IF(INDEX($U$2:$AC$1001,MATCH(ROWS($N$2:N879),$N$2:$N$1001,0),MATCH(COLUMNS($U$1006:Y1006),$U$1006:$AC$1006,0)), HYPERLINK("#",""), HYPERLINK(CONCATENATE("#metadata!", ADDRESS(INDEX($P$2:$P$1001,MATCH(ROWS($N$2:N879),$N$2:$N$1001,0),0), INDEX($U$1004:$AC$1004,1,MATCH(COLUMNS($U$1006:Y1006),$U$1006:$AC$1006,0)))),"Fix")))</f>
        <v>0</v>
      </c>
      <c r="G879" s="3">
        <f>IF(OR(INDEX($O$2:$O$1001,MATCH(ROWS($N$2:N879),$N$2:$N$1001,0),1)&gt;=100000,INDEX($U$1005:$AC$1005,1,MATCH(COLUMNS($U$1006:Z1006),$U$1006:$AC$1006,0))&gt;=100000), " ",IF(INDEX($U$2:$AC$1001,MATCH(ROWS($N$2:N879),$N$2:$N$1001,0),MATCH(COLUMNS($U$1006:Z1006),$U$1006:$AC$1006,0)), HYPERLINK("#",""), HYPERLINK(CONCATENATE("#metadata!", ADDRESS(INDEX($P$2:$P$1001,MATCH(ROWS($N$2:N879),$N$2:$N$1001,0),0), INDEX($U$1004:$AC$1004,1,MATCH(COLUMNS($U$1006:Z1006),$U$1006:$AC$1006,0)))),"Fix")))</f>
        <v>0</v>
      </c>
      <c r="H879" s="3">
        <f>IF(OR(INDEX($O$2:$O$1001,MATCH(ROWS($N$2:N879),$N$2:$N$1001,0),1)&gt;=100000,INDEX($U$1005:$AC$1005,1,MATCH(COLUMNS($U$1006:AA1006),$U$1006:$AC$1006,0))&gt;=100000), " ",IF(INDEX($U$2:$AC$1001,MATCH(ROWS($N$2:N879),$N$2:$N$1001,0),MATCH(COLUMNS($U$1006:AA1006),$U$1006:$AC$1006,0)), HYPERLINK("#",""), HYPERLINK(CONCATENATE("#metadata!", ADDRESS(INDEX($P$2:$P$1001,MATCH(ROWS($N$2:N879),$N$2:$N$1001,0),0), INDEX($U$1004:$AC$1004,1,MATCH(COLUMNS($U$1006:AA1006),$U$1006:$AC$1006,0)))),"Fix")))</f>
        <v>0</v>
      </c>
      <c r="I879" s="3">
        <f>IF(OR(INDEX($O$2:$O$1001,MATCH(ROWS($N$2:N879),$N$2:$N$1001,0),1)&gt;=100000,INDEX($U$1005:$AC$1005,1,MATCH(COLUMNS($U$1006:AB1006),$U$1006:$AC$1006,0))&gt;=100000), " ",IF(INDEX($U$2:$AC$1001,MATCH(ROWS($N$2:N879),$N$2:$N$1001,0),MATCH(COLUMNS($U$1006:AB1006),$U$1006:$AC$1006,0)), HYPERLINK("#",""), HYPERLINK(CONCATENATE("#metadata!", ADDRESS(INDEX($P$2:$P$1001,MATCH(ROWS($N$2:N879),$N$2:$N$1001,0),0), INDEX($U$1004:$AC$1004,1,MATCH(COLUMNS($U$1006:AB1006),$U$1006:$AC$1006,0)))),"Fix")))</f>
        <v>0</v>
      </c>
      <c r="J879" s="3">
        <f>IF(OR(INDEX($O$2:$O$1001,MATCH(ROWS($N$2:N879),$N$2:$N$1001,0),1)&gt;=100000,INDEX($U$1005:$AC$1005,1,MATCH(COLUMNS($U$1006:AC1006),$U$1006:$AC$1006,0))&gt;=100000), " ",IF(INDEX($U$2:$AC$1001,MATCH(ROWS($N$2:N879),$N$2:$N$1001,0),MATCH(COLUMNS($U$1006:AC1006),$U$1006:$AC$1006,0)), HYPERLINK("#",""), HYPERLINK(CONCATENATE("#metadata!", ADDRESS(INDEX($P$2:$P$1001,MATCH(ROWS($N$2:N879),$N$2:$N$1001,0),0), INDEX($U$1004:$AC$1004,1,MATCH(COLUMNS($U$1006:AC1006),$U$1006:$AC$1006,0)))),"Fix")))</f>
        <v>0</v>
      </c>
      <c r="N879">
        <v>0</v>
      </c>
      <c r="O879">
        <v>0</v>
      </c>
      <c r="P879">
        <v>0</v>
      </c>
      <c r="Q879">
        <f>IF(R879,TRUE,AND(U879:AC879))</f>
        <v>0</v>
      </c>
      <c r="R879">
        <f>COUNTBLANK(metadata!B879:J879)=COLUMNS(metadata!B879:J879)</f>
        <v>0</v>
      </c>
      <c r="S879">
        <v>0</v>
      </c>
      <c r="U879">
        <f>AND(IF(metadata!B879="",FALSE,TRUE),COUNTIF(metadata!B:B, metadata!B879) = 1,NOT(ISERROR(SUMPRODUCT(SEARCH(MID(metadata!B879,ROW(INDIRECT("1:"&amp;LEN(metadata!B879))), 1),"0123456789abcdefghijklmnopqrstuvwxyzABCDEFGHIJKLMNOPQRSTUVWXYZ.")))))</f>
        <v>0</v>
      </c>
      <c r="V879">
        <f>AND(IF(metadata!C879="",FALSE,TRUE),exact(metadata!C879,"UBERON:genitourinary"))</f>
        <v>0</v>
      </c>
      <c r="W879">
        <f>AND(IF(metadata!D879="",FALSE,TRUE),exact(metadata!D879,"UBERON:urine"))</f>
        <v>0</v>
      </c>
      <c r="X879">
        <f>AND(IF(metadata!E879="",FALSE,TRUE),exact(metadata!E879,"UBERON:kidney"))</f>
        <v>0</v>
      </c>
      <c r="Y879">
        <f>AND(IF(metadata!F879="",FALSE,TRUE),exact(metadata!F879,"animal corpus"))</f>
        <v>0</v>
      </c>
      <c r="Z879">
        <f>AND(IF(metadata!G879="",FALSE,TRUE),exact(metadata!G879,"urine"))</f>
        <v>0</v>
      </c>
      <c r="AA879">
        <f>AND(IF(metadata!H879="",FALSE,TRUE),exact(metadata!H879,"urine"))</f>
        <v>0</v>
      </c>
      <c r="AB879">
        <f>AND(IF(metadata!I879="",FALSE,TRUE),exact(metadata!I879,"urine metagenome"))</f>
        <v>0</v>
      </c>
      <c r="AC879">
        <f>AND(IF(metadata!J879="",FALSE,TRUE),exact(metadata!J879,"1346744"))</f>
        <v>0</v>
      </c>
    </row>
    <row r="880" spans="1:29">
      <c r="A880" s="4">
        <f>IF(B880=" "," ",HYPERLINK(CONCATENATE("#metadata!",ADDRESS(INDEX($P$2:$P$1001,MATCH(ROWS($N$2:N880),$N$2:$N$1001,0),0),1)),INDEX($S$2:$S$1001,MATCH(ROWS($N$2:N880),$N$2:$N$1001,0),0)))</f>
        <v>0</v>
      </c>
      <c r="B880" s="3">
        <f>IF(OR(INDEX($O$2:$O$1001,MATCH(ROWS($N$2:N880),$N$2:$N$1001,0),1)&gt;=100000,INDEX($U$1005:$AC$1005,1,MATCH(COLUMNS($U$1006:U1006),$U$1006:$AC$1006,0))&gt;=100000), " ",IF(INDEX($U$2:$AC$1001,MATCH(ROWS($N$2:N880),$N$2:$N$1001,0),MATCH(COLUMNS($U$1006:U1006),$U$1006:$AC$1006,0)), HYPERLINK("#",""), HYPERLINK(CONCATENATE("#metadata!", ADDRESS(INDEX($P$2:$P$1001,MATCH(ROWS($N$2:N880),$N$2:$N$1001,0),0), INDEX($U$1004:$AC$1004,1,MATCH(COLUMNS($U$1006:U1006),$U$1006:$AC$1006,0)))),"Fix")))</f>
        <v>0</v>
      </c>
      <c r="C880" s="3">
        <f>IF(OR(INDEX($O$2:$O$1001,MATCH(ROWS($N$2:N880),$N$2:$N$1001,0),1)&gt;=100000,INDEX($U$1005:$AC$1005,1,MATCH(COLUMNS($U$1006:V1006),$U$1006:$AC$1006,0))&gt;=100000), " ",IF(INDEX($U$2:$AC$1001,MATCH(ROWS($N$2:N880),$N$2:$N$1001,0),MATCH(COLUMNS($U$1006:V1006),$U$1006:$AC$1006,0)), HYPERLINK("#",""), HYPERLINK(CONCATENATE("#metadata!", ADDRESS(INDEX($P$2:$P$1001,MATCH(ROWS($N$2:N880),$N$2:$N$1001,0),0), INDEX($U$1004:$AC$1004,1,MATCH(COLUMNS($U$1006:V1006),$U$1006:$AC$1006,0)))),"Fix")))</f>
        <v>0</v>
      </c>
      <c r="D880" s="3">
        <f>IF(OR(INDEX($O$2:$O$1001,MATCH(ROWS($N$2:N880),$N$2:$N$1001,0),1)&gt;=100000,INDEX($U$1005:$AC$1005,1,MATCH(COLUMNS($U$1006:W1006),$U$1006:$AC$1006,0))&gt;=100000), " ",IF(INDEX($U$2:$AC$1001,MATCH(ROWS($N$2:N880),$N$2:$N$1001,0),MATCH(COLUMNS($U$1006:W1006),$U$1006:$AC$1006,0)), HYPERLINK("#",""), HYPERLINK(CONCATENATE("#metadata!", ADDRESS(INDEX($P$2:$P$1001,MATCH(ROWS($N$2:N880),$N$2:$N$1001,0),0), INDEX($U$1004:$AC$1004,1,MATCH(COLUMNS($U$1006:W1006),$U$1006:$AC$1006,0)))),"Fix")))</f>
        <v>0</v>
      </c>
      <c r="E880" s="3">
        <f>IF(OR(INDEX($O$2:$O$1001,MATCH(ROWS($N$2:N880),$N$2:$N$1001,0),1)&gt;=100000,INDEX($U$1005:$AC$1005,1,MATCH(COLUMNS($U$1006:X1006),$U$1006:$AC$1006,0))&gt;=100000), " ",IF(INDEX($U$2:$AC$1001,MATCH(ROWS($N$2:N880),$N$2:$N$1001,0),MATCH(COLUMNS($U$1006:X1006),$U$1006:$AC$1006,0)), HYPERLINK("#",""), HYPERLINK(CONCATENATE("#metadata!", ADDRESS(INDEX($P$2:$P$1001,MATCH(ROWS($N$2:N880),$N$2:$N$1001,0),0), INDEX($U$1004:$AC$1004,1,MATCH(COLUMNS($U$1006:X1006),$U$1006:$AC$1006,0)))),"Fix")))</f>
        <v>0</v>
      </c>
      <c r="F880" s="3">
        <f>IF(OR(INDEX($O$2:$O$1001,MATCH(ROWS($N$2:N880),$N$2:$N$1001,0),1)&gt;=100000,INDEX($U$1005:$AC$1005,1,MATCH(COLUMNS($U$1006:Y1006),$U$1006:$AC$1006,0))&gt;=100000), " ",IF(INDEX($U$2:$AC$1001,MATCH(ROWS($N$2:N880),$N$2:$N$1001,0),MATCH(COLUMNS($U$1006:Y1006),$U$1006:$AC$1006,0)), HYPERLINK("#",""), HYPERLINK(CONCATENATE("#metadata!", ADDRESS(INDEX($P$2:$P$1001,MATCH(ROWS($N$2:N880),$N$2:$N$1001,0),0), INDEX($U$1004:$AC$1004,1,MATCH(COLUMNS($U$1006:Y1006),$U$1006:$AC$1006,0)))),"Fix")))</f>
        <v>0</v>
      </c>
      <c r="G880" s="3">
        <f>IF(OR(INDEX($O$2:$O$1001,MATCH(ROWS($N$2:N880),$N$2:$N$1001,0),1)&gt;=100000,INDEX($U$1005:$AC$1005,1,MATCH(COLUMNS($U$1006:Z1006),$U$1006:$AC$1006,0))&gt;=100000), " ",IF(INDEX($U$2:$AC$1001,MATCH(ROWS($N$2:N880),$N$2:$N$1001,0),MATCH(COLUMNS($U$1006:Z1006),$U$1006:$AC$1006,0)), HYPERLINK("#",""), HYPERLINK(CONCATENATE("#metadata!", ADDRESS(INDEX($P$2:$P$1001,MATCH(ROWS($N$2:N880),$N$2:$N$1001,0),0), INDEX($U$1004:$AC$1004,1,MATCH(COLUMNS($U$1006:Z1006),$U$1006:$AC$1006,0)))),"Fix")))</f>
        <v>0</v>
      </c>
      <c r="H880" s="3">
        <f>IF(OR(INDEX($O$2:$O$1001,MATCH(ROWS($N$2:N880),$N$2:$N$1001,0),1)&gt;=100000,INDEX($U$1005:$AC$1005,1,MATCH(COLUMNS($U$1006:AA1006),$U$1006:$AC$1006,0))&gt;=100000), " ",IF(INDEX($U$2:$AC$1001,MATCH(ROWS($N$2:N880),$N$2:$N$1001,0),MATCH(COLUMNS($U$1006:AA1006),$U$1006:$AC$1006,0)), HYPERLINK("#",""), HYPERLINK(CONCATENATE("#metadata!", ADDRESS(INDEX($P$2:$P$1001,MATCH(ROWS($N$2:N880),$N$2:$N$1001,0),0), INDEX($U$1004:$AC$1004,1,MATCH(COLUMNS($U$1006:AA1006),$U$1006:$AC$1006,0)))),"Fix")))</f>
        <v>0</v>
      </c>
      <c r="I880" s="3">
        <f>IF(OR(INDEX($O$2:$O$1001,MATCH(ROWS($N$2:N880),$N$2:$N$1001,0),1)&gt;=100000,INDEX($U$1005:$AC$1005,1,MATCH(COLUMNS($U$1006:AB1006),$U$1006:$AC$1006,0))&gt;=100000), " ",IF(INDEX($U$2:$AC$1001,MATCH(ROWS($N$2:N880),$N$2:$N$1001,0),MATCH(COLUMNS($U$1006:AB1006),$U$1006:$AC$1006,0)), HYPERLINK("#",""), HYPERLINK(CONCATENATE("#metadata!", ADDRESS(INDEX($P$2:$P$1001,MATCH(ROWS($N$2:N880),$N$2:$N$1001,0),0), INDEX($U$1004:$AC$1004,1,MATCH(COLUMNS($U$1006:AB1006),$U$1006:$AC$1006,0)))),"Fix")))</f>
        <v>0</v>
      </c>
      <c r="J880" s="3">
        <f>IF(OR(INDEX($O$2:$O$1001,MATCH(ROWS($N$2:N880),$N$2:$N$1001,0),1)&gt;=100000,INDEX($U$1005:$AC$1005,1,MATCH(COLUMNS($U$1006:AC1006),$U$1006:$AC$1006,0))&gt;=100000), " ",IF(INDEX($U$2:$AC$1001,MATCH(ROWS($N$2:N880),$N$2:$N$1001,0),MATCH(COLUMNS($U$1006:AC1006),$U$1006:$AC$1006,0)), HYPERLINK("#",""), HYPERLINK(CONCATENATE("#metadata!", ADDRESS(INDEX($P$2:$P$1001,MATCH(ROWS($N$2:N880),$N$2:$N$1001,0),0), INDEX($U$1004:$AC$1004,1,MATCH(COLUMNS($U$1006:AC1006),$U$1006:$AC$1006,0)))),"Fix")))</f>
        <v>0</v>
      </c>
      <c r="N880">
        <v>0</v>
      </c>
      <c r="O880">
        <v>0</v>
      </c>
      <c r="P880">
        <v>0</v>
      </c>
      <c r="Q880">
        <f>IF(R880,TRUE,AND(U880:AC880))</f>
        <v>0</v>
      </c>
      <c r="R880">
        <f>COUNTBLANK(metadata!B880:J880)=COLUMNS(metadata!B880:J880)</f>
        <v>0</v>
      </c>
      <c r="S880">
        <v>0</v>
      </c>
      <c r="U880">
        <f>AND(IF(metadata!B880="",FALSE,TRUE),COUNTIF(metadata!B:B, metadata!B880) = 1,NOT(ISERROR(SUMPRODUCT(SEARCH(MID(metadata!B880,ROW(INDIRECT("1:"&amp;LEN(metadata!B880))), 1),"0123456789abcdefghijklmnopqrstuvwxyzABCDEFGHIJKLMNOPQRSTUVWXYZ.")))))</f>
        <v>0</v>
      </c>
      <c r="V880">
        <f>AND(IF(metadata!C880="",FALSE,TRUE),exact(metadata!C880,"UBERON:genitourinary"))</f>
        <v>0</v>
      </c>
      <c r="W880">
        <f>AND(IF(metadata!D880="",FALSE,TRUE),exact(metadata!D880,"UBERON:urine"))</f>
        <v>0</v>
      </c>
      <c r="X880">
        <f>AND(IF(metadata!E880="",FALSE,TRUE),exact(metadata!E880,"UBERON:kidney"))</f>
        <v>0</v>
      </c>
      <c r="Y880">
        <f>AND(IF(metadata!F880="",FALSE,TRUE),exact(metadata!F880,"animal corpus"))</f>
        <v>0</v>
      </c>
      <c r="Z880">
        <f>AND(IF(metadata!G880="",FALSE,TRUE),exact(metadata!G880,"urine"))</f>
        <v>0</v>
      </c>
      <c r="AA880">
        <f>AND(IF(metadata!H880="",FALSE,TRUE),exact(metadata!H880,"urine"))</f>
        <v>0</v>
      </c>
      <c r="AB880">
        <f>AND(IF(metadata!I880="",FALSE,TRUE),exact(metadata!I880,"urine metagenome"))</f>
        <v>0</v>
      </c>
      <c r="AC880">
        <f>AND(IF(metadata!J880="",FALSE,TRUE),exact(metadata!J880,"1346744"))</f>
        <v>0</v>
      </c>
    </row>
    <row r="881" spans="1:29">
      <c r="A881" s="4">
        <f>IF(B881=" "," ",HYPERLINK(CONCATENATE("#metadata!",ADDRESS(INDEX($P$2:$P$1001,MATCH(ROWS($N$2:N881),$N$2:$N$1001,0),0),1)),INDEX($S$2:$S$1001,MATCH(ROWS($N$2:N881),$N$2:$N$1001,0),0)))</f>
        <v>0</v>
      </c>
      <c r="B881" s="3">
        <f>IF(OR(INDEX($O$2:$O$1001,MATCH(ROWS($N$2:N881),$N$2:$N$1001,0),1)&gt;=100000,INDEX($U$1005:$AC$1005,1,MATCH(COLUMNS($U$1006:U1006),$U$1006:$AC$1006,0))&gt;=100000), " ",IF(INDEX($U$2:$AC$1001,MATCH(ROWS($N$2:N881),$N$2:$N$1001,0),MATCH(COLUMNS($U$1006:U1006),$U$1006:$AC$1006,0)), HYPERLINK("#",""), HYPERLINK(CONCATENATE("#metadata!", ADDRESS(INDEX($P$2:$P$1001,MATCH(ROWS($N$2:N881),$N$2:$N$1001,0),0), INDEX($U$1004:$AC$1004,1,MATCH(COLUMNS($U$1006:U1006),$U$1006:$AC$1006,0)))),"Fix")))</f>
        <v>0</v>
      </c>
      <c r="C881" s="3">
        <f>IF(OR(INDEX($O$2:$O$1001,MATCH(ROWS($N$2:N881),$N$2:$N$1001,0),1)&gt;=100000,INDEX($U$1005:$AC$1005,1,MATCH(COLUMNS($U$1006:V1006),$U$1006:$AC$1006,0))&gt;=100000), " ",IF(INDEX($U$2:$AC$1001,MATCH(ROWS($N$2:N881),$N$2:$N$1001,0),MATCH(COLUMNS($U$1006:V1006),$U$1006:$AC$1006,0)), HYPERLINK("#",""), HYPERLINK(CONCATENATE("#metadata!", ADDRESS(INDEX($P$2:$P$1001,MATCH(ROWS($N$2:N881),$N$2:$N$1001,0),0), INDEX($U$1004:$AC$1004,1,MATCH(COLUMNS($U$1006:V1006),$U$1006:$AC$1006,0)))),"Fix")))</f>
        <v>0</v>
      </c>
      <c r="D881" s="3">
        <f>IF(OR(INDEX($O$2:$O$1001,MATCH(ROWS($N$2:N881),$N$2:$N$1001,0),1)&gt;=100000,INDEX($U$1005:$AC$1005,1,MATCH(COLUMNS($U$1006:W1006),$U$1006:$AC$1006,0))&gt;=100000), " ",IF(INDEX($U$2:$AC$1001,MATCH(ROWS($N$2:N881),$N$2:$N$1001,0),MATCH(COLUMNS($U$1006:W1006),$U$1006:$AC$1006,0)), HYPERLINK("#",""), HYPERLINK(CONCATENATE("#metadata!", ADDRESS(INDEX($P$2:$P$1001,MATCH(ROWS($N$2:N881),$N$2:$N$1001,0),0), INDEX($U$1004:$AC$1004,1,MATCH(COLUMNS($U$1006:W1006),$U$1006:$AC$1006,0)))),"Fix")))</f>
        <v>0</v>
      </c>
      <c r="E881" s="3">
        <f>IF(OR(INDEX($O$2:$O$1001,MATCH(ROWS($N$2:N881),$N$2:$N$1001,0),1)&gt;=100000,INDEX($U$1005:$AC$1005,1,MATCH(COLUMNS($U$1006:X1006),$U$1006:$AC$1006,0))&gt;=100000), " ",IF(INDEX($U$2:$AC$1001,MATCH(ROWS($N$2:N881),$N$2:$N$1001,0),MATCH(COLUMNS($U$1006:X1006),$U$1006:$AC$1006,0)), HYPERLINK("#",""), HYPERLINK(CONCATENATE("#metadata!", ADDRESS(INDEX($P$2:$P$1001,MATCH(ROWS($N$2:N881),$N$2:$N$1001,0),0), INDEX($U$1004:$AC$1004,1,MATCH(COLUMNS($U$1006:X1006),$U$1006:$AC$1006,0)))),"Fix")))</f>
        <v>0</v>
      </c>
      <c r="F881" s="3">
        <f>IF(OR(INDEX($O$2:$O$1001,MATCH(ROWS($N$2:N881),$N$2:$N$1001,0),1)&gt;=100000,INDEX($U$1005:$AC$1005,1,MATCH(COLUMNS($U$1006:Y1006),$U$1006:$AC$1006,0))&gt;=100000), " ",IF(INDEX($U$2:$AC$1001,MATCH(ROWS($N$2:N881),$N$2:$N$1001,0),MATCH(COLUMNS($U$1006:Y1006),$U$1006:$AC$1006,0)), HYPERLINK("#",""), HYPERLINK(CONCATENATE("#metadata!", ADDRESS(INDEX($P$2:$P$1001,MATCH(ROWS($N$2:N881),$N$2:$N$1001,0),0), INDEX($U$1004:$AC$1004,1,MATCH(COLUMNS($U$1006:Y1006),$U$1006:$AC$1006,0)))),"Fix")))</f>
        <v>0</v>
      </c>
      <c r="G881" s="3">
        <f>IF(OR(INDEX($O$2:$O$1001,MATCH(ROWS($N$2:N881),$N$2:$N$1001,0),1)&gt;=100000,INDEX($U$1005:$AC$1005,1,MATCH(COLUMNS($U$1006:Z1006),$U$1006:$AC$1006,0))&gt;=100000), " ",IF(INDEX($U$2:$AC$1001,MATCH(ROWS($N$2:N881),$N$2:$N$1001,0),MATCH(COLUMNS($U$1006:Z1006),$U$1006:$AC$1006,0)), HYPERLINK("#",""), HYPERLINK(CONCATENATE("#metadata!", ADDRESS(INDEX($P$2:$P$1001,MATCH(ROWS($N$2:N881),$N$2:$N$1001,0),0), INDEX($U$1004:$AC$1004,1,MATCH(COLUMNS($U$1006:Z1006),$U$1006:$AC$1006,0)))),"Fix")))</f>
        <v>0</v>
      </c>
      <c r="H881" s="3">
        <f>IF(OR(INDEX($O$2:$O$1001,MATCH(ROWS($N$2:N881),$N$2:$N$1001,0),1)&gt;=100000,INDEX($U$1005:$AC$1005,1,MATCH(COLUMNS($U$1006:AA1006),$U$1006:$AC$1006,0))&gt;=100000), " ",IF(INDEX($U$2:$AC$1001,MATCH(ROWS($N$2:N881),$N$2:$N$1001,0),MATCH(COLUMNS($U$1006:AA1006),$U$1006:$AC$1006,0)), HYPERLINK("#",""), HYPERLINK(CONCATENATE("#metadata!", ADDRESS(INDEX($P$2:$P$1001,MATCH(ROWS($N$2:N881),$N$2:$N$1001,0),0), INDEX($U$1004:$AC$1004,1,MATCH(COLUMNS($U$1006:AA1006),$U$1006:$AC$1006,0)))),"Fix")))</f>
        <v>0</v>
      </c>
      <c r="I881" s="3">
        <f>IF(OR(INDEX($O$2:$O$1001,MATCH(ROWS($N$2:N881),$N$2:$N$1001,0),1)&gt;=100000,INDEX($U$1005:$AC$1005,1,MATCH(COLUMNS($U$1006:AB1006),$U$1006:$AC$1006,0))&gt;=100000), " ",IF(INDEX($U$2:$AC$1001,MATCH(ROWS($N$2:N881),$N$2:$N$1001,0),MATCH(COLUMNS($U$1006:AB1006),$U$1006:$AC$1006,0)), HYPERLINK("#",""), HYPERLINK(CONCATENATE("#metadata!", ADDRESS(INDEX($P$2:$P$1001,MATCH(ROWS($N$2:N881),$N$2:$N$1001,0),0), INDEX($U$1004:$AC$1004,1,MATCH(COLUMNS($U$1006:AB1006),$U$1006:$AC$1006,0)))),"Fix")))</f>
        <v>0</v>
      </c>
      <c r="J881" s="3">
        <f>IF(OR(INDEX($O$2:$O$1001,MATCH(ROWS($N$2:N881),$N$2:$N$1001,0),1)&gt;=100000,INDEX($U$1005:$AC$1005,1,MATCH(COLUMNS($U$1006:AC1006),$U$1006:$AC$1006,0))&gt;=100000), " ",IF(INDEX($U$2:$AC$1001,MATCH(ROWS($N$2:N881),$N$2:$N$1001,0),MATCH(COLUMNS($U$1006:AC1006),$U$1006:$AC$1006,0)), HYPERLINK("#",""), HYPERLINK(CONCATENATE("#metadata!", ADDRESS(INDEX($P$2:$P$1001,MATCH(ROWS($N$2:N881),$N$2:$N$1001,0),0), INDEX($U$1004:$AC$1004,1,MATCH(COLUMNS($U$1006:AC1006),$U$1006:$AC$1006,0)))),"Fix")))</f>
        <v>0</v>
      </c>
      <c r="N881">
        <v>0</v>
      </c>
      <c r="O881">
        <v>0</v>
      </c>
      <c r="P881">
        <v>0</v>
      </c>
      <c r="Q881">
        <f>IF(R881,TRUE,AND(U881:AC881))</f>
        <v>0</v>
      </c>
      <c r="R881">
        <f>COUNTBLANK(metadata!B881:J881)=COLUMNS(metadata!B881:J881)</f>
        <v>0</v>
      </c>
      <c r="S881">
        <v>0</v>
      </c>
      <c r="U881">
        <f>AND(IF(metadata!B881="",FALSE,TRUE),COUNTIF(metadata!B:B, metadata!B881) = 1,NOT(ISERROR(SUMPRODUCT(SEARCH(MID(metadata!B881,ROW(INDIRECT("1:"&amp;LEN(metadata!B881))), 1),"0123456789abcdefghijklmnopqrstuvwxyzABCDEFGHIJKLMNOPQRSTUVWXYZ.")))))</f>
        <v>0</v>
      </c>
      <c r="V881">
        <f>AND(IF(metadata!C881="",FALSE,TRUE),exact(metadata!C881,"UBERON:genitourinary"))</f>
        <v>0</v>
      </c>
      <c r="W881">
        <f>AND(IF(metadata!D881="",FALSE,TRUE),exact(metadata!D881,"UBERON:urine"))</f>
        <v>0</v>
      </c>
      <c r="X881">
        <f>AND(IF(metadata!E881="",FALSE,TRUE),exact(metadata!E881,"UBERON:kidney"))</f>
        <v>0</v>
      </c>
      <c r="Y881">
        <f>AND(IF(metadata!F881="",FALSE,TRUE),exact(metadata!F881,"animal corpus"))</f>
        <v>0</v>
      </c>
      <c r="Z881">
        <f>AND(IF(metadata!G881="",FALSE,TRUE),exact(metadata!G881,"urine"))</f>
        <v>0</v>
      </c>
      <c r="AA881">
        <f>AND(IF(metadata!H881="",FALSE,TRUE),exact(metadata!H881,"urine"))</f>
        <v>0</v>
      </c>
      <c r="AB881">
        <f>AND(IF(metadata!I881="",FALSE,TRUE),exact(metadata!I881,"urine metagenome"))</f>
        <v>0</v>
      </c>
      <c r="AC881">
        <f>AND(IF(metadata!J881="",FALSE,TRUE),exact(metadata!J881,"1346744"))</f>
        <v>0</v>
      </c>
    </row>
    <row r="882" spans="1:29">
      <c r="A882" s="4">
        <f>IF(B882=" "," ",HYPERLINK(CONCATENATE("#metadata!",ADDRESS(INDEX($P$2:$P$1001,MATCH(ROWS($N$2:N882),$N$2:$N$1001,0),0),1)),INDEX($S$2:$S$1001,MATCH(ROWS($N$2:N882),$N$2:$N$1001,0),0)))</f>
        <v>0</v>
      </c>
      <c r="B882" s="3">
        <f>IF(OR(INDEX($O$2:$O$1001,MATCH(ROWS($N$2:N882),$N$2:$N$1001,0),1)&gt;=100000,INDEX($U$1005:$AC$1005,1,MATCH(COLUMNS($U$1006:U1006),$U$1006:$AC$1006,0))&gt;=100000), " ",IF(INDEX($U$2:$AC$1001,MATCH(ROWS($N$2:N882),$N$2:$N$1001,0),MATCH(COLUMNS($U$1006:U1006),$U$1006:$AC$1006,0)), HYPERLINK("#",""), HYPERLINK(CONCATENATE("#metadata!", ADDRESS(INDEX($P$2:$P$1001,MATCH(ROWS($N$2:N882),$N$2:$N$1001,0),0), INDEX($U$1004:$AC$1004,1,MATCH(COLUMNS($U$1006:U1006),$U$1006:$AC$1006,0)))),"Fix")))</f>
        <v>0</v>
      </c>
      <c r="C882" s="3">
        <f>IF(OR(INDEX($O$2:$O$1001,MATCH(ROWS($N$2:N882),$N$2:$N$1001,0),1)&gt;=100000,INDEX($U$1005:$AC$1005,1,MATCH(COLUMNS($U$1006:V1006),$U$1006:$AC$1006,0))&gt;=100000), " ",IF(INDEX($U$2:$AC$1001,MATCH(ROWS($N$2:N882),$N$2:$N$1001,0),MATCH(COLUMNS($U$1006:V1006),$U$1006:$AC$1006,0)), HYPERLINK("#",""), HYPERLINK(CONCATENATE("#metadata!", ADDRESS(INDEX($P$2:$P$1001,MATCH(ROWS($N$2:N882),$N$2:$N$1001,0),0), INDEX($U$1004:$AC$1004,1,MATCH(COLUMNS($U$1006:V1006),$U$1006:$AC$1006,0)))),"Fix")))</f>
        <v>0</v>
      </c>
      <c r="D882" s="3">
        <f>IF(OR(INDEX($O$2:$O$1001,MATCH(ROWS($N$2:N882),$N$2:$N$1001,0),1)&gt;=100000,INDEX($U$1005:$AC$1005,1,MATCH(COLUMNS($U$1006:W1006),$U$1006:$AC$1006,0))&gt;=100000), " ",IF(INDEX($U$2:$AC$1001,MATCH(ROWS($N$2:N882),$N$2:$N$1001,0),MATCH(COLUMNS($U$1006:W1006),$U$1006:$AC$1006,0)), HYPERLINK("#",""), HYPERLINK(CONCATENATE("#metadata!", ADDRESS(INDEX($P$2:$P$1001,MATCH(ROWS($N$2:N882),$N$2:$N$1001,0),0), INDEX($U$1004:$AC$1004,1,MATCH(COLUMNS($U$1006:W1006),$U$1006:$AC$1006,0)))),"Fix")))</f>
        <v>0</v>
      </c>
      <c r="E882" s="3">
        <f>IF(OR(INDEX($O$2:$O$1001,MATCH(ROWS($N$2:N882),$N$2:$N$1001,0),1)&gt;=100000,INDEX($U$1005:$AC$1005,1,MATCH(COLUMNS($U$1006:X1006),$U$1006:$AC$1006,0))&gt;=100000), " ",IF(INDEX($U$2:$AC$1001,MATCH(ROWS($N$2:N882),$N$2:$N$1001,0),MATCH(COLUMNS($U$1006:X1006),$U$1006:$AC$1006,0)), HYPERLINK("#",""), HYPERLINK(CONCATENATE("#metadata!", ADDRESS(INDEX($P$2:$P$1001,MATCH(ROWS($N$2:N882),$N$2:$N$1001,0),0), INDEX($U$1004:$AC$1004,1,MATCH(COLUMNS($U$1006:X1006),$U$1006:$AC$1006,0)))),"Fix")))</f>
        <v>0</v>
      </c>
      <c r="F882" s="3">
        <f>IF(OR(INDEX($O$2:$O$1001,MATCH(ROWS($N$2:N882),$N$2:$N$1001,0),1)&gt;=100000,INDEX($U$1005:$AC$1005,1,MATCH(COLUMNS($U$1006:Y1006),$U$1006:$AC$1006,0))&gt;=100000), " ",IF(INDEX($U$2:$AC$1001,MATCH(ROWS($N$2:N882),$N$2:$N$1001,0),MATCH(COLUMNS($U$1006:Y1006),$U$1006:$AC$1006,0)), HYPERLINK("#",""), HYPERLINK(CONCATENATE("#metadata!", ADDRESS(INDEX($P$2:$P$1001,MATCH(ROWS($N$2:N882),$N$2:$N$1001,0),0), INDEX($U$1004:$AC$1004,1,MATCH(COLUMNS($U$1006:Y1006),$U$1006:$AC$1006,0)))),"Fix")))</f>
        <v>0</v>
      </c>
      <c r="G882" s="3">
        <f>IF(OR(INDEX($O$2:$O$1001,MATCH(ROWS($N$2:N882),$N$2:$N$1001,0),1)&gt;=100000,INDEX($U$1005:$AC$1005,1,MATCH(COLUMNS($U$1006:Z1006),$U$1006:$AC$1006,0))&gt;=100000), " ",IF(INDEX($U$2:$AC$1001,MATCH(ROWS($N$2:N882),$N$2:$N$1001,0),MATCH(COLUMNS($U$1006:Z1006),$U$1006:$AC$1006,0)), HYPERLINK("#",""), HYPERLINK(CONCATENATE("#metadata!", ADDRESS(INDEX($P$2:$P$1001,MATCH(ROWS($N$2:N882),$N$2:$N$1001,0),0), INDEX($U$1004:$AC$1004,1,MATCH(COLUMNS($U$1006:Z1006),$U$1006:$AC$1006,0)))),"Fix")))</f>
        <v>0</v>
      </c>
      <c r="H882" s="3">
        <f>IF(OR(INDEX($O$2:$O$1001,MATCH(ROWS($N$2:N882),$N$2:$N$1001,0),1)&gt;=100000,INDEX($U$1005:$AC$1005,1,MATCH(COLUMNS($U$1006:AA1006),$U$1006:$AC$1006,0))&gt;=100000), " ",IF(INDEX($U$2:$AC$1001,MATCH(ROWS($N$2:N882),$N$2:$N$1001,0),MATCH(COLUMNS($U$1006:AA1006),$U$1006:$AC$1006,0)), HYPERLINK("#",""), HYPERLINK(CONCATENATE("#metadata!", ADDRESS(INDEX($P$2:$P$1001,MATCH(ROWS($N$2:N882),$N$2:$N$1001,0),0), INDEX($U$1004:$AC$1004,1,MATCH(COLUMNS($U$1006:AA1006),$U$1006:$AC$1006,0)))),"Fix")))</f>
        <v>0</v>
      </c>
      <c r="I882" s="3">
        <f>IF(OR(INDEX($O$2:$O$1001,MATCH(ROWS($N$2:N882),$N$2:$N$1001,0),1)&gt;=100000,INDEX($U$1005:$AC$1005,1,MATCH(COLUMNS($U$1006:AB1006),$U$1006:$AC$1006,0))&gt;=100000), " ",IF(INDEX($U$2:$AC$1001,MATCH(ROWS($N$2:N882),$N$2:$N$1001,0),MATCH(COLUMNS($U$1006:AB1006),$U$1006:$AC$1006,0)), HYPERLINK("#",""), HYPERLINK(CONCATENATE("#metadata!", ADDRESS(INDEX($P$2:$P$1001,MATCH(ROWS($N$2:N882),$N$2:$N$1001,0),0), INDEX($U$1004:$AC$1004,1,MATCH(COLUMNS($U$1006:AB1006),$U$1006:$AC$1006,0)))),"Fix")))</f>
        <v>0</v>
      </c>
      <c r="J882" s="3">
        <f>IF(OR(INDEX($O$2:$O$1001,MATCH(ROWS($N$2:N882),$N$2:$N$1001,0),1)&gt;=100000,INDEX($U$1005:$AC$1005,1,MATCH(COLUMNS($U$1006:AC1006),$U$1006:$AC$1006,0))&gt;=100000), " ",IF(INDEX($U$2:$AC$1001,MATCH(ROWS($N$2:N882),$N$2:$N$1001,0),MATCH(COLUMNS($U$1006:AC1006),$U$1006:$AC$1006,0)), HYPERLINK("#",""), HYPERLINK(CONCATENATE("#metadata!", ADDRESS(INDEX($P$2:$P$1001,MATCH(ROWS($N$2:N882),$N$2:$N$1001,0),0), INDEX($U$1004:$AC$1004,1,MATCH(COLUMNS($U$1006:AC1006),$U$1006:$AC$1006,0)))),"Fix")))</f>
        <v>0</v>
      </c>
      <c r="N882">
        <v>0</v>
      </c>
      <c r="O882">
        <v>0</v>
      </c>
      <c r="P882">
        <v>0</v>
      </c>
      <c r="Q882">
        <f>IF(R882,TRUE,AND(U882:AC882))</f>
        <v>0</v>
      </c>
      <c r="R882">
        <f>COUNTBLANK(metadata!B882:J882)=COLUMNS(metadata!B882:J882)</f>
        <v>0</v>
      </c>
      <c r="S882">
        <v>0</v>
      </c>
      <c r="U882">
        <f>AND(IF(metadata!B882="",FALSE,TRUE),COUNTIF(metadata!B:B, metadata!B882) = 1,NOT(ISERROR(SUMPRODUCT(SEARCH(MID(metadata!B882,ROW(INDIRECT("1:"&amp;LEN(metadata!B882))), 1),"0123456789abcdefghijklmnopqrstuvwxyzABCDEFGHIJKLMNOPQRSTUVWXYZ.")))))</f>
        <v>0</v>
      </c>
      <c r="V882">
        <f>AND(IF(metadata!C882="",FALSE,TRUE),exact(metadata!C882,"UBERON:genitourinary"))</f>
        <v>0</v>
      </c>
      <c r="W882">
        <f>AND(IF(metadata!D882="",FALSE,TRUE),exact(metadata!D882,"UBERON:urine"))</f>
        <v>0</v>
      </c>
      <c r="X882">
        <f>AND(IF(metadata!E882="",FALSE,TRUE),exact(metadata!E882,"UBERON:kidney"))</f>
        <v>0</v>
      </c>
      <c r="Y882">
        <f>AND(IF(metadata!F882="",FALSE,TRUE),exact(metadata!F882,"animal corpus"))</f>
        <v>0</v>
      </c>
      <c r="Z882">
        <f>AND(IF(metadata!G882="",FALSE,TRUE),exact(metadata!G882,"urine"))</f>
        <v>0</v>
      </c>
      <c r="AA882">
        <f>AND(IF(metadata!H882="",FALSE,TRUE),exact(metadata!H882,"urine"))</f>
        <v>0</v>
      </c>
      <c r="AB882">
        <f>AND(IF(metadata!I882="",FALSE,TRUE),exact(metadata!I882,"urine metagenome"))</f>
        <v>0</v>
      </c>
      <c r="AC882">
        <f>AND(IF(metadata!J882="",FALSE,TRUE),exact(metadata!J882,"1346744"))</f>
        <v>0</v>
      </c>
    </row>
    <row r="883" spans="1:29">
      <c r="A883" s="4">
        <f>IF(B883=" "," ",HYPERLINK(CONCATENATE("#metadata!",ADDRESS(INDEX($P$2:$P$1001,MATCH(ROWS($N$2:N883),$N$2:$N$1001,0),0),1)),INDEX($S$2:$S$1001,MATCH(ROWS($N$2:N883),$N$2:$N$1001,0),0)))</f>
        <v>0</v>
      </c>
      <c r="B883" s="3">
        <f>IF(OR(INDEX($O$2:$O$1001,MATCH(ROWS($N$2:N883),$N$2:$N$1001,0),1)&gt;=100000,INDEX($U$1005:$AC$1005,1,MATCH(COLUMNS($U$1006:U1006),$U$1006:$AC$1006,0))&gt;=100000), " ",IF(INDEX($U$2:$AC$1001,MATCH(ROWS($N$2:N883),$N$2:$N$1001,0),MATCH(COLUMNS($U$1006:U1006),$U$1006:$AC$1006,0)), HYPERLINK("#",""), HYPERLINK(CONCATENATE("#metadata!", ADDRESS(INDEX($P$2:$P$1001,MATCH(ROWS($N$2:N883),$N$2:$N$1001,0),0), INDEX($U$1004:$AC$1004,1,MATCH(COLUMNS($U$1006:U1006),$U$1006:$AC$1006,0)))),"Fix")))</f>
        <v>0</v>
      </c>
      <c r="C883" s="3">
        <f>IF(OR(INDEX($O$2:$O$1001,MATCH(ROWS($N$2:N883),$N$2:$N$1001,0),1)&gt;=100000,INDEX($U$1005:$AC$1005,1,MATCH(COLUMNS($U$1006:V1006),$U$1006:$AC$1006,0))&gt;=100000), " ",IF(INDEX($U$2:$AC$1001,MATCH(ROWS($N$2:N883),$N$2:$N$1001,0),MATCH(COLUMNS($U$1006:V1006),$U$1006:$AC$1006,0)), HYPERLINK("#",""), HYPERLINK(CONCATENATE("#metadata!", ADDRESS(INDEX($P$2:$P$1001,MATCH(ROWS($N$2:N883),$N$2:$N$1001,0),0), INDEX($U$1004:$AC$1004,1,MATCH(COLUMNS($U$1006:V1006),$U$1006:$AC$1006,0)))),"Fix")))</f>
        <v>0</v>
      </c>
      <c r="D883" s="3">
        <f>IF(OR(INDEX($O$2:$O$1001,MATCH(ROWS($N$2:N883),$N$2:$N$1001,0),1)&gt;=100000,INDEX($U$1005:$AC$1005,1,MATCH(COLUMNS($U$1006:W1006),$U$1006:$AC$1006,0))&gt;=100000), " ",IF(INDEX($U$2:$AC$1001,MATCH(ROWS($N$2:N883),$N$2:$N$1001,0),MATCH(COLUMNS($U$1006:W1006),$U$1006:$AC$1006,0)), HYPERLINK("#",""), HYPERLINK(CONCATENATE("#metadata!", ADDRESS(INDEX($P$2:$P$1001,MATCH(ROWS($N$2:N883),$N$2:$N$1001,0),0), INDEX($U$1004:$AC$1004,1,MATCH(COLUMNS($U$1006:W1006),$U$1006:$AC$1006,0)))),"Fix")))</f>
        <v>0</v>
      </c>
      <c r="E883" s="3">
        <f>IF(OR(INDEX($O$2:$O$1001,MATCH(ROWS($N$2:N883),$N$2:$N$1001,0),1)&gt;=100000,INDEX($U$1005:$AC$1005,1,MATCH(COLUMNS($U$1006:X1006),$U$1006:$AC$1006,0))&gt;=100000), " ",IF(INDEX($U$2:$AC$1001,MATCH(ROWS($N$2:N883),$N$2:$N$1001,0),MATCH(COLUMNS($U$1006:X1006),$U$1006:$AC$1006,0)), HYPERLINK("#",""), HYPERLINK(CONCATENATE("#metadata!", ADDRESS(INDEX($P$2:$P$1001,MATCH(ROWS($N$2:N883),$N$2:$N$1001,0),0), INDEX($U$1004:$AC$1004,1,MATCH(COLUMNS($U$1006:X1006),$U$1006:$AC$1006,0)))),"Fix")))</f>
        <v>0</v>
      </c>
      <c r="F883" s="3">
        <f>IF(OR(INDEX($O$2:$O$1001,MATCH(ROWS($N$2:N883),$N$2:$N$1001,0),1)&gt;=100000,INDEX($U$1005:$AC$1005,1,MATCH(COLUMNS($U$1006:Y1006),$U$1006:$AC$1006,0))&gt;=100000), " ",IF(INDEX($U$2:$AC$1001,MATCH(ROWS($N$2:N883),$N$2:$N$1001,0),MATCH(COLUMNS($U$1006:Y1006),$U$1006:$AC$1006,0)), HYPERLINK("#",""), HYPERLINK(CONCATENATE("#metadata!", ADDRESS(INDEX($P$2:$P$1001,MATCH(ROWS($N$2:N883),$N$2:$N$1001,0),0), INDEX($U$1004:$AC$1004,1,MATCH(COLUMNS($U$1006:Y1006),$U$1006:$AC$1006,0)))),"Fix")))</f>
        <v>0</v>
      </c>
      <c r="G883" s="3">
        <f>IF(OR(INDEX($O$2:$O$1001,MATCH(ROWS($N$2:N883),$N$2:$N$1001,0),1)&gt;=100000,INDEX($U$1005:$AC$1005,1,MATCH(COLUMNS($U$1006:Z1006),$U$1006:$AC$1006,0))&gt;=100000), " ",IF(INDEX($U$2:$AC$1001,MATCH(ROWS($N$2:N883),$N$2:$N$1001,0),MATCH(COLUMNS($U$1006:Z1006),$U$1006:$AC$1006,0)), HYPERLINK("#",""), HYPERLINK(CONCATENATE("#metadata!", ADDRESS(INDEX($P$2:$P$1001,MATCH(ROWS($N$2:N883),$N$2:$N$1001,0),0), INDEX($U$1004:$AC$1004,1,MATCH(COLUMNS($U$1006:Z1006),$U$1006:$AC$1006,0)))),"Fix")))</f>
        <v>0</v>
      </c>
      <c r="H883" s="3">
        <f>IF(OR(INDEX($O$2:$O$1001,MATCH(ROWS($N$2:N883),$N$2:$N$1001,0),1)&gt;=100000,INDEX($U$1005:$AC$1005,1,MATCH(COLUMNS($U$1006:AA1006),$U$1006:$AC$1006,0))&gt;=100000), " ",IF(INDEX($U$2:$AC$1001,MATCH(ROWS($N$2:N883),$N$2:$N$1001,0),MATCH(COLUMNS($U$1006:AA1006),$U$1006:$AC$1006,0)), HYPERLINK("#",""), HYPERLINK(CONCATENATE("#metadata!", ADDRESS(INDEX($P$2:$P$1001,MATCH(ROWS($N$2:N883),$N$2:$N$1001,0),0), INDEX($U$1004:$AC$1004,1,MATCH(COLUMNS($U$1006:AA1006),$U$1006:$AC$1006,0)))),"Fix")))</f>
        <v>0</v>
      </c>
      <c r="I883" s="3">
        <f>IF(OR(INDEX($O$2:$O$1001,MATCH(ROWS($N$2:N883),$N$2:$N$1001,0),1)&gt;=100000,INDEX($U$1005:$AC$1005,1,MATCH(COLUMNS($U$1006:AB1006),$U$1006:$AC$1006,0))&gt;=100000), " ",IF(INDEX($U$2:$AC$1001,MATCH(ROWS($N$2:N883),$N$2:$N$1001,0),MATCH(COLUMNS($U$1006:AB1006),$U$1006:$AC$1006,0)), HYPERLINK("#",""), HYPERLINK(CONCATENATE("#metadata!", ADDRESS(INDEX($P$2:$P$1001,MATCH(ROWS($N$2:N883),$N$2:$N$1001,0),0), INDEX($U$1004:$AC$1004,1,MATCH(COLUMNS($U$1006:AB1006),$U$1006:$AC$1006,0)))),"Fix")))</f>
        <v>0</v>
      </c>
      <c r="J883" s="3">
        <f>IF(OR(INDEX($O$2:$O$1001,MATCH(ROWS($N$2:N883),$N$2:$N$1001,0),1)&gt;=100000,INDEX($U$1005:$AC$1005,1,MATCH(COLUMNS($U$1006:AC1006),$U$1006:$AC$1006,0))&gt;=100000), " ",IF(INDEX($U$2:$AC$1001,MATCH(ROWS($N$2:N883),$N$2:$N$1001,0),MATCH(COLUMNS($U$1006:AC1006),$U$1006:$AC$1006,0)), HYPERLINK("#",""), HYPERLINK(CONCATENATE("#metadata!", ADDRESS(INDEX($P$2:$P$1001,MATCH(ROWS($N$2:N883),$N$2:$N$1001,0),0), INDEX($U$1004:$AC$1004,1,MATCH(COLUMNS($U$1006:AC1006),$U$1006:$AC$1006,0)))),"Fix")))</f>
        <v>0</v>
      </c>
      <c r="N883">
        <v>0</v>
      </c>
      <c r="O883">
        <v>0</v>
      </c>
      <c r="P883">
        <v>0</v>
      </c>
      <c r="Q883">
        <f>IF(R883,TRUE,AND(U883:AC883))</f>
        <v>0</v>
      </c>
      <c r="R883">
        <f>COUNTBLANK(metadata!B883:J883)=COLUMNS(metadata!B883:J883)</f>
        <v>0</v>
      </c>
      <c r="S883">
        <v>0</v>
      </c>
      <c r="U883">
        <f>AND(IF(metadata!B883="",FALSE,TRUE),COUNTIF(metadata!B:B, metadata!B883) = 1,NOT(ISERROR(SUMPRODUCT(SEARCH(MID(metadata!B883,ROW(INDIRECT("1:"&amp;LEN(metadata!B883))), 1),"0123456789abcdefghijklmnopqrstuvwxyzABCDEFGHIJKLMNOPQRSTUVWXYZ.")))))</f>
        <v>0</v>
      </c>
      <c r="V883">
        <f>AND(IF(metadata!C883="",FALSE,TRUE),exact(metadata!C883,"UBERON:genitourinary"))</f>
        <v>0</v>
      </c>
      <c r="W883">
        <f>AND(IF(metadata!D883="",FALSE,TRUE),exact(metadata!D883,"UBERON:urine"))</f>
        <v>0</v>
      </c>
      <c r="X883">
        <f>AND(IF(metadata!E883="",FALSE,TRUE),exact(metadata!E883,"UBERON:kidney"))</f>
        <v>0</v>
      </c>
      <c r="Y883">
        <f>AND(IF(metadata!F883="",FALSE,TRUE),exact(metadata!F883,"animal corpus"))</f>
        <v>0</v>
      </c>
      <c r="Z883">
        <f>AND(IF(metadata!G883="",FALSE,TRUE),exact(metadata!G883,"urine"))</f>
        <v>0</v>
      </c>
      <c r="AA883">
        <f>AND(IF(metadata!H883="",FALSE,TRUE),exact(metadata!H883,"urine"))</f>
        <v>0</v>
      </c>
      <c r="AB883">
        <f>AND(IF(metadata!I883="",FALSE,TRUE),exact(metadata!I883,"urine metagenome"))</f>
        <v>0</v>
      </c>
      <c r="AC883">
        <f>AND(IF(metadata!J883="",FALSE,TRUE),exact(metadata!J883,"1346744"))</f>
        <v>0</v>
      </c>
    </row>
    <row r="884" spans="1:29">
      <c r="A884" s="4">
        <f>IF(B884=" "," ",HYPERLINK(CONCATENATE("#metadata!",ADDRESS(INDEX($P$2:$P$1001,MATCH(ROWS($N$2:N884),$N$2:$N$1001,0),0),1)),INDEX($S$2:$S$1001,MATCH(ROWS($N$2:N884),$N$2:$N$1001,0),0)))</f>
        <v>0</v>
      </c>
      <c r="B884" s="3">
        <f>IF(OR(INDEX($O$2:$O$1001,MATCH(ROWS($N$2:N884),$N$2:$N$1001,0),1)&gt;=100000,INDEX($U$1005:$AC$1005,1,MATCH(COLUMNS($U$1006:U1006),$U$1006:$AC$1006,0))&gt;=100000), " ",IF(INDEX($U$2:$AC$1001,MATCH(ROWS($N$2:N884),$N$2:$N$1001,0),MATCH(COLUMNS($U$1006:U1006),$U$1006:$AC$1006,0)), HYPERLINK("#",""), HYPERLINK(CONCATENATE("#metadata!", ADDRESS(INDEX($P$2:$P$1001,MATCH(ROWS($N$2:N884),$N$2:$N$1001,0),0), INDEX($U$1004:$AC$1004,1,MATCH(COLUMNS($U$1006:U1006),$U$1006:$AC$1006,0)))),"Fix")))</f>
        <v>0</v>
      </c>
      <c r="C884" s="3">
        <f>IF(OR(INDEX($O$2:$O$1001,MATCH(ROWS($N$2:N884),$N$2:$N$1001,0),1)&gt;=100000,INDEX($U$1005:$AC$1005,1,MATCH(COLUMNS($U$1006:V1006),$U$1006:$AC$1006,0))&gt;=100000), " ",IF(INDEX($U$2:$AC$1001,MATCH(ROWS($N$2:N884),$N$2:$N$1001,0),MATCH(COLUMNS($U$1006:V1006),$U$1006:$AC$1006,0)), HYPERLINK("#",""), HYPERLINK(CONCATENATE("#metadata!", ADDRESS(INDEX($P$2:$P$1001,MATCH(ROWS($N$2:N884),$N$2:$N$1001,0),0), INDEX($U$1004:$AC$1004,1,MATCH(COLUMNS($U$1006:V1006),$U$1006:$AC$1006,0)))),"Fix")))</f>
        <v>0</v>
      </c>
      <c r="D884" s="3">
        <f>IF(OR(INDEX($O$2:$O$1001,MATCH(ROWS($N$2:N884),$N$2:$N$1001,0),1)&gt;=100000,INDEX($U$1005:$AC$1005,1,MATCH(COLUMNS($U$1006:W1006),$U$1006:$AC$1006,0))&gt;=100000), " ",IF(INDEX($U$2:$AC$1001,MATCH(ROWS($N$2:N884),$N$2:$N$1001,0),MATCH(COLUMNS($U$1006:W1006),$U$1006:$AC$1006,0)), HYPERLINK("#",""), HYPERLINK(CONCATENATE("#metadata!", ADDRESS(INDEX($P$2:$P$1001,MATCH(ROWS($N$2:N884),$N$2:$N$1001,0),0), INDEX($U$1004:$AC$1004,1,MATCH(COLUMNS($U$1006:W1006),$U$1006:$AC$1006,0)))),"Fix")))</f>
        <v>0</v>
      </c>
      <c r="E884" s="3">
        <f>IF(OR(INDEX($O$2:$O$1001,MATCH(ROWS($N$2:N884),$N$2:$N$1001,0),1)&gt;=100000,INDEX($U$1005:$AC$1005,1,MATCH(COLUMNS($U$1006:X1006),$U$1006:$AC$1006,0))&gt;=100000), " ",IF(INDEX($U$2:$AC$1001,MATCH(ROWS($N$2:N884),$N$2:$N$1001,0),MATCH(COLUMNS($U$1006:X1006),$U$1006:$AC$1006,0)), HYPERLINK("#",""), HYPERLINK(CONCATENATE("#metadata!", ADDRESS(INDEX($P$2:$P$1001,MATCH(ROWS($N$2:N884),$N$2:$N$1001,0),0), INDEX($U$1004:$AC$1004,1,MATCH(COLUMNS($U$1006:X1006),$U$1006:$AC$1006,0)))),"Fix")))</f>
        <v>0</v>
      </c>
      <c r="F884" s="3">
        <f>IF(OR(INDEX($O$2:$O$1001,MATCH(ROWS($N$2:N884),$N$2:$N$1001,0),1)&gt;=100000,INDEX($U$1005:$AC$1005,1,MATCH(COLUMNS($U$1006:Y1006),$U$1006:$AC$1006,0))&gt;=100000), " ",IF(INDEX($U$2:$AC$1001,MATCH(ROWS($N$2:N884),$N$2:$N$1001,0),MATCH(COLUMNS($U$1006:Y1006),$U$1006:$AC$1006,0)), HYPERLINK("#",""), HYPERLINK(CONCATENATE("#metadata!", ADDRESS(INDEX($P$2:$P$1001,MATCH(ROWS($N$2:N884),$N$2:$N$1001,0),0), INDEX($U$1004:$AC$1004,1,MATCH(COLUMNS($U$1006:Y1006),$U$1006:$AC$1006,0)))),"Fix")))</f>
        <v>0</v>
      </c>
      <c r="G884" s="3">
        <f>IF(OR(INDEX($O$2:$O$1001,MATCH(ROWS($N$2:N884),$N$2:$N$1001,0),1)&gt;=100000,INDEX($U$1005:$AC$1005,1,MATCH(COLUMNS($U$1006:Z1006),$U$1006:$AC$1006,0))&gt;=100000), " ",IF(INDEX($U$2:$AC$1001,MATCH(ROWS($N$2:N884),$N$2:$N$1001,0),MATCH(COLUMNS($U$1006:Z1006),$U$1006:$AC$1006,0)), HYPERLINK("#",""), HYPERLINK(CONCATENATE("#metadata!", ADDRESS(INDEX($P$2:$P$1001,MATCH(ROWS($N$2:N884),$N$2:$N$1001,0),0), INDEX($U$1004:$AC$1004,1,MATCH(COLUMNS($U$1006:Z1006),$U$1006:$AC$1006,0)))),"Fix")))</f>
        <v>0</v>
      </c>
      <c r="H884" s="3">
        <f>IF(OR(INDEX($O$2:$O$1001,MATCH(ROWS($N$2:N884),$N$2:$N$1001,0),1)&gt;=100000,INDEX($U$1005:$AC$1005,1,MATCH(COLUMNS($U$1006:AA1006),$U$1006:$AC$1006,0))&gt;=100000), " ",IF(INDEX($U$2:$AC$1001,MATCH(ROWS($N$2:N884),$N$2:$N$1001,0),MATCH(COLUMNS($U$1006:AA1006),$U$1006:$AC$1006,0)), HYPERLINK("#",""), HYPERLINK(CONCATENATE("#metadata!", ADDRESS(INDEX($P$2:$P$1001,MATCH(ROWS($N$2:N884),$N$2:$N$1001,0),0), INDEX($U$1004:$AC$1004,1,MATCH(COLUMNS($U$1006:AA1006),$U$1006:$AC$1006,0)))),"Fix")))</f>
        <v>0</v>
      </c>
      <c r="I884" s="3">
        <f>IF(OR(INDEX($O$2:$O$1001,MATCH(ROWS($N$2:N884),$N$2:$N$1001,0),1)&gt;=100000,INDEX($U$1005:$AC$1005,1,MATCH(COLUMNS($U$1006:AB1006),$U$1006:$AC$1006,0))&gt;=100000), " ",IF(INDEX($U$2:$AC$1001,MATCH(ROWS($N$2:N884),$N$2:$N$1001,0),MATCH(COLUMNS($U$1006:AB1006),$U$1006:$AC$1006,0)), HYPERLINK("#",""), HYPERLINK(CONCATENATE("#metadata!", ADDRESS(INDEX($P$2:$P$1001,MATCH(ROWS($N$2:N884),$N$2:$N$1001,0),0), INDEX($U$1004:$AC$1004,1,MATCH(COLUMNS($U$1006:AB1006),$U$1006:$AC$1006,0)))),"Fix")))</f>
        <v>0</v>
      </c>
      <c r="J884" s="3">
        <f>IF(OR(INDEX($O$2:$O$1001,MATCH(ROWS($N$2:N884),$N$2:$N$1001,0),1)&gt;=100000,INDEX($U$1005:$AC$1005,1,MATCH(COLUMNS($U$1006:AC1006),$U$1006:$AC$1006,0))&gt;=100000), " ",IF(INDEX($U$2:$AC$1001,MATCH(ROWS($N$2:N884),$N$2:$N$1001,0),MATCH(COLUMNS($U$1006:AC1006),$U$1006:$AC$1006,0)), HYPERLINK("#",""), HYPERLINK(CONCATENATE("#metadata!", ADDRESS(INDEX($P$2:$P$1001,MATCH(ROWS($N$2:N884),$N$2:$N$1001,0),0), INDEX($U$1004:$AC$1004,1,MATCH(COLUMNS($U$1006:AC1006),$U$1006:$AC$1006,0)))),"Fix")))</f>
        <v>0</v>
      </c>
      <c r="N884">
        <v>0</v>
      </c>
      <c r="O884">
        <v>0</v>
      </c>
      <c r="P884">
        <v>0</v>
      </c>
      <c r="Q884">
        <f>IF(R884,TRUE,AND(U884:AC884))</f>
        <v>0</v>
      </c>
      <c r="R884">
        <f>COUNTBLANK(metadata!B884:J884)=COLUMNS(metadata!B884:J884)</f>
        <v>0</v>
      </c>
      <c r="S884">
        <v>0</v>
      </c>
      <c r="U884">
        <f>AND(IF(metadata!B884="",FALSE,TRUE),COUNTIF(metadata!B:B, metadata!B884) = 1,NOT(ISERROR(SUMPRODUCT(SEARCH(MID(metadata!B884,ROW(INDIRECT("1:"&amp;LEN(metadata!B884))), 1),"0123456789abcdefghijklmnopqrstuvwxyzABCDEFGHIJKLMNOPQRSTUVWXYZ.")))))</f>
        <v>0</v>
      </c>
      <c r="V884">
        <f>AND(IF(metadata!C884="",FALSE,TRUE),exact(metadata!C884,"UBERON:genitourinary"))</f>
        <v>0</v>
      </c>
      <c r="W884">
        <f>AND(IF(metadata!D884="",FALSE,TRUE),exact(metadata!D884,"UBERON:urine"))</f>
        <v>0</v>
      </c>
      <c r="X884">
        <f>AND(IF(metadata!E884="",FALSE,TRUE),exact(metadata!E884,"UBERON:kidney"))</f>
        <v>0</v>
      </c>
      <c r="Y884">
        <f>AND(IF(metadata!F884="",FALSE,TRUE),exact(metadata!F884,"animal corpus"))</f>
        <v>0</v>
      </c>
      <c r="Z884">
        <f>AND(IF(metadata!G884="",FALSE,TRUE),exact(metadata!G884,"urine"))</f>
        <v>0</v>
      </c>
      <c r="AA884">
        <f>AND(IF(metadata!H884="",FALSE,TRUE),exact(metadata!H884,"urine"))</f>
        <v>0</v>
      </c>
      <c r="AB884">
        <f>AND(IF(metadata!I884="",FALSE,TRUE),exact(metadata!I884,"urine metagenome"))</f>
        <v>0</v>
      </c>
      <c r="AC884">
        <f>AND(IF(metadata!J884="",FALSE,TRUE),exact(metadata!J884,"1346744"))</f>
        <v>0</v>
      </c>
    </row>
    <row r="885" spans="1:29">
      <c r="A885" s="4">
        <f>IF(B885=" "," ",HYPERLINK(CONCATENATE("#metadata!",ADDRESS(INDEX($P$2:$P$1001,MATCH(ROWS($N$2:N885),$N$2:$N$1001,0),0),1)),INDEX($S$2:$S$1001,MATCH(ROWS($N$2:N885),$N$2:$N$1001,0),0)))</f>
        <v>0</v>
      </c>
      <c r="B885" s="3">
        <f>IF(OR(INDEX($O$2:$O$1001,MATCH(ROWS($N$2:N885),$N$2:$N$1001,0),1)&gt;=100000,INDEX($U$1005:$AC$1005,1,MATCH(COLUMNS($U$1006:U1006),$U$1006:$AC$1006,0))&gt;=100000), " ",IF(INDEX($U$2:$AC$1001,MATCH(ROWS($N$2:N885),$N$2:$N$1001,0),MATCH(COLUMNS($U$1006:U1006),$U$1006:$AC$1006,0)), HYPERLINK("#",""), HYPERLINK(CONCATENATE("#metadata!", ADDRESS(INDEX($P$2:$P$1001,MATCH(ROWS($N$2:N885),$N$2:$N$1001,0),0), INDEX($U$1004:$AC$1004,1,MATCH(COLUMNS($U$1006:U1006),$U$1006:$AC$1006,0)))),"Fix")))</f>
        <v>0</v>
      </c>
      <c r="C885" s="3">
        <f>IF(OR(INDEX($O$2:$O$1001,MATCH(ROWS($N$2:N885),$N$2:$N$1001,0),1)&gt;=100000,INDEX($U$1005:$AC$1005,1,MATCH(COLUMNS($U$1006:V1006),$U$1006:$AC$1006,0))&gt;=100000), " ",IF(INDEX($U$2:$AC$1001,MATCH(ROWS($N$2:N885),$N$2:$N$1001,0),MATCH(COLUMNS($U$1006:V1006),$U$1006:$AC$1006,0)), HYPERLINK("#",""), HYPERLINK(CONCATENATE("#metadata!", ADDRESS(INDEX($P$2:$P$1001,MATCH(ROWS($N$2:N885),$N$2:$N$1001,0),0), INDEX($U$1004:$AC$1004,1,MATCH(COLUMNS($U$1006:V1006),$U$1006:$AC$1006,0)))),"Fix")))</f>
        <v>0</v>
      </c>
      <c r="D885" s="3">
        <f>IF(OR(INDEX($O$2:$O$1001,MATCH(ROWS($N$2:N885),$N$2:$N$1001,0),1)&gt;=100000,INDEX($U$1005:$AC$1005,1,MATCH(COLUMNS($U$1006:W1006),$U$1006:$AC$1006,0))&gt;=100000), " ",IF(INDEX($U$2:$AC$1001,MATCH(ROWS($N$2:N885),$N$2:$N$1001,0),MATCH(COLUMNS($U$1006:W1006),$U$1006:$AC$1006,0)), HYPERLINK("#",""), HYPERLINK(CONCATENATE("#metadata!", ADDRESS(INDEX($P$2:$P$1001,MATCH(ROWS($N$2:N885),$N$2:$N$1001,0),0), INDEX($U$1004:$AC$1004,1,MATCH(COLUMNS($U$1006:W1006),$U$1006:$AC$1006,0)))),"Fix")))</f>
        <v>0</v>
      </c>
      <c r="E885" s="3">
        <f>IF(OR(INDEX($O$2:$O$1001,MATCH(ROWS($N$2:N885),$N$2:$N$1001,0),1)&gt;=100000,INDEX($U$1005:$AC$1005,1,MATCH(COLUMNS($U$1006:X1006),$U$1006:$AC$1006,0))&gt;=100000), " ",IF(INDEX($U$2:$AC$1001,MATCH(ROWS($N$2:N885),$N$2:$N$1001,0),MATCH(COLUMNS($U$1006:X1006),$U$1006:$AC$1006,0)), HYPERLINK("#",""), HYPERLINK(CONCATENATE("#metadata!", ADDRESS(INDEX($P$2:$P$1001,MATCH(ROWS($N$2:N885),$N$2:$N$1001,0),0), INDEX($U$1004:$AC$1004,1,MATCH(COLUMNS($U$1006:X1006),$U$1006:$AC$1006,0)))),"Fix")))</f>
        <v>0</v>
      </c>
      <c r="F885" s="3">
        <f>IF(OR(INDEX($O$2:$O$1001,MATCH(ROWS($N$2:N885),$N$2:$N$1001,0),1)&gt;=100000,INDEX($U$1005:$AC$1005,1,MATCH(COLUMNS($U$1006:Y1006),$U$1006:$AC$1006,0))&gt;=100000), " ",IF(INDEX($U$2:$AC$1001,MATCH(ROWS($N$2:N885),$N$2:$N$1001,0),MATCH(COLUMNS($U$1006:Y1006),$U$1006:$AC$1006,0)), HYPERLINK("#",""), HYPERLINK(CONCATENATE("#metadata!", ADDRESS(INDEX($P$2:$P$1001,MATCH(ROWS($N$2:N885),$N$2:$N$1001,0),0), INDEX($U$1004:$AC$1004,1,MATCH(COLUMNS($U$1006:Y1006),$U$1006:$AC$1006,0)))),"Fix")))</f>
        <v>0</v>
      </c>
      <c r="G885" s="3">
        <f>IF(OR(INDEX($O$2:$O$1001,MATCH(ROWS($N$2:N885),$N$2:$N$1001,0),1)&gt;=100000,INDEX($U$1005:$AC$1005,1,MATCH(COLUMNS($U$1006:Z1006),$U$1006:$AC$1006,0))&gt;=100000), " ",IF(INDEX($U$2:$AC$1001,MATCH(ROWS($N$2:N885),$N$2:$N$1001,0),MATCH(COLUMNS($U$1006:Z1006),$U$1006:$AC$1006,0)), HYPERLINK("#",""), HYPERLINK(CONCATENATE("#metadata!", ADDRESS(INDEX($P$2:$P$1001,MATCH(ROWS($N$2:N885),$N$2:$N$1001,0),0), INDEX($U$1004:$AC$1004,1,MATCH(COLUMNS($U$1006:Z1006),$U$1006:$AC$1006,0)))),"Fix")))</f>
        <v>0</v>
      </c>
      <c r="H885" s="3">
        <f>IF(OR(INDEX($O$2:$O$1001,MATCH(ROWS($N$2:N885),$N$2:$N$1001,0),1)&gt;=100000,INDEX($U$1005:$AC$1005,1,MATCH(COLUMNS($U$1006:AA1006),$U$1006:$AC$1006,0))&gt;=100000), " ",IF(INDEX($U$2:$AC$1001,MATCH(ROWS($N$2:N885),$N$2:$N$1001,0),MATCH(COLUMNS($U$1006:AA1006),$U$1006:$AC$1006,0)), HYPERLINK("#",""), HYPERLINK(CONCATENATE("#metadata!", ADDRESS(INDEX($P$2:$P$1001,MATCH(ROWS($N$2:N885),$N$2:$N$1001,0),0), INDEX($U$1004:$AC$1004,1,MATCH(COLUMNS($U$1006:AA1006),$U$1006:$AC$1006,0)))),"Fix")))</f>
        <v>0</v>
      </c>
      <c r="I885" s="3">
        <f>IF(OR(INDEX($O$2:$O$1001,MATCH(ROWS($N$2:N885),$N$2:$N$1001,0),1)&gt;=100000,INDEX($U$1005:$AC$1005,1,MATCH(COLUMNS($U$1006:AB1006),$U$1006:$AC$1006,0))&gt;=100000), " ",IF(INDEX($U$2:$AC$1001,MATCH(ROWS($N$2:N885),$N$2:$N$1001,0),MATCH(COLUMNS($U$1006:AB1006),$U$1006:$AC$1006,0)), HYPERLINK("#",""), HYPERLINK(CONCATENATE("#metadata!", ADDRESS(INDEX($P$2:$P$1001,MATCH(ROWS($N$2:N885),$N$2:$N$1001,0),0), INDEX($U$1004:$AC$1004,1,MATCH(COLUMNS($U$1006:AB1006),$U$1006:$AC$1006,0)))),"Fix")))</f>
        <v>0</v>
      </c>
      <c r="J885" s="3">
        <f>IF(OR(INDEX($O$2:$O$1001,MATCH(ROWS($N$2:N885),$N$2:$N$1001,0),1)&gt;=100000,INDEX($U$1005:$AC$1005,1,MATCH(COLUMNS($U$1006:AC1006),$U$1006:$AC$1006,0))&gt;=100000), " ",IF(INDEX($U$2:$AC$1001,MATCH(ROWS($N$2:N885),$N$2:$N$1001,0),MATCH(COLUMNS($U$1006:AC1006),$U$1006:$AC$1006,0)), HYPERLINK("#",""), HYPERLINK(CONCATENATE("#metadata!", ADDRESS(INDEX($P$2:$P$1001,MATCH(ROWS($N$2:N885),$N$2:$N$1001,0),0), INDEX($U$1004:$AC$1004,1,MATCH(COLUMNS($U$1006:AC1006),$U$1006:$AC$1006,0)))),"Fix")))</f>
        <v>0</v>
      </c>
      <c r="N885">
        <v>0</v>
      </c>
      <c r="O885">
        <v>0</v>
      </c>
      <c r="P885">
        <v>0</v>
      </c>
      <c r="Q885">
        <f>IF(R885,TRUE,AND(U885:AC885))</f>
        <v>0</v>
      </c>
      <c r="R885">
        <f>COUNTBLANK(metadata!B885:J885)=COLUMNS(metadata!B885:J885)</f>
        <v>0</v>
      </c>
      <c r="S885">
        <v>0</v>
      </c>
      <c r="U885">
        <f>AND(IF(metadata!B885="",FALSE,TRUE),COUNTIF(metadata!B:B, metadata!B885) = 1,NOT(ISERROR(SUMPRODUCT(SEARCH(MID(metadata!B885,ROW(INDIRECT("1:"&amp;LEN(metadata!B885))), 1),"0123456789abcdefghijklmnopqrstuvwxyzABCDEFGHIJKLMNOPQRSTUVWXYZ.")))))</f>
        <v>0</v>
      </c>
      <c r="V885">
        <f>AND(IF(metadata!C885="",FALSE,TRUE),exact(metadata!C885,"UBERON:genitourinary"))</f>
        <v>0</v>
      </c>
      <c r="W885">
        <f>AND(IF(metadata!D885="",FALSE,TRUE),exact(metadata!D885,"UBERON:urine"))</f>
        <v>0</v>
      </c>
      <c r="X885">
        <f>AND(IF(metadata!E885="",FALSE,TRUE),exact(metadata!E885,"UBERON:kidney"))</f>
        <v>0</v>
      </c>
      <c r="Y885">
        <f>AND(IF(metadata!F885="",FALSE,TRUE),exact(metadata!F885,"animal corpus"))</f>
        <v>0</v>
      </c>
      <c r="Z885">
        <f>AND(IF(metadata!G885="",FALSE,TRUE),exact(metadata!G885,"urine"))</f>
        <v>0</v>
      </c>
      <c r="AA885">
        <f>AND(IF(metadata!H885="",FALSE,TRUE),exact(metadata!H885,"urine"))</f>
        <v>0</v>
      </c>
      <c r="AB885">
        <f>AND(IF(metadata!I885="",FALSE,TRUE),exact(metadata!I885,"urine metagenome"))</f>
        <v>0</v>
      </c>
      <c r="AC885">
        <f>AND(IF(metadata!J885="",FALSE,TRUE),exact(metadata!J885,"1346744"))</f>
        <v>0</v>
      </c>
    </row>
    <row r="886" spans="1:29">
      <c r="A886" s="4">
        <f>IF(B886=" "," ",HYPERLINK(CONCATENATE("#metadata!",ADDRESS(INDEX($P$2:$P$1001,MATCH(ROWS($N$2:N886),$N$2:$N$1001,0),0),1)),INDEX($S$2:$S$1001,MATCH(ROWS($N$2:N886),$N$2:$N$1001,0),0)))</f>
        <v>0</v>
      </c>
      <c r="B886" s="3">
        <f>IF(OR(INDEX($O$2:$O$1001,MATCH(ROWS($N$2:N886),$N$2:$N$1001,0),1)&gt;=100000,INDEX($U$1005:$AC$1005,1,MATCH(COLUMNS($U$1006:U1006),$U$1006:$AC$1006,0))&gt;=100000), " ",IF(INDEX($U$2:$AC$1001,MATCH(ROWS($N$2:N886),$N$2:$N$1001,0),MATCH(COLUMNS($U$1006:U1006),$U$1006:$AC$1006,0)), HYPERLINK("#",""), HYPERLINK(CONCATENATE("#metadata!", ADDRESS(INDEX($P$2:$P$1001,MATCH(ROWS($N$2:N886),$N$2:$N$1001,0),0), INDEX($U$1004:$AC$1004,1,MATCH(COLUMNS($U$1006:U1006),$U$1006:$AC$1006,0)))),"Fix")))</f>
        <v>0</v>
      </c>
      <c r="C886" s="3">
        <f>IF(OR(INDEX($O$2:$O$1001,MATCH(ROWS($N$2:N886),$N$2:$N$1001,0),1)&gt;=100000,INDEX($U$1005:$AC$1005,1,MATCH(COLUMNS($U$1006:V1006),$U$1006:$AC$1006,0))&gt;=100000), " ",IF(INDEX($U$2:$AC$1001,MATCH(ROWS($N$2:N886),$N$2:$N$1001,0),MATCH(COLUMNS($U$1006:V1006),$U$1006:$AC$1006,0)), HYPERLINK("#",""), HYPERLINK(CONCATENATE("#metadata!", ADDRESS(INDEX($P$2:$P$1001,MATCH(ROWS($N$2:N886),$N$2:$N$1001,0),0), INDEX($U$1004:$AC$1004,1,MATCH(COLUMNS($U$1006:V1006),$U$1006:$AC$1006,0)))),"Fix")))</f>
        <v>0</v>
      </c>
      <c r="D886" s="3">
        <f>IF(OR(INDEX($O$2:$O$1001,MATCH(ROWS($N$2:N886),$N$2:$N$1001,0),1)&gt;=100000,INDEX($U$1005:$AC$1005,1,MATCH(COLUMNS($U$1006:W1006),$U$1006:$AC$1006,0))&gt;=100000), " ",IF(INDEX($U$2:$AC$1001,MATCH(ROWS($N$2:N886),$N$2:$N$1001,0),MATCH(COLUMNS($U$1006:W1006),$U$1006:$AC$1006,0)), HYPERLINK("#",""), HYPERLINK(CONCATENATE("#metadata!", ADDRESS(INDEX($P$2:$P$1001,MATCH(ROWS($N$2:N886),$N$2:$N$1001,0),0), INDEX($U$1004:$AC$1004,1,MATCH(COLUMNS($U$1006:W1006),$U$1006:$AC$1006,0)))),"Fix")))</f>
        <v>0</v>
      </c>
      <c r="E886" s="3">
        <f>IF(OR(INDEX($O$2:$O$1001,MATCH(ROWS($N$2:N886),$N$2:$N$1001,0),1)&gt;=100000,INDEX($U$1005:$AC$1005,1,MATCH(COLUMNS($U$1006:X1006),$U$1006:$AC$1006,0))&gt;=100000), " ",IF(INDEX($U$2:$AC$1001,MATCH(ROWS($N$2:N886),$N$2:$N$1001,0),MATCH(COLUMNS($U$1006:X1006),$U$1006:$AC$1006,0)), HYPERLINK("#",""), HYPERLINK(CONCATENATE("#metadata!", ADDRESS(INDEX($P$2:$P$1001,MATCH(ROWS($N$2:N886),$N$2:$N$1001,0),0), INDEX($U$1004:$AC$1004,1,MATCH(COLUMNS($U$1006:X1006),$U$1006:$AC$1006,0)))),"Fix")))</f>
        <v>0</v>
      </c>
      <c r="F886" s="3">
        <f>IF(OR(INDEX($O$2:$O$1001,MATCH(ROWS($N$2:N886),$N$2:$N$1001,0),1)&gt;=100000,INDEX($U$1005:$AC$1005,1,MATCH(COLUMNS($U$1006:Y1006),$U$1006:$AC$1006,0))&gt;=100000), " ",IF(INDEX($U$2:$AC$1001,MATCH(ROWS($N$2:N886),$N$2:$N$1001,0),MATCH(COLUMNS($U$1006:Y1006),$U$1006:$AC$1006,0)), HYPERLINK("#",""), HYPERLINK(CONCATENATE("#metadata!", ADDRESS(INDEX($P$2:$P$1001,MATCH(ROWS($N$2:N886),$N$2:$N$1001,0),0), INDEX($U$1004:$AC$1004,1,MATCH(COLUMNS($U$1006:Y1006),$U$1006:$AC$1006,0)))),"Fix")))</f>
        <v>0</v>
      </c>
      <c r="G886" s="3">
        <f>IF(OR(INDEX($O$2:$O$1001,MATCH(ROWS($N$2:N886),$N$2:$N$1001,0),1)&gt;=100000,INDEX($U$1005:$AC$1005,1,MATCH(COLUMNS($U$1006:Z1006),$U$1006:$AC$1006,0))&gt;=100000), " ",IF(INDEX($U$2:$AC$1001,MATCH(ROWS($N$2:N886),$N$2:$N$1001,0),MATCH(COLUMNS($U$1006:Z1006),$U$1006:$AC$1006,0)), HYPERLINK("#",""), HYPERLINK(CONCATENATE("#metadata!", ADDRESS(INDEX($P$2:$P$1001,MATCH(ROWS($N$2:N886),$N$2:$N$1001,0),0), INDEX($U$1004:$AC$1004,1,MATCH(COLUMNS($U$1006:Z1006),$U$1006:$AC$1006,0)))),"Fix")))</f>
        <v>0</v>
      </c>
      <c r="H886" s="3">
        <f>IF(OR(INDEX($O$2:$O$1001,MATCH(ROWS($N$2:N886),$N$2:$N$1001,0),1)&gt;=100000,INDEX($U$1005:$AC$1005,1,MATCH(COLUMNS($U$1006:AA1006),$U$1006:$AC$1006,0))&gt;=100000), " ",IF(INDEX($U$2:$AC$1001,MATCH(ROWS($N$2:N886),$N$2:$N$1001,0),MATCH(COLUMNS($U$1006:AA1006),$U$1006:$AC$1006,0)), HYPERLINK("#",""), HYPERLINK(CONCATENATE("#metadata!", ADDRESS(INDEX($P$2:$P$1001,MATCH(ROWS($N$2:N886),$N$2:$N$1001,0),0), INDEX($U$1004:$AC$1004,1,MATCH(COLUMNS($U$1006:AA1006),$U$1006:$AC$1006,0)))),"Fix")))</f>
        <v>0</v>
      </c>
      <c r="I886" s="3">
        <f>IF(OR(INDEX($O$2:$O$1001,MATCH(ROWS($N$2:N886),$N$2:$N$1001,0),1)&gt;=100000,INDEX($U$1005:$AC$1005,1,MATCH(COLUMNS($U$1006:AB1006),$U$1006:$AC$1006,0))&gt;=100000), " ",IF(INDEX($U$2:$AC$1001,MATCH(ROWS($N$2:N886),$N$2:$N$1001,0),MATCH(COLUMNS($U$1006:AB1006),$U$1006:$AC$1006,0)), HYPERLINK("#",""), HYPERLINK(CONCATENATE("#metadata!", ADDRESS(INDEX($P$2:$P$1001,MATCH(ROWS($N$2:N886),$N$2:$N$1001,0),0), INDEX($U$1004:$AC$1004,1,MATCH(COLUMNS($U$1006:AB1006),$U$1006:$AC$1006,0)))),"Fix")))</f>
        <v>0</v>
      </c>
      <c r="J886" s="3">
        <f>IF(OR(INDEX($O$2:$O$1001,MATCH(ROWS($N$2:N886),$N$2:$N$1001,0),1)&gt;=100000,INDEX($U$1005:$AC$1005,1,MATCH(COLUMNS($U$1006:AC1006),$U$1006:$AC$1006,0))&gt;=100000), " ",IF(INDEX($U$2:$AC$1001,MATCH(ROWS($N$2:N886),$N$2:$N$1001,0),MATCH(COLUMNS($U$1006:AC1006),$U$1006:$AC$1006,0)), HYPERLINK("#",""), HYPERLINK(CONCATENATE("#metadata!", ADDRESS(INDEX($P$2:$P$1001,MATCH(ROWS($N$2:N886),$N$2:$N$1001,0),0), INDEX($U$1004:$AC$1004,1,MATCH(COLUMNS($U$1006:AC1006),$U$1006:$AC$1006,0)))),"Fix")))</f>
        <v>0</v>
      </c>
      <c r="N886">
        <v>0</v>
      </c>
      <c r="O886">
        <v>0</v>
      </c>
      <c r="P886">
        <v>0</v>
      </c>
      <c r="Q886">
        <f>IF(R886,TRUE,AND(U886:AC886))</f>
        <v>0</v>
      </c>
      <c r="R886">
        <f>COUNTBLANK(metadata!B886:J886)=COLUMNS(metadata!B886:J886)</f>
        <v>0</v>
      </c>
      <c r="S886">
        <v>0</v>
      </c>
      <c r="U886">
        <f>AND(IF(metadata!B886="",FALSE,TRUE),COUNTIF(metadata!B:B, metadata!B886) = 1,NOT(ISERROR(SUMPRODUCT(SEARCH(MID(metadata!B886,ROW(INDIRECT("1:"&amp;LEN(metadata!B886))), 1),"0123456789abcdefghijklmnopqrstuvwxyzABCDEFGHIJKLMNOPQRSTUVWXYZ.")))))</f>
        <v>0</v>
      </c>
      <c r="V886">
        <f>AND(IF(metadata!C886="",FALSE,TRUE),exact(metadata!C886,"UBERON:genitourinary"))</f>
        <v>0</v>
      </c>
      <c r="W886">
        <f>AND(IF(metadata!D886="",FALSE,TRUE),exact(metadata!D886,"UBERON:urine"))</f>
        <v>0</v>
      </c>
      <c r="X886">
        <f>AND(IF(metadata!E886="",FALSE,TRUE),exact(metadata!E886,"UBERON:kidney"))</f>
        <v>0</v>
      </c>
      <c r="Y886">
        <f>AND(IF(metadata!F886="",FALSE,TRUE),exact(metadata!F886,"animal corpus"))</f>
        <v>0</v>
      </c>
      <c r="Z886">
        <f>AND(IF(metadata!G886="",FALSE,TRUE),exact(metadata!G886,"urine"))</f>
        <v>0</v>
      </c>
      <c r="AA886">
        <f>AND(IF(metadata!H886="",FALSE,TRUE),exact(metadata!H886,"urine"))</f>
        <v>0</v>
      </c>
      <c r="AB886">
        <f>AND(IF(metadata!I886="",FALSE,TRUE),exact(metadata!I886,"urine metagenome"))</f>
        <v>0</v>
      </c>
      <c r="AC886">
        <f>AND(IF(metadata!J886="",FALSE,TRUE),exact(metadata!J886,"1346744"))</f>
        <v>0</v>
      </c>
    </row>
    <row r="887" spans="1:29">
      <c r="A887" s="4">
        <f>IF(B887=" "," ",HYPERLINK(CONCATENATE("#metadata!",ADDRESS(INDEX($P$2:$P$1001,MATCH(ROWS($N$2:N887),$N$2:$N$1001,0),0),1)),INDEX($S$2:$S$1001,MATCH(ROWS($N$2:N887),$N$2:$N$1001,0),0)))</f>
        <v>0</v>
      </c>
      <c r="B887" s="3">
        <f>IF(OR(INDEX($O$2:$O$1001,MATCH(ROWS($N$2:N887),$N$2:$N$1001,0),1)&gt;=100000,INDEX($U$1005:$AC$1005,1,MATCH(COLUMNS($U$1006:U1006),$U$1006:$AC$1006,0))&gt;=100000), " ",IF(INDEX($U$2:$AC$1001,MATCH(ROWS($N$2:N887),$N$2:$N$1001,0),MATCH(COLUMNS($U$1006:U1006),$U$1006:$AC$1006,0)), HYPERLINK("#",""), HYPERLINK(CONCATENATE("#metadata!", ADDRESS(INDEX($P$2:$P$1001,MATCH(ROWS($N$2:N887),$N$2:$N$1001,0),0), INDEX($U$1004:$AC$1004,1,MATCH(COLUMNS($U$1006:U1006),$U$1006:$AC$1006,0)))),"Fix")))</f>
        <v>0</v>
      </c>
      <c r="C887" s="3">
        <f>IF(OR(INDEX($O$2:$O$1001,MATCH(ROWS($N$2:N887),$N$2:$N$1001,0),1)&gt;=100000,INDEX($U$1005:$AC$1005,1,MATCH(COLUMNS($U$1006:V1006),$U$1006:$AC$1006,0))&gt;=100000), " ",IF(INDEX($U$2:$AC$1001,MATCH(ROWS($N$2:N887),$N$2:$N$1001,0),MATCH(COLUMNS($U$1006:V1006),$U$1006:$AC$1006,0)), HYPERLINK("#",""), HYPERLINK(CONCATENATE("#metadata!", ADDRESS(INDEX($P$2:$P$1001,MATCH(ROWS($N$2:N887),$N$2:$N$1001,0),0), INDEX($U$1004:$AC$1004,1,MATCH(COLUMNS($U$1006:V1006),$U$1006:$AC$1006,0)))),"Fix")))</f>
        <v>0</v>
      </c>
      <c r="D887" s="3">
        <f>IF(OR(INDEX($O$2:$O$1001,MATCH(ROWS($N$2:N887),$N$2:$N$1001,0),1)&gt;=100000,INDEX($U$1005:$AC$1005,1,MATCH(COLUMNS($U$1006:W1006),$U$1006:$AC$1006,0))&gt;=100000), " ",IF(INDEX($U$2:$AC$1001,MATCH(ROWS($N$2:N887),$N$2:$N$1001,0),MATCH(COLUMNS($U$1006:W1006),$U$1006:$AC$1006,0)), HYPERLINK("#",""), HYPERLINK(CONCATENATE("#metadata!", ADDRESS(INDEX($P$2:$P$1001,MATCH(ROWS($N$2:N887),$N$2:$N$1001,0),0), INDEX($U$1004:$AC$1004,1,MATCH(COLUMNS($U$1006:W1006),$U$1006:$AC$1006,0)))),"Fix")))</f>
        <v>0</v>
      </c>
      <c r="E887" s="3">
        <f>IF(OR(INDEX($O$2:$O$1001,MATCH(ROWS($N$2:N887),$N$2:$N$1001,0),1)&gt;=100000,INDEX($U$1005:$AC$1005,1,MATCH(COLUMNS($U$1006:X1006),$U$1006:$AC$1006,0))&gt;=100000), " ",IF(INDEX($U$2:$AC$1001,MATCH(ROWS($N$2:N887),$N$2:$N$1001,0),MATCH(COLUMNS($U$1006:X1006),$U$1006:$AC$1006,0)), HYPERLINK("#",""), HYPERLINK(CONCATENATE("#metadata!", ADDRESS(INDEX($P$2:$P$1001,MATCH(ROWS($N$2:N887),$N$2:$N$1001,0),0), INDEX($U$1004:$AC$1004,1,MATCH(COLUMNS($U$1006:X1006),$U$1006:$AC$1006,0)))),"Fix")))</f>
        <v>0</v>
      </c>
      <c r="F887" s="3">
        <f>IF(OR(INDEX($O$2:$O$1001,MATCH(ROWS($N$2:N887),$N$2:$N$1001,0),1)&gt;=100000,INDEX($U$1005:$AC$1005,1,MATCH(COLUMNS($U$1006:Y1006),$U$1006:$AC$1006,0))&gt;=100000), " ",IF(INDEX($U$2:$AC$1001,MATCH(ROWS($N$2:N887),$N$2:$N$1001,0),MATCH(COLUMNS($U$1006:Y1006),$U$1006:$AC$1006,0)), HYPERLINK("#",""), HYPERLINK(CONCATENATE("#metadata!", ADDRESS(INDEX($P$2:$P$1001,MATCH(ROWS($N$2:N887),$N$2:$N$1001,0),0), INDEX($U$1004:$AC$1004,1,MATCH(COLUMNS($U$1006:Y1006),$U$1006:$AC$1006,0)))),"Fix")))</f>
        <v>0</v>
      </c>
      <c r="G887" s="3">
        <f>IF(OR(INDEX($O$2:$O$1001,MATCH(ROWS($N$2:N887),$N$2:$N$1001,0),1)&gt;=100000,INDEX($U$1005:$AC$1005,1,MATCH(COLUMNS($U$1006:Z1006),$U$1006:$AC$1006,0))&gt;=100000), " ",IF(INDEX($U$2:$AC$1001,MATCH(ROWS($N$2:N887),$N$2:$N$1001,0),MATCH(COLUMNS($U$1006:Z1006),$U$1006:$AC$1006,0)), HYPERLINK("#",""), HYPERLINK(CONCATENATE("#metadata!", ADDRESS(INDEX($P$2:$P$1001,MATCH(ROWS($N$2:N887),$N$2:$N$1001,0),0), INDEX($U$1004:$AC$1004,1,MATCH(COLUMNS($U$1006:Z1006),$U$1006:$AC$1006,0)))),"Fix")))</f>
        <v>0</v>
      </c>
      <c r="H887" s="3">
        <f>IF(OR(INDEX($O$2:$O$1001,MATCH(ROWS($N$2:N887),$N$2:$N$1001,0),1)&gt;=100000,INDEX($U$1005:$AC$1005,1,MATCH(COLUMNS($U$1006:AA1006),$U$1006:$AC$1006,0))&gt;=100000), " ",IF(INDEX($U$2:$AC$1001,MATCH(ROWS($N$2:N887),$N$2:$N$1001,0),MATCH(COLUMNS($U$1006:AA1006),$U$1006:$AC$1006,0)), HYPERLINK("#",""), HYPERLINK(CONCATENATE("#metadata!", ADDRESS(INDEX($P$2:$P$1001,MATCH(ROWS($N$2:N887),$N$2:$N$1001,0),0), INDEX($U$1004:$AC$1004,1,MATCH(COLUMNS($U$1006:AA1006),$U$1006:$AC$1006,0)))),"Fix")))</f>
        <v>0</v>
      </c>
      <c r="I887" s="3">
        <f>IF(OR(INDEX($O$2:$O$1001,MATCH(ROWS($N$2:N887),$N$2:$N$1001,0),1)&gt;=100000,INDEX($U$1005:$AC$1005,1,MATCH(COLUMNS($U$1006:AB1006),$U$1006:$AC$1006,0))&gt;=100000), " ",IF(INDEX($U$2:$AC$1001,MATCH(ROWS($N$2:N887),$N$2:$N$1001,0),MATCH(COLUMNS($U$1006:AB1006),$U$1006:$AC$1006,0)), HYPERLINK("#",""), HYPERLINK(CONCATENATE("#metadata!", ADDRESS(INDEX($P$2:$P$1001,MATCH(ROWS($N$2:N887),$N$2:$N$1001,0),0), INDEX($U$1004:$AC$1004,1,MATCH(COLUMNS($U$1006:AB1006),$U$1006:$AC$1006,0)))),"Fix")))</f>
        <v>0</v>
      </c>
      <c r="J887" s="3">
        <f>IF(OR(INDEX($O$2:$O$1001,MATCH(ROWS($N$2:N887),$N$2:$N$1001,0),1)&gt;=100000,INDEX($U$1005:$AC$1005,1,MATCH(COLUMNS($U$1006:AC1006),$U$1006:$AC$1006,0))&gt;=100000), " ",IF(INDEX($U$2:$AC$1001,MATCH(ROWS($N$2:N887),$N$2:$N$1001,0),MATCH(COLUMNS($U$1006:AC1006),$U$1006:$AC$1006,0)), HYPERLINK("#",""), HYPERLINK(CONCATENATE("#metadata!", ADDRESS(INDEX($P$2:$P$1001,MATCH(ROWS($N$2:N887),$N$2:$N$1001,0),0), INDEX($U$1004:$AC$1004,1,MATCH(COLUMNS($U$1006:AC1006),$U$1006:$AC$1006,0)))),"Fix")))</f>
        <v>0</v>
      </c>
      <c r="N887">
        <v>0</v>
      </c>
      <c r="O887">
        <v>0</v>
      </c>
      <c r="P887">
        <v>0</v>
      </c>
      <c r="Q887">
        <f>IF(R887,TRUE,AND(U887:AC887))</f>
        <v>0</v>
      </c>
      <c r="R887">
        <f>COUNTBLANK(metadata!B887:J887)=COLUMNS(metadata!B887:J887)</f>
        <v>0</v>
      </c>
      <c r="S887">
        <v>0</v>
      </c>
      <c r="U887">
        <f>AND(IF(metadata!B887="",FALSE,TRUE),COUNTIF(metadata!B:B, metadata!B887) = 1,NOT(ISERROR(SUMPRODUCT(SEARCH(MID(metadata!B887,ROW(INDIRECT("1:"&amp;LEN(metadata!B887))), 1),"0123456789abcdefghijklmnopqrstuvwxyzABCDEFGHIJKLMNOPQRSTUVWXYZ.")))))</f>
        <v>0</v>
      </c>
      <c r="V887">
        <f>AND(IF(metadata!C887="",FALSE,TRUE),exact(metadata!C887,"UBERON:genitourinary"))</f>
        <v>0</v>
      </c>
      <c r="W887">
        <f>AND(IF(metadata!D887="",FALSE,TRUE),exact(metadata!D887,"UBERON:urine"))</f>
        <v>0</v>
      </c>
      <c r="X887">
        <f>AND(IF(metadata!E887="",FALSE,TRUE),exact(metadata!E887,"UBERON:kidney"))</f>
        <v>0</v>
      </c>
      <c r="Y887">
        <f>AND(IF(metadata!F887="",FALSE,TRUE),exact(metadata!F887,"animal corpus"))</f>
        <v>0</v>
      </c>
      <c r="Z887">
        <f>AND(IF(metadata!G887="",FALSE,TRUE),exact(metadata!G887,"urine"))</f>
        <v>0</v>
      </c>
      <c r="AA887">
        <f>AND(IF(metadata!H887="",FALSE,TRUE),exact(metadata!H887,"urine"))</f>
        <v>0</v>
      </c>
      <c r="AB887">
        <f>AND(IF(metadata!I887="",FALSE,TRUE),exact(metadata!I887,"urine metagenome"))</f>
        <v>0</v>
      </c>
      <c r="AC887">
        <f>AND(IF(metadata!J887="",FALSE,TRUE),exact(metadata!J887,"1346744"))</f>
        <v>0</v>
      </c>
    </row>
    <row r="888" spans="1:29">
      <c r="A888" s="4">
        <f>IF(B888=" "," ",HYPERLINK(CONCATENATE("#metadata!",ADDRESS(INDEX($P$2:$P$1001,MATCH(ROWS($N$2:N888),$N$2:$N$1001,0),0),1)),INDEX($S$2:$S$1001,MATCH(ROWS($N$2:N888),$N$2:$N$1001,0),0)))</f>
        <v>0</v>
      </c>
      <c r="B888" s="3">
        <f>IF(OR(INDEX($O$2:$O$1001,MATCH(ROWS($N$2:N888),$N$2:$N$1001,0),1)&gt;=100000,INDEX($U$1005:$AC$1005,1,MATCH(COLUMNS($U$1006:U1006),$U$1006:$AC$1006,0))&gt;=100000), " ",IF(INDEX($U$2:$AC$1001,MATCH(ROWS($N$2:N888),$N$2:$N$1001,0),MATCH(COLUMNS($U$1006:U1006),$U$1006:$AC$1006,0)), HYPERLINK("#",""), HYPERLINK(CONCATENATE("#metadata!", ADDRESS(INDEX($P$2:$P$1001,MATCH(ROWS($N$2:N888),$N$2:$N$1001,0),0), INDEX($U$1004:$AC$1004,1,MATCH(COLUMNS($U$1006:U1006),$U$1006:$AC$1006,0)))),"Fix")))</f>
        <v>0</v>
      </c>
      <c r="C888" s="3">
        <f>IF(OR(INDEX($O$2:$O$1001,MATCH(ROWS($N$2:N888),$N$2:$N$1001,0),1)&gt;=100000,INDEX($U$1005:$AC$1005,1,MATCH(COLUMNS($U$1006:V1006),$U$1006:$AC$1006,0))&gt;=100000), " ",IF(INDEX($U$2:$AC$1001,MATCH(ROWS($N$2:N888),$N$2:$N$1001,0),MATCH(COLUMNS($U$1006:V1006),$U$1006:$AC$1006,0)), HYPERLINK("#",""), HYPERLINK(CONCATENATE("#metadata!", ADDRESS(INDEX($P$2:$P$1001,MATCH(ROWS($N$2:N888),$N$2:$N$1001,0),0), INDEX($U$1004:$AC$1004,1,MATCH(COLUMNS($U$1006:V1006),$U$1006:$AC$1006,0)))),"Fix")))</f>
        <v>0</v>
      </c>
      <c r="D888" s="3">
        <f>IF(OR(INDEX($O$2:$O$1001,MATCH(ROWS($N$2:N888),$N$2:$N$1001,0),1)&gt;=100000,INDEX($U$1005:$AC$1005,1,MATCH(COLUMNS($U$1006:W1006),$U$1006:$AC$1006,0))&gt;=100000), " ",IF(INDEX($U$2:$AC$1001,MATCH(ROWS($N$2:N888),$N$2:$N$1001,0),MATCH(COLUMNS($U$1006:W1006),$U$1006:$AC$1006,0)), HYPERLINK("#",""), HYPERLINK(CONCATENATE("#metadata!", ADDRESS(INDEX($P$2:$P$1001,MATCH(ROWS($N$2:N888),$N$2:$N$1001,0),0), INDEX($U$1004:$AC$1004,1,MATCH(COLUMNS($U$1006:W1006),$U$1006:$AC$1006,0)))),"Fix")))</f>
        <v>0</v>
      </c>
      <c r="E888" s="3">
        <f>IF(OR(INDEX($O$2:$O$1001,MATCH(ROWS($N$2:N888),$N$2:$N$1001,0),1)&gt;=100000,INDEX($U$1005:$AC$1005,1,MATCH(COLUMNS($U$1006:X1006),$U$1006:$AC$1006,0))&gt;=100000), " ",IF(INDEX($U$2:$AC$1001,MATCH(ROWS($N$2:N888),$N$2:$N$1001,0),MATCH(COLUMNS($U$1006:X1006),$U$1006:$AC$1006,0)), HYPERLINK("#",""), HYPERLINK(CONCATENATE("#metadata!", ADDRESS(INDEX($P$2:$P$1001,MATCH(ROWS($N$2:N888),$N$2:$N$1001,0),0), INDEX($U$1004:$AC$1004,1,MATCH(COLUMNS($U$1006:X1006),$U$1006:$AC$1006,0)))),"Fix")))</f>
        <v>0</v>
      </c>
      <c r="F888" s="3">
        <f>IF(OR(INDEX($O$2:$O$1001,MATCH(ROWS($N$2:N888),$N$2:$N$1001,0),1)&gt;=100000,INDEX($U$1005:$AC$1005,1,MATCH(COLUMNS($U$1006:Y1006),$U$1006:$AC$1006,0))&gt;=100000), " ",IF(INDEX($U$2:$AC$1001,MATCH(ROWS($N$2:N888),$N$2:$N$1001,0),MATCH(COLUMNS($U$1006:Y1006),$U$1006:$AC$1006,0)), HYPERLINK("#",""), HYPERLINK(CONCATENATE("#metadata!", ADDRESS(INDEX($P$2:$P$1001,MATCH(ROWS($N$2:N888),$N$2:$N$1001,0),0), INDEX($U$1004:$AC$1004,1,MATCH(COLUMNS($U$1006:Y1006),$U$1006:$AC$1006,0)))),"Fix")))</f>
        <v>0</v>
      </c>
      <c r="G888" s="3">
        <f>IF(OR(INDEX($O$2:$O$1001,MATCH(ROWS($N$2:N888),$N$2:$N$1001,0),1)&gt;=100000,INDEX($U$1005:$AC$1005,1,MATCH(COLUMNS($U$1006:Z1006),$U$1006:$AC$1006,0))&gt;=100000), " ",IF(INDEX($U$2:$AC$1001,MATCH(ROWS($N$2:N888),$N$2:$N$1001,0),MATCH(COLUMNS($U$1006:Z1006),$U$1006:$AC$1006,0)), HYPERLINK("#",""), HYPERLINK(CONCATENATE("#metadata!", ADDRESS(INDEX($P$2:$P$1001,MATCH(ROWS($N$2:N888),$N$2:$N$1001,0),0), INDEX($U$1004:$AC$1004,1,MATCH(COLUMNS($U$1006:Z1006),$U$1006:$AC$1006,0)))),"Fix")))</f>
        <v>0</v>
      </c>
      <c r="H888" s="3">
        <f>IF(OR(INDEX($O$2:$O$1001,MATCH(ROWS($N$2:N888),$N$2:$N$1001,0),1)&gt;=100000,INDEX($U$1005:$AC$1005,1,MATCH(COLUMNS($U$1006:AA1006),$U$1006:$AC$1006,0))&gt;=100000), " ",IF(INDEX($U$2:$AC$1001,MATCH(ROWS($N$2:N888),$N$2:$N$1001,0),MATCH(COLUMNS($U$1006:AA1006),$U$1006:$AC$1006,0)), HYPERLINK("#",""), HYPERLINK(CONCATENATE("#metadata!", ADDRESS(INDEX($P$2:$P$1001,MATCH(ROWS($N$2:N888),$N$2:$N$1001,0),0), INDEX($U$1004:$AC$1004,1,MATCH(COLUMNS($U$1006:AA1006),$U$1006:$AC$1006,0)))),"Fix")))</f>
        <v>0</v>
      </c>
      <c r="I888" s="3">
        <f>IF(OR(INDEX($O$2:$O$1001,MATCH(ROWS($N$2:N888),$N$2:$N$1001,0),1)&gt;=100000,INDEX($U$1005:$AC$1005,1,MATCH(COLUMNS($U$1006:AB1006),$U$1006:$AC$1006,0))&gt;=100000), " ",IF(INDEX($U$2:$AC$1001,MATCH(ROWS($N$2:N888),$N$2:$N$1001,0),MATCH(COLUMNS($U$1006:AB1006),$U$1006:$AC$1006,0)), HYPERLINK("#",""), HYPERLINK(CONCATENATE("#metadata!", ADDRESS(INDEX($P$2:$P$1001,MATCH(ROWS($N$2:N888),$N$2:$N$1001,0),0), INDEX($U$1004:$AC$1004,1,MATCH(COLUMNS($U$1006:AB1006),$U$1006:$AC$1006,0)))),"Fix")))</f>
        <v>0</v>
      </c>
      <c r="J888" s="3">
        <f>IF(OR(INDEX($O$2:$O$1001,MATCH(ROWS($N$2:N888),$N$2:$N$1001,0),1)&gt;=100000,INDEX($U$1005:$AC$1005,1,MATCH(COLUMNS($U$1006:AC1006),$U$1006:$AC$1006,0))&gt;=100000), " ",IF(INDEX($U$2:$AC$1001,MATCH(ROWS($N$2:N888),$N$2:$N$1001,0),MATCH(COLUMNS($U$1006:AC1006),$U$1006:$AC$1006,0)), HYPERLINK("#",""), HYPERLINK(CONCATENATE("#metadata!", ADDRESS(INDEX($P$2:$P$1001,MATCH(ROWS($N$2:N888),$N$2:$N$1001,0),0), INDEX($U$1004:$AC$1004,1,MATCH(COLUMNS($U$1006:AC1006),$U$1006:$AC$1006,0)))),"Fix")))</f>
        <v>0</v>
      </c>
      <c r="N888">
        <v>0</v>
      </c>
      <c r="O888">
        <v>0</v>
      </c>
      <c r="P888">
        <v>0</v>
      </c>
      <c r="Q888">
        <f>IF(R888,TRUE,AND(U888:AC888))</f>
        <v>0</v>
      </c>
      <c r="R888">
        <f>COUNTBLANK(metadata!B888:J888)=COLUMNS(metadata!B888:J888)</f>
        <v>0</v>
      </c>
      <c r="S888">
        <v>0</v>
      </c>
      <c r="U888">
        <f>AND(IF(metadata!B888="",FALSE,TRUE),COUNTIF(metadata!B:B, metadata!B888) = 1,NOT(ISERROR(SUMPRODUCT(SEARCH(MID(metadata!B888,ROW(INDIRECT("1:"&amp;LEN(metadata!B888))), 1),"0123456789abcdefghijklmnopqrstuvwxyzABCDEFGHIJKLMNOPQRSTUVWXYZ.")))))</f>
        <v>0</v>
      </c>
      <c r="V888">
        <f>AND(IF(metadata!C888="",FALSE,TRUE),exact(metadata!C888,"UBERON:genitourinary"))</f>
        <v>0</v>
      </c>
      <c r="W888">
        <f>AND(IF(metadata!D888="",FALSE,TRUE),exact(metadata!D888,"UBERON:urine"))</f>
        <v>0</v>
      </c>
      <c r="X888">
        <f>AND(IF(metadata!E888="",FALSE,TRUE),exact(metadata!E888,"UBERON:kidney"))</f>
        <v>0</v>
      </c>
      <c r="Y888">
        <f>AND(IF(metadata!F888="",FALSE,TRUE),exact(metadata!F888,"animal corpus"))</f>
        <v>0</v>
      </c>
      <c r="Z888">
        <f>AND(IF(metadata!G888="",FALSE,TRUE),exact(metadata!G888,"urine"))</f>
        <v>0</v>
      </c>
      <c r="AA888">
        <f>AND(IF(metadata!H888="",FALSE,TRUE),exact(metadata!H888,"urine"))</f>
        <v>0</v>
      </c>
      <c r="AB888">
        <f>AND(IF(metadata!I888="",FALSE,TRUE),exact(metadata!I888,"urine metagenome"))</f>
        <v>0</v>
      </c>
      <c r="AC888">
        <f>AND(IF(metadata!J888="",FALSE,TRUE),exact(metadata!J888,"1346744"))</f>
        <v>0</v>
      </c>
    </row>
    <row r="889" spans="1:29">
      <c r="A889" s="4">
        <f>IF(B889=" "," ",HYPERLINK(CONCATENATE("#metadata!",ADDRESS(INDEX($P$2:$P$1001,MATCH(ROWS($N$2:N889),$N$2:$N$1001,0),0),1)),INDEX($S$2:$S$1001,MATCH(ROWS($N$2:N889),$N$2:$N$1001,0),0)))</f>
        <v>0</v>
      </c>
      <c r="B889" s="3">
        <f>IF(OR(INDEX($O$2:$O$1001,MATCH(ROWS($N$2:N889),$N$2:$N$1001,0),1)&gt;=100000,INDEX($U$1005:$AC$1005,1,MATCH(COLUMNS($U$1006:U1006),$U$1006:$AC$1006,0))&gt;=100000), " ",IF(INDEX($U$2:$AC$1001,MATCH(ROWS($N$2:N889),$N$2:$N$1001,0),MATCH(COLUMNS($U$1006:U1006),$U$1006:$AC$1006,0)), HYPERLINK("#",""), HYPERLINK(CONCATENATE("#metadata!", ADDRESS(INDEX($P$2:$P$1001,MATCH(ROWS($N$2:N889),$N$2:$N$1001,0),0), INDEX($U$1004:$AC$1004,1,MATCH(COLUMNS($U$1006:U1006),$U$1006:$AC$1006,0)))),"Fix")))</f>
        <v>0</v>
      </c>
      <c r="C889" s="3">
        <f>IF(OR(INDEX($O$2:$O$1001,MATCH(ROWS($N$2:N889),$N$2:$N$1001,0),1)&gt;=100000,INDEX($U$1005:$AC$1005,1,MATCH(COLUMNS($U$1006:V1006),$U$1006:$AC$1006,0))&gt;=100000), " ",IF(INDEX($U$2:$AC$1001,MATCH(ROWS($N$2:N889),$N$2:$N$1001,0),MATCH(COLUMNS($U$1006:V1006),$U$1006:$AC$1006,0)), HYPERLINK("#",""), HYPERLINK(CONCATENATE("#metadata!", ADDRESS(INDEX($P$2:$P$1001,MATCH(ROWS($N$2:N889),$N$2:$N$1001,0),0), INDEX($U$1004:$AC$1004,1,MATCH(COLUMNS($U$1006:V1006),$U$1006:$AC$1006,0)))),"Fix")))</f>
        <v>0</v>
      </c>
      <c r="D889" s="3">
        <f>IF(OR(INDEX($O$2:$O$1001,MATCH(ROWS($N$2:N889),$N$2:$N$1001,0),1)&gt;=100000,INDEX($U$1005:$AC$1005,1,MATCH(COLUMNS($U$1006:W1006),$U$1006:$AC$1006,0))&gt;=100000), " ",IF(INDEX($U$2:$AC$1001,MATCH(ROWS($N$2:N889),$N$2:$N$1001,0),MATCH(COLUMNS($U$1006:W1006),$U$1006:$AC$1006,0)), HYPERLINK("#",""), HYPERLINK(CONCATENATE("#metadata!", ADDRESS(INDEX($P$2:$P$1001,MATCH(ROWS($N$2:N889),$N$2:$N$1001,0),0), INDEX($U$1004:$AC$1004,1,MATCH(COLUMNS($U$1006:W1006),$U$1006:$AC$1006,0)))),"Fix")))</f>
        <v>0</v>
      </c>
      <c r="E889" s="3">
        <f>IF(OR(INDEX($O$2:$O$1001,MATCH(ROWS($N$2:N889),$N$2:$N$1001,0),1)&gt;=100000,INDEX($U$1005:$AC$1005,1,MATCH(COLUMNS($U$1006:X1006),$U$1006:$AC$1006,0))&gt;=100000), " ",IF(INDEX($U$2:$AC$1001,MATCH(ROWS($N$2:N889),$N$2:$N$1001,0),MATCH(COLUMNS($U$1006:X1006),$U$1006:$AC$1006,0)), HYPERLINK("#",""), HYPERLINK(CONCATENATE("#metadata!", ADDRESS(INDEX($P$2:$P$1001,MATCH(ROWS($N$2:N889),$N$2:$N$1001,0),0), INDEX($U$1004:$AC$1004,1,MATCH(COLUMNS($U$1006:X1006),$U$1006:$AC$1006,0)))),"Fix")))</f>
        <v>0</v>
      </c>
      <c r="F889" s="3">
        <f>IF(OR(INDEX($O$2:$O$1001,MATCH(ROWS($N$2:N889),$N$2:$N$1001,0),1)&gt;=100000,INDEX($U$1005:$AC$1005,1,MATCH(COLUMNS($U$1006:Y1006),$U$1006:$AC$1006,0))&gt;=100000), " ",IF(INDEX($U$2:$AC$1001,MATCH(ROWS($N$2:N889),$N$2:$N$1001,0),MATCH(COLUMNS($U$1006:Y1006),$U$1006:$AC$1006,0)), HYPERLINK("#",""), HYPERLINK(CONCATENATE("#metadata!", ADDRESS(INDEX($P$2:$P$1001,MATCH(ROWS($N$2:N889),$N$2:$N$1001,0),0), INDEX($U$1004:$AC$1004,1,MATCH(COLUMNS($U$1006:Y1006),$U$1006:$AC$1006,0)))),"Fix")))</f>
        <v>0</v>
      </c>
      <c r="G889" s="3">
        <f>IF(OR(INDEX($O$2:$O$1001,MATCH(ROWS($N$2:N889),$N$2:$N$1001,0),1)&gt;=100000,INDEX($U$1005:$AC$1005,1,MATCH(COLUMNS($U$1006:Z1006),$U$1006:$AC$1006,0))&gt;=100000), " ",IF(INDEX($U$2:$AC$1001,MATCH(ROWS($N$2:N889),$N$2:$N$1001,0),MATCH(COLUMNS($U$1006:Z1006),$U$1006:$AC$1006,0)), HYPERLINK("#",""), HYPERLINK(CONCATENATE("#metadata!", ADDRESS(INDEX($P$2:$P$1001,MATCH(ROWS($N$2:N889),$N$2:$N$1001,0),0), INDEX($U$1004:$AC$1004,1,MATCH(COLUMNS($U$1006:Z1006),$U$1006:$AC$1006,0)))),"Fix")))</f>
        <v>0</v>
      </c>
      <c r="H889" s="3">
        <f>IF(OR(INDEX($O$2:$O$1001,MATCH(ROWS($N$2:N889),$N$2:$N$1001,0),1)&gt;=100000,INDEX($U$1005:$AC$1005,1,MATCH(COLUMNS($U$1006:AA1006),$U$1006:$AC$1006,0))&gt;=100000), " ",IF(INDEX($U$2:$AC$1001,MATCH(ROWS($N$2:N889),$N$2:$N$1001,0),MATCH(COLUMNS($U$1006:AA1006),$U$1006:$AC$1006,0)), HYPERLINK("#",""), HYPERLINK(CONCATENATE("#metadata!", ADDRESS(INDEX($P$2:$P$1001,MATCH(ROWS($N$2:N889),$N$2:$N$1001,0),0), INDEX($U$1004:$AC$1004,1,MATCH(COLUMNS($U$1006:AA1006),$U$1006:$AC$1006,0)))),"Fix")))</f>
        <v>0</v>
      </c>
      <c r="I889" s="3">
        <f>IF(OR(INDEX($O$2:$O$1001,MATCH(ROWS($N$2:N889),$N$2:$N$1001,0),1)&gt;=100000,INDEX($U$1005:$AC$1005,1,MATCH(COLUMNS($U$1006:AB1006),$U$1006:$AC$1006,0))&gt;=100000), " ",IF(INDEX($U$2:$AC$1001,MATCH(ROWS($N$2:N889),$N$2:$N$1001,0),MATCH(COLUMNS($U$1006:AB1006),$U$1006:$AC$1006,0)), HYPERLINK("#",""), HYPERLINK(CONCATENATE("#metadata!", ADDRESS(INDEX($P$2:$P$1001,MATCH(ROWS($N$2:N889),$N$2:$N$1001,0),0), INDEX($U$1004:$AC$1004,1,MATCH(COLUMNS($U$1006:AB1006),$U$1006:$AC$1006,0)))),"Fix")))</f>
        <v>0</v>
      </c>
      <c r="J889" s="3">
        <f>IF(OR(INDEX($O$2:$O$1001,MATCH(ROWS($N$2:N889),$N$2:$N$1001,0),1)&gt;=100000,INDEX($U$1005:$AC$1005,1,MATCH(COLUMNS($U$1006:AC1006),$U$1006:$AC$1006,0))&gt;=100000), " ",IF(INDEX($U$2:$AC$1001,MATCH(ROWS($N$2:N889),$N$2:$N$1001,0),MATCH(COLUMNS($U$1006:AC1006),$U$1006:$AC$1006,0)), HYPERLINK("#",""), HYPERLINK(CONCATENATE("#metadata!", ADDRESS(INDEX($P$2:$P$1001,MATCH(ROWS($N$2:N889),$N$2:$N$1001,0),0), INDEX($U$1004:$AC$1004,1,MATCH(COLUMNS($U$1006:AC1006),$U$1006:$AC$1006,0)))),"Fix")))</f>
        <v>0</v>
      </c>
      <c r="N889">
        <v>0</v>
      </c>
      <c r="O889">
        <v>0</v>
      </c>
      <c r="P889">
        <v>0</v>
      </c>
      <c r="Q889">
        <f>IF(R889,TRUE,AND(U889:AC889))</f>
        <v>0</v>
      </c>
      <c r="R889">
        <f>COUNTBLANK(metadata!B889:J889)=COLUMNS(metadata!B889:J889)</f>
        <v>0</v>
      </c>
      <c r="S889">
        <v>0</v>
      </c>
      <c r="U889">
        <f>AND(IF(metadata!B889="",FALSE,TRUE),COUNTIF(metadata!B:B, metadata!B889) = 1,NOT(ISERROR(SUMPRODUCT(SEARCH(MID(metadata!B889,ROW(INDIRECT("1:"&amp;LEN(metadata!B889))), 1),"0123456789abcdefghijklmnopqrstuvwxyzABCDEFGHIJKLMNOPQRSTUVWXYZ.")))))</f>
        <v>0</v>
      </c>
      <c r="V889">
        <f>AND(IF(metadata!C889="",FALSE,TRUE),exact(metadata!C889,"UBERON:genitourinary"))</f>
        <v>0</v>
      </c>
      <c r="W889">
        <f>AND(IF(metadata!D889="",FALSE,TRUE),exact(metadata!D889,"UBERON:urine"))</f>
        <v>0</v>
      </c>
      <c r="X889">
        <f>AND(IF(metadata!E889="",FALSE,TRUE),exact(metadata!E889,"UBERON:kidney"))</f>
        <v>0</v>
      </c>
      <c r="Y889">
        <f>AND(IF(metadata!F889="",FALSE,TRUE),exact(metadata!F889,"animal corpus"))</f>
        <v>0</v>
      </c>
      <c r="Z889">
        <f>AND(IF(metadata!G889="",FALSE,TRUE),exact(metadata!G889,"urine"))</f>
        <v>0</v>
      </c>
      <c r="AA889">
        <f>AND(IF(metadata!H889="",FALSE,TRUE),exact(metadata!H889,"urine"))</f>
        <v>0</v>
      </c>
      <c r="AB889">
        <f>AND(IF(metadata!I889="",FALSE,TRUE),exact(metadata!I889,"urine metagenome"))</f>
        <v>0</v>
      </c>
      <c r="AC889">
        <f>AND(IF(metadata!J889="",FALSE,TRUE),exact(metadata!J889,"1346744"))</f>
        <v>0</v>
      </c>
    </row>
    <row r="890" spans="1:29">
      <c r="A890" s="4">
        <f>IF(B890=" "," ",HYPERLINK(CONCATENATE("#metadata!",ADDRESS(INDEX($P$2:$P$1001,MATCH(ROWS($N$2:N890),$N$2:$N$1001,0),0),1)),INDEX($S$2:$S$1001,MATCH(ROWS($N$2:N890),$N$2:$N$1001,0),0)))</f>
        <v>0</v>
      </c>
      <c r="B890" s="3">
        <f>IF(OR(INDEX($O$2:$O$1001,MATCH(ROWS($N$2:N890),$N$2:$N$1001,0),1)&gt;=100000,INDEX($U$1005:$AC$1005,1,MATCH(COLUMNS($U$1006:U1006),$U$1006:$AC$1006,0))&gt;=100000), " ",IF(INDEX($U$2:$AC$1001,MATCH(ROWS($N$2:N890),$N$2:$N$1001,0),MATCH(COLUMNS($U$1006:U1006),$U$1006:$AC$1006,0)), HYPERLINK("#",""), HYPERLINK(CONCATENATE("#metadata!", ADDRESS(INDEX($P$2:$P$1001,MATCH(ROWS($N$2:N890),$N$2:$N$1001,0),0), INDEX($U$1004:$AC$1004,1,MATCH(COLUMNS($U$1006:U1006),$U$1006:$AC$1006,0)))),"Fix")))</f>
        <v>0</v>
      </c>
      <c r="C890" s="3">
        <f>IF(OR(INDEX($O$2:$O$1001,MATCH(ROWS($N$2:N890),$N$2:$N$1001,0),1)&gt;=100000,INDEX($U$1005:$AC$1005,1,MATCH(COLUMNS($U$1006:V1006),$U$1006:$AC$1006,0))&gt;=100000), " ",IF(INDEX($U$2:$AC$1001,MATCH(ROWS($N$2:N890),$N$2:$N$1001,0),MATCH(COLUMNS($U$1006:V1006),$U$1006:$AC$1006,0)), HYPERLINK("#",""), HYPERLINK(CONCATENATE("#metadata!", ADDRESS(INDEX($P$2:$P$1001,MATCH(ROWS($N$2:N890),$N$2:$N$1001,0),0), INDEX($U$1004:$AC$1004,1,MATCH(COLUMNS($U$1006:V1006),$U$1006:$AC$1006,0)))),"Fix")))</f>
        <v>0</v>
      </c>
      <c r="D890" s="3">
        <f>IF(OR(INDEX($O$2:$O$1001,MATCH(ROWS($N$2:N890),$N$2:$N$1001,0),1)&gt;=100000,INDEX($U$1005:$AC$1005,1,MATCH(COLUMNS($U$1006:W1006),$U$1006:$AC$1006,0))&gt;=100000), " ",IF(INDEX($U$2:$AC$1001,MATCH(ROWS($N$2:N890),$N$2:$N$1001,0),MATCH(COLUMNS($U$1006:W1006),$U$1006:$AC$1006,0)), HYPERLINK("#",""), HYPERLINK(CONCATENATE("#metadata!", ADDRESS(INDEX($P$2:$P$1001,MATCH(ROWS($N$2:N890),$N$2:$N$1001,0),0), INDEX($U$1004:$AC$1004,1,MATCH(COLUMNS($U$1006:W1006),$U$1006:$AC$1006,0)))),"Fix")))</f>
        <v>0</v>
      </c>
      <c r="E890" s="3">
        <f>IF(OR(INDEX($O$2:$O$1001,MATCH(ROWS($N$2:N890),$N$2:$N$1001,0),1)&gt;=100000,INDEX($U$1005:$AC$1005,1,MATCH(COLUMNS($U$1006:X1006),$U$1006:$AC$1006,0))&gt;=100000), " ",IF(INDEX($U$2:$AC$1001,MATCH(ROWS($N$2:N890),$N$2:$N$1001,0),MATCH(COLUMNS($U$1006:X1006),$U$1006:$AC$1006,0)), HYPERLINK("#",""), HYPERLINK(CONCATENATE("#metadata!", ADDRESS(INDEX($P$2:$P$1001,MATCH(ROWS($N$2:N890),$N$2:$N$1001,0),0), INDEX($U$1004:$AC$1004,1,MATCH(COLUMNS($U$1006:X1006),$U$1006:$AC$1006,0)))),"Fix")))</f>
        <v>0</v>
      </c>
      <c r="F890" s="3">
        <f>IF(OR(INDEX($O$2:$O$1001,MATCH(ROWS($N$2:N890),$N$2:$N$1001,0),1)&gt;=100000,INDEX($U$1005:$AC$1005,1,MATCH(COLUMNS($U$1006:Y1006),$U$1006:$AC$1006,0))&gt;=100000), " ",IF(INDEX($U$2:$AC$1001,MATCH(ROWS($N$2:N890),$N$2:$N$1001,0),MATCH(COLUMNS($U$1006:Y1006),$U$1006:$AC$1006,0)), HYPERLINK("#",""), HYPERLINK(CONCATENATE("#metadata!", ADDRESS(INDEX($P$2:$P$1001,MATCH(ROWS($N$2:N890),$N$2:$N$1001,0),0), INDEX($U$1004:$AC$1004,1,MATCH(COLUMNS($U$1006:Y1006),$U$1006:$AC$1006,0)))),"Fix")))</f>
        <v>0</v>
      </c>
      <c r="G890" s="3">
        <f>IF(OR(INDEX($O$2:$O$1001,MATCH(ROWS($N$2:N890),$N$2:$N$1001,0),1)&gt;=100000,INDEX($U$1005:$AC$1005,1,MATCH(COLUMNS($U$1006:Z1006),$U$1006:$AC$1006,0))&gt;=100000), " ",IF(INDEX($U$2:$AC$1001,MATCH(ROWS($N$2:N890),$N$2:$N$1001,0),MATCH(COLUMNS($U$1006:Z1006),$U$1006:$AC$1006,0)), HYPERLINK("#",""), HYPERLINK(CONCATENATE("#metadata!", ADDRESS(INDEX($P$2:$P$1001,MATCH(ROWS($N$2:N890),$N$2:$N$1001,0),0), INDEX($U$1004:$AC$1004,1,MATCH(COLUMNS($U$1006:Z1006),$U$1006:$AC$1006,0)))),"Fix")))</f>
        <v>0</v>
      </c>
      <c r="H890" s="3">
        <f>IF(OR(INDEX($O$2:$O$1001,MATCH(ROWS($N$2:N890),$N$2:$N$1001,0),1)&gt;=100000,INDEX($U$1005:$AC$1005,1,MATCH(COLUMNS($U$1006:AA1006),$U$1006:$AC$1006,0))&gt;=100000), " ",IF(INDEX($U$2:$AC$1001,MATCH(ROWS($N$2:N890),$N$2:$N$1001,0),MATCH(COLUMNS($U$1006:AA1006),$U$1006:$AC$1006,0)), HYPERLINK("#",""), HYPERLINK(CONCATENATE("#metadata!", ADDRESS(INDEX($P$2:$P$1001,MATCH(ROWS($N$2:N890),$N$2:$N$1001,0),0), INDEX($U$1004:$AC$1004,1,MATCH(COLUMNS($U$1006:AA1006),$U$1006:$AC$1006,0)))),"Fix")))</f>
        <v>0</v>
      </c>
      <c r="I890" s="3">
        <f>IF(OR(INDEX($O$2:$O$1001,MATCH(ROWS($N$2:N890),$N$2:$N$1001,0),1)&gt;=100000,INDEX($U$1005:$AC$1005,1,MATCH(COLUMNS($U$1006:AB1006),$U$1006:$AC$1006,0))&gt;=100000), " ",IF(INDEX($U$2:$AC$1001,MATCH(ROWS($N$2:N890),$N$2:$N$1001,0),MATCH(COLUMNS($U$1006:AB1006),$U$1006:$AC$1006,0)), HYPERLINK("#",""), HYPERLINK(CONCATENATE("#metadata!", ADDRESS(INDEX($P$2:$P$1001,MATCH(ROWS($N$2:N890),$N$2:$N$1001,0),0), INDEX($U$1004:$AC$1004,1,MATCH(COLUMNS($U$1006:AB1006),$U$1006:$AC$1006,0)))),"Fix")))</f>
        <v>0</v>
      </c>
      <c r="J890" s="3">
        <f>IF(OR(INDEX($O$2:$O$1001,MATCH(ROWS($N$2:N890),$N$2:$N$1001,0),1)&gt;=100000,INDEX($U$1005:$AC$1005,1,MATCH(COLUMNS($U$1006:AC1006),$U$1006:$AC$1006,0))&gt;=100000), " ",IF(INDEX($U$2:$AC$1001,MATCH(ROWS($N$2:N890),$N$2:$N$1001,0),MATCH(COLUMNS($U$1006:AC1006),$U$1006:$AC$1006,0)), HYPERLINK("#",""), HYPERLINK(CONCATENATE("#metadata!", ADDRESS(INDEX($P$2:$P$1001,MATCH(ROWS($N$2:N890),$N$2:$N$1001,0),0), INDEX($U$1004:$AC$1004,1,MATCH(COLUMNS($U$1006:AC1006),$U$1006:$AC$1006,0)))),"Fix")))</f>
        <v>0</v>
      </c>
      <c r="N890">
        <v>0</v>
      </c>
      <c r="O890">
        <v>0</v>
      </c>
      <c r="P890">
        <v>0</v>
      </c>
      <c r="Q890">
        <f>IF(R890,TRUE,AND(U890:AC890))</f>
        <v>0</v>
      </c>
      <c r="R890">
        <f>COUNTBLANK(metadata!B890:J890)=COLUMNS(metadata!B890:J890)</f>
        <v>0</v>
      </c>
      <c r="S890">
        <v>0</v>
      </c>
      <c r="U890">
        <f>AND(IF(metadata!B890="",FALSE,TRUE),COUNTIF(metadata!B:B, metadata!B890) = 1,NOT(ISERROR(SUMPRODUCT(SEARCH(MID(metadata!B890,ROW(INDIRECT("1:"&amp;LEN(metadata!B890))), 1),"0123456789abcdefghijklmnopqrstuvwxyzABCDEFGHIJKLMNOPQRSTUVWXYZ.")))))</f>
        <v>0</v>
      </c>
      <c r="V890">
        <f>AND(IF(metadata!C890="",FALSE,TRUE),exact(metadata!C890,"UBERON:genitourinary"))</f>
        <v>0</v>
      </c>
      <c r="W890">
        <f>AND(IF(metadata!D890="",FALSE,TRUE),exact(metadata!D890,"UBERON:urine"))</f>
        <v>0</v>
      </c>
      <c r="X890">
        <f>AND(IF(metadata!E890="",FALSE,TRUE),exact(metadata!E890,"UBERON:kidney"))</f>
        <v>0</v>
      </c>
      <c r="Y890">
        <f>AND(IF(metadata!F890="",FALSE,TRUE),exact(metadata!F890,"animal corpus"))</f>
        <v>0</v>
      </c>
      <c r="Z890">
        <f>AND(IF(metadata!G890="",FALSE,TRUE),exact(metadata!G890,"urine"))</f>
        <v>0</v>
      </c>
      <c r="AA890">
        <f>AND(IF(metadata!H890="",FALSE,TRUE),exact(metadata!H890,"urine"))</f>
        <v>0</v>
      </c>
      <c r="AB890">
        <f>AND(IF(metadata!I890="",FALSE,TRUE),exact(metadata!I890,"urine metagenome"))</f>
        <v>0</v>
      </c>
      <c r="AC890">
        <f>AND(IF(metadata!J890="",FALSE,TRUE),exact(metadata!J890,"1346744"))</f>
        <v>0</v>
      </c>
    </row>
    <row r="891" spans="1:29">
      <c r="A891" s="4">
        <f>IF(B891=" "," ",HYPERLINK(CONCATENATE("#metadata!",ADDRESS(INDEX($P$2:$P$1001,MATCH(ROWS($N$2:N891),$N$2:$N$1001,0),0),1)),INDEX($S$2:$S$1001,MATCH(ROWS($N$2:N891),$N$2:$N$1001,0),0)))</f>
        <v>0</v>
      </c>
      <c r="B891" s="3">
        <f>IF(OR(INDEX($O$2:$O$1001,MATCH(ROWS($N$2:N891),$N$2:$N$1001,0),1)&gt;=100000,INDEX($U$1005:$AC$1005,1,MATCH(COLUMNS($U$1006:U1006),$U$1006:$AC$1006,0))&gt;=100000), " ",IF(INDEX($U$2:$AC$1001,MATCH(ROWS($N$2:N891),$N$2:$N$1001,0),MATCH(COLUMNS($U$1006:U1006),$U$1006:$AC$1006,0)), HYPERLINK("#",""), HYPERLINK(CONCATENATE("#metadata!", ADDRESS(INDEX($P$2:$P$1001,MATCH(ROWS($N$2:N891),$N$2:$N$1001,0),0), INDEX($U$1004:$AC$1004,1,MATCH(COLUMNS($U$1006:U1006),$U$1006:$AC$1006,0)))),"Fix")))</f>
        <v>0</v>
      </c>
      <c r="C891" s="3">
        <f>IF(OR(INDEX($O$2:$O$1001,MATCH(ROWS($N$2:N891),$N$2:$N$1001,0),1)&gt;=100000,INDEX($U$1005:$AC$1005,1,MATCH(COLUMNS($U$1006:V1006),$U$1006:$AC$1006,0))&gt;=100000), " ",IF(INDEX($U$2:$AC$1001,MATCH(ROWS($N$2:N891),$N$2:$N$1001,0),MATCH(COLUMNS($U$1006:V1006),$U$1006:$AC$1006,0)), HYPERLINK("#",""), HYPERLINK(CONCATENATE("#metadata!", ADDRESS(INDEX($P$2:$P$1001,MATCH(ROWS($N$2:N891),$N$2:$N$1001,0),0), INDEX($U$1004:$AC$1004,1,MATCH(COLUMNS($U$1006:V1006),$U$1006:$AC$1006,0)))),"Fix")))</f>
        <v>0</v>
      </c>
      <c r="D891" s="3">
        <f>IF(OR(INDEX($O$2:$O$1001,MATCH(ROWS($N$2:N891),$N$2:$N$1001,0),1)&gt;=100000,INDEX($U$1005:$AC$1005,1,MATCH(COLUMNS($U$1006:W1006),$U$1006:$AC$1006,0))&gt;=100000), " ",IF(INDEX($U$2:$AC$1001,MATCH(ROWS($N$2:N891),$N$2:$N$1001,0),MATCH(COLUMNS($U$1006:W1006),$U$1006:$AC$1006,0)), HYPERLINK("#",""), HYPERLINK(CONCATENATE("#metadata!", ADDRESS(INDEX($P$2:$P$1001,MATCH(ROWS($N$2:N891),$N$2:$N$1001,0),0), INDEX($U$1004:$AC$1004,1,MATCH(COLUMNS($U$1006:W1006),$U$1006:$AC$1006,0)))),"Fix")))</f>
        <v>0</v>
      </c>
      <c r="E891" s="3">
        <f>IF(OR(INDEX($O$2:$O$1001,MATCH(ROWS($N$2:N891),$N$2:$N$1001,0),1)&gt;=100000,INDEX($U$1005:$AC$1005,1,MATCH(COLUMNS($U$1006:X1006),$U$1006:$AC$1006,0))&gt;=100000), " ",IF(INDEX($U$2:$AC$1001,MATCH(ROWS($N$2:N891),$N$2:$N$1001,0),MATCH(COLUMNS($U$1006:X1006),$U$1006:$AC$1006,0)), HYPERLINK("#",""), HYPERLINK(CONCATENATE("#metadata!", ADDRESS(INDEX($P$2:$P$1001,MATCH(ROWS($N$2:N891),$N$2:$N$1001,0),0), INDEX($U$1004:$AC$1004,1,MATCH(COLUMNS($U$1006:X1006),$U$1006:$AC$1006,0)))),"Fix")))</f>
        <v>0</v>
      </c>
      <c r="F891" s="3">
        <f>IF(OR(INDEX($O$2:$O$1001,MATCH(ROWS($N$2:N891),$N$2:$N$1001,0),1)&gt;=100000,INDEX($U$1005:$AC$1005,1,MATCH(COLUMNS($U$1006:Y1006),$U$1006:$AC$1006,0))&gt;=100000), " ",IF(INDEX($U$2:$AC$1001,MATCH(ROWS($N$2:N891),$N$2:$N$1001,0),MATCH(COLUMNS($U$1006:Y1006),$U$1006:$AC$1006,0)), HYPERLINK("#",""), HYPERLINK(CONCATENATE("#metadata!", ADDRESS(INDEX($P$2:$P$1001,MATCH(ROWS($N$2:N891),$N$2:$N$1001,0),0), INDEX($U$1004:$AC$1004,1,MATCH(COLUMNS($U$1006:Y1006),$U$1006:$AC$1006,0)))),"Fix")))</f>
        <v>0</v>
      </c>
      <c r="G891" s="3">
        <f>IF(OR(INDEX($O$2:$O$1001,MATCH(ROWS($N$2:N891),$N$2:$N$1001,0),1)&gt;=100000,INDEX($U$1005:$AC$1005,1,MATCH(COLUMNS($U$1006:Z1006),$U$1006:$AC$1006,0))&gt;=100000), " ",IF(INDEX($U$2:$AC$1001,MATCH(ROWS($N$2:N891),$N$2:$N$1001,0),MATCH(COLUMNS($U$1006:Z1006),$U$1006:$AC$1006,0)), HYPERLINK("#",""), HYPERLINK(CONCATENATE("#metadata!", ADDRESS(INDEX($P$2:$P$1001,MATCH(ROWS($N$2:N891),$N$2:$N$1001,0),0), INDEX($U$1004:$AC$1004,1,MATCH(COLUMNS($U$1006:Z1006),$U$1006:$AC$1006,0)))),"Fix")))</f>
        <v>0</v>
      </c>
      <c r="H891" s="3">
        <f>IF(OR(INDEX($O$2:$O$1001,MATCH(ROWS($N$2:N891),$N$2:$N$1001,0),1)&gt;=100000,INDEX($U$1005:$AC$1005,1,MATCH(COLUMNS($U$1006:AA1006),$U$1006:$AC$1006,0))&gt;=100000), " ",IF(INDEX($U$2:$AC$1001,MATCH(ROWS($N$2:N891),$N$2:$N$1001,0),MATCH(COLUMNS($U$1006:AA1006),$U$1006:$AC$1006,0)), HYPERLINK("#",""), HYPERLINK(CONCATENATE("#metadata!", ADDRESS(INDEX($P$2:$P$1001,MATCH(ROWS($N$2:N891),$N$2:$N$1001,0),0), INDEX($U$1004:$AC$1004,1,MATCH(COLUMNS($U$1006:AA1006),$U$1006:$AC$1006,0)))),"Fix")))</f>
        <v>0</v>
      </c>
      <c r="I891" s="3">
        <f>IF(OR(INDEX($O$2:$O$1001,MATCH(ROWS($N$2:N891),$N$2:$N$1001,0),1)&gt;=100000,INDEX($U$1005:$AC$1005,1,MATCH(COLUMNS($U$1006:AB1006),$U$1006:$AC$1006,0))&gt;=100000), " ",IF(INDEX($U$2:$AC$1001,MATCH(ROWS($N$2:N891),$N$2:$N$1001,0),MATCH(COLUMNS($U$1006:AB1006),$U$1006:$AC$1006,0)), HYPERLINK("#",""), HYPERLINK(CONCATENATE("#metadata!", ADDRESS(INDEX($P$2:$P$1001,MATCH(ROWS($N$2:N891),$N$2:$N$1001,0),0), INDEX($U$1004:$AC$1004,1,MATCH(COLUMNS($U$1006:AB1006),$U$1006:$AC$1006,0)))),"Fix")))</f>
        <v>0</v>
      </c>
      <c r="J891" s="3">
        <f>IF(OR(INDEX($O$2:$O$1001,MATCH(ROWS($N$2:N891),$N$2:$N$1001,0),1)&gt;=100000,INDEX($U$1005:$AC$1005,1,MATCH(COLUMNS($U$1006:AC1006),$U$1006:$AC$1006,0))&gt;=100000), " ",IF(INDEX($U$2:$AC$1001,MATCH(ROWS($N$2:N891),$N$2:$N$1001,0),MATCH(COLUMNS($U$1006:AC1006),$U$1006:$AC$1006,0)), HYPERLINK("#",""), HYPERLINK(CONCATENATE("#metadata!", ADDRESS(INDEX($P$2:$P$1001,MATCH(ROWS($N$2:N891),$N$2:$N$1001,0),0), INDEX($U$1004:$AC$1004,1,MATCH(COLUMNS($U$1006:AC1006),$U$1006:$AC$1006,0)))),"Fix")))</f>
        <v>0</v>
      </c>
      <c r="N891">
        <v>0</v>
      </c>
      <c r="O891">
        <v>0</v>
      </c>
      <c r="P891">
        <v>0</v>
      </c>
      <c r="Q891">
        <f>IF(R891,TRUE,AND(U891:AC891))</f>
        <v>0</v>
      </c>
      <c r="R891">
        <f>COUNTBLANK(metadata!B891:J891)=COLUMNS(metadata!B891:J891)</f>
        <v>0</v>
      </c>
      <c r="S891">
        <v>0</v>
      </c>
      <c r="U891">
        <f>AND(IF(metadata!B891="",FALSE,TRUE),COUNTIF(metadata!B:B, metadata!B891) = 1,NOT(ISERROR(SUMPRODUCT(SEARCH(MID(metadata!B891,ROW(INDIRECT("1:"&amp;LEN(metadata!B891))), 1),"0123456789abcdefghijklmnopqrstuvwxyzABCDEFGHIJKLMNOPQRSTUVWXYZ.")))))</f>
        <v>0</v>
      </c>
      <c r="V891">
        <f>AND(IF(metadata!C891="",FALSE,TRUE),exact(metadata!C891,"UBERON:genitourinary"))</f>
        <v>0</v>
      </c>
      <c r="W891">
        <f>AND(IF(metadata!D891="",FALSE,TRUE),exact(metadata!D891,"UBERON:urine"))</f>
        <v>0</v>
      </c>
      <c r="X891">
        <f>AND(IF(metadata!E891="",FALSE,TRUE),exact(metadata!E891,"UBERON:kidney"))</f>
        <v>0</v>
      </c>
      <c r="Y891">
        <f>AND(IF(metadata!F891="",FALSE,TRUE),exact(metadata!F891,"animal corpus"))</f>
        <v>0</v>
      </c>
      <c r="Z891">
        <f>AND(IF(metadata!G891="",FALSE,TRUE),exact(metadata!G891,"urine"))</f>
        <v>0</v>
      </c>
      <c r="AA891">
        <f>AND(IF(metadata!H891="",FALSE,TRUE),exact(metadata!H891,"urine"))</f>
        <v>0</v>
      </c>
      <c r="AB891">
        <f>AND(IF(metadata!I891="",FALSE,TRUE),exact(metadata!I891,"urine metagenome"))</f>
        <v>0</v>
      </c>
      <c r="AC891">
        <f>AND(IF(metadata!J891="",FALSE,TRUE),exact(metadata!J891,"1346744"))</f>
        <v>0</v>
      </c>
    </row>
    <row r="892" spans="1:29">
      <c r="A892" s="4">
        <f>IF(B892=" "," ",HYPERLINK(CONCATENATE("#metadata!",ADDRESS(INDEX($P$2:$P$1001,MATCH(ROWS($N$2:N892),$N$2:$N$1001,0),0),1)),INDEX($S$2:$S$1001,MATCH(ROWS($N$2:N892),$N$2:$N$1001,0),0)))</f>
        <v>0</v>
      </c>
      <c r="B892" s="3">
        <f>IF(OR(INDEX($O$2:$O$1001,MATCH(ROWS($N$2:N892),$N$2:$N$1001,0),1)&gt;=100000,INDEX($U$1005:$AC$1005,1,MATCH(COLUMNS($U$1006:U1006),$U$1006:$AC$1006,0))&gt;=100000), " ",IF(INDEX($U$2:$AC$1001,MATCH(ROWS($N$2:N892),$N$2:$N$1001,0),MATCH(COLUMNS($U$1006:U1006),$U$1006:$AC$1006,0)), HYPERLINK("#",""), HYPERLINK(CONCATENATE("#metadata!", ADDRESS(INDEX($P$2:$P$1001,MATCH(ROWS($N$2:N892),$N$2:$N$1001,0),0), INDEX($U$1004:$AC$1004,1,MATCH(COLUMNS($U$1006:U1006),$U$1006:$AC$1006,0)))),"Fix")))</f>
        <v>0</v>
      </c>
      <c r="C892" s="3">
        <f>IF(OR(INDEX($O$2:$O$1001,MATCH(ROWS($N$2:N892),$N$2:$N$1001,0),1)&gt;=100000,INDEX($U$1005:$AC$1005,1,MATCH(COLUMNS($U$1006:V1006),$U$1006:$AC$1006,0))&gt;=100000), " ",IF(INDEX($U$2:$AC$1001,MATCH(ROWS($N$2:N892),$N$2:$N$1001,0),MATCH(COLUMNS($U$1006:V1006),$U$1006:$AC$1006,0)), HYPERLINK("#",""), HYPERLINK(CONCATENATE("#metadata!", ADDRESS(INDEX($P$2:$P$1001,MATCH(ROWS($N$2:N892),$N$2:$N$1001,0),0), INDEX($U$1004:$AC$1004,1,MATCH(COLUMNS($U$1006:V1006),$U$1006:$AC$1006,0)))),"Fix")))</f>
        <v>0</v>
      </c>
      <c r="D892" s="3">
        <f>IF(OR(INDEX($O$2:$O$1001,MATCH(ROWS($N$2:N892),$N$2:$N$1001,0),1)&gt;=100000,INDEX($U$1005:$AC$1005,1,MATCH(COLUMNS($U$1006:W1006),$U$1006:$AC$1006,0))&gt;=100000), " ",IF(INDEX($U$2:$AC$1001,MATCH(ROWS($N$2:N892),$N$2:$N$1001,0),MATCH(COLUMNS($U$1006:W1006),$U$1006:$AC$1006,0)), HYPERLINK("#",""), HYPERLINK(CONCATENATE("#metadata!", ADDRESS(INDEX($P$2:$P$1001,MATCH(ROWS($N$2:N892),$N$2:$N$1001,0),0), INDEX($U$1004:$AC$1004,1,MATCH(COLUMNS($U$1006:W1006),$U$1006:$AC$1006,0)))),"Fix")))</f>
        <v>0</v>
      </c>
      <c r="E892" s="3">
        <f>IF(OR(INDEX($O$2:$O$1001,MATCH(ROWS($N$2:N892),$N$2:$N$1001,0),1)&gt;=100000,INDEX($U$1005:$AC$1005,1,MATCH(COLUMNS($U$1006:X1006),$U$1006:$AC$1006,0))&gt;=100000), " ",IF(INDEX($U$2:$AC$1001,MATCH(ROWS($N$2:N892),$N$2:$N$1001,0),MATCH(COLUMNS($U$1006:X1006),$U$1006:$AC$1006,0)), HYPERLINK("#",""), HYPERLINK(CONCATENATE("#metadata!", ADDRESS(INDEX($P$2:$P$1001,MATCH(ROWS($N$2:N892),$N$2:$N$1001,0),0), INDEX($U$1004:$AC$1004,1,MATCH(COLUMNS($U$1006:X1006),$U$1006:$AC$1006,0)))),"Fix")))</f>
        <v>0</v>
      </c>
      <c r="F892" s="3">
        <f>IF(OR(INDEX($O$2:$O$1001,MATCH(ROWS($N$2:N892),$N$2:$N$1001,0),1)&gt;=100000,INDEX($U$1005:$AC$1005,1,MATCH(COLUMNS($U$1006:Y1006),$U$1006:$AC$1006,0))&gt;=100000), " ",IF(INDEX($U$2:$AC$1001,MATCH(ROWS($N$2:N892),$N$2:$N$1001,0),MATCH(COLUMNS($U$1006:Y1006),$U$1006:$AC$1006,0)), HYPERLINK("#",""), HYPERLINK(CONCATENATE("#metadata!", ADDRESS(INDEX($P$2:$P$1001,MATCH(ROWS($N$2:N892),$N$2:$N$1001,0),0), INDEX($U$1004:$AC$1004,1,MATCH(COLUMNS($U$1006:Y1006),$U$1006:$AC$1006,0)))),"Fix")))</f>
        <v>0</v>
      </c>
      <c r="G892" s="3">
        <f>IF(OR(INDEX($O$2:$O$1001,MATCH(ROWS($N$2:N892),$N$2:$N$1001,0),1)&gt;=100000,INDEX($U$1005:$AC$1005,1,MATCH(COLUMNS($U$1006:Z1006),$U$1006:$AC$1006,0))&gt;=100000), " ",IF(INDEX($U$2:$AC$1001,MATCH(ROWS($N$2:N892),$N$2:$N$1001,0),MATCH(COLUMNS($U$1006:Z1006),$U$1006:$AC$1006,0)), HYPERLINK("#",""), HYPERLINK(CONCATENATE("#metadata!", ADDRESS(INDEX($P$2:$P$1001,MATCH(ROWS($N$2:N892),$N$2:$N$1001,0),0), INDEX($U$1004:$AC$1004,1,MATCH(COLUMNS($U$1006:Z1006),$U$1006:$AC$1006,0)))),"Fix")))</f>
        <v>0</v>
      </c>
      <c r="H892" s="3">
        <f>IF(OR(INDEX($O$2:$O$1001,MATCH(ROWS($N$2:N892),$N$2:$N$1001,0),1)&gt;=100000,INDEX($U$1005:$AC$1005,1,MATCH(COLUMNS($U$1006:AA1006),$U$1006:$AC$1006,0))&gt;=100000), " ",IF(INDEX($U$2:$AC$1001,MATCH(ROWS($N$2:N892),$N$2:$N$1001,0),MATCH(COLUMNS($U$1006:AA1006),$U$1006:$AC$1006,0)), HYPERLINK("#",""), HYPERLINK(CONCATENATE("#metadata!", ADDRESS(INDEX($P$2:$P$1001,MATCH(ROWS($N$2:N892),$N$2:$N$1001,0),0), INDEX($U$1004:$AC$1004,1,MATCH(COLUMNS($U$1006:AA1006),$U$1006:$AC$1006,0)))),"Fix")))</f>
        <v>0</v>
      </c>
      <c r="I892" s="3">
        <f>IF(OR(INDEX($O$2:$O$1001,MATCH(ROWS($N$2:N892),$N$2:$N$1001,0),1)&gt;=100000,INDEX($U$1005:$AC$1005,1,MATCH(COLUMNS($U$1006:AB1006),$U$1006:$AC$1006,0))&gt;=100000), " ",IF(INDEX($U$2:$AC$1001,MATCH(ROWS($N$2:N892),$N$2:$N$1001,0),MATCH(COLUMNS($U$1006:AB1006),$U$1006:$AC$1006,0)), HYPERLINK("#",""), HYPERLINK(CONCATENATE("#metadata!", ADDRESS(INDEX($P$2:$P$1001,MATCH(ROWS($N$2:N892),$N$2:$N$1001,0),0), INDEX($U$1004:$AC$1004,1,MATCH(COLUMNS($U$1006:AB1006),$U$1006:$AC$1006,0)))),"Fix")))</f>
        <v>0</v>
      </c>
      <c r="J892" s="3">
        <f>IF(OR(INDEX($O$2:$O$1001,MATCH(ROWS($N$2:N892),$N$2:$N$1001,0),1)&gt;=100000,INDEX($U$1005:$AC$1005,1,MATCH(COLUMNS($U$1006:AC1006),$U$1006:$AC$1006,0))&gt;=100000), " ",IF(INDEX($U$2:$AC$1001,MATCH(ROWS($N$2:N892),$N$2:$N$1001,0),MATCH(COLUMNS($U$1006:AC1006),$U$1006:$AC$1006,0)), HYPERLINK("#",""), HYPERLINK(CONCATENATE("#metadata!", ADDRESS(INDEX($P$2:$P$1001,MATCH(ROWS($N$2:N892),$N$2:$N$1001,0),0), INDEX($U$1004:$AC$1004,1,MATCH(COLUMNS($U$1006:AC1006),$U$1006:$AC$1006,0)))),"Fix")))</f>
        <v>0</v>
      </c>
      <c r="N892">
        <v>0</v>
      </c>
      <c r="O892">
        <v>0</v>
      </c>
      <c r="P892">
        <v>0</v>
      </c>
      <c r="Q892">
        <f>IF(R892,TRUE,AND(U892:AC892))</f>
        <v>0</v>
      </c>
      <c r="R892">
        <f>COUNTBLANK(metadata!B892:J892)=COLUMNS(metadata!B892:J892)</f>
        <v>0</v>
      </c>
      <c r="S892">
        <v>0</v>
      </c>
      <c r="U892">
        <f>AND(IF(metadata!B892="",FALSE,TRUE),COUNTIF(metadata!B:B, metadata!B892) = 1,NOT(ISERROR(SUMPRODUCT(SEARCH(MID(metadata!B892,ROW(INDIRECT("1:"&amp;LEN(metadata!B892))), 1),"0123456789abcdefghijklmnopqrstuvwxyzABCDEFGHIJKLMNOPQRSTUVWXYZ.")))))</f>
        <v>0</v>
      </c>
      <c r="V892">
        <f>AND(IF(metadata!C892="",FALSE,TRUE),exact(metadata!C892,"UBERON:genitourinary"))</f>
        <v>0</v>
      </c>
      <c r="W892">
        <f>AND(IF(metadata!D892="",FALSE,TRUE),exact(metadata!D892,"UBERON:urine"))</f>
        <v>0</v>
      </c>
      <c r="X892">
        <f>AND(IF(metadata!E892="",FALSE,TRUE),exact(metadata!E892,"UBERON:kidney"))</f>
        <v>0</v>
      </c>
      <c r="Y892">
        <f>AND(IF(metadata!F892="",FALSE,TRUE),exact(metadata!F892,"animal corpus"))</f>
        <v>0</v>
      </c>
      <c r="Z892">
        <f>AND(IF(metadata!G892="",FALSE,TRUE),exact(metadata!G892,"urine"))</f>
        <v>0</v>
      </c>
      <c r="AA892">
        <f>AND(IF(metadata!H892="",FALSE,TRUE),exact(metadata!H892,"urine"))</f>
        <v>0</v>
      </c>
      <c r="AB892">
        <f>AND(IF(metadata!I892="",FALSE,TRUE),exact(metadata!I892,"urine metagenome"))</f>
        <v>0</v>
      </c>
      <c r="AC892">
        <f>AND(IF(metadata!J892="",FALSE,TRUE),exact(metadata!J892,"1346744"))</f>
        <v>0</v>
      </c>
    </row>
    <row r="893" spans="1:29">
      <c r="A893" s="4">
        <f>IF(B893=" "," ",HYPERLINK(CONCATENATE("#metadata!",ADDRESS(INDEX($P$2:$P$1001,MATCH(ROWS($N$2:N893),$N$2:$N$1001,0),0),1)),INDEX($S$2:$S$1001,MATCH(ROWS($N$2:N893),$N$2:$N$1001,0),0)))</f>
        <v>0</v>
      </c>
      <c r="B893" s="3">
        <f>IF(OR(INDEX($O$2:$O$1001,MATCH(ROWS($N$2:N893),$N$2:$N$1001,0),1)&gt;=100000,INDEX($U$1005:$AC$1005,1,MATCH(COLUMNS($U$1006:U1006),$U$1006:$AC$1006,0))&gt;=100000), " ",IF(INDEX($U$2:$AC$1001,MATCH(ROWS($N$2:N893),$N$2:$N$1001,0),MATCH(COLUMNS($U$1006:U1006),$U$1006:$AC$1006,0)), HYPERLINK("#",""), HYPERLINK(CONCATENATE("#metadata!", ADDRESS(INDEX($P$2:$P$1001,MATCH(ROWS($N$2:N893),$N$2:$N$1001,0),0), INDEX($U$1004:$AC$1004,1,MATCH(COLUMNS($U$1006:U1006),$U$1006:$AC$1006,0)))),"Fix")))</f>
        <v>0</v>
      </c>
      <c r="C893" s="3">
        <f>IF(OR(INDEX($O$2:$O$1001,MATCH(ROWS($N$2:N893),$N$2:$N$1001,0),1)&gt;=100000,INDEX($U$1005:$AC$1005,1,MATCH(COLUMNS($U$1006:V1006),$U$1006:$AC$1006,0))&gt;=100000), " ",IF(INDEX($U$2:$AC$1001,MATCH(ROWS($N$2:N893),$N$2:$N$1001,0),MATCH(COLUMNS($U$1006:V1006),$U$1006:$AC$1006,0)), HYPERLINK("#",""), HYPERLINK(CONCATENATE("#metadata!", ADDRESS(INDEX($P$2:$P$1001,MATCH(ROWS($N$2:N893),$N$2:$N$1001,0),0), INDEX($U$1004:$AC$1004,1,MATCH(COLUMNS($U$1006:V1006),$U$1006:$AC$1006,0)))),"Fix")))</f>
        <v>0</v>
      </c>
      <c r="D893" s="3">
        <f>IF(OR(INDEX($O$2:$O$1001,MATCH(ROWS($N$2:N893),$N$2:$N$1001,0),1)&gt;=100000,INDEX($U$1005:$AC$1005,1,MATCH(COLUMNS($U$1006:W1006),$U$1006:$AC$1006,0))&gt;=100000), " ",IF(INDEX($U$2:$AC$1001,MATCH(ROWS($N$2:N893),$N$2:$N$1001,0),MATCH(COLUMNS($U$1006:W1006),$U$1006:$AC$1006,0)), HYPERLINK("#",""), HYPERLINK(CONCATENATE("#metadata!", ADDRESS(INDEX($P$2:$P$1001,MATCH(ROWS($N$2:N893),$N$2:$N$1001,0),0), INDEX($U$1004:$AC$1004,1,MATCH(COLUMNS($U$1006:W1006),$U$1006:$AC$1006,0)))),"Fix")))</f>
        <v>0</v>
      </c>
      <c r="E893" s="3">
        <f>IF(OR(INDEX($O$2:$O$1001,MATCH(ROWS($N$2:N893),$N$2:$N$1001,0),1)&gt;=100000,INDEX($U$1005:$AC$1005,1,MATCH(COLUMNS($U$1006:X1006),$U$1006:$AC$1006,0))&gt;=100000), " ",IF(INDEX($U$2:$AC$1001,MATCH(ROWS($N$2:N893),$N$2:$N$1001,0),MATCH(COLUMNS($U$1006:X1006),$U$1006:$AC$1006,0)), HYPERLINK("#",""), HYPERLINK(CONCATENATE("#metadata!", ADDRESS(INDEX($P$2:$P$1001,MATCH(ROWS($N$2:N893),$N$2:$N$1001,0),0), INDEX($U$1004:$AC$1004,1,MATCH(COLUMNS($U$1006:X1006),$U$1006:$AC$1006,0)))),"Fix")))</f>
        <v>0</v>
      </c>
      <c r="F893" s="3">
        <f>IF(OR(INDEX($O$2:$O$1001,MATCH(ROWS($N$2:N893),$N$2:$N$1001,0),1)&gt;=100000,INDEX($U$1005:$AC$1005,1,MATCH(COLUMNS($U$1006:Y1006),$U$1006:$AC$1006,0))&gt;=100000), " ",IF(INDEX($U$2:$AC$1001,MATCH(ROWS($N$2:N893),$N$2:$N$1001,0),MATCH(COLUMNS($U$1006:Y1006),$U$1006:$AC$1006,0)), HYPERLINK("#",""), HYPERLINK(CONCATENATE("#metadata!", ADDRESS(INDEX($P$2:$P$1001,MATCH(ROWS($N$2:N893),$N$2:$N$1001,0),0), INDEX($U$1004:$AC$1004,1,MATCH(COLUMNS($U$1006:Y1006),$U$1006:$AC$1006,0)))),"Fix")))</f>
        <v>0</v>
      </c>
      <c r="G893" s="3">
        <f>IF(OR(INDEX($O$2:$O$1001,MATCH(ROWS($N$2:N893),$N$2:$N$1001,0),1)&gt;=100000,INDEX($U$1005:$AC$1005,1,MATCH(COLUMNS($U$1006:Z1006),$U$1006:$AC$1006,0))&gt;=100000), " ",IF(INDEX($U$2:$AC$1001,MATCH(ROWS($N$2:N893),$N$2:$N$1001,0),MATCH(COLUMNS($U$1006:Z1006),$U$1006:$AC$1006,0)), HYPERLINK("#",""), HYPERLINK(CONCATENATE("#metadata!", ADDRESS(INDEX($P$2:$P$1001,MATCH(ROWS($N$2:N893),$N$2:$N$1001,0),0), INDEX($U$1004:$AC$1004,1,MATCH(COLUMNS($U$1006:Z1006),$U$1006:$AC$1006,0)))),"Fix")))</f>
        <v>0</v>
      </c>
      <c r="H893" s="3">
        <f>IF(OR(INDEX($O$2:$O$1001,MATCH(ROWS($N$2:N893),$N$2:$N$1001,0),1)&gt;=100000,INDEX($U$1005:$AC$1005,1,MATCH(COLUMNS($U$1006:AA1006),$U$1006:$AC$1006,0))&gt;=100000), " ",IF(INDEX($U$2:$AC$1001,MATCH(ROWS($N$2:N893),$N$2:$N$1001,0),MATCH(COLUMNS($U$1006:AA1006),$U$1006:$AC$1006,0)), HYPERLINK("#",""), HYPERLINK(CONCATENATE("#metadata!", ADDRESS(INDEX($P$2:$P$1001,MATCH(ROWS($N$2:N893),$N$2:$N$1001,0),0), INDEX($U$1004:$AC$1004,1,MATCH(COLUMNS($U$1006:AA1006),$U$1006:$AC$1006,0)))),"Fix")))</f>
        <v>0</v>
      </c>
      <c r="I893" s="3">
        <f>IF(OR(INDEX($O$2:$O$1001,MATCH(ROWS($N$2:N893),$N$2:$N$1001,0),1)&gt;=100000,INDEX($U$1005:$AC$1005,1,MATCH(COLUMNS($U$1006:AB1006),$U$1006:$AC$1006,0))&gt;=100000), " ",IF(INDEX($U$2:$AC$1001,MATCH(ROWS($N$2:N893),$N$2:$N$1001,0),MATCH(COLUMNS($U$1006:AB1006),$U$1006:$AC$1006,0)), HYPERLINK("#",""), HYPERLINK(CONCATENATE("#metadata!", ADDRESS(INDEX($P$2:$P$1001,MATCH(ROWS($N$2:N893),$N$2:$N$1001,0),0), INDEX($U$1004:$AC$1004,1,MATCH(COLUMNS($U$1006:AB1006),$U$1006:$AC$1006,0)))),"Fix")))</f>
        <v>0</v>
      </c>
      <c r="J893" s="3">
        <f>IF(OR(INDEX($O$2:$O$1001,MATCH(ROWS($N$2:N893),$N$2:$N$1001,0),1)&gt;=100000,INDEX($U$1005:$AC$1005,1,MATCH(COLUMNS($U$1006:AC1006),$U$1006:$AC$1006,0))&gt;=100000), " ",IF(INDEX($U$2:$AC$1001,MATCH(ROWS($N$2:N893),$N$2:$N$1001,0),MATCH(COLUMNS($U$1006:AC1006),$U$1006:$AC$1006,0)), HYPERLINK("#",""), HYPERLINK(CONCATENATE("#metadata!", ADDRESS(INDEX($P$2:$P$1001,MATCH(ROWS($N$2:N893),$N$2:$N$1001,0),0), INDEX($U$1004:$AC$1004,1,MATCH(COLUMNS($U$1006:AC1006),$U$1006:$AC$1006,0)))),"Fix")))</f>
        <v>0</v>
      </c>
      <c r="N893">
        <v>0</v>
      </c>
      <c r="O893">
        <v>0</v>
      </c>
      <c r="P893">
        <v>0</v>
      </c>
      <c r="Q893">
        <f>IF(R893,TRUE,AND(U893:AC893))</f>
        <v>0</v>
      </c>
      <c r="R893">
        <f>COUNTBLANK(metadata!B893:J893)=COLUMNS(metadata!B893:J893)</f>
        <v>0</v>
      </c>
      <c r="S893">
        <v>0</v>
      </c>
      <c r="U893">
        <f>AND(IF(metadata!B893="",FALSE,TRUE),COUNTIF(metadata!B:B, metadata!B893) = 1,NOT(ISERROR(SUMPRODUCT(SEARCH(MID(metadata!B893,ROW(INDIRECT("1:"&amp;LEN(metadata!B893))), 1),"0123456789abcdefghijklmnopqrstuvwxyzABCDEFGHIJKLMNOPQRSTUVWXYZ.")))))</f>
        <v>0</v>
      </c>
      <c r="V893">
        <f>AND(IF(metadata!C893="",FALSE,TRUE),exact(metadata!C893,"UBERON:genitourinary"))</f>
        <v>0</v>
      </c>
      <c r="W893">
        <f>AND(IF(metadata!D893="",FALSE,TRUE),exact(metadata!D893,"UBERON:urine"))</f>
        <v>0</v>
      </c>
      <c r="X893">
        <f>AND(IF(metadata!E893="",FALSE,TRUE),exact(metadata!E893,"UBERON:kidney"))</f>
        <v>0</v>
      </c>
      <c r="Y893">
        <f>AND(IF(metadata!F893="",FALSE,TRUE),exact(metadata!F893,"animal corpus"))</f>
        <v>0</v>
      </c>
      <c r="Z893">
        <f>AND(IF(metadata!G893="",FALSE,TRUE),exact(metadata!G893,"urine"))</f>
        <v>0</v>
      </c>
      <c r="AA893">
        <f>AND(IF(metadata!H893="",FALSE,TRUE),exact(metadata!H893,"urine"))</f>
        <v>0</v>
      </c>
      <c r="AB893">
        <f>AND(IF(metadata!I893="",FALSE,TRUE),exact(metadata!I893,"urine metagenome"))</f>
        <v>0</v>
      </c>
      <c r="AC893">
        <f>AND(IF(metadata!J893="",FALSE,TRUE),exact(metadata!J893,"1346744"))</f>
        <v>0</v>
      </c>
    </row>
    <row r="894" spans="1:29">
      <c r="A894" s="4">
        <f>IF(B894=" "," ",HYPERLINK(CONCATENATE("#metadata!",ADDRESS(INDEX($P$2:$P$1001,MATCH(ROWS($N$2:N894),$N$2:$N$1001,0),0),1)),INDEX($S$2:$S$1001,MATCH(ROWS($N$2:N894),$N$2:$N$1001,0),0)))</f>
        <v>0</v>
      </c>
      <c r="B894" s="3">
        <f>IF(OR(INDEX($O$2:$O$1001,MATCH(ROWS($N$2:N894),$N$2:$N$1001,0),1)&gt;=100000,INDEX($U$1005:$AC$1005,1,MATCH(COLUMNS($U$1006:U1006),$U$1006:$AC$1006,0))&gt;=100000), " ",IF(INDEX($U$2:$AC$1001,MATCH(ROWS($N$2:N894),$N$2:$N$1001,0),MATCH(COLUMNS($U$1006:U1006),$U$1006:$AC$1006,0)), HYPERLINK("#",""), HYPERLINK(CONCATENATE("#metadata!", ADDRESS(INDEX($P$2:$P$1001,MATCH(ROWS($N$2:N894),$N$2:$N$1001,0),0), INDEX($U$1004:$AC$1004,1,MATCH(COLUMNS($U$1006:U1006),$U$1006:$AC$1006,0)))),"Fix")))</f>
        <v>0</v>
      </c>
      <c r="C894" s="3">
        <f>IF(OR(INDEX($O$2:$O$1001,MATCH(ROWS($N$2:N894),$N$2:$N$1001,0),1)&gt;=100000,INDEX($U$1005:$AC$1005,1,MATCH(COLUMNS($U$1006:V1006),$U$1006:$AC$1006,0))&gt;=100000), " ",IF(INDEX($U$2:$AC$1001,MATCH(ROWS($N$2:N894),$N$2:$N$1001,0),MATCH(COLUMNS($U$1006:V1006),$U$1006:$AC$1006,0)), HYPERLINK("#",""), HYPERLINK(CONCATENATE("#metadata!", ADDRESS(INDEX($P$2:$P$1001,MATCH(ROWS($N$2:N894),$N$2:$N$1001,0),0), INDEX($U$1004:$AC$1004,1,MATCH(COLUMNS($U$1006:V1006),$U$1006:$AC$1006,0)))),"Fix")))</f>
        <v>0</v>
      </c>
      <c r="D894" s="3">
        <f>IF(OR(INDEX($O$2:$O$1001,MATCH(ROWS($N$2:N894),$N$2:$N$1001,0),1)&gt;=100000,INDEX($U$1005:$AC$1005,1,MATCH(COLUMNS($U$1006:W1006),$U$1006:$AC$1006,0))&gt;=100000), " ",IF(INDEX($U$2:$AC$1001,MATCH(ROWS($N$2:N894),$N$2:$N$1001,0),MATCH(COLUMNS($U$1006:W1006),$U$1006:$AC$1006,0)), HYPERLINK("#",""), HYPERLINK(CONCATENATE("#metadata!", ADDRESS(INDEX($P$2:$P$1001,MATCH(ROWS($N$2:N894),$N$2:$N$1001,0),0), INDEX($U$1004:$AC$1004,1,MATCH(COLUMNS($U$1006:W1006),$U$1006:$AC$1006,0)))),"Fix")))</f>
        <v>0</v>
      </c>
      <c r="E894" s="3">
        <f>IF(OR(INDEX($O$2:$O$1001,MATCH(ROWS($N$2:N894),$N$2:$N$1001,0),1)&gt;=100000,INDEX($U$1005:$AC$1005,1,MATCH(COLUMNS($U$1006:X1006),$U$1006:$AC$1006,0))&gt;=100000), " ",IF(INDEX($U$2:$AC$1001,MATCH(ROWS($N$2:N894),$N$2:$N$1001,0),MATCH(COLUMNS($U$1006:X1006),$U$1006:$AC$1006,0)), HYPERLINK("#",""), HYPERLINK(CONCATENATE("#metadata!", ADDRESS(INDEX($P$2:$P$1001,MATCH(ROWS($N$2:N894),$N$2:$N$1001,0),0), INDEX($U$1004:$AC$1004,1,MATCH(COLUMNS($U$1006:X1006),$U$1006:$AC$1006,0)))),"Fix")))</f>
        <v>0</v>
      </c>
      <c r="F894" s="3">
        <f>IF(OR(INDEX($O$2:$O$1001,MATCH(ROWS($N$2:N894),$N$2:$N$1001,0),1)&gt;=100000,INDEX($U$1005:$AC$1005,1,MATCH(COLUMNS($U$1006:Y1006),$U$1006:$AC$1006,0))&gt;=100000), " ",IF(INDEX($U$2:$AC$1001,MATCH(ROWS($N$2:N894),$N$2:$N$1001,0),MATCH(COLUMNS($U$1006:Y1006),$U$1006:$AC$1006,0)), HYPERLINK("#",""), HYPERLINK(CONCATENATE("#metadata!", ADDRESS(INDEX($P$2:$P$1001,MATCH(ROWS($N$2:N894),$N$2:$N$1001,0),0), INDEX($U$1004:$AC$1004,1,MATCH(COLUMNS($U$1006:Y1006),$U$1006:$AC$1006,0)))),"Fix")))</f>
        <v>0</v>
      </c>
      <c r="G894" s="3">
        <f>IF(OR(INDEX($O$2:$O$1001,MATCH(ROWS($N$2:N894),$N$2:$N$1001,0),1)&gt;=100000,INDEX($U$1005:$AC$1005,1,MATCH(COLUMNS($U$1006:Z1006),$U$1006:$AC$1006,0))&gt;=100000), " ",IF(INDEX($U$2:$AC$1001,MATCH(ROWS($N$2:N894),$N$2:$N$1001,0),MATCH(COLUMNS($U$1006:Z1006),$U$1006:$AC$1006,0)), HYPERLINK("#",""), HYPERLINK(CONCATENATE("#metadata!", ADDRESS(INDEX($P$2:$P$1001,MATCH(ROWS($N$2:N894),$N$2:$N$1001,0),0), INDEX($U$1004:$AC$1004,1,MATCH(COLUMNS($U$1006:Z1006),$U$1006:$AC$1006,0)))),"Fix")))</f>
        <v>0</v>
      </c>
      <c r="H894" s="3">
        <f>IF(OR(INDEX($O$2:$O$1001,MATCH(ROWS($N$2:N894),$N$2:$N$1001,0),1)&gt;=100000,INDEX($U$1005:$AC$1005,1,MATCH(COLUMNS($U$1006:AA1006),$U$1006:$AC$1006,0))&gt;=100000), " ",IF(INDEX($U$2:$AC$1001,MATCH(ROWS($N$2:N894),$N$2:$N$1001,0),MATCH(COLUMNS($U$1006:AA1006),$U$1006:$AC$1006,0)), HYPERLINK("#",""), HYPERLINK(CONCATENATE("#metadata!", ADDRESS(INDEX($P$2:$P$1001,MATCH(ROWS($N$2:N894),$N$2:$N$1001,0),0), INDEX($U$1004:$AC$1004,1,MATCH(COLUMNS($U$1006:AA1006),$U$1006:$AC$1006,0)))),"Fix")))</f>
        <v>0</v>
      </c>
      <c r="I894" s="3">
        <f>IF(OR(INDEX($O$2:$O$1001,MATCH(ROWS($N$2:N894),$N$2:$N$1001,0),1)&gt;=100000,INDEX($U$1005:$AC$1005,1,MATCH(COLUMNS($U$1006:AB1006),$U$1006:$AC$1006,0))&gt;=100000), " ",IF(INDEX($U$2:$AC$1001,MATCH(ROWS($N$2:N894),$N$2:$N$1001,0),MATCH(COLUMNS($U$1006:AB1006),$U$1006:$AC$1006,0)), HYPERLINK("#",""), HYPERLINK(CONCATENATE("#metadata!", ADDRESS(INDEX($P$2:$P$1001,MATCH(ROWS($N$2:N894),$N$2:$N$1001,0),0), INDEX($U$1004:$AC$1004,1,MATCH(COLUMNS($U$1006:AB1006),$U$1006:$AC$1006,0)))),"Fix")))</f>
        <v>0</v>
      </c>
      <c r="J894" s="3">
        <f>IF(OR(INDEX($O$2:$O$1001,MATCH(ROWS($N$2:N894),$N$2:$N$1001,0),1)&gt;=100000,INDEX($U$1005:$AC$1005,1,MATCH(COLUMNS($U$1006:AC1006),$U$1006:$AC$1006,0))&gt;=100000), " ",IF(INDEX($U$2:$AC$1001,MATCH(ROWS($N$2:N894),$N$2:$N$1001,0),MATCH(COLUMNS($U$1006:AC1006),$U$1006:$AC$1006,0)), HYPERLINK("#",""), HYPERLINK(CONCATENATE("#metadata!", ADDRESS(INDEX($P$2:$P$1001,MATCH(ROWS($N$2:N894),$N$2:$N$1001,0),0), INDEX($U$1004:$AC$1004,1,MATCH(COLUMNS($U$1006:AC1006),$U$1006:$AC$1006,0)))),"Fix")))</f>
        <v>0</v>
      </c>
      <c r="N894">
        <v>0</v>
      </c>
      <c r="O894">
        <v>0</v>
      </c>
      <c r="P894">
        <v>0</v>
      </c>
      <c r="Q894">
        <f>IF(R894,TRUE,AND(U894:AC894))</f>
        <v>0</v>
      </c>
      <c r="R894">
        <f>COUNTBLANK(metadata!B894:J894)=COLUMNS(metadata!B894:J894)</f>
        <v>0</v>
      </c>
      <c r="S894">
        <v>0</v>
      </c>
      <c r="U894">
        <f>AND(IF(metadata!B894="",FALSE,TRUE),COUNTIF(metadata!B:B, metadata!B894) = 1,NOT(ISERROR(SUMPRODUCT(SEARCH(MID(metadata!B894,ROW(INDIRECT("1:"&amp;LEN(metadata!B894))), 1),"0123456789abcdefghijklmnopqrstuvwxyzABCDEFGHIJKLMNOPQRSTUVWXYZ.")))))</f>
        <v>0</v>
      </c>
      <c r="V894">
        <f>AND(IF(metadata!C894="",FALSE,TRUE),exact(metadata!C894,"UBERON:genitourinary"))</f>
        <v>0</v>
      </c>
      <c r="W894">
        <f>AND(IF(metadata!D894="",FALSE,TRUE),exact(metadata!D894,"UBERON:urine"))</f>
        <v>0</v>
      </c>
      <c r="X894">
        <f>AND(IF(metadata!E894="",FALSE,TRUE),exact(metadata!E894,"UBERON:kidney"))</f>
        <v>0</v>
      </c>
      <c r="Y894">
        <f>AND(IF(metadata!F894="",FALSE,TRUE),exact(metadata!F894,"animal corpus"))</f>
        <v>0</v>
      </c>
      <c r="Z894">
        <f>AND(IF(metadata!G894="",FALSE,TRUE),exact(metadata!G894,"urine"))</f>
        <v>0</v>
      </c>
      <c r="AA894">
        <f>AND(IF(metadata!H894="",FALSE,TRUE),exact(metadata!H894,"urine"))</f>
        <v>0</v>
      </c>
      <c r="AB894">
        <f>AND(IF(metadata!I894="",FALSE,TRUE),exact(metadata!I894,"urine metagenome"))</f>
        <v>0</v>
      </c>
      <c r="AC894">
        <f>AND(IF(metadata!J894="",FALSE,TRUE),exact(metadata!J894,"1346744"))</f>
        <v>0</v>
      </c>
    </row>
    <row r="895" spans="1:29">
      <c r="A895" s="4">
        <f>IF(B895=" "," ",HYPERLINK(CONCATENATE("#metadata!",ADDRESS(INDEX($P$2:$P$1001,MATCH(ROWS($N$2:N895),$N$2:$N$1001,0),0),1)),INDEX($S$2:$S$1001,MATCH(ROWS($N$2:N895),$N$2:$N$1001,0),0)))</f>
        <v>0</v>
      </c>
      <c r="B895" s="3">
        <f>IF(OR(INDEX($O$2:$O$1001,MATCH(ROWS($N$2:N895),$N$2:$N$1001,0),1)&gt;=100000,INDEX($U$1005:$AC$1005,1,MATCH(COLUMNS($U$1006:U1006),$U$1006:$AC$1006,0))&gt;=100000), " ",IF(INDEX($U$2:$AC$1001,MATCH(ROWS($N$2:N895),$N$2:$N$1001,0),MATCH(COLUMNS($U$1006:U1006),$U$1006:$AC$1006,0)), HYPERLINK("#",""), HYPERLINK(CONCATENATE("#metadata!", ADDRESS(INDEX($P$2:$P$1001,MATCH(ROWS($N$2:N895),$N$2:$N$1001,0),0), INDEX($U$1004:$AC$1004,1,MATCH(COLUMNS($U$1006:U1006),$U$1006:$AC$1006,0)))),"Fix")))</f>
        <v>0</v>
      </c>
      <c r="C895" s="3">
        <f>IF(OR(INDEX($O$2:$O$1001,MATCH(ROWS($N$2:N895),$N$2:$N$1001,0),1)&gt;=100000,INDEX($U$1005:$AC$1005,1,MATCH(COLUMNS($U$1006:V1006),$U$1006:$AC$1006,0))&gt;=100000), " ",IF(INDEX($U$2:$AC$1001,MATCH(ROWS($N$2:N895),$N$2:$N$1001,0),MATCH(COLUMNS($U$1006:V1006),$U$1006:$AC$1006,0)), HYPERLINK("#",""), HYPERLINK(CONCATENATE("#metadata!", ADDRESS(INDEX($P$2:$P$1001,MATCH(ROWS($N$2:N895),$N$2:$N$1001,0),0), INDEX($U$1004:$AC$1004,1,MATCH(COLUMNS($U$1006:V1006),$U$1006:$AC$1006,0)))),"Fix")))</f>
        <v>0</v>
      </c>
      <c r="D895" s="3">
        <f>IF(OR(INDEX($O$2:$O$1001,MATCH(ROWS($N$2:N895),$N$2:$N$1001,0),1)&gt;=100000,INDEX($U$1005:$AC$1005,1,MATCH(COLUMNS($U$1006:W1006),$U$1006:$AC$1006,0))&gt;=100000), " ",IF(INDEX($U$2:$AC$1001,MATCH(ROWS($N$2:N895),$N$2:$N$1001,0),MATCH(COLUMNS($U$1006:W1006),$U$1006:$AC$1006,0)), HYPERLINK("#",""), HYPERLINK(CONCATENATE("#metadata!", ADDRESS(INDEX($P$2:$P$1001,MATCH(ROWS($N$2:N895),$N$2:$N$1001,0),0), INDEX($U$1004:$AC$1004,1,MATCH(COLUMNS($U$1006:W1006),$U$1006:$AC$1006,0)))),"Fix")))</f>
        <v>0</v>
      </c>
      <c r="E895" s="3">
        <f>IF(OR(INDEX($O$2:$O$1001,MATCH(ROWS($N$2:N895),$N$2:$N$1001,0),1)&gt;=100000,INDEX($U$1005:$AC$1005,1,MATCH(COLUMNS($U$1006:X1006),$U$1006:$AC$1006,0))&gt;=100000), " ",IF(INDEX($U$2:$AC$1001,MATCH(ROWS($N$2:N895),$N$2:$N$1001,0),MATCH(COLUMNS($U$1006:X1006),$U$1006:$AC$1006,0)), HYPERLINK("#",""), HYPERLINK(CONCATENATE("#metadata!", ADDRESS(INDEX($P$2:$P$1001,MATCH(ROWS($N$2:N895),$N$2:$N$1001,0),0), INDEX($U$1004:$AC$1004,1,MATCH(COLUMNS($U$1006:X1006),$U$1006:$AC$1006,0)))),"Fix")))</f>
        <v>0</v>
      </c>
      <c r="F895" s="3">
        <f>IF(OR(INDEX($O$2:$O$1001,MATCH(ROWS($N$2:N895),$N$2:$N$1001,0),1)&gt;=100000,INDEX($U$1005:$AC$1005,1,MATCH(COLUMNS($U$1006:Y1006),$U$1006:$AC$1006,0))&gt;=100000), " ",IF(INDEX($U$2:$AC$1001,MATCH(ROWS($N$2:N895),$N$2:$N$1001,0),MATCH(COLUMNS($U$1006:Y1006),$U$1006:$AC$1006,0)), HYPERLINK("#",""), HYPERLINK(CONCATENATE("#metadata!", ADDRESS(INDEX($P$2:$P$1001,MATCH(ROWS($N$2:N895),$N$2:$N$1001,0),0), INDEX($U$1004:$AC$1004,1,MATCH(COLUMNS($U$1006:Y1006),$U$1006:$AC$1006,0)))),"Fix")))</f>
        <v>0</v>
      </c>
      <c r="G895" s="3">
        <f>IF(OR(INDEX($O$2:$O$1001,MATCH(ROWS($N$2:N895),$N$2:$N$1001,0),1)&gt;=100000,INDEX($U$1005:$AC$1005,1,MATCH(COLUMNS($U$1006:Z1006),$U$1006:$AC$1006,0))&gt;=100000), " ",IF(INDEX($U$2:$AC$1001,MATCH(ROWS($N$2:N895),$N$2:$N$1001,0),MATCH(COLUMNS($U$1006:Z1006),$U$1006:$AC$1006,0)), HYPERLINK("#",""), HYPERLINK(CONCATENATE("#metadata!", ADDRESS(INDEX($P$2:$P$1001,MATCH(ROWS($N$2:N895),$N$2:$N$1001,0),0), INDEX($U$1004:$AC$1004,1,MATCH(COLUMNS($U$1006:Z1006),$U$1006:$AC$1006,0)))),"Fix")))</f>
        <v>0</v>
      </c>
      <c r="H895" s="3">
        <f>IF(OR(INDEX($O$2:$O$1001,MATCH(ROWS($N$2:N895),$N$2:$N$1001,0),1)&gt;=100000,INDEX($U$1005:$AC$1005,1,MATCH(COLUMNS($U$1006:AA1006),$U$1006:$AC$1006,0))&gt;=100000), " ",IF(INDEX($U$2:$AC$1001,MATCH(ROWS($N$2:N895),$N$2:$N$1001,0),MATCH(COLUMNS($U$1006:AA1006),$U$1006:$AC$1006,0)), HYPERLINK("#",""), HYPERLINK(CONCATENATE("#metadata!", ADDRESS(INDEX($P$2:$P$1001,MATCH(ROWS($N$2:N895),$N$2:$N$1001,0),0), INDEX($U$1004:$AC$1004,1,MATCH(COLUMNS($U$1006:AA1006),$U$1006:$AC$1006,0)))),"Fix")))</f>
        <v>0</v>
      </c>
      <c r="I895" s="3">
        <f>IF(OR(INDEX($O$2:$O$1001,MATCH(ROWS($N$2:N895),$N$2:$N$1001,0),1)&gt;=100000,INDEX($U$1005:$AC$1005,1,MATCH(COLUMNS($U$1006:AB1006),$U$1006:$AC$1006,0))&gt;=100000), " ",IF(INDEX($U$2:$AC$1001,MATCH(ROWS($N$2:N895),$N$2:$N$1001,0),MATCH(COLUMNS($U$1006:AB1006),$U$1006:$AC$1006,0)), HYPERLINK("#",""), HYPERLINK(CONCATENATE("#metadata!", ADDRESS(INDEX($P$2:$P$1001,MATCH(ROWS($N$2:N895),$N$2:$N$1001,0),0), INDEX($U$1004:$AC$1004,1,MATCH(COLUMNS($U$1006:AB1006),$U$1006:$AC$1006,0)))),"Fix")))</f>
        <v>0</v>
      </c>
      <c r="J895" s="3">
        <f>IF(OR(INDEX($O$2:$O$1001,MATCH(ROWS($N$2:N895),$N$2:$N$1001,0),1)&gt;=100000,INDEX($U$1005:$AC$1005,1,MATCH(COLUMNS($U$1006:AC1006),$U$1006:$AC$1006,0))&gt;=100000), " ",IF(INDEX($U$2:$AC$1001,MATCH(ROWS($N$2:N895),$N$2:$N$1001,0),MATCH(COLUMNS($U$1006:AC1006),$U$1006:$AC$1006,0)), HYPERLINK("#",""), HYPERLINK(CONCATENATE("#metadata!", ADDRESS(INDEX($P$2:$P$1001,MATCH(ROWS($N$2:N895),$N$2:$N$1001,0),0), INDEX($U$1004:$AC$1004,1,MATCH(COLUMNS($U$1006:AC1006),$U$1006:$AC$1006,0)))),"Fix")))</f>
        <v>0</v>
      </c>
      <c r="N895">
        <v>0</v>
      </c>
      <c r="O895">
        <v>0</v>
      </c>
      <c r="P895">
        <v>0</v>
      </c>
      <c r="Q895">
        <f>IF(R895,TRUE,AND(U895:AC895))</f>
        <v>0</v>
      </c>
      <c r="R895">
        <f>COUNTBLANK(metadata!B895:J895)=COLUMNS(metadata!B895:J895)</f>
        <v>0</v>
      </c>
      <c r="S895">
        <v>0</v>
      </c>
      <c r="U895">
        <f>AND(IF(metadata!B895="",FALSE,TRUE),COUNTIF(metadata!B:B, metadata!B895) = 1,NOT(ISERROR(SUMPRODUCT(SEARCH(MID(metadata!B895,ROW(INDIRECT("1:"&amp;LEN(metadata!B895))), 1),"0123456789abcdefghijklmnopqrstuvwxyzABCDEFGHIJKLMNOPQRSTUVWXYZ.")))))</f>
        <v>0</v>
      </c>
      <c r="V895">
        <f>AND(IF(metadata!C895="",FALSE,TRUE),exact(metadata!C895,"UBERON:genitourinary"))</f>
        <v>0</v>
      </c>
      <c r="W895">
        <f>AND(IF(metadata!D895="",FALSE,TRUE),exact(metadata!D895,"UBERON:urine"))</f>
        <v>0</v>
      </c>
      <c r="X895">
        <f>AND(IF(metadata!E895="",FALSE,TRUE),exact(metadata!E895,"UBERON:kidney"))</f>
        <v>0</v>
      </c>
      <c r="Y895">
        <f>AND(IF(metadata!F895="",FALSE,TRUE),exact(metadata!F895,"animal corpus"))</f>
        <v>0</v>
      </c>
      <c r="Z895">
        <f>AND(IF(metadata!G895="",FALSE,TRUE),exact(metadata!G895,"urine"))</f>
        <v>0</v>
      </c>
      <c r="AA895">
        <f>AND(IF(metadata!H895="",FALSE,TRUE),exact(metadata!H895,"urine"))</f>
        <v>0</v>
      </c>
      <c r="AB895">
        <f>AND(IF(metadata!I895="",FALSE,TRUE),exact(metadata!I895,"urine metagenome"))</f>
        <v>0</v>
      </c>
      <c r="AC895">
        <f>AND(IF(metadata!J895="",FALSE,TRUE),exact(metadata!J895,"1346744"))</f>
        <v>0</v>
      </c>
    </row>
    <row r="896" spans="1:29">
      <c r="A896" s="4">
        <f>IF(B896=" "," ",HYPERLINK(CONCATENATE("#metadata!",ADDRESS(INDEX($P$2:$P$1001,MATCH(ROWS($N$2:N896),$N$2:$N$1001,0),0),1)),INDEX($S$2:$S$1001,MATCH(ROWS($N$2:N896),$N$2:$N$1001,0),0)))</f>
        <v>0</v>
      </c>
      <c r="B896" s="3">
        <f>IF(OR(INDEX($O$2:$O$1001,MATCH(ROWS($N$2:N896),$N$2:$N$1001,0),1)&gt;=100000,INDEX($U$1005:$AC$1005,1,MATCH(COLUMNS($U$1006:U1006),$U$1006:$AC$1006,0))&gt;=100000), " ",IF(INDEX($U$2:$AC$1001,MATCH(ROWS($N$2:N896),$N$2:$N$1001,0),MATCH(COLUMNS($U$1006:U1006),$U$1006:$AC$1006,0)), HYPERLINK("#",""), HYPERLINK(CONCATENATE("#metadata!", ADDRESS(INDEX($P$2:$P$1001,MATCH(ROWS($N$2:N896),$N$2:$N$1001,0),0), INDEX($U$1004:$AC$1004,1,MATCH(COLUMNS($U$1006:U1006),$U$1006:$AC$1006,0)))),"Fix")))</f>
        <v>0</v>
      </c>
      <c r="C896" s="3">
        <f>IF(OR(INDEX($O$2:$O$1001,MATCH(ROWS($N$2:N896),$N$2:$N$1001,0),1)&gt;=100000,INDEX($U$1005:$AC$1005,1,MATCH(COLUMNS($U$1006:V1006),$U$1006:$AC$1006,0))&gt;=100000), " ",IF(INDEX($U$2:$AC$1001,MATCH(ROWS($N$2:N896),$N$2:$N$1001,0),MATCH(COLUMNS($U$1006:V1006),$U$1006:$AC$1006,0)), HYPERLINK("#",""), HYPERLINK(CONCATENATE("#metadata!", ADDRESS(INDEX($P$2:$P$1001,MATCH(ROWS($N$2:N896),$N$2:$N$1001,0),0), INDEX($U$1004:$AC$1004,1,MATCH(COLUMNS($U$1006:V1006),$U$1006:$AC$1006,0)))),"Fix")))</f>
        <v>0</v>
      </c>
      <c r="D896" s="3">
        <f>IF(OR(INDEX($O$2:$O$1001,MATCH(ROWS($N$2:N896),$N$2:$N$1001,0),1)&gt;=100000,INDEX($U$1005:$AC$1005,1,MATCH(COLUMNS($U$1006:W1006),$U$1006:$AC$1006,0))&gt;=100000), " ",IF(INDEX($U$2:$AC$1001,MATCH(ROWS($N$2:N896),$N$2:$N$1001,0),MATCH(COLUMNS($U$1006:W1006),$U$1006:$AC$1006,0)), HYPERLINK("#",""), HYPERLINK(CONCATENATE("#metadata!", ADDRESS(INDEX($P$2:$P$1001,MATCH(ROWS($N$2:N896),$N$2:$N$1001,0),0), INDEX($U$1004:$AC$1004,1,MATCH(COLUMNS($U$1006:W1006),$U$1006:$AC$1006,0)))),"Fix")))</f>
        <v>0</v>
      </c>
      <c r="E896" s="3">
        <f>IF(OR(INDEX($O$2:$O$1001,MATCH(ROWS($N$2:N896),$N$2:$N$1001,0),1)&gt;=100000,INDEX($U$1005:$AC$1005,1,MATCH(COLUMNS($U$1006:X1006),$U$1006:$AC$1006,0))&gt;=100000), " ",IF(INDEX($U$2:$AC$1001,MATCH(ROWS($N$2:N896),$N$2:$N$1001,0),MATCH(COLUMNS($U$1006:X1006),$U$1006:$AC$1006,0)), HYPERLINK("#",""), HYPERLINK(CONCATENATE("#metadata!", ADDRESS(INDEX($P$2:$P$1001,MATCH(ROWS($N$2:N896),$N$2:$N$1001,0),0), INDEX($U$1004:$AC$1004,1,MATCH(COLUMNS($U$1006:X1006),$U$1006:$AC$1006,0)))),"Fix")))</f>
        <v>0</v>
      </c>
      <c r="F896" s="3">
        <f>IF(OR(INDEX($O$2:$O$1001,MATCH(ROWS($N$2:N896),$N$2:$N$1001,0),1)&gt;=100000,INDEX($U$1005:$AC$1005,1,MATCH(COLUMNS($U$1006:Y1006),$U$1006:$AC$1006,0))&gt;=100000), " ",IF(INDEX($U$2:$AC$1001,MATCH(ROWS($N$2:N896),$N$2:$N$1001,0),MATCH(COLUMNS($U$1006:Y1006),$U$1006:$AC$1006,0)), HYPERLINK("#",""), HYPERLINK(CONCATENATE("#metadata!", ADDRESS(INDEX($P$2:$P$1001,MATCH(ROWS($N$2:N896),$N$2:$N$1001,0),0), INDEX($U$1004:$AC$1004,1,MATCH(COLUMNS($U$1006:Y1006),$U$1006:$AC$1006,0)))),"Fix")))</f>
        <v>0</v>
      </c>
      <c r="G896" s="3">
        <f>IF(OR(INDEX($O$2:$O$1001,MATCH(ROWS($N$2:N896),$N$2:$N$1001,0),1)&gt;=100000,INDEX($U$1005:$AC$1005,1,MATCH(COLUMNS($U$1006:Z1006),$U$1006:$AC$1006,0))&gt;=100000), " ",IF(INDEX($U$2:$AC$1001,MATCH(ROWS($N$2:N896),$N$2:$N$1001,0),MATCH(COLUMNS($U$1006:Z1006),$U$1006:$AC$1006,0)), HYPERLINK("#",""), HYPERLINK(CONCATENATE("#metadata!", ADDRESS(INDEX($P$2:$P$1001,MATCH(ROWS($N$2:N896),$N$2:$N$1001,0),0), INDEX($U$1004:$AC$1004,1,MATCH(COLUMNS($U$1006:Z1006),$U$1006:$AC$1006,0)))),"Fix")))</f>
        <v>0</v>
      </c>
      <c r="H896" s="3">
        <f>IF(OR(INDEX($O$2:$O$1001,MATCH(ROWS($N$2:N896),$N$2:$N$1001,0),1)&gt;=100000,INDEX($U$1005:$AC$1005,1,MATCH(COLUMNS($U$1006:AA1006),$U$1006:$AC$1006,0))&gt;=100000), " ",IF(INDEX($U$2:$AC$1001,MATCH(ROWS($N$2:N896),$N$2:$N$1001,0),MATCH(COLUMNS($U$1006:AA1006),$U$1006:$AC$1006,0)), HYPERLINK("#",""), HYPERLINK(CONCATENATE("#metadata!", ADDRESS(INDEX($P$2:$P$1001,MATCH(ROWS($N$2:N896),$N$2:$N$1001,0),0), INDEX($U$1004:$AC$1004,1,MATCH(COLUMNS($U$1006:AA1006),$U$1006:$AC$1006,0)))),"Fix")))</f>
        <v>0</v>
      </c>
      <c r="I896" s="3">
        <f>IF(OR(INDEX($O$2:$O$1001,MATCH(ROWS($N$2:N896),$N$2:$N$1001,0),1)&gt;=100000,INDEX($U$1005:$AC$1005,1,MATCH(COLUMNS($U$1006:AB1006),$U$1006:$AC$1006,0))&gt;=100000), " ",IF(INDEX($U$2:$AC$1001,MATCH(ROWS($N$2:N896),$N$2:$N$1001,0),MATCH(COLUMNS($U$1006:AB1006),$U$1006:$AC$1006,0)), HYPERLINK("#",""), HYPERLINK(CONCATENATE("#metadata!", ADDRESS(INDEX($P$2:$P$1001,MATCH(ROWS($N$2:N896),$N$2:$N$1001,0),0), INDEX($U$1004:$AC$1004,1,MATCH(COLUMNS($U$1006:AB1006),$U$1006:$AC$1006,0)))),"Fix")))</f>
        <v>0</v>
      </c>
      <c r="J896" s="3">
        <f>IF(OR(INDEX($O$2:$O$1001,MATCH(ROWS($N$2:N896),$N$2:$N$1001,0),1)&gt;=100000,INDEX($U$1005:$AC$1005,1,MATCH(COLUMNS($U$1006:AC1006),$U$1006:$AC$1006,0))&gt;=100000), " ",IF(INDEX($U$2:$AC$1001,MATCH(ROWS($N$2:N896),$N$2:$N$1001,0),MATCH(COLUMNS($U$1006:AC1006),$U$1006:$AC$1006,0)), HYPERLINK("#",""), HYPERLINK(CONCATENATE("#metadata!", ADDRESS(INDEX($P$2:$P$1001,MATCH(ROWS($N$2:N896),$N$2:$N$1001,0),0), INDEX($U$1004:$AC$1004,1,MATCH(COLUMNS($U$1006:AC1006),$U$1006:$AC$1006,0)))),"Fix")))</f>
        <v>0</v>
      </c>
      <c r="N896">
        <v>0</v>
      </c>
      <c r="O896">
        <v>0</v>
      </c>
      <c r="P896">
        <v>0</v>
      </c>
      <c r="Q896">
        <f>IF(R896,TRUE,AND(U896:AC896))</f>
        <v>0</v>
      </c>
      <c r="R896">
        <f>COUNTBLANK(metadata!B896:J896)=COLUMNS(metadata!B896:J896)</f>
        <v>0</v>
      </c>
      <c r="S896">
        <v>0</v>
      </c>
      <c r="U896">
        <f>AND(IF(metadata!B896="",FALSE,TRUE),COUNTIF(metadata!B:B, metadata!B896) = 1,NOT(ISERROR(SUMPRODUCT(SEARCH(MID(metadata!B896,ROW(INDIRECT("1:"&amp;LEN(metadata!B896))), 1),"0123456789abcdefghijklmnopqrstuvwxyzABCDEFGHIJKLMNOPQRSTUVWXYZ.")))))</f>
        <v>0</v>
      </c>
      <c r="V896">
        <f>AND(IF(metadata!C896="",FALSE,TRUE),exact(metadata!C896,"UBERON:genitourinary"))</f>
        <v>0</v>
      </c>
      <c r="W896">
        <f>AND(IF(metadata!D896="",FALSE,TRUE),exact(metadata!D896,"UBERON:urine"))</f>
        <v>0</v>
      </c>
      <c r="X896">
        <f>AND(IF(metadata!E896="",FALSE,TRUE),exact(metadata!E896,"UBERON:kidney"))</f>
        <v>0</v>
      </c>
      <c r="Y896">
        <f>AND(IF(metadata!F896="",FALSE,TRUE),exact(metadata!F896,"animal corpus"))</f>
        <v>0</v>
      </c>
      <c r="Z896">
        <f>AND(IF(metadata!G896="",FALSE,TRUE),exact(metadata!G896,"urine"))</f>
        <v>0</v>
      </c>
      <c r="AA896">
        <f>AND(IF(metadata!H896="",FALSE,TRUE),exact(metadata!H896,"urine"))</f>
        <v>0</v>
      </c>
      <c r="AB896">
        <f>AND(IF(metadata!I896="",FALSE,TRUE),exact(metadata!I896,"urine metagenome"))</f>
        <v>0</v>
      </c>
      <c r="AC896">
        <f>AND(IF(metadata!J896="",FALSE,TRUE),exact(metadata!J896,"1346744"))</f>
        <v>0</v>
      </c>
    </row>
    <row r="897" spans="1:29">
      <c r="A897" s="4">
        <f>IF(B897=" "," ",HYPERLINK(CONCATENATE("#metadata!",ADDRESS(INDEX($P$2:$P$1001,MATCH(ROWS($N$2:N897),$N$2:$N$1001,0),0),1)),INDEX($S$2:$S$1001,MATCH(ROWS($N$2:N897),$N$2:$N$1001,0),0)))</f>
        <v>0</v>
      </c>
      <c r="B897" s="3">
        <f>IF(OR(INDEX($O$2:$O$1001,MATCH(ROWS($N$2:N897),$N$2:$N$1001,0),1)&gt;=100000,INDEX($U$1005:$AC$1005,1,MATCH(COLUMNS($U$1006:U1006),$U$1006:$AC$1006,0))&gt;=100000), " ",IF(INDEX($U$2:$AC$1001,MATCH(ROWS($N$2:N897),$N$2:$N$1001,0),MATCH(COLUMNS($U$1006:U1006),$U$1006:$AC$1006,0)), HYPERLINK("#",""), HYPERLINK(CONCATENATE("#metadata!", ADDRESS(INDEX($P$2:$P$1001,MATCH(ROWS($N$2:N897),$N$2:$N$1001,0),0), INDEX($U$1004:$AC$1004,1,MATCH(COLUMNS($U$1006:U1006),$U$1006:$AC$1006,0)))),"Fix")))</f>
        <v>0</v>
      </c>
      <c r="C897" s="3">
        <f>IF(OR(INDEX($O$2:$O$1001,MATCH(ROWS($N$2:N897),$N$2:$N$1001,0),1)&gt;=100000,INDEX($U$1005:$AC$1005,1,MATCH(COLUMNS($U$1006:V1006),$U$1006:$AC$1006,0))&gt;=100000), " ",IF(INDEX($U$2:$AC$1001,MATCH(ROWS($N$2:N897),$N$2:$N$1001,0),MATCH(COLUMNS($U$1006:V1006),$U$1006:$AC$1006,0)), HYPERLINK("#",""), HYPERLINK(CONCATENATE("#metadata!", ADDRESS(INDEX($P$2:$P$1001,MATCH(ROWS($N$2:N897),$N$2:$N$1001,0),0), INDEX($U$1004:$AC$1004,1,MATCH(COLUMNS($U$1006:V1006),$U$1006:$AC$1006,0)))),"Fix")))</f>
        <v>0</v>
      </c>
      <c r="D897" s="3">
        <f>IF(OR(INDEX($O$2:$O$1001,MATCH(ROWS($N$2:N897),$N$2:$N$1001,0),1)&gt;=100000,INDEX($U$1005:$AC$1005,1,MATCH(COLUMNS($U$1006:W1006),$U$1006:$AC$1006,0))&gt;=100000), " ",IF(INDEX($U$2:$AC$1001,MATCH(ROWS($N$2:N897),$N$2:$N$1001,0),MATCH(COLUMNS($U$1006:W1006),$U$1006:$AC$1006,0)), HYPERLINK("#",""), HYPERLINK(CONCATENATE("#metadata!", ADDRESS(INDEX($P$2:$P$1001,MATCH(ROWS($N$2:N897),$N$2:$N$1001,0),0), INDEX($U$1004:$AC$1004,1,MATCH(COLUMNS($U$1006:W1006),$U$1006:$AC$1006,0)))),"Fix")))</f>
        <v>0</v>
      </c>
      <c r="E897" s="3">
        <f>IF(OR(INDEX($O$2:$O$1001,MATCH(ROWS($N$2:N897),$N$2:$N$1001,0),1)&gt;=100000,INDEX($U$1005:$AC$1005,1,MATCH(COLUMNS($U$1006:X1006),$U$1006:$AC$1006,0))&gt;=100000), " ",IF(INDEX($U$2:$AC$1001,MATCH(ROWS($N$2:N897),$N$2:$N$1001,0),MATCH(COLUMNS($U$1006:X1006),$U$1006:$AC$1006,0)), HYPERLINK("#",""), HYPERLINK(CONCATENATE("#metadata!", ADDRESS(INDEX($P$2:$P$1001,MATCH(ROWS($N$2:N897),$N$2:$N$1001,0),0), INDEX($U$1004:$AC$1004,1,MATCH(COLUMNS($U$1006:X1006),$U$1006:$AC$1006,0)))),"Fix")))</f>
        <v>0</v>
      </c>
      <c r="F897" s="3">
        <f>IF(OR(INDEX($O$2:$O$1001,MATCH(ROWS($N$2:N897),$N$2:$N$1001,0),1)&gt;=100000,INDEX($U$1005:$AC$1005,1,MATCH(COLUMNS($U$1006:Y1006),$U$1006:$AC$1006,0))&gt;=100000), " ",IF(INDEX($U$2:$AC$1001,MATCH(ROWS($N$2:N897),$N$2:$N$1001,0),MATCH(COLUMNS($U$1006:Y1006),$U$1006:$AC$1006,0)), HYPERLINK("#",""), HYPERLINK(CONCATENATE("#metadata!", ADDRESS(INDEX($P$2:$P$1001,MATCH(ROWS($N$2:N897),$N$2:$N$1001,0),0), INDEX($U$1004:$AC$1004,1,MATCH(COLUMNS($U$1006:Y1006),$U$1006:$AC$1006,0)))),"Fix")))</f>
        <v>0</v>
      </c>
      <c r="G897" s="3">
        <f>IF(OR(INDEX($O$2:$O$1001,MATCH(ROWS($N$2:N897),$N$2:$N$1001,0),1)&gt;=100000,INDEX($U$1005:$AC$1005,1,MATCH(COLUMNS($U$1006:Z1006),$U$1006:$AC$1006,0))&gt;=100000), " ",IF(INDEX($U$2:$AC$1001,MATCH(ROWS($N$2:N897),$N$2:$N$1001,0),MATCH(COLUMNS($U$1006:Z1006),$U$1006:$AC$1006,0)), HYPERLINK("#",""), HYPERLINK(CONCATENATE("#metadata!", ADDRESS(INDEX($P$2:$P$1001,MATCH(ROWS($N$2:N897),$N$2:$N$1001,0),0), INDEX($U$1004:$AC$1004,1,MATCH(COLUMNS($U$1006:Z1006),$U$1006:$AC$1006,0)))),"Fix")))</f>
        <v>0</v>
      </c>
      <c r="H897" s="3">
        <f>IF(OR(INDEX($O$2:$O$1001,MATCH(ROWS($N$2:N897),$N$2:$N$1001,0),1)&gt;=100000,INDEX($U$1005:$AC$1005,1,MATCH(COLUMNS($U$1006:AA1006),$U$1006:$AC$1006,0))&gt;=100000), " ",IF(INDEX($U$2:$AC$1001,MATCH(ROWS($N$2:N897),$N$2:$N$1001,0),MATCH(COLUMNS($U$1006:AA1006),$U$1006:$AC$1006,0)), HYPERLINK("#",""), HYPERLINK(CONCATENATE("#metadata!", ADDRESS(INDEX($P$2:$P$1001,MATCH(ROWS($N$2:N897),$N$2:$N$1001,0),0), INDEX($U$1004:$AC$1004,1,MATCH(COLUMNS($U$1006:AA1006),$U$1006:$AC$1006,0)))),"Fix")))</f>
        <v>0</v>
      </c>
      <c r="I897" s="3">
        <f>IF(OR(INDEX($O$2:$O$1001,MATCH(ROWS($N$2:N897),$N$2:$N$1001,0),1)&gt;=100000,INDEX($U$1005:$AC$1005,1,MATCH(COLUMNS($U$1006:AB1006),$U$1006:$AC$1006,0))&gt;=100000), " ",IF(INDEX($U$2:$AC$1001,MATCH(ROWS($N$2:N897),$N$2:$N$1001,0),MATCH(COLUMNS($U$1006:AB1006),$U$1006:$AC$1006,0)), HYPERLINK("#",""), HYPERLINK(CONCATENATE("#metadata!", ADDRESS(INDEX($P$2:$P$1001,MATCH(ROWS($N$2:N897),$N$2:$N$1001,0),0), INDEX($U$1004:$AC$1004,1,MATCH(COLUMNS($U$1006:AB1006),$U$1006:$AC$1006,0)))),"Fix")))</f>
        <v>0</v>
      </c>
      <c r="J897" s="3">
        <f>IF(OR(INDEX($O$2:$O$1001,MATCH(ROWS($N$2:N897),$N$2:$N$1001,0),1)&gt;=100000,INDEX($U$1005:$AC$1005,1,MATCH(COLUMNS($U$1006:AC1006),$U$1006:$AC$1006,0))&gt;=100000), " ",IF(INDEX($U$2:$AC$1001,MATCH(ROWS($N$2:N897),$N$2:$N$1001,0),MATCH(COLUMNS($U$1006:AC1006),$U$1006:$AC$1006,0)), HYPERLINK("#",""), HYPERLINK(CONCATENATE("#metadata!", ADDRESS(INDEX($P$2:$P$1001,MATCH(ROWS($N$2:N897),$N$2:$N$1001,0),0), INDEX($U$1004:$AC$1004,1,MATCH(COLUMNS($U$1006:AC1006),$U$1006:$AC$1006,0)))),"Fix")))</f>
        <v>0</v>
      </c>
      <c r="N897">
        <v>0</v>
      </c>
      <c r="O897">
        <v>0</v>
      </c>
      <c r="P897">
        <v>0</v>
      </c>
      <c r="Q897">
        <f>IF(R897,TRUE,AND(U897:AC897))</f>
        <v>0</v>
      </c>
      <c r="R897">
        <f>COUNTBLANK(metadata!B897:J897)=COLUMNS(metadata!B897:J897)</f>
        <v>0</v>
      </c>
      <c r="S897">
        <v>0</v>
      </c>
      <c r="U897">
        <f>AND(IF(metadata!B897="",FALSE,TRUE),COUNTIF(metadata!B:B, metadata!B897) = 1,NOT(ISERROR(SUMPRODUCT(SEARCH(MID(metadata!B897,ROW(INDIRECT("1:"&amp;LEN(metadata!B897))), 1),"0123456789abcdefghijklmnopqrstuvwxyzABCDEFGHIJKLMNOPQRSTUVWXYZ.")))))</f>
        <v>0</v>
      </c>
      <c r="V897">
        <f>AND(IF(metadata!C897="",FALSE,TRUE),exact(metadata!C897,"UBERON:genitourinary"))</f>
        <v>0</v>
      </c>
      <c r="W897">
        <f>AND(IF(metadata!D897="",FALSE,TRUE),exact(metadata!D897,"UBERON:urine"))</f>
        <v>0</v>
      </c>
      <c r="X897">
        <f>AND(IF(metadata!E897="",FALSE,TRUE),exact(metadata!E897,"UBERON:kidney"))</f>
        <v>0</v>
      </c>
      <c r="Y897">
        <f>AND(IF(metadata!F897="",FALSE,TRUE),exact(metadata!F897,"animal corpus"))</f>
        <v>0</v>
      </c>
      <c r="Z897">
        <f>AND(IF(metadata!G897="",FALSE,TRUE),exact(metadata!G897,"urine"))</f>
        <v>0</v>
      </c>
      <c r="AA897">
        <f>AND(IF(metadata!H897="",FALSE,TRUE),exact(metadata!H897,"urine"))</f>
        <v>0</v>
      </c>
      <c r="AB897">
        <f>AND(IF(metadata!I897="",FALSE,TRUE),exact(metadata!I897,"urine metagenome"))</f>
        <v>0</v>
      </c>
      <c r="AC897">
        <f>AND(IF(metadata!J897="",FALSE,TRUE),exact(metadata!J897,"1346744"))</f>
        <v>0</v>
      </c>
    </row>
    <row r="898" spans="1:29">
      <c r="A898" s="4">
        <f>IF(B898=" "," ",HYPERLINK(CONCATENATE("#metadata!",ADDRESS(INDEX($P$2:$P$1001,MATCH(ROWS($N$2:N898),$N$2:$N$1001,0),0),1)),INDEX($S$2:$S$1001,MATCH(ROWS($N$2:N898),$N$2:$N$1001,0),0)))</f>
        <v>0</v>
      </c>
      <c r="B898" s="3">
        <f>IF(OR(INDEX($O$2:$O$1001,MATCH(ROWS($N$2:N898),$N$2:$N$1001,0),1)&gt;=100000,INDEX($U$1005:$AC$1005,1,MATCH(COLUMNS($U$1006:U1006),$U$1006:$AC$1006,0))&gt;=100000), " ",IF(INDEX($U$2:$AC$1001,MATCH(ROWS($N$2:N898),$N$2:$N$1001,0),MATCH(COLUMNS($U$1006:U1006),$U$1006:$AC$1006,0)), HYPERLINK("#",""), HYPERLINK(CONCATENATE("#metadata!", ADDRESS(INDEX($P$2:$P$1001,MATCH(ROWS($N$2:N898),$N$2:$N$1001,0),0), INDEX($U$1004:$AC$1004,1,MATCH(COLUMNS($U$1006:U1006),$U$1006:$AC$1006,0)))),"Fix")))</f>
        <v>0</v>
      </c>
      <c r="C898" s="3">
        <f>IF(OR(INDEX($O$2:$O$1001,MATCH(ROWS($N$2:N898),$N$2:$N$1001,0),1)&gt;=100000,INDEX($U$1005:$AC$1005,1,MATCH(COLUMNS($U$1006:V1006),$U$1006:$AC$1006,0))&gt;=100000), " ",IF(INDEX($U$2:$AC$1001,MATCH(ROWS($N$2:N898),$N$2:$N$1001,0),MATCH(COLUMNS($U$1006:V1006),$U$1006:$AC$1006,0)), HYPERLINK("#",""), HYPERLINK(CONCATENATE("#metadata!", ADDRESS(INDEX($P$2:$P$1001,MATCH(ROWS($N$2:N898),$N$2:$N$1001,0),0), INDEX($U$1004:$AC$1004,1,MATCH(COLUMNS($U$1006:V1006),$U$1006:$AC$1006,0)))),"Fix")))</f>
        <v>0</v>
      </c>
      <c r="D898" s="3">
        <f>IF(OR(INDEX($O$2:$O$1001,MATCH(ROWS($N$2:N898),$N$2:$N$1001,0),1)&gt;=100000,INDEX($U$1005:$AC$1005,1,MATCH(COLUMNS($U$1006:W1006),$U$1006:$AC$1006,0))&gt;=100000), " ",IF(INDEX($U$2:$AC$1001,MATCH(ROWS($N$2:N898),$N$2:$N$1001,0),MATCH(COLUMNS($U$1006:W1006),$U$1006:$AC$1006,0)), HYPERLINK("#",""), HYPERLINK(CONCATENATE("#metadata!", ADDRESS(INDEX($P$2:$P$1001,MATCH(ROWS($N$2:N898),$N$2:$N$1001,0),0), INDEX($U$1004:$AC$1004,1,MATCH(COLUMNS($U$1006:W1006),$U$1006:$AC$1006,0)))),"Fix")))</f>
        <v>0</v>
      </c>
      <c r="E898" s="3">
        <f>IF(OR(INDEX($O$2:$O$1001,MATCH(ROWS($N$2:N898),$N$2:$N$1001,0),1)&gt;=100000,INDEX($U$1005:$AC$1005,1,MATCH(COLUMNS($U$1006:X1006),$U$1006:$AC$1006,0))&gt;=100000), " ",IF(INDEX($U$2:$AC$1001,MATCH(ROWS($N$2:N898),$N$2:$N$1001,0),MATCH(COLUMNS($U$1006:X1006),$U$1006:$AC$1006,0)), HYPERLINK("#",""), HYPERLINK(CONCATENATE("#metadata!", ADDRESS(INDEX($P$2:$P$1001,MATCH(ROWS($N$2:N898),$N$2:$N$1001,0),0), INDEX($U$1004:$AC$1004,1,MATCH(COLUMNS($U$1006:X1006),$U$1006:$AC$1006,0)))),"Fix")))</f>
        <v>0</v>
      </c>
      <c r="F898" s="3">
        <f>IF(OR(INDEX($O$2:$O$1001,MATCH(ROWS($N$2:N898),$N$2:$N$1001,0),1)&gt;=100000,INDEX($U$1005:$AC$1005,1,MATCH(COLUMNS($U$1006:Y1006),$U$1006:$AC$1006,0))&gt;=100000), " ",IF(INDEX($U$2:$AC$1001,MATCH(ROWS($N$2:N898),$N$2:$N$1001,0),MATCH(COLUMNS($U$1006:Y1006),$U$1006:$AC$1006,0)), HYPERLINK("#",""), HYPERLINK(CONCATENATE("#metadata!", ADDRESS(INDEX($P$2:$P$1001,MATCH(ROWS($N$2:N898),$N$2:$N$1001,0),0), INDEX($U$1004:$AC$1004,1,MATCH(COLUMNS($U$1006:Y1006),$U$1006:$AC$1006,0)))),"Fix")))</f>
        <v>0</v>
      </c>
      <c r="G898" s="3">
        <f>IF(OR(INDEX($O$2:$O$1001,MATCH(ROWS($N$2:N898),$N$2:$N$1001,0),1)&gt;=100000,INDEX($U$1005:$AC$1005,1,MATCH(COLUMNS($U$1006:Z1006),$U$1006:$AC$1006,0))&gt;=100000), " ",IF(INDEX($U$2:$AC$1001,MATCH(ROWS($N$2:N898),$N$2:$N$1001,0),MATCH(COLUMNS($U$1006:Z1006),$U$1006:$AC$1006,0)), HYPERLINK("#",""), HYPERLINK(CONCATENATE("#metadata!", ADDRESS(INDEX($P$2:$P$1001,MATCH(ROWS($N$2:N898),$N$2:$N$1001,0),0), INDEX($U$1004:$AC$1004,1,MATCH(COLUMNS($U$1006:Z1006),$U$1006:$AC$1006,0)))),"Fix")))</f>
        <v>0</v>
      </c>
      <c r="H898" s="3">
        <f>IF(OR(INDEX($O$2:$O$1001,MATCH(ROWS($N$2:N898),$N$2:$N$1001,0),1)&gt;=100000,INDEX($U$1005:$AC$1005,1,MATCH(COLUMNS($U$1006:AA1006),$U$1006:$AC$1006,0))&gt;=100000), " ",IF(INDEX($U$2:$AC$1001,MATCH(ROWS($N$2:N898),$N$2:$N$1001,0),MATCH(COLUMNS($U$1006:AA1006),$U$1006:$AC$1006,0)), HYPERLINK("#",""), HYPERLINK(CONCATENATE("#metadata!", ADDRESS(INDEX($P$2:$P$1001,MATCH(ROWS($N$2:N898),$N$2:$N$1001,0),0), INDEX($U$1004:$AC$1004,1,MATCH(COLUMNS($U$1006:AA1006),$U$1006:$AC$1006,0)))),"Fix")))</f>
        <v>0</v>
      </c>
      <c r="I898" s="3">
        <f>IF(OR(INDEX($O$2:$O$1001,MATCH(ROWS($N$2:N898),$N$2:$N$1001,0),1)&gt;=100000,INDEX($U$1005:$AC$1005,1,MATCH(COLUMNS($U$1006:AB1006),$U$1006:$AC$1006,0))&gt;=100000), " ",IF(INDEX($U$2:$AC$1001,MATCH(ROWS($N$2:N898),$N$2:$N$1001,0),MATCH(COLUMNS($U$1006:AB1006),$U$1006:$AC$1006,0)), HYPERLINK("#",""), HYPERLINK(CONCATENATE("#metadata!", ADDRESS(INDEX($P$2:$P$1001,MATCH(ROWS($N$2:N898),$N$2:$N$1001,0),0), INDEX($U$1004:$AC$1004,1,MATCH(COLUMNS($U$1006:AB1006),$U$1006:$AC$1006,0)))),"Fix")))</f>
        <v>0</v>
      </c>
      <c r="J898" s="3">
        <f>IF(OR(INDEX($O$2:$O$1001,MATCH(ROWS($N$2:N898),$N$2:$N$1001,0),1)&gt;=100000,INDEX($U$1005:$AC$1005,1,MATCH(COLUMNS($U$1006:AC1006),$U$1006:$AC$1006,0))&gt;=100000), " ",IF(INDEX($U$2:$AC$1001,MATCH(ROWS($N$2:N898),$N$2:$N$1001,0),MATCH(COLUMNS($U$1006:AC1006),$U$1006:$AC$1006,0)), HYPERLINK("#",""), HYPERLINK(CONCATENATE("#metadata!", ADDRESS(INDEX($P$2:$P$1001,MATCH(ROWS($N$2:N898),$N$2:$N$1001,0),0), INDEX($U$1004:$AC$1004,1,MATCH(COLUMNS($U$1006:AC1006),$U$1006:$AC$1006,0)))),"Fix")))</f>
        <v>0</v>
      </c>
      <c r="N898">
        <v>0</v>
      </c>
      <c r="O898">
        <v>0</v>
      </c>
      <c r="P898">
        <v>0</v>
      </c>
      <c r="Q898">
        <f>IF(R898,TRUE,AND(U898:AC898))</f>
        <v>0</v>
      </c>
      <c r="R898">
        <f>COUNTBLANK(metadata!B898:J898)=COLUMNS(metadata!B898:J898)</f>
        <v>0</v>
      </c>
      <c r="S898">
        <v>0</v>
      </c>
      <c r="U898">
        <f>AND(IF(metadata!B898="",FALSE,TRUE),COUNTIF(metadata!B:B, metadata!B898) = 1,NOT(ISERROR(SUMPRODUCT(SEARCH(MID(metadata!B898,ROW(INDIRECT("1:"&amp;LEN(metadata!B898))), 1),"0123456789abcdefghijklmnopqrstuvwxyzABCDEFGHIJKLMNOPQRSTUVWXYZ.")))))</f>
        <v>0</v>
      </c>
      <c r="V898">
        <f>AND(IF(metadata!C898="",FALSE,TRUE),exact(metadata!C898,"UBERON:genitourinary"))</f>
        <v>0</v>
      </c>
      <c r="W898">
        <f>AND(IF(metadata!D898="",FALSE,TRUE),exact(metadata!D898,"UBERON:urine"))</f>
        <v>0</v>
      </c>
      <c r="X898">
        <f>AND(IF(metadata!E898="",FALSE,TRUE),exact(metadata!E898,"UBERON:kidney"))</f>
        <v>0</v>
      </c>
      <c r="Y898">
        <f>AND(IF(metadata!F898="",FALSE,TRUE),exact(metadata!F898,"animal corpus"))</f>
        <v>0</v>
      </c>
      <c r="Z898">
        <f>AND(IF(metadata!G898="",FALSE,TRUE),exact(metadata!G898,"urine"))</f>
        <v>0</v>
      </c>
      <c r="AA898">
        <f>AND(IF(metadata!H898="",FALSE,TRUE),exact(metadata!H898,"urine"))</f>
        <v>0</v>
      </c>
      <c r="AB898">
        <f>AND(IF(metadata!I898="",FALSE,TRUE),exact(metadata!I898,"urine metagenome"))</f>
        <v>0</v>
      </c>
      <c r="AC898">
        <f>AND(IF(metadata!J898="",FALSE,TRUE),exact(metadata!J898,"1346744"))</f>
        <v>0</v>
      </c>
    </row>
    <row r="899" spans="1:29">
      <c r="A899" s="4">
        <f>IF(B899=" "," ",HYPERLINK(CONCATENATE("#metadata!",ADDRESS(INDEX($P$2:$P$1001,MATCH(ROWS($N$2:N899),$N$2:$N$1001,0),0),1)),INDEX($S$2:$S$1001,MATCH(ROWS($N$2:N899),$N$2:$N$1001,0),0)))</f>
        <v>0</v>
      </c>
      <c r="B899" s="3">
        <f>IF(OR(INDEX($O$2:$O$1001,MATCH(ROWS($N$2:N899),$N$2:$N$1001,0),1)&gt;=100000,INDEX($U$1005:$AC$1005,1,MATCH(COLUMNS($U$1006:U1006),$U$1006:$AC$1006,0))&gt;=100000), " ",IF(INDEX($U$2:$AC$1001,MATCH(ROWS($N$2:N899),$N$2:$N$1001,0),MATCH(COLUMNS($U$1006:U1006),$U$1006:$AC$1006,0)), HYPERLINK("#",""), HYPERLINK(CONCATENATE("#metadata!", ADDRESS(INDEX($P$2:$P$1001,MATCH(ROWS($N$2:N899),$N$2:$N$1001,0),0), INDEX($U$1004:$AC$1004,1,MATCH(COLUMNS($U$1006:U1006),$U$1006:$AC$1006,0)))),"Fix")))</f>
        <v>0</v>
      </c>
      <c r="C899" s="3">
        <f>IF(OR(INDEX($O$2:$O$1001,MATCH(ROWS($N$2:N899),$N$2:$N$1001,0),1)&gt;=100000,INDEX($U$1005:$AC$1005,1,MATCH(COLUMNS($U$1006:V1006),$U$1006:$AC$1006,0))&gt;=100000), " ",IF(INDEX($U$2:$AC$1001,MATCH(ROWS($N$2:N899),$N$2:$N$1001,0),MATCH(COLUMNS($U$1006:V1006),$U$1006:$AC$1006,0)), HYPERLINK("#",""), HYPERLINK(CONCATENATE("#metadata!", ADDRESS(INDEX($P$2:$P$1001,MATCH(ROWS($N$2:N899),$N$2:$N$1001,0),0), INDEX($U$1004:$AC$1004,1,MATCH(COLUMNS($U$1006:V1006),$U$1006:$AC$1006,0)))),"Fix")))</f>
        <v>0</v>
      </c>
      <c r="D899" s="3">
        <f>IF(OR(INDEX($O$2:$O$1001,MATCH(ROWS($N$2:N899),$N$2:$N$1001,0),1)&gt;=100000,INDEX($U$1005:$AC$1005,1,MATCH(COLUMNS($U$1006:W1006),$U$1006:$AC$1006,0))&gt;=100000), " ",IF(INDEX($U$2:$AC$1001,MATCH(ROWS($N$2:N899),$N$2:$N$1001,0),MATCH(COLUMNS($U$1006:W1006),$U$1006:$AC$1006,0)), HYPERLINK("#",""), HYPERLINK(CONCATENATE("#metadata!", ADDRESS(INDEX($P$2:$P$1001,MATCH(ROWS($N$2:N899),$N$2:$N$1001,0),0), INDEX($U$1004:$AC$1004,1,MATCH(COLUMNS($U$1006:W1006),$U$1006:$AC$1006,0)))),"Fix")))</f>
        <v>0</v>
      </c>
      <c r="E899" s="3">
        <f>IF(OR(INDEX($O$2:$O$1001,MATCH(ROWS($N$2:N899),$N$2:$N$1001,0),1)&gt;=100000,INDEX($U$1005:$AC$1005,1,MATCH(COLUMNS($U$1006:X1006),$U$1006:$AC$1006,0))&gt;=100000), " ",IF(INDEX($U$2:$AC$1001,MATCH(ROWS($N$2:N899),$N$2:$N$1001,0),MATCH(COLUMNS($U$1006:X1006),$U$1006:$AC$1006,0)), HYPERLINK("#",""), HYPERLINK(CONCATENATE("#metadata!", ADDRESS(INDEX($P$2:$P$1001,MATCH(ROWS($N$2:N899),$N$2:$N$1001,0),0), INDEX($U$1004:$AC$1004,1,MATCH(COLUMNS($U$1006:X1006),$U$1006:$AC$1006,0)))),"Fix")))</f>
        <v>0</v>
      </c>
      <c r="F899" s="3">
        <f>IF(OR(INDEX($O$2:$O$1001,MATCH(ROWS($N$2:N899),$N$2:$N$1001,0),1)&gt;=100000,INDEX($U$1005:$AC$1005,1,MATCH(COLUMNS($U$1006:Y1006),$U$1006:$AC$1006,0))&gt;=100000), " ",IF(INDEX($U$2:$AC$1001,MATCH(ROWS($N$2:N899),$N$2:$N$1001,0),MATCH(COLUMNS($U$1006:Y1006),$U$1006:$AC$1006,0)), HYPERLINK("#",""), HYPERLINK(CONCATENATE("#metadata!", ADDRESS(INDEX($P$2:$P$1001,MATCH(ROWS($N$2:N899),$N$2:$N$1001,0),0), INDEX($U$1004:$AC$1004,1,MATCH(COLUMNS($U$1006:Y1006),$U$1006:$AC$1006,0)))),"Fix")))</f>
        <v>0</v>
      </c>
      <c r="G899" s="3">
        <f>IF(OR(INDEX($O$2:$O$1001,MATCH(ROWS($N$2:N899),$N$2:$N$1001,0),1)&gt;=100000,INDEX($U$1005:$AC$1005,1,MATCH(COLUMNS($U$1006:Z1006),$U$1006:$AC$1006,0))&gt;=100000), " ",IF(INDEX($U$2:$AC$1001,MATCH(ROWS($N$2:N899),$N$2:$N$1001,0),MATCH(COLUMNS($U$1006:Z1006),$U$1006:$AC$1006,0)), HYPERLINK("#",""), HYPERLINK(CONCATENATE("#metadata!", ADDRESS(INDEX($P$2:$P$1001,MATCH(ROWS($N$2:N899),$N$2:$N$1001,0),0), INDEX($U$1004:$AC$1004,1,MATCH(COLUMNS($U$1006:Z1006),$U$1006:$AC$1006,0)))),"Fix")))</f>
        <v>0</v>
      </c>
      <c r="H899" s="3">
        <f>IF(OR(INDEX($O$2:$O$1001,MATCH(ROWS($N$2:N899),$N$2:$N$1001,0),1)&gt;=100000,INDEX($U$1005:$AC$1005,1,MATCH(COLUMNS($U$1006:AA1006),$U$1006:$AC$1006,0))&gt;=100000), " ",IF(INDEX($U$2:$AC$1001,MATCH(ROWS($N$2:N899),$N$2:$N$1001,0),MATCH(COLUMNS($U$1006:AA1006),$U$1006:$AC$1006,0)), HYPERLINK("#",""), HYPERLINK(CONCATENATE("#metadata!", ADDRESS(INDEX($P$2:$P$1001,MATCH(ROWS($N$2:N899),$N$2:$N$1001,0),0), INDEX($U$1004:$AC$1004,1,MATCH(COLUMNS($U$1006:AA1006),$U$1006:$AC$1006,0)))),"Fix")))</f>
        <v>0</v>
      </c>
      <c r="I899" s="3">
        <f>IF(OR(INDEX($O$2:$O$1001,MATCH(ROWS($N$2:N899),$N$2:$N$1001,0),1)&gt;=100000,INDEX($U$1005:$AC$1005,1,MATCH(COLUMNS($U$1006:AB1006),$U$1006:$AC$1006,0))&gt;=100000), " ",IF(INDEX($U$2:$AC$1001,MATCH(ROWS($N$2:N899),$N$2:$N$1001,0),MATCH(COLUMNS($U$1006:AB1006),$U$1006:$AC$1006,0)), HYPERLINK("#",""), HYPERLINK(CONCATENATE("#metadata!", ADDRESS(INDEX($P$2:$P$1001,MATCH(ROWS($N$2:N899),$N$2:$N$1001,0),0), INDEX($U$1004:$AC$1004,1,MATCH(COLUMNS($U$1006:AB1006),$U$1006:$AC$1006,0)))),"Fix")))</f>
        <v>0</v>
      </c>
      <c r="J899" s="3">
        <f>IF(OR(INDEX($O$2:$O$1001,MATCH(ROWS($N$2:N899),$N$2:$N$1001,0),1)&gt;=100000,INDEX($U$1005:$AC$1005,1,MATCH(COLUMNS($U$1006:AC1006),$U$1006:$AC$1006,0))&gt;=100000), " ",IF(INDEX($U$2:$AC$1001,MATCH(ROWS($N$2:N899),$N$2:$N$1001,0),MATCH(COLUMNS($U$1006:AC1006),$U$1006:$AC$1006,0)), HYPERLINK("#",""), HYPERLINK(CONCATENATE("#metadata!", ADDRESS(INDEX($P$2:$P$1001,MATCH(ROWS($N$2:N899),$N$2:$N$1001,0),0), INDEX($U$1004:$AC$1004,1,MATCH(COLUMNS($U$1006:AC1006),$U$1006:$AC$1006,0)))),"Fix")))</f>
        <v>0</v>
      </c>
      <c r="N899">
        <v>0</v>
      </c>
      <c r="O899">
        <v>0</v>
      </c>
      <c r="P899">
        <v>0</v>
      </c>
      <c r="Q899">
        <f>IF(R899,TRUE,AND(U899:AC899))</f>
        <v>0</v>
      </c>
      <c r="R899">
        <f>COUNTBLANK(metadata!B899:J899)=COLUMNS(metadata!B899:J899)</f>
        <v>0</v>
      </c>
      <c r="S899">
        <v>0</v>
      </c>
      <c r="U899">
        <f>AND(IF(metadata!B899="",FALSE,TRUE),COUNTIF(metadata!B:B, metadata!B899) = 1,NOT(ISERROR(SUMPRODUCT(SEARCH(MID(metadata!B899,ROW(INDIRECT("1:"&amp;LEN(metadata!B899))), 1),"0123456789abcdefghijklmnopqrstuvwxyzABCDEFGHIJKLMNOPQRSTUVWXYZ.")))))</f>
        <v>0</v>
      </c>
      <c r="V899">
        <f>AND(IF(metadata!C899="",FALSE,TRUE),exact(metadata!C899,"UBERON:genitourinary"))</f>
        <v>0</v>
      </c>
      <c r="W899">
        <f>AND(IF(metadata!D899="",FALSE,TRUE),exact(metadata!D899,"UBERON:urine"))</f>
        <v>0</v>
      </c>
      <c r="X899">
        <f>AND(IF(metadata!E899="",FALSE,TRUE),exact(metadata!E899,"UBERON:kidney"))</f>
        <v>0</v>
      </c>
      <c r="Y899">
        <f>AND(IF(metadata!F899="",FALSE,TRUE),exact(metadata!F899,"animal corpus"))</f>
        <v>0</v>
      </c>
      <c r="Z899">
        <f>AND(IF(metadata!G899="",FALSE,TRUE),exact(metadata!G899,"urine"))</f>
        <v>0</v>
      </c>
      <c r="AA899">
        <f>AND(IF(metadata!H899="",FALSE,TRUE),exact(metadata!H899,"urine"))</f>
        <v>0</v>
      </c>
      <c r="AB899">
        <f>AND(IF(metadata!I899="",FALSE,TRUE),exact(metadata!I899,"urine metagenome"))</f>
        <v>0</v>
      </c>
      <c r="AC899">
        <f>AND(IF(metadata!J899="",FALSE,TRUE),exact(metadata!J899,"1346744"))</f>
        <v>0</v>
      </c>
    </row>
    <row r="900" spans="1:29">
      <c r="A900" s="4">
        <f>IF(B900=" "," ",HYPERLINK(CONCATENATE("#metadata!",ADDRESS(INDEX($P$2:$P$1001,MATCH(ROWS($N$2:N900),$N$2:$N$1001,0),0),1)),INDEX($S$2:$S$1001,MATCH(ROWS($N$2:N900),$N$2:$N$1001,0),0)))</f>
        <v>0</v>
      </c>
      <c r="B900" s="3">
        <f>IF(OR(INDEX($O$2:$O$1001,MATCH(ROWS($N$2:N900),$N$2:$N$1001,0),1)&gt;=100000,INDEX($U$1005:$AC$1005,1,MATCH(COLUMNS($U$1006:U1006),$U$1006:$AC$1006,0))&gt;=100000), " ",IF(INDEX($U$2:$AC$1001,MATCH(ROWS($N$2:N900),$N$2:$N$1001,0),MATCH(COLUMNS($U$1006:U1006),$U$1006:$AC$1006,0)), HYPERLINK("#",""), HYPERLINK(CONCATENATE("#metadata!", ADDRESS(INDEX($P$2:$P$1001,MATCH(ROWS($N$2:N900),$N$2:$N$1001,0),0), INDEX($U$1004:$AC$1004,1,MATCH(COLUMNS($U$1006:U1006),$U$1006:$AC$1006,0)))),"Fix")))</f>
        <v>0</v>
      </c>
      <c r="C900" s="3">
        <f>IF(OR(INDEX($O$2:$O$1001,MATCH(ROWS($N$2:N900),$N$2:$N$1001,0),1)&gt;=100000,INDEX($U$1005:$AC$1005,1,MATCH(COLUMNS($U$1006:V1006),$U$1006:$AC$1006,0))&gt;=100000), " ",IF(INDEX($U$2:$AC$1001,MATCH(ROWS($N$2:N900),$N$2:$N$1001,0),MATCH(COLUMNS($U$1006:V1006),$U$1006:$AC$1006,0)), HYPERLINK("#",""), HYPERLINK(CONCATENATE("#metadata!", ADDRESS(INDEX($P$2:$P$1001,MATCH(ROWS($N$2:N900),$N$2:$N$1001,0),0), INDEX($U$1004:$AC$1004,1,MATCH(COLUMNS($U$1006:V1006),$U$1006:$AC$1006,0)))),"Fix")))</f>
        <v>0</v>
      </c>
      <c r="D900" s="3">
        <f>IF(OR(INDEX($O$2:$O$1001,MATCH(ROWS($N$2:N900),$N$2:$N$1001,0),1)&gt;=100000,INDEX($U$1005:$AC$1005,1,MATCH(COLUMNS($U$1006:W1006),$U$1006:$AC$1006,0))&gt;=100000), " ",IF(INDEX($U$2:$AC$1001,MATCH(ROWS($N$2:N900),$N$2:$N$1001,0),MATCH(COLUMNS($U$1006:W1006),$U$1006:$AC$1006,0)), HYPERLINK("#",""), HYPERLINK(CONCATENATE("#metadata!", ADDRESS(INDEX($P$2:$P$1001,MATCH(ROWS($N$2:N900),$N$2:$N$1001,0),0), INDEX($U$1004:$AC$1004,1,MATCH(COLUMNS($U$1006:W1006),$U$1006:$AC$1006,0)))),"Fix")))</f>
        <v>0</v>
      </c>
      <c r="E900" s="3">
        <f>IF(OR(INDEX($O$2:$O$1001,MATCH(ROWS($N$2:N900),$N$2:$N$1001,0),1)&gt;=100000,INDEX($U$1005:$AC$1005,1,MATCH(COLUMNS($U$1006:X1006),$U$1006:$AC$1006,0))&gt;=100000), " ",IF(INDEX($U$2:$AC$1001,MATCH(ROWS($N$2:N900),$N$2:$N$1001,0),MATCH(COLUMNS($U$1006:X1006),$U$1006:$AC$1006,0)), HYPERLINK("#",""), HYPERLINK(CONCATENATE("#metadata!", ADDRESS(INDEX($P$2:$P$1001,MATCH(ROWS($N$2:N900),$N$2:$N$1001,0),0), INDEX($U$1004:$AC$1004,1,MATCH(COLUMNS($U$1006:X1006),$U$1006:$AC$1006,0)))),"Fix")))</f>
        <v>0</v>
      </c>
      <c r="F900" s="3">
        <f>IF(OR(INDEX($O$2:$O$1001,MATCH(ROWS($N$2:N900),$N$2:$N$1001,0),1)&gt;=100000,INDEX($U$1005:$AC$1005,1,MATCH(COLUMNS($U$1006:Y1006),$U$1006:$AC$1006,0))&gt;=100000), " ",IF(INDEX($U$2:$AC$1001,MATCH(ROWS($N$2:N900),$N$2:$N$1001,0),MATCH(COLUMNS($U$1006:Y1006),$U$1006:$AC$1006,0)), HYPERLINK("#",""), HYPERLINK(CONCATENATE("#metadata!", ADDRESS(INDEX($P$2:$P$1001,MATCH(ROWS($N$2:N900),$N$2:$N$1001,0),0), INDEX($U$1004:$AC$1004,1,MATCH(COLUMNS($U$1006:Y1006),$U$1006:$AC$1006,0)))),"Fix")))</f>
        <v>0</v>
      </c>
      <c r="G900" s="3">
        <f>IF(OR(INDEX($O$2:$O$1001,MATCH(ROWS($N$2:N900),$N$2:$N$1001,0),1)&gt;=100000,INDEX($U$1005:$AC$1005,1,MATCH(COLUMNS($U$1006:Z1006),$U$1006:$AC$1006,0))&gt;=100000), " ",IF(INDEX($U$2:$AC$1001,MATCH(ROWS($N$2:N900),$N$2:$N$1001,0),MATCH(COLUMNS($U$1006:Z1006),$U$1006:$AC$1006,0)), HYPERLINK("#",""), HYPERLINK(CONCATENATE("#metadata!", ADDRESS(INDEX($P$2:$P$1001,MATCH(ROWS($N$2:N900),$N$2:$N$1001,0),0), INDEX($U$1004:$AC$1004,1,MATCH(COLUMNS($U$1006:Z1006),$U$1006:$AC$1006,0)))),"Fix")))</f>
        <v>0</v>
      </c>
      <c r="H900" s="3">
        <f>IF(OR(INDEX($O$2:$O$1001,MATCH(ROWS($N$2:N900),$N$2:$N$1001,0),1)&gt;=100000,INDEX($U$1005:$AC$1005,1,MATCH(COLUMNS($U$1006:AA1006),$U$1006:$AC$1006,0))&gt;=100000), " ",IF(INDEX($U$2:$AC$1001,MATCH(ROWS($N$2:N900),$N$2:$N$1001,0),MATCH(COLUMNS($U$1006:AA1006),$U$1006:$AC$1006,0)), HYPERLINK("#",""), HYPERLINK(CONCATENATE("#metadata!", ADDRESS(INDEX($P$2:$P$1001,MATCH(ROWS($N$2:N900),$N$2:$N$1001,0),0), INDEX($U$1004:$AC$1004,1,MATCH(COLUMNS($U$1006:AA1006),$U$1006:$AC$1006,0)))),"Fix")))</f>
        <v>0</v>
      </c>
      <c r="I900" s="3">
        <f>IF(OR(INDEX($O$2:$O$1001,MATCH(ROWS($N$2:N900),$N$2:$N$1001,0),1)&gt;=100000,INDEX($U$1005:$AC$1005,1,MATCH(COLUMNS($U$1006:AB1006),$U$1006:$AC$1006,0))&gt;=100000), " ",IF(INDEX($U$2:$AC$1001,MATCH(ROWS($N$2:N900),$N$2:$N$1001,0),MATCH(COLUMNS($U$1006:AB1006),$U$1006:$AC$1006,0)), HYPERLINK("#",""), HYPERLINK(CONCATENATE("#metadata!", ADDRESS(INDEX($P$2:$P$1001,MATCH(ROWS($N$2:N900),$N$2:$N$1001,0),0), INDEX($U$1004:$AC$1004,1,MATCH(COLUMNS($U$1006:AB1006),$U$1006:$AC$1006,0)))),"Fix")))</f>
        <v>0</v>
      </c>
      <c r="J900" s="3">
        <f>IF(OR(INDEX($O$2:$O$1001,MATCH(ROWS($N$2:N900),$N$2:$N$1001,0),1)&gt;=100000,INDEX($U$1005:$AC$1005,1,MATCH(COLUMNS($U$1006:AC1006),$U$1006:$AC$1006,0))&gt;=100000), " ",IF(INDEX($U$2:$AC$1001,MATCH(ROWS($N$2:N900),$N$2:$N$1001,0),MATCH(COLUMNS($U$1006:AC1006),$U$1006:$AC$1006,0)), HYPERLINK("#",""), HYPERLINK(CONCATENATE("#metadata!", ADDRESS(INDEX($P$2:$P$1001,MATCH(ROWS($N$2:N900),$N$2:$N$1001,0),0), INDEX($U$1004:$AC$1004,1,MATCH(COLUMNS($U$1006:AC1006),$U$1006:$AC$1006,0)))),"Fix")))</f>
        <v>0</v>
      </c>
      <c r="N900">
        <v>0</v>
      </c>
      <c r="O900">
        <v>0</v>
      </c>
      <c r="P900">
        <v>0</v>
      </c>
      <c r="Q900">
        <f>IF(R900,TRUE,AND(U900:AC900))</f>
        <v>0</v>
      </c>
      <c r="R900">
        <f>COUNTBLANK(metadata!B900:J900)=COLUMNS(metadata!B900:J900)</f>
        <v>0</v>
      </c>
      <c r="S900">
        <v>0</v>
      </c>
      <c r="U900">
        <f>AND(IF(metadata!B900="",FALSE,TRUE),COUNTIF(metadata!B:B, metadata!B900) = 1,NOT(ISERROR(SUMPRODUCT(SEARCH(MID(metadata!B900,ROW(INDIRECT("1:"&amp;LEN(metadata!B900))), 1),"0123456789abcdefghijklmnopqrstuvwxyzABCDEFGHIJKLMNOPQRSTUVWXYZ.")))))</f>
        <v>0</v>
      </c>
      <c r="V900">
        <f>AND(IF(metadata!C900="",FALSE,TRUE),exact(metadata!C900,"UBERON:genitourinary"))</f>
        <v>0</v>
      </c>
      <c r="W900">
        <f>AND(IF(metadata!D900="",FALSE,TRUE),exact(metadata!D900,"UBERON:urine"))</f>
        <v>0</v>
      </c>
      <c r="X900">
        <f>AND(IF(metadata!E900="",FALSE,TRUE),exact(metadata!E900,"UBERON:kidney"))</f>
        <v>0</v>
      </c>
      <c r="Y900">
        <f>AND(IF(metadata!F900="",FALSE,TRUE),exact(metadata!F900,"animal corpus"))</f>
        <v>0</v>
      </c>
      <c r="Z900">
        <f>AND(IF(metadata!G900="",FALSE,TRUE),exact(metadata!G900,"urine"))</f>
        <v>0</v>
      </c>
      <c r="AA900">
        <f>AND(IF(metadata!H900="",FALSE,TRUE),exact(metadata!H900,"urine"))</f>
        <v>0</v>
      </c>
      <c r="AB900">
        <f>AND(IF(metadata!I900="",FALSE,TRUE),exact(metadata!I900,"urine metagenome"))</f>
        <v>0</v>
      </c>
      <c r="AC900">
        <f>AND(IF(metadata!J900="",FALSE,TRUE),exact(metadata!J900,"1346744"))</f>
        <v>0</v>
      </c>
    </row>
    <row r="901" spans="1:29">
      <c r="A901" s="4">
        <f>IF(B901=" "," ",HYPERLINK(CONCATENATE("#metadata!",ADDRESS(INDEX($P$2:$P$1001,MATCH(ROWS($N$2:N901),$N$2:$N$1001,0),0),1)),INDEX($S$2:$S$1001,MATCH(ROWS($N$2:N901),$N$2:$N$1001,0),0)))</f>
        <v>0</v>
      </c>
      <c r="B901" s="3">
        <f>IF(OR(INDEX($O$2:$O$1001,MATCH(ROWS($N$2:N901),$N$2:$N$1001,0),1)&gt;=100000,INDEX($U$1005:$AC$1005,1,MATCH(COLUMNS($U$1006:U1006),$U$1006:$AC$1006,0))&gt;=100000), " ",IF(INDEX($U$2:$AC$1001,MATCH(ROWS($N$2:N901),$N$2:$N$1001,0),MATCH(COLUMNS($U$1006:U1006),$U$1006:$AC$1006,0)), HYPERLINK("#",""), HYPERLINK(CONCATENATE("#metadata!", ADDRESS(INDEX($P$2:$P$1001,MATCH(ROWS($N$2:N901),$N$2:$N$1001,0),0), INDEX($U$1004:$AC$1004,1,MATCH(COLUMNS($U$1006:U1006),$U$1006:$AC$1006,0)))),"Fix")))</f>
        <v>0</v>
      </c>
      <c r="C901" s="3">
        <f>IF(OR(INDEX($O$2:$O$1001,MATCH(ROWS($N$2:N901),$N$2:$N$1001,0),1)&gt;=100000,INDEX($U$1005:$AC$1005,1,MATCH(COLUMNS($U$1006:V1006),$U$1006:$AC$1006,0))&gt;=100000), " ",IF(INDEX($U$2:$AC$1001,MATCH(ROWS($N$2:N901),$N$2:$N$1001,0),MATCH(COLUMNS($U$1006:V1006),$U$1006:$AC$1006,0)), HYPERLINK("#",""), HYPERLINK(CONCATENATE("#metadata!", ADDRESS(INDEX($P$2:$P$1001,MATCH(ROWS($N$2:N901),$N$2:$N$1001,0),0), INDEX($U$1004:$AC$1004,1,MATCH(COLUMNS($U$1006:V1006),$U$1006:$AC$1006,0)))),"Fix")))</f>
        <v>0</v>
      </c>
      <c r="D901" s="3">
        <f>IF(OR(INDEX($O$2:$O$1001,MATCH(ROWS($N$2:N901),$N$2:$N$1001,0),1)&gt;=100000,INDEX($U$1005:$AC$1005,1,MATCH(COLUMNS($U$1006:W1006),$U$1006:$AC$1006,0))&gt;=100000), " ",IF(INDEX($U$2:$AC$1001,MATCH(ROWS($N$2:N901),$N$2:$N$1001,0),MATCH(COLUMNS($U$1006:W1006),$U$1006:$AC$1006,0)), HYPERLINK("#",""), HYPERLINK(CONCATENATE("#metadata!", ADDRESS(INDEX($P$2:$P$1001,MATCH(ROWS($N$2:N901),$N$2:$N$1001,0),0), INDEX($U$1004:$AC$1004,1,MATCH(COLUMNS($U$1006:W1006),$U$1006:$AC$1006,0)))),"Fix")))</f>
        <v>0</v>
      </c>
      <c r="E901" s="3">
        <f>IF(OR(INDEX($O$2:$O$1001,MATCH(ROWS($N$2:N901),$N$2:$N$1001,0),1)&gt;=100000,INDEX($U$1005:$AC$1005,1,MATCH(COLUMNS($U$1006:X1006),$U$1006:$AC$1006,0))&gt;=100000), " ",IF(INDEX($U$2:$AC$1001,MATCH(ROWS($N$2:N901),$N$2:$N$1001,0),MATCH(COLUMNS($U$1006:X1006),$U$1006:$AC$1006,0)), HYPERLINK("#",""), HYPERLINK(CONCATENATE("#metadata!", ADDRESS(INDEX($P$2:$P$1001,MATCH(ROWS($N$2:N901),$N$2:$N$1001,0),0), INDEX($U$1004:$AC$1004,1,MATCH(COLUMNS($U$1006:X1006),$U$1006:$AC$1006,0)))),"Fix")))</f>
        <v>0</v>
      </c>
      <c r="F901" s="3">
        <f>IF(OR(INDEX($O$2:$O$1001,MATCH(ROWS($N$2:N901),$N$2:$N$1001,0),1)&gt;=100000,INDEX($U$1005:$AC$1005,1,MATCH(COLUMNS($U$1006:Y1006),$U$1006:$AC$1006,0))&gt;=100000), " ",IF(INDEX($U$2:$AC$1001,MATCH(ROWS($N$2:N901),$N$2:$N$1001,0),MATCH(COLUMNS($U$1006:Y1006),$U$1006:$AC$1006,0)), HYPERLINK("#",""), HYPERLINK(CONCATENATE("#metadata!", ADDRESS(INDEX($P$2:$P$1001,MATCH(ROWS($N$2:N901),$N$2:$N$1001,0),0), INDEX($U$1004:$AC$1004,1,MATCH(COLUMNS($U$1006:Y1006),$U$1006:$AC$1006,0)))),"Fix")))</f>
        <v>0</v>
      </c>
      <c r="G901" s="3">
        <f>IF(OR(INDEX($O$2:$O$1001,MATCH(ROWS($N$2:N901),$N$2:$N$1001,0),1)&gt;=100000,INDEX($U$1005:$AC$1005,1,MATCH(COLUMNS($U$1006:Z1006),$U$1006:$AC$1006,0))&gt;=100000), " ",IF(INDEX($U$2:$AC$1001,MATCH(ROWS($N$2:N901),$N$2:$N$1001,0),MATCH(COLUMNS($U$1006:Z1006),$U$1006:$AC$1006,0)), HYPERLINK("#",""), HYPERLINK(CONCATENATE("#metadata!", ADDRESS(INDEX($P$2:$P$1001,MATCH(ROWS($N$2:N901),$N$2:$N$1001,0),0), INDEX($U$1004:$AC$1004,1,MATCH(COLUMNS($U$1006:Z1006),$U$1006:$AC$1006,0)))),"Fix")))</f>
        <v>0</v>
      </c>
      <c r="H901" s="3">
        <f>IF(OR(INDEX($O$2:$O$1001,MATCH(ROWS($N$2:N901),$N$2:$N$1001,0),1)&gt;=100000,INDEX($U$1005:$AC$1005,1,MATCH(COLUMNS($U$1006:AA1006),$U$1006:$AC$1006,0))&gt;=100000), " ",IF(INDEX($U$2:$AC$1001,MATCH(ROWS($N$2:N901),$N$2:$N$1001,0),MATCH(COLUMNS($U$1006:AA1006),$U$1006:$AC$1006,0)), HYPERLINK("#",""), HYPERLINK(CONCATENATE("#metadata!", ADDRESS(INDEX($P$2:$P$1001,MATCH(ROWS($N$2:N901),$N$2:$N$1001,0),0), INDEX($U$1004:$AC$1004,1,MATCH(COLUMNS($U$1006:AA1006),$U$1006:$AC$1006,0)))),"Fix")))</f>
        <v>0</v>
      </c>
      <c r="I901" s="3">
        <f>IF(OR(INDEX($O$2:$O$1001,MATCH(ROWS($N$2:N901),$N$2:$N$1001,0),1)&gt;=100000,INDEX($U$1005:$AC$1005,1,MATCH(COLUMNS($U$1006:AB1006),$U$1006:$AC$1006,0))&gt;=100000), " ",IF(INDEX($U$2:$AC$1001,MATCH(ROWS($N$2:N901),$N$2:$N$1001,0),MATCH(COLUMNS($U$1006:AB1006),$U$1006:$AC$1006,0)), HYPERLINK("#",""), HYPERLINK(CONCATENATE("#metadata!", ADDRESS(INDEX($P$2:$P$1001,MATCH(ROWS($N$2:N901),$N$2:$N$1001,0),0), INDEX($U$1004:$AC$1004,1,MATCH(COLUMNS($U$1006:AB1006),$U$1006:$AC$1006,0)))),"Fix")))</f>
        <v>0</v>
      </c>
      <c r="J901" s="3">
        <f>IF(OR(INDEX($O$2:$O$1001,MATCH(ROWS($N$2:N901),$N$2:$N$1001,0),1)&gt;=100000,INDEX($U$1005:$AC$1005,1,MATCH(COLUMNS($U$1006:AC1006),$U$1006:$AC$1006,0))&gt;=100000), " ",IF(INDEX($U$2:$AC$1001,MATCH(ROWS($N$2:N901),$N$2:$N$1001,0),MATCH(COLUMNS($U$1006:AC1006),$U$1006:$AC$1006,0)), HYPERLINK("#",""), HYPERLINK(CONCATENATE("#metadata!", ADDRESS(INDEX($P$2:$P$1001,MATCH(ROWS($N$2:N901),$N$2:$N$1001,0),0), INDEX($U$1004:$AC$1004,1,MATCH(COLUMNS($U$1006:AC1006),$U$1006:$AC$1006,0)))),"Fix")))</f>
        <v>0</v>
      </c>
      <c r="N901">
        <v>0</v>
      </c>
      <c r="O901">
        <v>0</v>
      </c>
      <c r="P901">
        <v>0</v>
      </c>
      <c r="Q901">
        <f>IF(R901,TRUE,AND(U901:AC901))</f>
        <v>0</v>
      </c>
      <c r="R901">
        <f>COUNTBLANK(metadata!B901:J901)=COLUMNS(metadata!B901:J901)</f>
        <v>0</v>
      </c>
      <c r="S901">
        <v>0</v>
      </c>
      <c r="U901">
        <f>AND(IF(metadata!B901="",FALSE,TRUE),COUNTIF(metadata!B:B, metadata!B901) = 1,NOT(ISERROR(SUMPRODUCT(SEARCH(MID(metadata!B901,ROW(INDIRECT("1:"&amp;LEN(metadata!B901))), 1),"0123456789abcdefghijklmnopqrstuvwxyzABCDEFGHIJKLMNOPQRSTUVWXYZ.")))))</f>
        <v>0</v>
      </c>
      <c r="V901">
        <f>AND(IF(metadata!C901="",FALSE,TRUE),exact(metadata!C901,"UBERON:genitourinary"))</f>
        <v>0</v>
      </c>
      <c r="W901">
        <f>AND(IF(metadata!D901="",FALSE,TRUE),exact(metadata!D901,"UBERON:urine"))</f>
        <v>0</v>
      </c>
      <c r="X901">
        <f>AND(IF(metadata!E901="",FALSE,TRUE),exact(metadata!E901,"UBERON:kidney"))</f>
        <v>0</v>
      </c>
      <c r="Y901">
        <f>AND(IF(metadata!F901="",FALSE,TRUE),exact(metadata!F901,"animal corpus"))</f>
        <v>0</v>
      </c>
      <c r="Z901">
        <f>AND(IF(metadata!G901="",FALSE,TRUE),exact(metadata!G901,"urine"))</f>
        <v>0</v>
      </c>
      <c r="AA901">
        <f>AND(IF(metadata!H901="",FALSE,TRUE),exact(metadata!H901,"urine"))</f>
        <v>0</v>
      </c>
      <c r="AB901">
        <f>AND(IF(metadata!I901="",FALSE,TRUE),exact(metadata!I901,"urine metagenome"))</f>
        <v>0</v>
      </c>
      <c r="AC901">
        <f>AND(IF(metadata!J901="",FALSE,TRUE),exact(metadata!J901,"1346744"))</f>
        <v>0</v>
      </c>
    </row>
    <row r="902" spans="1:29">
      <c r="A902" s="4">
        <f>IF(B902=" "," ",HYPERLINK(CONCATENATE("#metadata!",ADDRESS(INDEX($P$2:$P$1001,MATCH(ROWS($N$2:N902),$N$2:$N$1001,0),0),1)),INDEX($S$2:$S$1001,MATCH(ROWS($N$2:N902),$N$2:$N$1001,0),0)))</f>
        <v>0</v>
      </c>
      <c r="B902" s="3">
        <f>IF(OR(INDEX($O$2:$O$1001,MATCH(ROWS($N$2:N902),$N$2:$N$1001,0),1)&gt;=100000,INDEX($U$1005:$AC$1005,1,MATCH(COLUMNS($U$1006:U1006),$U$1006:$AC$1006,0))&gt;=100000), " ",IF(INDEX($U$2:$AC$1001,MATCH(ROWS($N$2:N902),$N$2:$N$1001,0),MATCH(COLUMNS($U$1006:U1006),$U$1006:$AC$1006,0)), HYPERLINK("#",""), HYPERLINK(CONCATENATE("#metadata!", ADDRESS(INDEX($P$2:$P$1001,MATCH(ROWS($N$2:N902),$N$2:$N$1001,0),0), INDEX($U$1004:$AC$1004,1,MATCH(COLUMNS($U$1006:U1006),$U$1006:$AC$1006,0)))),"Fix")))</f>
        <v>0</v>
      </c>
      <c r="C902" s="3">
        <f>IF(OR(INDEX($O$2:$O$1001,MATCH(ROWS($N$2:N902),$N$2:$N$1001,0),1)&gt;=100000,INDEX($U$1005:$AC$1005,1,MATCH(COLUMNS($U$1006:V1006),$U$1006:$AC$1006,0))&gt;=100000), " ",IF(INDEX($U$2:$AC$1001,MATCH(ROWS($N$2:N902),$N$2:$N$1001,0),MATCH(COLUMNS($U$1006:V1006),$U$1006:$AC$1006,0)), HYPERLINK("#",""), HYPERLINK(CONCATENATE("#metadata!", ADDRESS(INDEX($P$2:$P$1001,MATCH(ROWS($N$2:N902),$N$2:$N$1001,0),0), INDEX($U$1004:$AC$1004,1,MATCH(COLUMNS($U$1006:V1006),$U$1006:$AC$1006,0)))),"Fix")))</f>
        <v>0</v>
      </c>
      <c r="D902" s="3">
        <f>IF(OR(INDEX($O$2:$O$1001,MATCH(ROWS($N$2:N902),$N$2:$N$1001,0),1)&gt;=100000,INDEX($U$1005:$AC$1005,1,MATCH(COLUMNS($U$1006:W1006),$U$1006:$AC$1006,0))&gt;=100000), " ",IF(INDEX($U$2:$AC$1001,MATCH(ROWS($N$2:N902),$N$2:$N$1001,0),MATCH(COLUMNS($U$1006:W1006),$U$1006:$AC$1006,0)), HYPERLINK("#",""), HYPERLINK(CONCATENATE("#metadata!", ADDRESS(INDEX($P$2:$P$1001,MATCH(ROWS($N$2:N902),$N$2:$N$1001,0),0), INDEX($U$1004:$AC$1004,1,MATCH(COLUMNS($U$1006:W1006),$U$1006:$AC$1006,0)))),"Fix")))</f>
        <v>0</v>
      </c>
      <c r="E902" s="3">
        <f>IF(OR(INDEX($O$2:$O$1001,MATCH(ROWS($N$2:N902),$N$2:$N$1001,0),1)&gt;=100000,INDEX($U$1005:$AC$1005,1,MATCH(COLUMNS($U$1006:X1006),$U$1006:$AC$1006,0))&gt;=100000), " ",IF(INDEX($U$2:$AC$1001,MATCH(ROWS($N$2:N902),$N$2:$N$1001,0),MATCH(COLUMNS($U$1006:X1006),$U$1006:$AC$1006,0)), HYPERLINK("#",""), HYPERLINK(CONCATENATE("#metadata!", ADDRESS(INDEX($P$2:$P$1001,MATCH(ROWS($N$2:N902),$N$2:$N$1001,0),0), INDEX($U$1004:$AC$1004,1,MATCH(COLUMNS($U$1006:X1006),$U$1006:$AC$1006,0)))),"Fix")))</f>
        <v>0</v>
      </c>
      <c r="F902" s="3">
        <f>IF(OR(INDEX($O$2:$O$1001,MATCH(ROWS($N$2:N902),$N$2:$N$1001,0),1)&gt;=100000,INDEX($U$1005:$AC$1005,1,MATCH(COLUMNS($U$1006:Y1006),$U$1006:$AC$1006,0))&gt;=100000), " ",IF(INDEX($U$2:$AC$1001,MATCH(ROWS($N$2:N902),$N$2:$N$1001,0),MATCH(COLUMNS($U$1006:Y1006),$U$1006:$AC$1006,0)), HYPERLINK("#",""), HYPERLINK(CONCATENATE("#metadata!", ADDRESS(INDEX($P$2:$P$1001,MATCH(ROWS($N$2:N902),$N$2:$N$1001,0),0), INDEX($U$1004:$AC$1004,1,MATCH(COLUMNS($U$1006:Y1006),$U$1006:$AC$1006,0)))),"Fix")))</f>
        <v>0</v>
      </c>
      <c r="G902" s="3">
        <f>IF(OR(INDEX($O$2:$O$1001,MATCH(ROWS($N$2:N902),$N$2:$N$1001,0),1)&gt;=100000,INDEX($U$1005:$AC$1005,1,MATCH(COLUMNS($U$1006:Z1006),$U$1006:$AC$1006,0))&gt;=100000), " ",IF(INDEX($U$2:$AC$1001,MATCH(ROWS($N$2:N902),$N$2:$N$1001,0),MATCH(COLUMNS($U$1006:Z1006),$U$1006:$AC$1006,0)), HYPERLINK("#",""), HYPERLINK(CONCATENATE("#metadata!", ADDRESS(INDEX($P$2:$P$1001,MATCH(ROWS($N$2:N902),$N$2:$N$1001,0),0), INDEX($U$1004:$AC$1004,1,MATCH(COLUMNS($U$1006:Z1006),$U$1006:$AC$1006,0)))),"Fix")))</f>
        <v>0</v>
      </c>
      <c r="H902" s="3">
        <f>IF(OR(INDEX($O$2:$O$1001,MATCH(ROWS($N$2:N902),$N$2:$N$1001,0),1)&gt;=100000,INDEX($U$1005:$AC$1005,1,MATCH(COLUMNS($U$1006:AA1006),$U$1006:$AC$1006,0))&gt;=100000), " ",IF(INDEX($U$2:$AC$1001,MATCH(ROWS($N$2:N902),$N$2:$N$1001,0),MATCH(COLUMNS($U$1006:AA1006),$U$1006:$AC$1006,0)), HYPERLINK("#",""), HYPERLINK(CONCATENATE("#metadata!", ADDRESS(INDEX($P$2:$P$1001,MATCH(ROWS($N$2:N902),$N$2:$N$1001,0),0), INDEX($U$1004:$AC$1004,1,MATCH(COLUMNS($U$1006:AA1006),$U$1006:$AC$1006,0)))),"Fix")))</f>
        <v>0</v>
      </c>
      <c r="I902" s="3">
        <f>IF(OR(INDEX($O$2:$O$1001,MATCH(ROWS($N$2:N902),$N$2:$N$1001,0),1)&gt;=100000,INDEX($U$1005:$AC$1005,1,MATCH(COLUMNS($U$1006:AB1006),$U$1006:$AC$1006,0))&gt;=100000), " ",IF(INDEX($U$2:$AC$1001,MATCH(ROWS($N$2:N902),$N$2:$N$1001,0),MATCH(COLUMNS($U$1006:AB1006),$U$1006:$AC$1006,0)), HYPERLINK("#",""), HYPERLINK(CONCATENATE("#metadata!", ADDRESS(INDEX($P$2:$P$1001,MATCH(ROWS($N$2:N902),$N$2:$N$1001,0),0), INDEX($U$1004:$AC$1004,1,MATCH(COLUMNS($U$1006:AB1006),$U$1006:$AC$1006,0)))),"Fix")))</f>
        <v>0</v>
      </c>
      <c r="J902" s="3">
        <f>IF(OR(INDEX($O$2:$O$1001,MATCH(ROWS($N$2:N902),$N$2:$N$1001,0),1)&gt;=100000,INDEX($U$1005:$AC$1005,1,MATCH(COLUMNS($U$1006:AC1006),$U$1006:$AC$1006,0))&gt;=100000), " ",IF(INDEX($U$2:$AC$1001,MATCH(ROWS($N$2:N902),$N$2:$N$1001,0),MATCH(COLUMNS($U$1006:AC1006),$U$1006:$AC$1006,0)), HYPERLINK("#",""), HYPERLINK(CONCATENATE("#metadata!", ADDRESS(INDEX($P$2:$P$1001,MATCH(ROWS($N$2:N902),$N$2:$N$1001,0),0), INDEX($U$1004:$AC$1004,1,MATCH(COLUMNS($U$1006:AC1006),$U$1006:$AC$1006,0)))),"Fix")))</f>
        <v>0</v>
      </c>
      <c r="N902">
        <v>0</v>
      </c>
      <c r="O902">
        <v>0</v>
      </c>
      <c r="P902">
        <v>0</v>
      </c>
      <c r="Q902">
        <f>IF(R902,TRUE,AND(U902:AC902))</f>
        <v>0</v>
      </c>
      <c r="R902">
        <f>COUNTBLANK(metadata!B902:J902)=COLUMNS(metadata!B902:J902)</f>
        <v>0</v>
      </c>
      <c r="S902">
        <v>0</v>
      </c>
      <c r="U902">
        <f>AND(IF(metadata!B902="",FALSE,TRUE),COUNTIF(metadata!B:B, metadata!B902) = 1,NOT(ISERROR(SUMPRODUCT(SEARCH(MID(metadata!B902,ROW(INDIRECT("1:"&amp;LEN(metadata!B902))), 1),"0123456789abcdefghijklmnopqrstuvwxyzABCDEFGHIJKLMNOPQRSTUVWXYZ.")))))</f>
        <v>0</v>
      </c>
      <c r="V902">
        <f>AND(IF(metadata!C902="",FALSE,TRUE),exact(metadata!C902,"UBERON:genitourinary"))</f>
        <v>0</v>
      </c>
      <c r="W902">
        <f>AND(IF(metadata!D902="",FALSE,TRUE),exact(metadata!D902,"UBERON:urine"))</f>
        <v>0</v>
      </c>
      <c r="X902">
        <f>AND(IF(metadata!E902="",FALSE,TRUE),exact(metadata!E902,"UBERON:kidney"))</f>
        <v>0</v>
      </c>
      <c r="Y902">
        <f>AND(IF(metadata!F902="",FALSE,TRUE),exact(metadata!F902,"animal corpus"))</f>
        <v>0</v>
      </c>
      <c r="Z902">
        <f>AND(IF(metadata!G902="",FALSE,TRUE),exact(metadata!G902,"urine"))</f>
        <v>0</v>
      </c>
      <c r="AA902">
        <f>AND(IF(metadata!H902="",FALSE,TRUE),exact(metadata!H902,"urine"))</f>
        <v>0</v>
      </c>
      <c r="AB902">
        <f>AND(IF(metadata!I902="",FALSE,TRUE),exact(metadata!I902,"urine metagenome"))</f>
        <v>0</v>
      </c>
      <c r="AC902">
        <f>AND(IF(metadata!J902="",FALSE,TRUE),exact(metadata!J902,"1346744"))</f>
        <v>0</v>
      </c>
    </row>
    <row r="903" spans="1:29">
      <c r="A903" s="4">
        <f>IF(B903=" "," ",HYPERLINK(CONCATENATE("#metadata!",ADDRESS(INDEX($P$2:$P$1001,MATCH(ROWS($N$2:N903),$N$2:$N$1001,0),0),1)),INDEX($S$2:$S$1001,MATCH(ROWS($N$2:N903),$N$2:$N$1001,0),0)))</f>
        <v>0</v>
      </c>
      <c r="B903" s="3">
        <f>IF(OR(INDEX($O$2:$O$1001,MATCH(ROWS($N$2:N903),$N$2:$N$1001,0),1)&gt;=100000,INDEX($U$1005:$AC$1005,1,MATCH(COLUMNS($U$1006:U1006),$U$1006:$AC$1006,0))&gt;=100000), " ",IF(INDEX($U$2:$AC$1001,MATCH(ROWS($N$2:N903),$N$2:$N$1001,0),MATCH(COLUMNS($U$1006:U1006),$U$1006:$AC$1006,0)), HYPERLINK("#",""), HYPERLINK(CONCATENATE("#metadata!", ADDRESS(INDEX($P$2:$P$1001,MATCH(ROWS($N$2:N903),$N$2:$N$1001,0),0), INDEX($U$1004:$AC$1004,1,MATCH(COLUMNS($U$1006:U1006),$U$1006:$AC$1006,0)))),"Fix")))</f>
        <v>0</v>
      </c>
      <c r="C903" s="3">
        <f>IF(OR(INDEX($O$2:$O$1001,MATCH(ROWS($N$2:N903),$N$2:$N$1001,0),1)&gt;=100000,INDEX($U$1005:$AC$1005,1,MATCH(COLUMNS($U$1006:V1006),$U$1006:$AC$1006,0))&gt;=100000), " ",IF(INDEX($U$2:$AC$1001,MATCH(ROWS($N$2:N903),$N$2:$N$1001,0),MATCH(COLUMNS($U$1006:V1006),$U$1006:$AC$1006,0)), HYPERLINK("#",""), HYPERLINK(CONCATENATE("#metadata!", ADDRESS(INDEX($P$2:$P$1001,MATCH(ROWS($N$2:N903),$N$2:$N$1001,0),0), INDEX($U$1004:$AC$1004,1,MATCH(COLUMNS($U$1006:V1006),$U$1006:$AC$1006,0)))),"Fix")))</f>
        <v>0</v>
      </c>
      <c r="D903" s="3">
        <f>IF(OR(INDEX($O$2:$O$1001,MATCH(ROWS($N$2:N903),$N$2:$N$1001,0),1)&gt;=100000,INDEX($U$1005:$AC$1005,1,MATCH(COLUMNS($U$1006:W1006),$U$1006:$AC$1006,0))&gt;=100000), " ",IF(INDEX($U$2:$AC$1001,MATCH(ROWS($N$2:N903),$N$2:$N$1001,0),MATCH(COLUMNS($U$1006:W1006),$U$1006:$AC$1006,0)), HYPERLINK("#",""), HYPERLINK(CONCATENATE("#metadata!", ADDRESS(INDEX($P$2:$P$1001,MATCH(ROWS($N$2:N903),$N$2:$N$1001,0),0), INDEX($U$1004:$AC$1004,1,MATCH(COLUMNS($U$1006:W1006),$U$1006:$AC$1006,0)))),"Fix")))</f>
        <v>0</v>
      </c>
      <c r="E903" s="3">
        <f>IF(OR(INDEX($O$2:$O$1001,MATCH(ROWS($N$2:N903),$N$2:$N$1001,0),1)&gt;=100000,INDEX($U$1005:$AC$1005,1,MATCH(COLUMNS($U$1006:X1006),$U$1006:$AC$1006,0))&gt;=100000), " ",IF(INDEX($U$2:$AC$1001,MATCH(ROWS($N$2:N903),$N$2:$N$1001,0),MATCH(COLUMNS($U$1006:X1006),$U$1006:$AC$1006,0)), HYPERLINK("#",""), HYPERLINK(CONCATENATE("#metadata!", ADDRESS(INDEX($P$2:$P$1001,MATCH(ROWS($N$2:N903),$N$2:$N$1001,0),0), INDEX($U$1004:$AC$1004,1,MATCH(COLUMNS($U$1006:X1006),$U$1006:$AC$1006,0)))),"Fix")))</f>
        <v>0</v>
      </c>
      <c r="F903" s="3">
        <f>IF(OR(INDEX($O$2:$O$1001,MATCH(ROWS($N$2:N903),$N$2:$N$1001,0),1)&gt;=100000,INDEX($U$1005:$AC$1005,1,MATCH(COLUMNS($U$1006:Y1006),$U$1006:$AC$1006,0))&gt;=100000), " ",IF(INDEX($U$2:$AC$1001,MATCH(ROWS($N$2:N903),$N$2:$N$1001,0),MATCH(COLUMNS($U$1006:Y1006),$U$1006:$AC$1006,0)), HYPERLINK("#",""), HYPERLINK(CONCATENATE("#metadata!", ADDRESS(INDEX($P$2:$P$1001,MATCH(ROWS($N$2:N903),$N$2:$N$1001,0),0), INDEX($U$1004:$AC$1004,1,MATCH(COLUMNS($U$1006:Y1006),$U$1006:$AC$1006,0)))),"Fix")))</f>
        <v>0</v>
      </c>
      <c r="G903" s="3">
        <f>IF(OR(INDEX($O$2:$O$1001,MATCH(ROWS($N$2:N903),$N$2:$N$1001,0),1)&gt;=100000,INDEX($U$1005:$AC$1005,1,MATCH(COLUMNS($U$1006:Z1006),$U$1006:$AC$1006,0))&gt;=100000), " ",IF(INDEX($U$2:$AC$1001,MATCH(ROWS($N$2:N903),$N$2:$N$1001,0),MATCH(COLUMNS($U$1006:Z1006),$U$1006:$AC$1006,0)), HYPERLINK("#",""), HYPERLINK(CONCATENATE("#metadata!", ADDRESS(INDEX($P$2:$P$1001,MATCH(ROWS($N$2:N903),$N$2:$N$1001,0),0), INDEX($U$1004:$AC$1004,1,MATCH(COLUMNS($U$1006:Z1006),$U$1006:$AC$1006,0)))),"Fix")))</f>
        <v>0</v>
      </c>
      <c r="H903" s="3">
        <f>IF(OR(INDEX($O$2:$O$1001,MATCH(ROWS($N$2:N903),$N$2:$N$1001,0),1)&gt;=100000,INDEX($U$1005:$AC$1005,1,MATCH(COLUMNS($U$1006:AA1006),$U$1006:$AC$1006,0))&gt;=100000), " ",IF(INDEX($U$2:$AC$1001,MATCH(ROWS($N$2:N903),$N$2:$N$1001,0),MATCH(COLUMNS($U$1006:AA1006),$U$1006:$AC$1006,0)), HYPERLINK("#",""), HYPERLINK(CONCATENATE("#metadata!", ADDRESS(INDEX($P$2:$P$1001,MATCH(ROWS($N$2:N903),$N$2:$N$1001,0),0), INDEX($U$1004:$AC$1004,1,MATCH(COLUMNS($U$1006:AA1006),$U$1006:$AC$1006,0)))),"Fix")))</f>
        <v>0</v>
      </c>
      <c r="I903" s="3">
        <f>IF(OR(INDEX($O$2:$O$1001,MATCH(ROWS($N$2:N903),$N$2:$N$1001,0),1)&gt;=100000,INDEX($U$1005:$AC$1005,1,MATCH(COLUMNS($U$1006:AB1006),$U$1006:$AC$1006,0))&gt;=100000), " ",IF(INDEX($U$2:$AC$1001,MATCH(ROWS($N$2:N903),$N$2:$N$1001,0),MATCH(COLUMNS($U$1006:AB1006),$U$1006:$AC$1006,0)), HYPERLINK("#",""), HYPERLINK(CONCATENATE("#metadata!", ADDRESS(INDEX($P$2:$P$1001,MATCH(ROWS($N$2:N903),$N$2:$N$1001,0),0), INDEX($U$1004:$AC$1004,1,MATCH(COLUMNS($U$1006:AB1006),$U$1006:$AC$1006,0)))),"Fix")))</f>
        <v>0</v>
      </c>
      <c r="J903" s="3">
        <f>IF(OR(INDEX($O$2:$O$1001,MATCH(ROWS($N$2:N903),$N$2:$N$1001,0),1)&gt;=100000,INDEX($U$1005:$AC$1005,1,MATCH(COLUMNS($U$1006:AC1006),$U$1006:$AC$1006,0))&gt;=100000), " ",IF(INDEX($U$2:$AC$1001,MATCH(ROWS($N$2:N903),$N$2:$N$1001,0),MATCH(COLUMNS($U$1006:AC1006),$U$1006:$AC$1006,0)), HYPERLINK("#",""), HYPERLINK(CONCATENATE("#metadata!", ADDRESS(INDEX($P$2:$P$1001,MATCH(ROWS($N$2:N903),$N$2:$N$1001,0),0), INDEX($U$1004:$AC$1004,1,MATCH(COLUMNS($U$1006:AC1006),$U$1006:$AC$1006,0)))),"Fix")))</f>
        <v>0</v>
      </c>
      <c r="N903">
        <v>0</v>
      </c>
      <c r="O903">
        <v>0</v>
      </c>
      <c r="P903">
        <v>0</v>
      </c>
      <c r="Q903">
        <f>IF(R903,TRUE,AND(U903:AC903))</f>
        <v>0</v>
      </c>
      <c r="R903">
        <f>COUNTBLANK(metadata!B903:J903)=COLUMNS(metadata!B903:J903)</f>
        <v>0</v>
      </c>
      <c r="S903">
        <v>0</v>
      </c>
      <c r="U903">
        <f>AND(IF(metadata!B903="",FALSE,TRUE),COUNTIF(metadata!B:B, metadata!B903) = 1,NOT(ISERROR(SUMPRODUCT(SEARCH(MID(metadata!B903,ROW(INDIRECT("1:"&amp;LEN(metadata!B903))), 1),"0123456789abcdefghijklmnopqrstuvwxyzABCDEFGHIJKLMNOPQRSTUVWXYZ.")))))</f>
        <v>0</v>
      </c>
      <c r="V903">
        <f>AND(IF(metadata!C903="",FALSE,TRUE),exact(metadata!C903,"UBERON:genitourinary"))</f>
        <v>0</v>
      </c>
      <c r="W903">
        <f>AND(IF(metadata!D903="",FALSE,TRUE),exact(metadata!D903,"UBERON:urine"))</f>
        <v>0</v>
      </c>
      <c r="X903">
        <f>AND(IF(metadata!E903="",FALSE,TRUE),exact(metadata!E903,"UBERON:kidney"))</f>
        <v>0</v>
      </c>
      <c r="Y903">
        <f>AND(IF(metadata!F903="",FALSE,TRUE),exact(metadata!F903,"animal corpus"))</f>
        <v>0</v>
      </c>
      <c r="Z903">
        <f>AND(IF(metadata!G903="",FALSE,TRUE),exact(metadata!G903,"urine"))</f>
        <v>0</v>
      </c>
      <c r="AA903">
        <f>AND(IF(metadata!H903="",FALSE,TRUE),exact(metadata!H903,"urine"))</f>
        <v>0</v>
      </c>
      <c r="AB903">
        <f>AND(IF(metadata!I903="",FALSE,TRUE),exact(metadata!I903,"urine metagenome"))</f>
        <v>0</v>
      </c>
      <c r="AC903">
        <f>AND(IF(metadata!J903="",FALSE,TRUE),exact(metadata!J903,"1346744"))</f>
        <v>0</v>
      </c>
    </row>
    <row r="904" spans="1:29">
      <c r="A904" s="4">
        <f>IF(B904=" "," ",HYPERLINK(CONCATENATE("#metadata!",ADDRESS(INDEX($P$2:$P$1001,MATCH(ROWS($N$2:N904),$N$2:$N$1001,0),0),1)),INDEX($S$2:$S$1001,MATCH(ROWS($N$2:N904),$N$2:$N$1001,0),0)))</f>
        <v>0</v>
      </c>
      <c r="B904" s="3">
        <f>IF(OR(INDEX($O$2:$O$1001,MATCH(ROWS($N$2:N904),$N$2:$N$1001,0),1)&gt;=100000,INDEX($U$1005:$AC$1005,1,MATCH(COLUMNS($U$1006:U1006),$U$1006:$AC$1006,0))&gt;=100000), " ",IF(INDEX($U$2:$AC$1001,MATCH(ROWS($N$2:N904),$N$2:$N$1001,0),MATCH(COLUMNS($U$1006:U1006),$U$1006:$AC$1006,0)), HYPERLINK("#",""), HYPERLINK(CONCATENATE("#metadata!", ADDRESS(INDEX($P$2:$P$1001,MATCH(ROWS($N$2:N904),$N$2:$N$1001,0),0), INDEX($U$1004:$AC$1004,1,MATCH(COLUMNS($U$1006:U1006),$U$1006:$AC$1006,0)))),"Fix")))</f>
        <v>0</v>
      </c>
      <c r="C904" s="3">
        <f>IF(OR(INDEX($O$2:$O$1001,MATCH(ROWS($N$2:N904),$N$2:$N$1001,0),1)&gt;=100000,INDEX($U$1005:$AC$1005,1,MATCH(COLUMNS($U$1006:V1006),$U$1006:$AC$1006,0))&gt;=100000), " ",IF(INDEX($U$2:$AC$1001,MATCH(ROWS($N$2:N904),$N$2:$N$1001,0),MATCH(COLUMNS($U$1006:V1006),$U$1006:$AC$1006,0)), HYPERLINK("#",""), HYPERLINK(CONCATENATE("#metadata!", ADDRESS(INDEX($P$2:$P$1001,MATCH(ROWS($N$2:N904),$N$2:$N$1001,0),0), INDEX($U$1004:$AC$1004,1,MATCH(COLUMNS($U$1006:V1006),$U$1006:$AC$1006,0)))),"Fix")))</f>
        <v>0</v>
      </c>
      <c r="D904" s="3">
        <f>IF(OR(INDEX($O$2:$O$1001,MATCH(ROWS($N$2:N904),$N$2:$N$1001,0),1)&gt;=100000,INDEX($U$1005:$AC$1005,1,MATCH(COLUMNS($U$1006:W1006),$U$1006:$AC$1006,0))&gt;=100000), " ",IF(INDEX($U$2:$AC$1001,MATCH(ROWS($N$2:N904),$N$2:$N$1001,0),MATCH(COLUMNS($U$1006:W1006),$U$1006:$AC$1006,0)), HYPERLINK("#",""), HYPERLINK(CONCATENATE("#metadata!", ADDRESS(INDEX($P$2:$P$1001,MATCH(ROWS($N$2:N904),$N$2:$N$1001,0),0), INDEX($U$1004:$AC$1004,1,MATCH(COLUMNS($U$1006:W1006),$U$1006:$AC$1006,0)))),"Fix")))</f>
        <v>0</v>
      </c>
      <c r="E904" s="3">
        <f>IF(OR(INDEX($O$2:$O$1001,MATCH(ROWS($N$2:N904),$N$2:$N$1001,0),1)&gt;=100000,INDEX($U$1005:$AC$1005,1,MATCH(COLUMNS($U$1006:X1006),$U$1006:$AC$1006,0))&gt;=100000), " ",IF(INDEX($U$2:$AC$1001,MATCH(ROWS($N$2:N904),$N$2:$N$1001,0),MATCH(COLUMNS($U$1006:X1006),$U$1006:$AC$1006,0)), HYPERLINK("#",""), HYPERLINK(CONCATENATE("#metadata!", ADDRESS(INDEX($P$2:$P$1001,MATCH(ROWS($N$2:N904),$N$2:$N$1001,0),0), INDEX($U$1004:$AC$1004,1,MATCH(COLUMNS($U$1006:X1006),$U$1006:$AC$1006,0)))),"Fix")))</f>
        <v>0</v>
      </c>
      <c r="F904" s="3">
        <f>IF(OR(INDEX($O$2:$O$1001,MATCH(ROWS($N$2:N904),$N$2:$N$1001,0),1)&gt;=100000,INDEX($U$1005:$AC$1005,1,MATCH(COLUMNS($U$1006:Y1006),$U$1006:$AC$1006,0))&gt;=100000), " ",IF(INDEX($U$2:$AC$1001,MATCH(ROWS($N$2:N904),$N$2:$N$1001,0),MATCH(COLUMNS($U$1006:Y1006),$U$1006:$AC$1006,0)), HYPERLINK("#",""), HYPERLINK(CONCATENATE("#metadata!", ADDRESS(INDEX($P$2:$P$1001,MATCH(ROWS($N$2:N904),$N$2:$N$1001,0),0), INDEX($U$1004:$AC$1004,1,MATCH(COLUMNS($U$1006:Y1006),$U$1006:$AC$1006,0)))),"Fix")))</f>
        <v>0</v>
      </c>
      <c r="G904" s="3">
        <f>IF(OR(INDEX($O$2:$O$1001,MATCH(ROWS($N$2:N904),$N$2:$N$1001,0),1)&gt;=100000,INDEX($U$1005:$AC$1005,1,MATCH(COLUMNS($U$1006:Z1006),$U$1006:$AC$1006,0))&gt;=100000), " ",IF(INDEX($U$2:$AC$1001,MATCH(ROWS($N$2:N904),$N$2:$N$1001,0),MATCH(COLUMNS($U$1006:Z1006),$U$1006:$AC$1006,0)), HYPERLINK("#",""), HYPERLINK(CONCATENATE("#metadata!", ADDRESS(INDEX($P$2:$P$1001,MATCH(ROWS($N$2:N904),$N$2:$N$1001,0),0), INDEX($U$1004:$AC$1004,1,MATCH(COLUMNS($U$1006:Z1006),$U$1006:$AC$1006,0)))),"Fix")))</f>
        <v>0</v>
      </c>
      <c r="H904" s="3">
        <f>IF(OR(INDEX($O$2:$O$1001,MATCH(ROWS($N$2:N904),$N$2:$N$1001,0),1)&gt;=100000,INDEX($U$1005:$AC$1005,1,MATCH(COLUMNS($U$1006:AA1006),$U$1006:$AC$1006,0))&gt;=100000), " ",IF(INDEX($U$2:$AC$1001,MATCH(ROWS($N$2:N904),$N$2:$N$1001,0),MATCH(COLUMNS($U$1006:AA1006),$U$1006:$AC$1006,0)), HYPERLINK("#",""), HYPERLINK(CONCATENATE("#metadata!", ADDRESS(INDEX($P$2:$P$1001,MATCH(ROWS($N$2:N904),$N$2:$N$1001,0),0), INDEX($U$1004:$AC$1004,1,MATCH(COLUMNS($U$1006:AA1006),$U$1006:$AC$1006,0)))),"Fix")))</f>
        <v>0</v>
      </c>
      <c r="I904" s="3">
        <f>IF(OR(INDEX($O$2:$O$1001,MATCH(ROWS($N$2:N904),$N$2:$N$1001,0),1)&gt;=100000,INDEX($U$1005:$AC$1005,1,MATCH(COLUMNS($U$1006:AB1006),$U$1006:$AC$1006,0))&gt;=100000), " ",IF(INDEX($U$2:$AC$1001,MATCH(ROWS($N$2:N904),$N$2:$N$1001,0),MATCH(COLUMNS($U$1006:AB1006),$U$1006:$AC$1006,0)), HYPERLINK("#",""), HYPERLINK(CONCATENATE("#metadata!", ADDRESS(INDEX($P$2:$P$1001,MATCH(ROWS($N$2:N904),$N$2:$N$1001,0),0), INDEX($U$1004:$AC$1004,1,MATCH(COLUMNS($U$1006:AB1006),$U$1006:$AC$1006,0)))),"Fix")))</f>
        <v>0</v>
      </c>
      <c r="J904" s="3">
        <f>IF(OR(INDEX($O$2:$O$1001,MATCH(ROWS($N$2:N904),$N$2:$N$1001,0),1)&gt;=100000,INDEX($U$1005:$AC$1005,1,MATCH(COLUMNS($U$1006:AC1006),$U$1006:$AC$1006,0))&gt;=100000), " ",IF(INDEX($U$2:$AC$1001,MATCH(ROWS($N$2:N904),$N$2:$N$1001,0),MATCH(COLUMNS($U$1006:AC1006),$U$1006:$AC$1006,0)), HYPERLINK("#",""), HYPERLINK(CONCATENATE("#metadata!", ADDRESS(INDEX($P$2:$P$1001,MATCH(ROWS($N$2:N904),$N$2:$N$1001,0),0), INDEX($U$1004:$AC$1004,1,MATCH(COLUMNS($U$1006:AC1006),$U$1006:$AC$1006,0)))),"Fix")))</f>
        <v>0</v>
      </c>
      <c r="N904">
        <v>0</v>
      </c>
      <c r="O904">
        <v>0</v>
      </c>
      <c r="P904">
        <v>0</v>
      </c>
      <c r="Q904">
        <f>IF(R904,TRUE,AND(U904:AC904))</f>
        <v>0</v>
      </c>
      <c r="R904">
        <f>COUNTBLANK(metadata!B904:J904)=COLUMNS(metadata!B904:J904)</f>
        <v>0</v>
      </c>
      <c r="S904">
        <v>0</v>
      </c>
      <c r="U904">
        <f>AND(IF(metadata!B904="",FALSE,TRUE),COUNTIF(metadata!B:B, metadata!B904) = 1,NOT(ISERROR(SUMPRODUCT(SEARCH(MID(metadata!B904,ROW(INDIRECT("1:"&amp;LEN(metadata!B904))), 1),"0123456789abcdefghijklmnopqrstuvwxyzABCDEFGHIJKLMNOPQRSTUVWXYZ.")))))</f>
        <v>0</v>
      </c>
      <c r="V904">
        <f>AND(IF(metadata!C904="",FALSE,TRUE),exact(metadata!C904,"UBERON:genitourinary"))</f>
        <v>0</v>
      </c>
      <c r="W904">
        <f>AND(IF(metadata!D904="",FALSE,TRUE),exact(metadata!D904,"UBERON:urine"))</f>
        <v>0</v>
      </c>
      <c r="X904">
        <f>AND(IF(metadata!E904="",FALSE,TRUE),exact(metadata!E904,"UBERON:kidney"))</f>
        <v>0</v>
      </c>
      <c r="Y904">
        <f>AND(IF(metadata!F904="",FALSE,TRUE),exact(metadata!F904,"animal corpus"))</f>
        <v>0</v>
      </c>
      <c r="Z904">
        <f>AND(IF(metadata!G904="",FALSE,TRUE),exact(metadata!G904,"urine"))</f>
        <v>0</v>
      </c>
      <c r="AA904">
        <f>AND(IF(metadata!H904="",FALSE,TRUE),exact(metadata!H904,"urine"))</f>
        <v>0</v>
      </c>
      <c r="AB904">
        <f>AND(IF(metadata!I904="",FALSE,TRUE),exact(metadata!I904,"urine metagenome"))</f>
        <v>0</v>
      </c>
      <c r="AC904">
        <f>AND(IF(metadata!J904="",FALSE,TRUE),exact(metadata!J904,"1346744"))</f>
        <v>0</v>
      </c>
    </row>
    <row r="905" spans="1:29">
      <c r="A905" s="4">
        <f>IF(B905=" "," ",HYPERLINK(CONCATENATE("#metadata!",ADDRESS(INDEX($P$2:$P$1001,MATCH(ROWS($N$2:N905),$N$2:$N$1001,0),0),1)),INDEX($S$2:$S$1001,MATCH(ROWS($N$2:N905),$N$2:$N$1001,0),0)))</f>
        <v>0</v>
      </c>
      <c r="B905" s="3">
        <f>IF(OR(INDEX($O$2:$O$1001,MATCH(ROWS($N$2:N905),$N$2:$N$1001,0),1)&gt;=100000,INDEX($U$1005:$AC$1005,1,MATCH(COLUMNS($U$1006:U1006),$U$1006:$AC$1006,0))&gt;=100000), " ",IF(INDEX($U$2:$AC$1001,MATCH(ROWS($N$2:N905),$N$2:$N$1001,0),MATCH(COLUMNS($U$1006:U1006),$U$1006:$AC$1006,0)), HYPERLINK("#",""), HYPERLINK(CONCATENATE("#metadata!", ADDRESS(INDEX($P$2:$P$1001,MATCH(ROWS($N$2:N905),$N$2:$N$1001,0),0), INDEX($U$1004:$AC$1004,1,MATCH(COLUMNS($U$1006:U1006),$U$1006:$AC$1006,0)))),"Fix")))</f>
        <v>0</v>
      </c>
      <c r="C905" s="3">
        <f>IF(OR(INDEX($O$2:$O$1001,MATCH(ROWS($N$2:N905),$N$2:$N$1001,0),1)&gt;=100000,INDEX($U$1005:$AC$1005,1,MATCH(COLUMNS($U$1006:V1006),$U$1006:$AC$1006,0))&gt;=100000), " ",IF(INDEX($U$2:$AC$1001,MATCH(ROWS($N$2:N905),$N$2:$N$1001,0),MATCH(COLUMNS($U$1006:V1006),$U$1006:$AC$1006,0)), HYPERLINK("#",""), HYPERLINK(CONCATENATE("#metadata!", ADDRESS(INDEX($P$2:$P$1001,MATCH(ROWS($N$2:N905),$N$2:$N$1001,0),0), INDEX($U$1004:$AC$1004,1,MATCH(COLUMNS($U$1006:V1006),$U$1006:$AC$1006,0)))),"Fix")))</f>
        <v>0</v>
      </c>
      <c r="D905" s="3">
        <f>IF(OR(INDEX($O$2:$O$1001,MATCH(ROWS($N$2:N905),$N$2:$N$1001,0),1)&gt;=100000,INDEX($U$1005:$AC$1005,1,MATCH(COLUMNS($U$1006:W1006),$U$1006:$AC$1006,0))&gt;=100000), " ",IF(INDEX($U$2:$AC$1001,MATCH(ROWS($N$2:N905),$N$2:$N$1001,0),MATCH(COLUMNS($U$1006:W1006),$U$1006:$AC$1006,0)), HYPERLINK("#",""), HYPERLINK(CONCATENATE("#metadata!", ADDRESS(INDEX($P$2:$P$1001,MATCH(ROWS($N$2:N905),$N$2:$N$1001,0),0), INDEX($U$1004:$AC$1004,1,MATCH(COLUMNS($U$1006:W1006),$U$1006:$AC$1006,0)))),"Fix")))</f>
        <v>0</v>
      </c>
      <c r="E905" s="3">
        <f>IF(OR(INDEX($O$2:$O$1001,MATCH(ROWS($N$2:N905),$N$2:$N$1001,0),1)&gt;=100000,INDEX($U$1005:$AC$1005,1,MATCH(COLUMNS($U$1006:X1006),$U$1006:$AC$1006,0))&gt;=100000), " ",IF(INDEX($U$2:$AC$1001,MATCH(ROWS($N$2:N905),$N$2:$N$1001,0),MATCH(COLUMNS($U$1006:X1006),$U$1006:$AC$1006,0)), HYPERLINK("#",""), HYPERLINK(CONCATENATE("#metadata!", ADDRESS(INDEX($P$2:$P$1001,MATCH(ROWS($N$2:N905),$N$2:$N$1001,0),0), INDEX($U$1004:$AC$1004,1,MATCH(COLUMNS($U$1006:X1006),$U$1006:$AC$1006,0)))),"Fix")))</f>
        <v>0</v>
      </c>
      <c r="F905" s="3">
        <f>IF(OR(INDEX($O$2:$O$1001,MATCH(ROWS($N$2:N905),$N$2:$N$1001,0),1)&gt;=100000,INDEX($U$1005:$AC$1005,1,MATCH(COLUMNS($U$1006:Y1006),$U$1006:$AC$1006,0))&gt;=100000), " ",IF(INDEX($U$2:$AC$1001,MATCH(ROWS($N$2:N905),$N$2:$N$1001,0),MATCH(COLUMNS($U$1006:Y1006),$U$1006:$AC$1006,0)), HYPERLINK("#",""), HYPERLINK(CONCATENATE("#metadata!", ADDRESS(INDEX($P$2:$P$1001,MATCH(ROWS($N$2:N905),$N$2:$N$1001,0),0), INDEX($U$1004:$AC$1004,1,MATCH(COLUMNS($U$1006:Y1006),$U$1006:$AC$1006,0)))),"Fix")))</f>
        <v>0</v>
      </c>
      <c r="G905" s="3">
        <f>IF(OR(INDEX($O$2:$O$1001,MATCH(ROWS($N$2:N905),$N$2:$N$1001,0),1)&gt;=100000,INDEX($U$1005:$AC$1005,1,MATCH(COLUMNS($U$1006:Z1006),$U$1006:$AC$1006,0))&gt;=100000), " ",IF(INDEX($U$2:$AC$1001,MATCH(ROWS($N$2:N905),$N$2:$N$1001,0),MATCH(COLUMNS($U$1006:Z1006),$U$1006:$AC$1006,0)), HYPERLINK("#",""), HYPERLINK(CONCATENATE("#metadata!", ADDRESS(INDEX($P$2:$P$1001,MATCH(ROWS($N$2:N905),$N$2:$N$1001,0),0), INDEX($U$1004:$AC$1004,1,MATCH(COLUMNS($U$1006:Z1006),$U$1006:$AC$1006,0)))),"Fix")))</f>
        <v>0</v>
      </c>
      <c r="H905" s="3">
        <f>IF(OR(INDEX($O$2:$O$1001,MATCH(ROWS($N$2:N905),$N$2:$N$1001,0),1)&gt;=100000,INDEX($U$1005:$AC$1005,1,MATCH(COLUMNS($U$1006:AA1006),$U$1006:$AC$1006,0))&gt;=100000), " ",IF(INDEX($U$2:$AC$1001,MATCH(ROWS($N$2:N905),$N$2:$N$1001,0),MATCH(COLUMNS($U$1006:AA1006),$U$1006:$AC$1006,0)), HYPERLINK("#",""), HYPERLINK(CONCATENATE("#metadata!", ADDRESS(INDEX($P$2:$P$1001,MATCH(ROWS($N$2:N905),$N$2:$N$1001,0),0), INDEX($U$1004:$AC$1004,1,MATCH(COLUMNS($U$1006:AA1006),$U$1006:$AC$1006,0)))),"Fix")))</f>
        <v>0</v>
      </c>
      <c r="I905" s="3">
        <f>IF(OR(INDEX($O$2:$O$1001,MATCH(ROWS($N$2:N905),$N$2:$N$1001,0),1)&gt;=100000,INDEX($U$1005:$AC$1005,1,MATCH(COLUMNS($U$1006:AB1006),$U$1006:$AC$1006,0))&gt;=100000), " ",IF(INDEX($U$2:$AC$1001,MATCH(ROWS($N$2:N905),$N$2:$N$1001,0),MATCH(COLUMNS($U$1006:AB1006),$U$1006:$AC$1006,0)), HYPERLINK("#",""), HYPERLINK(CONCATENATE("#metadata!", ADDRESS(INDEX($P$2:$P$1001,MATCH(ROWS($N$2:N905),$N$2:$N$1001,0),0), INDEX($U$1004:$AC$1004,1,MATCH(COLUMNS($U$1006:AB1006),$U$1006:$AC$1006,0)))),"Fix")))</f>
        <v>0</v>
      </c>
      <c r="J905" s="3">
        <f>IF(OR(INDEX($O$2:$O$1001,MATCH(ROWS($N$2:N905),$N$2:$N$1001,0),1)&gt;=100000,INDEX($U$1005:$AC$1005,1,MATCH(COLUMNS($U$1006:AC1006),$U$1006:$AC$1006,0))&gt;=100000), " ",IF(INDEX($U$2:$AC$1001,MATCH(ROWS($N$2:N905),$N$2:$N$1001,0),MATCH(COLUMNS($U$1006:AC1006),$U$1006:$AC$1006,0)), HYPERLINK("#",""), HYPERLINK(CONCATENATE("#metadata!", ADDRESS(INDEX($P$2:$P$1001,MATCH(ROWS($N$2:N905),$N$2:$N$1001,0),0), INDEX($U$1004:$AC$1004,1,MATCH(COLUMNS($U$1006:AC1006),$U$1006:$AC$1006,0)))),"Fix")))</f>
        <v>0</v>
      </c>
      <c r="N905">
        <v>0</v>
      </c>
      <c r="O905">
        <v>0</v>
      </c>
      <c r="P905">
        <v>0</v>
      </c>
      <c r="Q905">
        <f>IF(R905,TRUE,AND(U905:AC905))</f>
        <v>0</v>
      </c>
      <c r="R905">
        <f>COUNTBLANK(metadata!B905:J905)=COLUMNS(metadata!B905:J905)</f>
        <v>0</v>
      </c>
      <c r="S905">
        <v>0</v>
      </c>
      <c r="U905">
        <f>AND(IF(metadata!B905="",FALSE,TRUE),COUNTIF(metadata!B:B, metadata!B905) = 1,NOT(ISERROR(SUMPRODUCT(SEARCH(MID(metadata!B905,ROW(INDIRECT("1:"&amp;LEN(metadata!B905))), 1),"0123456789abcdefghijklmnopqrstuvwxyzABCDEFGHIJKLMNOPQRSTUVWXYZ.")))))</f>
        <v>0</v>
      </c>
      <c r="V905">
        <f>AND(IF(metadata!C905="",FALSE,TRUE),exact(metadata!C905,"UBERON:genitourinary"))</f>
        <v>0</v>
      </c>
      <c r="W905">
        <f>AND(IF(metadata!D905="",FALSE,TRUE),exact(metadata!D905,"UBERON:urine"))</f>
        <v>0</v>
      </c>
      <c r="X905">
        <f>AND(IF(metadata!E905="",FALSE,TRUE),exact(metadata!E905,"UBERON:kidney"))</f>
        <v>0</v>
      </c>
      <c r="Y905">
        <f>AND(IF(metadata!F905="",FALSE,TRUE),exact(metadata!F905,"animal corpus"))</f>
        <v>0</v>
      </c>
      <c r="Z905">
        <f>AND(IF(metadata!G905="",FALSE,TRUE),exact(metadata!G905,"urine"))</f>
        <v>0</v>
      </c>
      <c r="AA905">
        <f>AND(IF(metadata!H905="",FALSE,TRUE),exact(metadata!H905,"urine"))</f>
        <v>0</v>
      </c>
      <c r="AB905">
        <f>AND(IF(metadata!I905="",FALSE,TRUE),exact(metadata!I905,"urine metagenome"))</f>
        <v>0</v>
      </c>
      <c r="AC905">
        <f>AND(IF(metadata!J905="",FALSE,TRUE),exact(metadata!J905,"1346744"))</f>
        <v>0</v>
      </c>
    </row>
    <row r="906" spans="1:29">
      <c r="A906" s="4">
        <f>IF(B906=" "," ",HYPERLINK(CONCATENATE("#metadata!",ADDRESS(INDEX($P$2:$P$1001,MATCH(ROWS($N$2:N906),$N$2:$N$1001,0),0),1)),INDEX($S$2:$S$1001,MATCH(ROWS($N$2:N906),$N$2:$N$1001,0),0)))</f>
        <v>0</v>
      </c>
      <c r="B906" s="3">
        <f>IF(OR(INDEX($O$2:$O$1001,MATCH(ROWS($N$2:N906),$N$2:$N$1001,0),1)&gt;=100000,INDEX($U$1005:$AC$1005,1,MATCH(COLUMNS($U$1006:U1006),$U$1006:$AC$1006,0))&gt;=100000), " ",IF(INDEX($U$2:$AC$1001,MATCH(ROWS($N$2:N906),$N$2:$N$1001,0),MATCH(COLUMNS($U$1006:U1006),$U$1006:$AC$1006,0)), HYPERLINK("#",""), HYPERLINK(CONCATENATE("#metadata!", ADDRESS(INDEX($P$2:$P$1001,MATCH(ROWS($N$2:N906),$N$2:$N$1001,0),0), INDEX($U$1004:$AC$1004,1,MATCH(COLUMNS($U$1006:U1006),$U$1006:$AC$1006,0)))),"Fix")))</f>
        <v>0</v>
      </c>
      <c r="C906" s="3">
        <f>IF(OR(INDEX($O$2:$O$1001,MATCH(ROWS($N$2:N906),$N$2:$N$1001,0),1)&gt;=100000,INDEX($U$1005:$AC$1005,1,MATCH(COLUMNS($U$1006:V1006),$U$1006:$AC$1006,0))&gt;=100000), " ",IF(INDEX($U$2:$AC$1001,MATCH(ROWS($N$2:N906),$N$2:$N$1001,0),MATCH(COLUMNS($U$1006:V1006),$U$1006:$AC$1006,0)), HYPERLINK("#",""), HYPERLINK(CONCATENATE("#metadata!", ADDRESS(INDEX($P$2:$P$1001,MATCH(ROWS($N$2:N906),$N$2:$N$1001,0),0), INDEX($U$1004:$AC$1004,1,MATCH(COLUMNS($U$1006:V1006),$U$1006:$AC$1006,0)))),"Fix")))</f>
        <v>0</v>
      </c>
      <c r="D906" s="3">
        <f>IF(OR(INDEX($O$2:$O$1001,MATCH(ROWS($N$2:N906),$N$2:$N$1001,0),1)&gt;=100000,INDEX($U$1005:$AC$1005,1,MATCH(COLUMNS($U$1006:W1006),$U$1006:$AC$1006,0))&gt;=100000), " ",IF(INDEX($U$2:$AC$1001,MATCH(ROWS($N$2:N906),$N$2:$N$1001,0),MATCH(COLUMNS($U$1006:W1006),$U$1006:$AC$1006,0)), HYPERLINK("#",""), HYPERLINK(CONCATENATE("#metadata!", ADDRESS(INDEX($P$2:$P$1001,MATCH(ROWS($N$2:N906),$N$2:$N$1001,0),0), INDEX($U$1004:$AC$1004,1,MATCH(COLUMNS($U$1006:W1006),$U$1006:$AC$1006,0)))),"Fix")))</f>
        <v>0</v>
      </c>
      <c r="E906" s="3">
        <f>IF(OR(INDEX($O$2:$O$1001,MATCH(ROWS($N$2:N906),$N$2:$N$1001,0),1)&gt;=100000,INDEX($U$1005:$AC$1005,1,MATCH(COLUMNS($U$1006:X1006),$U$1006:$AC$1006,0))&gt;=100000), " ",IF(INDEX($U$2:$AC$1001,MATCH(ROWS($N$2:N906),$N$2:$N$1001,0),MATCH(COLUMNS($U$1006:X1006),$U$1006:$AC$1006,0)), HYPERLINK("#",""), HYPERLINK(CONCATENATE("#metadata!", ADDRESS(INDEX($P$2:$P$1001,MATCH(ROWS($N$2:N906),$N$2:$N$1001,0),0), INDEX($U$1004:$AC$1004,1,MATCH(COLUMNS($U$1006:X1006),$U$1006:$AC$1006,0)))),"Fix")))</f>
        <v>0</v>
      </c>
      <c r="F906" s="3">
        <f>IF(OR(INDEX($O$2:$O$1001,MATCH(ROWS($N$2:N906),$N$2:$N$1001,0),1)&gt;=100000,INDEX($U$1005:$AC$1005,1,MATCH(COLUMNS($U$1006:Y1006),$U$1006:$AC$1006,0))&gt;=100000), " ",IF(INDEX($U$2:$AC$1001,MATCH(ROWS($N$2:N906),$N$2:$N$1001,0),MATCH(COLUMNS($U$1006:Y1006),$U$1006:$AC$1006,0)), HYPERLINK("#",""), HYPERLINK(CONCATENATE("#metadata!", ADDRESS(INDEX($P$2:$P$1001,MATCH(ROWS($N$2:N906),$N$2:$N$1001,0),0), INDEX($U$1004:$AC$1004,1,MATCH(COLUMNS($U$1006:Y1006),$U$1006:$AC$1006,0)))),"Fix")))</f>
        <v>0</v>
      </c>
      <c r="G906" s="3">
        <f>IF(OR(INDEX($O$2:$O$1001,MATCH(ROWS($N$2:N906),$N$2:$N$1001,0),1)&gt;=100000,INDEX($U$1005:$AC$1005,1,MATCH(COLUMNS($U$1006:Z1006),$U$1006:$AC$1006,0))&gt;=100000), " ",IF(INDEX($U$2:$AC$1001,MATCH(ROWS($N$2:N906),$N$2:$N$1001,0),MATCH(COLUMNS($U$1006:Z1006),$U$1006:$AC$1006,0)), HYPERLINK("#",""), HYPERLINK(CONCATENATE("#metadata!", ADDRESS(INDEX($P$2:$P$1001,MATCH(ROWS($N$2:N906),$N$2:$N$1001,0),0), INDEX($U$1004:$AC$1004,1,MATCH(COLUMNS($U$1006:Z1006),$U$1006:$AC$1006,0)))),"Fix")))</f>
        <v>0</v>
      </c>
      <c r="H906" s="3">
        <f>IF(OR(INDEX($O$2:$O$1001,MATCH(ROWS($N$2:N906),$N$2:$N$1001,0),1)&gt;=100000,INDEX($U$1005:$AC$1005,1,MATCH(COLUMNS($U$1006:AA1006),$U$1006:$AC$1006,0))&gt;=100000), " ",IF(INDEX($U$2:$AC$1001,MATCH(ROWS($N$2:N906),$N$2:$N$1001,0),MATCH(COLUMNS($U$1006:AA1006),$U$1006:$AC$1006,0)), HYPERLINK("#",""), HYPERLINK(CONCATENATE("#metadata!", ADDRESS(INDEX($P$2:$P$1001,MATCH(ROWS($N$2:N906),$N$2:$N$1001,0),0), INDEX($U$1004:$AC$1004,1,MATCH(COLUMNS($U$1006:AA1006),$U$1006:$AC$1006,0)))),"Fix")))</f>
        <v>0</v>
      </c>
      <c r="I906" s="3">
        <f>IF(OR(INDEX($O$2:$O$1001,MATCH(ROWS($N$2:N906),$N$2:$N$1001,0),1)&gt;=100000,INDEX($U$1005:$AC$1005,1,MATCH(COLUMNS($U$1006:AB1006),$U$1006:$AC$1006,0))&gt;=100000), " ",IF(INDEX($U$2:$AC$1001,MATCH(ROWS($N$2:N906),$N$2:$N$1001,0),MATCH(COLUMNS($U$1006:AB1006),$U$1006:$AC$1006,0)), HYPERLINK("#",""), HYPERLINK(CONCATENATE("#metadata!", ADDRESS(INDEX($P$2:$P$1001,MATCH(ROWS($N$2:N906),$N$2:$N$1001,0),0), INDEX($U$1004:$AC$1004,1,MATCH(COLUMNS($U$1006:AB1006),$U$1006:$AC$1006,0)))),"Fix")))</f>
        <v>0</v>
      </c>
      <c r="J906" s="3">
        <f>IF(OR(INDEX($O$2:$O$1001,MATCH(ROWS($N$2:N906),$N$2:$N$1001,0),1)&gt;=100000,INDEX($U$1005:$AC$1005,1,MATCH(COLUMNS($U$1006:AC1006),$U$1006:$AC$1006,0))&gt;=100000), " ",IF(INDEX($U$2:$AC$1001,MATCH(ROWS($N$2:N906),$N$2:$N$1001,0),MATCH(COLUMNS($U$1006:AC1006),$U$1006:$AC$1006,0)), HYPERLINK("#",""), HYPERLINK(CONCATENATE("#metadata!", ADDRESS(INDEX($P$2:$P$1001,MATCH(ROWS($N$2:N906),$N$2:$N$1001,0),0), INDEX($U$1004:$AC$1004,1,MATCH(COLUMNS($U$1006:AC1006),$U$1006:$AC$1006,0)))),"Fix")))</f>
        <v>0</v>
      </c>
      <c r="N906">
        <v>0</v>
      </c>
      <c r="O906">
        <v>0</v>
      </c>
      <c r="P906">
        <v>0</v>
      </c>
      <c r="Q906">
        <f>IF(R906,TRUE,AND(U906:AC906))</f>
        <v>0</v>
      </c>
      <c r="R906">
        <f>COUNTBLANK(metadata!B906:J906)=COLUMNS(metadata!B906:J906)</f>
        <v>0</v>
      </c>
      <c r="S906">
        <v>0</v>
      </c>
      <c r="U906">
        <f>AND(IF(metadata!B906="",FALSE,TRUE),COUNTIF(metadata!B:B, metadata!B906) = 1,NOT(ISERROR(SUMPRODUCT(SEARCH(MID(metadata!B906,ROW(INDIRECT("1:"&amp;LEN(metadata!B906))), 1),"0123456789abcdefghijklmnopqrstuvwxyzABCDEFGHIJKLMNOPQRSTUVWXYZ.")))))</f>
        <v>0</v>
      </c>
      <c r="V906">
        <f>AND(IF(metadata!C906="",FALSE,TRUE),exact(metadata!C906,"UBERON:genitourinary"))</f>
        <v>0</v>
      </c>
      <c r="W906">
        <f>AND(IF(metadata!D906="",FALSE,TRUE),exact(metadata!D906,"UBERON:urine"))</f>
        <v>0</v>
      </c>
      <c r="X906">
        <f>AND(IF(metadata!E906="",FALSE,TRUE),exact(metadata!E906,"UBERON:kidney"))</f>
        <v>0</v>
      </c>
      <c r="Y906">
        <f>AND(IF(metadata!F906="",FALSE,TRUE),exact(metadata!F906,"animal corpus"))</f>
        <v>0</v>
      </c>
      <c r="Z906">
        <f>AND(IF(metadata!G906="",FALSE,TRUE),exact(metadata!G906,"urine"))</f>
        <v>0</v>
      </c>
      <c r="AA906">
        <f>AND(IF(metadata!H906="",FALSE,TRUE),exact(metadata!H906,"urine"))</f>
        <v>0</v>
      </c>
      <c r="AB906">
        <f>AND(IF(metadata!I906="",FALSE,TRUE),exact(metadata!I906,"urine metagenome"))</f>
        <v>0</v>
      </c>
      <c r="AC906">
        <f>AND(IF(metadata!J906="",FALSE,TRUE),exact(metadata!J906,"1346744"))</f>
        <v>0</v>
      </c>
    </row>
    <row r="907" spans="1:29">
      <c r="A907" s="4">
        <f>IF(B907=" "," ",HYPERLINK(CONCATENATE("#metadata!",ADDRESS(INDEX($P$2:$P$1001,MATCH(ROWS($N$2:N907),$N$2:$N$1001,0),0),1)),INDEX($S$2:$S$1001,MATCH(ROWS($N$2:N907),$N$2:$N$1001,0),0)))</f>
        <v>0</v>
      </c>
      <c r="B907" s="3">
        <f>IF(OR(INDEX($O$2:$O$1001,MATCH(ROWS($N$2:N907),$N$2:$N$1001,0),1)&gt;=100000,INDEX($U$1005:$AC$1005,1,MATCH(COLUMNS($U$1006:U1006),$U$1006:$AC$1006,0))&gt;=100000), " ",IF(INDEX($U$2:$AC$1001,MATCH(ROWS($N$2:N907),$N$2:$N$1001,0),MATCH(COLUMNS($U$1006:U1006),$U$1006:$AC$1006,0)), HYPERLINK("#",""), HYPERLINK(CONCATENATE("#metadata!", ADDRESS(INDEX($P$2:$P$1001,MATCH(ROWS($N$2:N907),$N$2:$N$1001,0),0), INDEX($U$1004:$AC$1004,1,MATCH(COLUMNS($U$1006:U1006),$U$1006:$AC$1006,0)))),"Fix")))</f>
        <v>0</v>
      </c>
      <c r="C907" s="3">
        <f>IF(OR(INDEX($O$2:$O$1001,MATCH(ROWS($N$2:N907),$N$2:$N$1001,0),1)&gt;=100000,INDEX($U$1005:$AC$1005,1,MATCH(COLUMNS($U$1006:V1006),$U$1006:$AC$1006,0))&gt;=100000), " ",IF(INDEX($U$2:$AC$1001,MATCH(ROWS($N$2:N907),$N$2:$N$1001,0),MATCH(COLUMNS($U$1006:V1006),$U$1006:$AC$1006,0)), HYPERLINK("#",""), HYPERLINK(CONCATENATE("#metadata!", ADDRESS(INDEX($P$2:$P$1001,MATCH(ROWS($N$2:N907),$N$2:$N$1001,0),0), INDEX($U$1004:$AC$1004,1,MATCH(COLUMNS($U$1006:V1006),$U$1006:$AC$1006,0)))),"Fix")))</f>
        <v>0</v>
      </c>
      <c r="D907" s="3">
        <f>IF(OR(INDEX($O$2:$O$1001,MATCH(ROWS($N$2:N907),$N$2:$N$1001,0),1)&gt;=100000,INDEX($U$1005:$AC$1005,1,MATCH(COLUMNS($U$1006:W1006),$U$1006:$AC$1006,0))&gt;=100000), " ",IF(INDEX($U$2:$AC$1001,MATCH(ROWS($N$2:N907),$N$2:$N$1001,0),MATCH(COLUMNS($U$1006:W1006),$U$1006:$AC$1006,0)), HYPERLINK("#",""), HYPERLINK(CONCATENATE("#metadata!", ADDRESS(INDEX($P$2:$P$1001,MATCH(ROWS($N$2:N907),$N$2:$N$1001,0),0), INDEX($U$1004:$AC$1004,1,MATCH(COLUMNS($U$1006:W1006),$U$1006:$AC$1006,0)))),"Fix")))</f>
        <v>0</v>
      </c>
      <c r="E907" s="3">
        <f>IF(OR(INDEX($O$2:$O$1001,MATCH(ROWS($N$2:N907),$N$2:$N$1001,0),1)&gt;=100000,INDEX($U$1005:$AC$1005,1,MATCH(COLUMNS($U$1006:X1006),$U$1006:$AC$1006,0))&gt;=100000), " ",IF(INDEX($U$2:$AC$1001,MATCH(ROWS($N$2:N907),$N$2:$N$1001,0),MATCH(COLUMNS($U$1006:X1006),$U$1006:$AC$1006,0)), HYPERLINK("#",""), HYPERLINK(CONCATENATE("#metadata!", ADDRESS(INDEX($P$2:$P$1001,MATCH(ROWS($N$2:N907),$N$2:$N$1001,0),0), INDEX($U$1004:$AC$1004,1,MATCH(COLUMNS($U$1006:X1006),$U$1006:$AC$1006,0)))),"Fix")))</f>
        <v>0</v>
      </c>
      <c r="F907" s="3">
        <f>IF(OR(INDEX($O$2:$O$1001,MATCH(ROWS($N$2:N907),$N$2:$N$1001,0),1)&gt;=100000,INDEX($U$1005:$AC$1005,1,MATCH(COLUMNS($U$1006:Y1006),$U$1006:$AC$1006,0))&gt;=100000), " ",IF(INDEX($U$2:$AC$1001,MATCH(ROWS($N$2:N907),$N$2:$N$1001,0),MATCH(COLUMNS($U$1006:Y1006),$U$1006:$AC$1006,0)), HYPERLINK("#",""), HYPERLINK(CONCATENATE("#metadata!", ADDRESS(INDEX($P$2:$P$1001,MATCH(ROWS($N$2:N907),$N$2:$N$1001,0),0), INDEX($U$1004:$AC$1004,1,MATCH(COLUMNS($U$1006:Y1006),$U$1006:$AC$1006,0)))),"Fix")))</f>
        <v>0</v>
      </c>
      <c r="G907" s="3">
        <f>IF(OR(INDEX($O$2:$O$1001,MATCH(ROWS($N$2:N907),$N$2:$N$1001,0),1)&gt;=100000,INDEX($U$1005:$AC$1005,1,MATCH(COLUMNS($U$1006:Z1006),$U$1006:$AC$1006,0))&gt;=100000), " ",IF(INDEX($U$2:$AC$1001,MATCH(ROWS($N$2:N907),$N$2:$N$1001,0),MATCH(COLUMNS($U$1006:Z1006),$U$1006:$AC$1006,0)), HYPERLINK("#",""), HYPERLINK(CONCATENATE("#metadata!", ADDRESS(INDEX($P$2:$P$1001,MATCH(ROWS($N$2:N907),$N$2:$N$1001,0),0), INDEX($U$1004:$AC$1004,1,MATCH(COLUMNS($U$1006:Z1006),$U$1006:$AC$1006,0)))),"Fix")))</f>
        <v>0</v>
      </c>
      <c r="H907" s="3">
        <f>IF(OR(INDEX($O$2:$O$1001,MATCH(ROWS($N$2:N907),$N$2:$N$1001,0),1)&gt;=100000,INDEX($U$1005:$AC$1005,1,MATCH(COLUMNS($U$1006:AA1006),$U$1006:$AC$1006,0))&gt;=100000), " ",IF(INDEX($U$2:$AC$1001,MATCH(ROWS($N$2:N907),$N$2:$N$1001,0),MATCH(COLUMNS($U$1006:AA1006),$U$1006:$AC$1006,0)), HYPERLINK("#",""), HYPERLINK(CONCATENATE("#metadata!", ADDRESS(INDEX($P$2:$P$1001,MATCH(ROWS($N$2:N907),$N$2:$N$1001,0),0), INDEX($U$1004:$AC$1004,1,MATCH(COLUMNS($U$1006:AA1006),$U$1006:$AC$1006,0)))),"Fix")))</f>
        <v>0</v>
      </c>
      <c r="I907" s="3">
        <f>IF(OR(INDEX($O$2:$O$1001,MATCH(ROWS($N$2:N907),$N$2:$N$1001,0),1)&gt;=100000,INDEX($U$1005:$AC$1005,1,MATCH(COLUMNS($U$1006:AB1006),$U$1006:$AC$1006,0))&gt;=100000), " ",IF(INDEX($U$2:$AC$1001,MATCH(ROWS($N$2:N907),$N$2:$N$1001,0),MATCH(COLUMNS($U$1006:AB1006),$U$1006:$AC$1006,0)), HYPERLINK("#",""), HYPERLINK(CONCATENATE("#metadata!", ADDRESS(INDEX($P$2:$P$1001,MATCH(ROWS($N$2:N907),$N$2:$N$1001,0),0), INDEX($U$1004:$AC$1004,1,MATCH(COLUMNS($U$1006:AB1006),$U$1006:$AC$1006,0)))),"Fix")))</f>
        <v>0</v>
      </c>
      <c r="J907" s="3">
        <f>IF(OR(INDEX($O$2:$O$1001,MATCH(ROWS($N$2:N907),$N$2:$N$1001,0),1)&gt;=100000,INDEX($U$1005:$AC$1005,1,MATCH(COLUMNS($U$1006:AC1006),$U$1006:$AC$1006,0))&gt;=100000), " ",IF(INDEX($U$2:$AC$1001,MATCH(ROWS($N$2:N907),$N$2:$N$1001,0),MATCH(COLUMNS($U$1006:AC1006),$U$1006:$AC$1006,0)), HYPERLINK("#",""), HYPERLINK(CONCATENATE("#metadata!", ADDRESS(INDEX($P$2:$P$1001,MATCH(ROWS($N$2:N907),$N$2:$N$1001,0),0), INDEX($U$1004:$AC$1004,1,MATCH(COLUMNS($U$1006:AC1006),$U$1006:$AC$1006,0)))),"Fix")))</f>
        <v>0</v>
      </c>
      <c r="N907">
        <v>0</v>
      </c>
      <c r="O907">
        <v>0</v>
      </c>
      <c r="P907">
        <v>0</v>
      </c>
      <c r="Q907">
        <f>IF(R907,TRUE,AND(U907:AC907))</f>
        <v>0</v>
      </c>
      <c r="R907">
        <f>COUNTBLANK(metadata!B907:J907)=COLUMNS(metadata!B907:J907)</f>
        <v>0</v>
      </c>
      <c r="S907">
        <v>0</v>
      </c>
      <c r="U907">
        <f>AND(IF(metadata!B907="",FALSE,TRUE),COUNTIF(metadata!B:B, metadata!B907) = 1,NOT(ISERROR(SUMPRODUCT(SEARCH(MID(metadata!B907,ROW(INDIRECT("1:"&amp;LEN(metadata!B907))), 1),"0123456789abcdefghijklmnopqrstuvwxyzABCDEFGHIJKLMNOPQRSTUVWXYZ.")))))</f>
        <v>0</v>
      </c>
      <c r="V907">
        <f>AND(IF(metadata!C907="",FALSE,TRUE),exact(metadata!C907,"UBERON:genitourinary"))</f>
        <v>0</v>
      </c>
      <c r="W907">
        <f>AND(IF(metadata!D907="",FALSE,TRUE),exact(metadata!D907,"UBERON:urine"))</f>
        <v>0</v>
      </c>
      <c r="X907">
        <f>AND(IF(metadata!E907="",FALSE,TRUE),exact(metadata!E907,"UBERON:kidney"))</f>
        <v>0</v>
      </c>
      <c r="Y907">
        <f>AND(IF(metadata!F907="",FALSE,TRUE),exact(metadata!F907,"animal corpus"))</f>
        <v>0</v>
      </c>
      <c r="Z907">
        <f>AND(IF(metadata!G907="",FALSE,TRUE),exact(metadata!G907,"urine"))</f>
        <v>0</v>
      </c>
      <c r="AA907">
        <f>AND(IF(metadata!H907="",FALSE,TRUE),exact(metadata!H907,"urine"))</f>
        <v>0</v>
      </c>
      <c r="AB907">
        <f>AND(IF(metadata!I907="",FALSE,TRUE),exact(metadata!I907,"urine metagenome"))</f>
        <v>0</v>
      </c>
      <c r="AC907">
        <f>AND(IF(metadata!J907="",FALSE,TRUE),exact(metadata!J907,"1346744"))</f>
        <v>0</v>
      </c>
    </row>
    <row r="908" spans="1:29">
      <c r="A908" s="4">
        <f>IF(B908=" "," ",HYPERLINK(CONCATENATE("#metadata!",ADDRESS(INDEX($P$2:$P$1001,MATCH(ROWS($N$2:N908),$N$2:$N$1001,0),0),1)),INDEX($S$2:$S$1001,MATCH(ROWS($N$2:N908),$N$2:$N$1001,0),0)))</f>
        <v>0</v>
      </c>
      <c r="B908" s="3">
        <f>IF(OR(INDEX($O$2:$O$1001,MATCH(ROWS($N$2:N908),$N$2:$N$1001,0),1)&gt;=100000,INDEX($U$1005:$AC$1005,1,MATCH(COLUMNS($U$1006:U1006),$U$1006:$AC$1006,0))&gt;=100000), " ",IF(INDEX($U$2:$AC$1001,MATCH(ROWS($N$2:N908),$N$2:$N$1001,0),MATCH(COLUMNS($U$1006:U1006),$U$1006:$AC$1006,0)), HYPERLINK("#",""), HYPERLINK(CONCATENATE("#metadata!", ADDRESS(INDEX($P$2:$P$1001,MATCH(ROWS($N$2:N908),$N$2:$N$1001,0),0), INDEX($U$1004:$AC$1004,1,MATCH(COLUMNS($U$1006:U1006),$U$1006:$AC$1006,0)))),"Fix")))</f>
        <v>0</v>
      </c>
      <c r="C908" s="3">
        <f>IF(OR(INDEX($O$2:$O$1001,MATCH(ROWS($N$2:N908),$N$2:$N$1001,0),1)&gt;=100000,INDEX($U$1005:$AC$1005,1,MATCH(COLUMNS($U$1006:V1006),$U$1006:$AC$1006,0))&gt;=100000), " ",IF(INDEX($U$2:$AC$1001,MATCH(ROWS($N$2:N908),$N$2:$N$1001,0),MATCH(COLUMNS($U$1006:V1006),$U$1006:$AC$1006,0)), HYPERLINK("#",""), HYPERLINK(CONCATENATE("#metadata!", ADDRESS(INDEX($P$2:$P$1001,MATCH(ROWS($N$2:N908),$N$2:$N$1001,0),0), INDEX($U$1004:$AC$1004,1,MATCH(COLUMNS($U$1006:V1006),$U$1006:$AC$1006,0)))),"Fix")))</f>
        <v>0</v>
      </c>
      <c r="D908" s="3">
        <f>IF(OR(INDEX($O$2:$O$1001,MATCH(ROWS($N$2:N908),$N$2:$N$1001,0),1)&gt;=100000,INDEX($U$1005:$AC$1005,1,MATCH(COLUMNS($U$1006:W1006),$U$1006:$AC$1006,0))&gt;=100000), " ",IF(INDEX($U$2:$AC$1001,MATCH(ROWS($N$2:N908),$N$2:$N$1001,0),MATCH(COLUMNS($U$1006:W1006),$U$1006:$AC$1006,0)), HYPERLINK("#",""), HYPERLINK(CONCATENATE("#metadata!", ADDRESS(INDEX($P$2:$P$1001,MATCH(ROWS($N$2:N908),$N$2:$N$1001,0),0), INDEX($U$1004:$AC$1004,1,MATCH(COLUMNS($U$1006:W1006),$U$1006:$AC$1006,0)))),"Fix")))</f>
        <v>0</v>
      </c>
      <c r="E908" s="3">
        <f>IF(OR(INDEX($O$2:$O$1001,MATCH(ROWS($N$2:N908),$N$2:$N$1001,0),1)&gt;=100000,INDEX($U$1005:$AC$1005,1,MATCH(COLUMNS($U$1006:X1006),$U$1006:$AC$1006,0))&gt;=100000), " ",IF(INDEX($U$2:$AC$1001,MATCH(ROWS($N$2:N908),$N$2:$N$1001,0),MATCH(COLUMNS($U$1006:X1006),$U$1006:$AC$1006,0)), HYPERLINK("#",""), HYPERLINK(CONCATENATE("#metadata!", ADDRESS(INDEX($P$2:$P$1001,MATCH(ROWS($N$2:N908),$N$2:$N$1001,0),0), INDEX($U$1004:$AC$1004,1,MATCH(COLUMNS($U$1006:X1006),$U$1006:$AC$1006,0)))),"Fix")))</f>
        <v>0</v>
      </c>
      <c r="F908" s="3">
        <f>IF(OR(INDEX($O$2:$O$1001,MATCH(ROWS($N$2:N908),$N$2:$N$1001,0),1)&gt;=100000,INDEX($U$1005:$AC$1005,1,MATCH(COLUMNS($U$1006:Y1006),$U$1006:$AC$1006,0))&gt;=100000), " ",IF(INDEX($U$2:$AC$1001,MATCH(ROWS($N$2:N908),$N$2:$N$1001,0),MATCH(COLUMNS($U$1006:Y1006),$U$1006:$AC$1006,0)), HYPERLINK("#",""), HYPERLINK(CONCATENATE("#metadata!", ADDRESS(INDEX($P$2:$P$1001,MATCH(ROWS($N$2:N908),$N$2:$N$1001,0),0), INDEX($U$1004:$AC$1004,1,MATCH(COLUMNS($U$1006:Y1006),$U$1006:$AC$1006,0)))),"Fix")))</f>
        <v>0</v>
      </c>
      <c r="G908" s="3">
        <f>IF(OR(INDEX($O$2:$O$1001,MATCH(ROWS($N$2:N908),$N$2:$N$1001,0),1)&gt;=100000,INDEX($U$1005:$AC$1005,1,MATCH(COLUMNS($U$1006:Z1006),$U$1006:$AC$1006,0))&gt;=100000), " ",IF(INDEX($U$2:$AC$1001,MATCH(ROWS($N$2:N908),$N$2:$N$1001,0),MATCH(COLUMNS($U$1006:Z1006),$U$1006:$AC$1006,0)), HYPERLINK("#",""), HYPERLINK(CONCATENATE("#metadata!", ADDRESS(INDEX($P$2:$P$1001,MATCH(ROWS($N$2:N908),$N$2:$N$1001,0),0), INDEX($U$1004:$AC$1004,1,MATCH(COLUMNS($U$1006:Z1006),$U$1006:$AC$1006,0)))),"Fix")))</f>
        <v>0</v>
      </c>
      <c r="H908" s="3">
        <f>IF(OR(INDEX($O$2:$O$1001,MATCH(ROWS($N$2:N908),$N$2:$N$1001,0),1)&gt;=100000,INDEX($U$1005:$AC$1005,1,MATCH(COLUMNS($U$1006:AA1006),$U$1006:$AC$1006,0))&gt;=100000), " ",IF(INDEX($U$2:$AC$1001,MATCH(ROWS($N$2:N908),$N$2:$N$1001,0),MATCH(COLUMNS($U$1006:AA1006),$U$1006:$AC$1006,0)), HYPERLINK("#",""), HYPERLINK(CONCATENATE("#metadata!", ADDRESS(INDEX($P$2:$P$1001,MATCH(ROWS($N$2:N908),$N$2:$N$1001,0),0), INDEX($U$1004:$AC$1004,1,MATCH(COLUMNS($U$1006:AA1006),$U$1006:$AC$1006,0)))),"Fix")))</f>
        <v>0</v>
      </c>
      <c r="I908" s="3">
        <f>IF(OR(INDEX($O$2:$O$1001,MATCH(ROWS($N$2:N908),$N$2:$N$1001,0),1)&gt;=100000,INDEX($U$1005:$AC$1005,1,MATCH(COLUMNS($U$1006:AB1006),$U$1006:$AC$1006,0))&gt;=100000), " ",IF(INDEX($U$2:$AC$1001,MATCH(ROWS($N$2:N908),$N$2:$N$1001,0),MATCH(COLUMNS($U$1006:AB1006),$U$1006:$AC$1006,0)), HYPERLINK("#",""), HYPERLINK(CONCATENATE("#metadata!", ADDRESS(INDEX($P$2:$P$1001,MATCH(ROWS($N$2:N908),$N$2:$N$1001,0),0), INDEX($U$1004:$AC$1004,1,MATCH(COLUMNS($U$1006:AB1006),$U$1006:$AC$1006,0)))),"Fix")))</f>
        <v>0</v>
      </c>
      <c r="J908" s="3">
        <f>IF(OR(INDEX($O$2:$O$1001,MATCH(ROWS($N$2:N908),$N$2:$N$1001,0),1)&gt;=100000,INDEX($U$1005:$AC$1005,1,MATCH(COLUMNS($U$1006:AC1006),$U$1006:$AC$1006,0))&gt;=100000), " ",IF(INDEX($U$2:$AC$1001,MATCH(ROWS($N$2:N908),$N$2:$N$1001,0),MATCH(COLUMNS($U$1006:AC1006),$U$1006:$AC$1006,0)), HYPERLINK("#",""), HYPERLINK(CONCATENATE("#metadata!", ADDRESS(INDEX($P$2:$P$1001,MATCH(ROWS($N$2:N908),$N$2:$N$1001,0),0), INDEX($U$1004:$AC$1004,1,MATCH(COLUMNS($U$1006:AC1006),$U$1006:$AC$1006,0)))),"Fix")))</f>
        <v>0</v>
      </c>
      <c r="N908">
        <v>0</v>
      </c>
      <c r="O908">
        <v>0</v>
      </c>
      <c r="P908">
        <v>0</v>
      </c>
      <c r="Q908">
        <f>IF(R908,TRUE,AND(U908:AC908))</f>
        <v>0</v>
      </c>
      <c r="R908">
        <f>COUNTBLANK(metadata!B908:J908)=COLUMNS(metadata!B908:J908)</f>
        <v>0</v>
      </c>
      <c r="S908">
        <v>0</v>
      </c>
      <c r="U908">
        <f>AND(IF(metadata!B908="",FALSE,TRUE),COUNTIF(metadata!B:B, metadata!B908) = 1,NOT(ISERROR(SUMPRODUCT(SEARCH(MID(metadata!B908,ROW(INDIRECT("1:"&amp;LEN(metadata!B908))), 1),"0123456789abcdefghijklmnopqrstuvwxyzABCDEFGHIJKLMNOPQRSTUVWXYZ.")))))</f>
        <v>0</v>
      </c>
      <c r="V908">
        <f>AND(IF(metadata!C908="",FALSE,TRUE),exact(metadata!C908,"UBERON:genitourinary"))</f>
        <v>0</v>
      </c>
      <c r="W908">
        <f>AND(IF(metadata!D908="",FALSE,TRUE),exact(metadata!D908,"UBERON:urine"))</f>
        <v>0</v>
      </c>
      <c r="X908">
        <f>AND(IF(metadata!E908="",FALSE,TRUE),exact(metadata!E908,"UBERON:kidney"))</f>
        <v>0</v>
      </c>
      <c r="Y908">
        <f>AND(IF(metadata!F908="",FALSE,TRUE),exact(metadata!F908,"animal corpus"))</f>
        <v>0</v>
      </c>
      <c r="Z908">
        <f>AND(IF(metadata!G908="",FALSE,TRUE),exact(metadata!G908,"urine"))</f>
        <v>0</v>
      </c>
      <c r="AA908">
        <f>AND(IF(metadata!H908="",FALSE,TRUE),exact(metadata!H908,"urine"))</f>
        <v>0</v>
      </c>
      <c r="AB908">
        <f>AND(IF(metadata!I908="",FALSE,TRUE),exact(metadata!I908,"urine metagenome"))</f>
        <v>0</v>
      </c>
      <c r="AC908">
        <f>AND(IF(metadata!J908="",FALSE,TRUE),exact(metadata!J908,"1346744"))</f>
        <v>0</v>
      </c>
    </row>
    <row r="909" spans="1:29">
      <c r="A909" s="4">
        <f>IF(B909=" "," ",HYPERLINK(CONCATENATE("#metadata!",ADDRESS(INDEX($P$2:$P$1001,MATCH(ROWS($N$2:N909),$N$2:$N$1001,0),0),1)),INDEX($S$2:$S$1001,MATCH(ROWS($N$2:N909),$N$2:$N$1001,0),0)))</f>
        <v>0</v>
      </c>
      <c r="B909" s="3">
        <f>IF(OR(INDEX($O$2:$O$1001,MATCH(ROWS($N$2:N909),$N$2:$N$1001,0),1)&gt;=100000,INDEX($U$1005:$AC$1005,1,MATCH(COLUMNS($U$1006:U1006),$U$1006:$AC$1006,0))&gt;=100000), " ",IF(INDEX($U$2:$AC$1001,MATCH(ROWS($N$2:N909),$N$2:$N$1001,0),MATCH(COLUMNS($U$1006:U1006),$U$1006:$AC$1006,0)), HYPERLINK("#",""), HYPERLINK(CONCATENATE("#metadata!", ADDRESS(INDEX($P$2:$P$1001,MATCH(ROWS($N$2:N909),$N$2:$N$1001,0),0), INDEX($U$1004:$AC$1004,1,MATCH(COLUMNS($U$1006:U1006),$U$1006:$AC$1006,0)))),"Fix")))</f>
        <v>0</v>
      </c>
      <c r="C909" s="3">
        <f>IF(OR(INDEX($O$2:$O$1001,MATCH(ROWS($N$2:N909),$N$2:$N$1001,0),1)&gt;=100000,INDEX($U$1005:$AC$1005,1,MATCH(COLUMNS($U$1006:V1006),$U$1006:$AC$1006,0))&gt;=100000), " ",IF(INDEX($U$2:$AC$1001,MATCH(ROWS($N$2:N909),$N$2:$N$1001,0),MATCH(COLUMNS($U$1006:V1006),$U$1006:$AC$1006,0)), HYPERLINK("#",""), HYPERLINK(CONCATENATE("#metadata!", ADDRESS(INDEX($P$2:$P$1001,MATCH(ROWS($N$2:N909),$N$2:$N$1001,0),0), INDEX($U$1004:$AC$1004,1,MATCH(COLUMNS($U$1006:V1006),$U$1006:$AC$1006,0)))),"Fix")))</f>
        <v>0</v>
      </c>
      <c r="D909" s="3">
        <f>IF(OR(INDEX($O$2:$O$1001,MATCH(ROWS($N$2:N909),$N$2:$N$1001,0),1)&gt;=100000,INDEX($U$1005:$AC$1005,1,MATCH(COLUMNS($U$1006:W1006),$U$1006:$AC$1006,0))&gt;=100000), " ",IF(INDEX($U$2:$AC$1001,MATCH(ROWS($N$2:N909),$N$2:$N$1001,0),MATCH(COLUMNS($U$1006:W1006),$U$1006:$AC$1006,0)), HYPERLINK("#",""), HYPERLINK(CONCATENATE("#metadata!", ADDRESS(INDEX($P$2:$P$1001,MATCH(ROWS($N$2:N909),$N$2:$N$1001,0),0), INDEX($U$1004:$AC$1004,1,MATCH(COLUMNS($U$1006:W1006),$U$1006:$AC$1006,0)))),"Fix")))</f>
        <v>0</v>
      </c>
      <c r="E909" s="3">
        <f>IF(OR(INDEX($O$2:$O$1001,MATCH(ROWS($N$2:N909),$N$2:$N$1001,0),1)&gt;=100000,INDEX($U$1005:$AC$1005,1,MATCH(COLUMNS($U$1006:X1006),$U$1006:$AC$1006,0))&gt;=100000), " ",IF(INDEX($U$2:$AC$1001,MATCH(ROWS($N$2:N909),$N$2:$N$1001,0),MATCH(COLUMNS($U$1006:X1006),$U$1006:$AC$1006,0)), HYPERLINK("#",""), HYPERLINK(CONCATENATE("#metadata!", ADDRESS(INDEX($P$2:$P$1001,MATCH(ROWS($N$2:N909),$N$2:$N$1001,0),0), INDEX($U$1004:$AC$1004,1,MATCH(COLUMNS($U$1006:X1006),$U$1006:$AC$1006,0)))),"Fix")))</f>
        <v>0</v>
      </c>
      <c r="F909" s="3">
        <f>IF(OR(INDEX($O$2:$O$1001,MATCH(ROWS($N$2:N909),$N$2:$N$1001,0),1)&gt;=100000,INDEX($U$1005:$AC$1005,1,MATCH(COLUMNS($U$1006:Y1006),$U$1006:$AC$1006,0))&gt;=100000), " ",IF(INDEX($U$2:$AC$1001,MATCH(ROWS($N$2:N909),$N$2:$N$1001,0),MATCH(COLUMNS($U$1006:Y1006),$U$1006:$AC$1006,0)), HYPERLINK("#",""), HYPERLINK(CONCATENATE("#metadata!", ADDRESS(INDEX($P$2:$P$1001,MATCH(ROWS($N$2:N909),$N$2:$N$1001,0),0), INDEX($U$1004:$AC$1004,1,MATCH(COLUMNS($U$1006:Y1006),$U$1006:$AC$1006,0)))),"Fix")))</f>
        <v>0</v>
      </c>
      <c r="G909" s="3">
        <f>IF(OR(INDEX($O$2:$O$1001,MATCH(ROWS($N$2:N909),$N$2:$N$1001,0),1)&gt;=100000,INDEX($U$1005:$AC$1005,1,MATCH(COLUMNS($U$1006:Z1006),$U$1006:$AC$1006,0))&gt;=100000), " ",IF(INDEX($U$2:$AC$1001,MATCH(ROWS($N$2:N909),$N$2:$N$1001,0),MATCH(COLUMNS($U$1006:Z1006),$U$1006:$AC$1006,0)), HYPERLINK("#",""), HYPERLINK(CONCATENATE("#metadata!", ADDRESS(INDEX($P$2:$P$1001,MATCH(ROWS($N$2:N909),$N$2:$N$1001,0),0), INDEX($U$1004:$AC$1004,1,MATCH(COLUMNS($U$1006:Z1006),$U$1006:$AC$1006,0)))),"Fix")))</f>
        <v>0</v>
      </c>
      <c r="H909" s="3">
        <f>IF(OR(INDEX($O$2:$O$1001,MATCH(ROWS($N$2:N909),$N$2:$N$1001,0),1)&gt;=100000,INDEX($U$1005:$AC$1005,1,MATCH(COLUMNS($U$1006:AA1006),$U$1006:$AC$1006,0))&gt;=100000), " ",IF(INDEX($U$2:$AC$1001,MATCH(ROWS($N$2:N909),$N$2:$N$1001,0),MATCH(COLUMNS($U$1006:AA1006),$U$1006:$AC$1006,0)), HYPERLINK("#",""), HYPERLINK(CONCATENATE("#metadata!", ADDRESS(INDEX($P$2:$P$1001,MATCH(ROWS($N$2:N909),$N$2:$N$1001,0),0), INDEX($U$1004:$AC$1004,1,MATCH(COLUMNS($U$1006:AA1006),$U$1006:$AC$1006,0)))),"Fix")))</f>
        <v>0</v>
      </c>
      <c r="I909" s="3">
        <f>IF(OR(INDEX($O$2:$O$1001,MATCH(ROWS($N$2:N909),$N$2:$N$1001,0),1)&gt;=100000,INDEX($U$1005:$AC$1005,1,MATCH(COLUMNS($U$1006:AB1006),$U$1006:$AC$1006,0))&gt;=100000), " ",IF(INDEX($U$2:$AC$1001,MATCH(ROWS($N$2:N909),$N$2:$N$1001,0),MATCH(COLUMNS($U$1006:AB1006),$U$1006:$AC$1006,0)), HYPERLINK("#",""), HYPERLINK(CONCATENATE("#metadata!", ADDRESS(INDEX($P$2:$P$1001,MATCH(ROWS($N$2:N909),$N$2:$N$1001,0),0), INDEX($U$1004:$AC$1004,1,MATCH(COLUMNS($U$1006:AB1006),$U$1006:$AC$1006,0)))),"Fix")))</f>
        <v>0</v>
      </c>
      <c r="J909" s="3">
        <f>IF(OR(INDEX($O$2:$O$1001,MATCH(ROWS($N$2:N909),$N$2:$N$1001,0),1)&gt;=100000,INDEX($U$1005:$AC$1005,1,MATCH(COLUMNS($U$1006:AC1006),$U$1006:$AC$1006,0))&gt;=100000), " ",IF(INDEX($U$2:$AC$1001,MATCH(ROWS($N$2:N909),$N$2:$N$1001,0),MATCH(COLUMNS($U$1006:AC1006),$U$1006:$AC$1006,0)), HYPERLINK("#",""), HYPERLINK(CONCATENATE("#metadata!", ADDRESS(INDEX($P$2:$P$1001,MATCH(ROWS($N$2:N909),$N$2:$N$1001,0),0), INDEX($U$1004:$AC$1004,1,MATCH(COLUMNS($U$1006:AC1006),$U$1006:$AC$1006,0)))),"Fix")))</f>
        <v>0</v>
      </c>
      <c r="N909">
        <v>0</v>
      </c>
      <c r="O909">
        <v>0</v>
      </c>
      <c r="P909">
        <v>0</v>
      </c>
      <c r="Q909">
        <f>IF(R909,TRUE,AND(U909:AC909))</f>
        <v>0</v>
      </c>
      <c r="R909">
        <f>COUNTBLANK(metadata!B909:J909)=COLUMNS(metadata!B909:J909)</f>
        <v>0</v>
      </c>
      <c r="S909">
        <v>0</v>
      </c>
      <c r="U909">
        <f>AND(IF(metadata!B909="",FALSE,TRUE),COUNTIF(metadata!B:B, metadata!B909) = 1,NOT(ISERROR(SUMPRODUCT(SEARCH(MID(metadata!B909,ROW(INDIRECT("1:"&amp;LEN(metadata!B909))), 1),"0123456789abcdefghijklmnopqrstuvwxyzABCDEFGHIJKLMNOPQRSTUVWXYZ.")))))</f>
        <v>0</v>
      </c>
      <c r="V909">
        <f>AND(IF(metadata!C909="",FALSE,TRUE),exact(metadata!C909,"UBERON:genitourinary"))</f>
        <v>0</v>
      </c>
      <c r="W909">
        <f>AND(IF(metadata!D909="",FALSE,TRUE),exact(metadata!D909,"UBERON:urine"))</f>
        <v>0</v>
      </c>
      <c r="X909">
        <f>AND(IF(metadata!E909="",FALSE,TRUE),exact(metadata!E909,"UBERON:kidney"))</f>
        <v>0</v>
      </c>
      <c r="Y909">
        <f>AND(IF(metadata!F909="",FALSE,TRUE),exact(metadata!F909,"animal corpus"))</f>
        <v>0</v>
      </c>
      <c r="Z909">
        <f>AND(IF(metadata!G909="",FALSE,TRUE),exact(metadata!G909,"urine"))</f>
        <v>0</v>
      </c>
      <c r="AA909">
        <f>AND(IF(metadata!H909="",FALSE,TRUE),exact(metadata!H909,"urine"))</f>
        <v>0</v>
      </c>
      <c r="AB909">
        <f>AND(IF(metadata!I909="",FALSE,TRUE),exact(metadata!I909,"urine metagenome"))</f>
        <v>0</v>
      </c>
      <c r="AC909">
        <f>AND(IF(metadata!J909="",FALSE,TRUE),exact(metadata!J909,"1346744"))</f>
        <v>0</v>
      </c>
    </row>
    <row r="910" spans="1:29">
      <c r="A910" s="4">
        <f>IF(B910=" "," ",HYPERLINK(CONCATENATE("#metadata!",ADDRESS(INDEX($P$2:$P$1001,MATCH(ROWS($N$2:N910),$N$2:$N$1001,0),0),1)),INDEX($S$2:$S$1001,MATCH(ROWS($N$2:N910),$N$2:$N$1001,0),0)))</f>
        <v>0</v>
      </c>
      <c r="B910" s="3">
        <f>IF(OR(INDEX($O$2:$O$1001,MATCH(ROWS($N$2:N910),$N$2:$N$1001,0),1)&gt;=100000,INDEX($U$1005:$AC$1005,1,MATCH(COLUMNS($U$1006:U1006),$U$1006:$AC$1006,0))&gt;=100000), " ",IF(INDEX($U$2:$AC$1001,MATCH(ROWS($N$2:N910),$N$2:$N$1001,0),MATCH(COLUMNS($U$1006:U1006),$U$1006:$AC$1006,0)), HYPERLINK("#",""), HYPERLINK(CONCATENATE("#metadata!", ADDRESS(INDEX($P$2:$P$1001,MATCH(ROWS($N$2:N910),$N$2:$N$1001,0),0), INDEX($U$1004:$AC$1004,1,MATCH(COLUMNS($U$1006:U1006),$U$1006:$AC$1006,0)))),"Fix")))</f>
        <v>0</v>
      </c>
      <c r="C910" s="3">
        <f>IF(OR(INDEX($O$2:$O$1001,MATCH(ROWS($N$2:N910),$N$2:$N$1001,0),1)&gt;=100000,INDEX($U$1005:$AC$1005,1,MATCH(COLUMNS($U$1006:V1006),$U$1006:$AC$1006,0))&gt;=100000), " ",IF(INDEX($U$2:$AC$1001,MATCH(ROWS($N$2:N910),$N$2:$N$1001,0),MATCH(COLUMNS($U$1006:V1006),$U$1006:$AC$1006,0)), HYPERLINK("#",""), HYPERLINK(CONCATENATE("#metadata!", ADDRESS(INDEX($P$2:$P$1001,MATCH(ROWS($N$2:N910),$N$2:$N$1001,0),0), INDEX($U$1004:$AC$1004,1,MATCH(COLUMNS($U$1006:V1006),$U$1006:$AC$1006,0)))),"Fix")))</f>
        <v>0</v>
      </c>
      <c r="D910" s="3">
        <f>IF(OR(INDEX($O$2:$O$1001,MATCH(ROWS($N$2:N910),$N$2:$N$1001,0),1)&gt;=100000,INDEX($U$1005:$AC$1005,1,MATCH(COLUMNS($U$1006:W1006),$U$1006:$AC$1006,0))&gt;=100000), " ",IF(INDEX($U$2:$AC$1001,MATCH(ROWS($N$2:N910),$N$2:$N$1001,0),MATCH(COLUMNS($U$1006:W1006),$U$1006:$AC$1006,0)), HYPERLINK("#",""), HYPERLINK(CONCATENATE("#metadata!", ADDRESS(INDEX($P$2:$P$1001,MATCH(ROWS($N$2:N910),$N$2:$N$1001,0),0), INDEX($U$1004:$AC$1004,1,MATCH(COLUMNS($U$1006:W1006),$U$1006:$AC$1006,0)))),"Fix")))</f>
        <v>0</v>
      </c>
      <c r="E910" s="3">
        <f>IF(OR(INDEX($O$2:$O$1001,MATCH(ROWS($N$2:N910),$N$2:$N$1001,0),1)&gt;=100000,INDEX($U$1005:$AC$1005,1,MATCH(COLUMNS($U$1006:X1006),$U$1006:$AC$1006,0))&gt;=100000), " ",IF(INDEX($U$2:$AC$1001,MATCH(ROWS($N$2:N910),$N$2:$N$1001,0),MATCH(COLUMNS($U$1006:X1006),$U$1006:$AC$1006,0)), HYPERLINK("#",""), HYPERLINK(CONCATENATE("#metadata!", ADDRESS(INDEX($P$2:$P$1001,MATCH(ROWS($N$2:N910),$N$2:$N$1001,0),0), INDEX($U$1004:$AC$1004,1,MATCH(COLUMNS($U$1006:X1006),$U$1006:$AC$1006,0)))),"Fix")))</f>
        <v>0</v>
      </c>
      <c r="F910" s="3">
        <f>IF(OR(INDEX($O$2:$O$1001,MATCH(ROWS($N$2:N910),$N$2:$N$1001,0),1)&gt;=100000,INDEX($U$1005:$AC$1005,1,MATCH(COLUMNS($U$1006:Y1006),$U$1006:$AC$1006,0))&gt;=100000), " ",IF(INDEX($U$2:$AC$1001,MATCH(ROWS($N$2:N910),$N$2:$N$1001,0),MATCH(COLUMNS($U$1006:Y1006),$U$1006:$AC$1006,0)), HYPERLINK("#",""), HYPERLINK(CONCATENATE("#metadata!", ADDRESS(INDEX($P$2:$P$1001,MATCH(ROWS($N$2:N910),$N$2:$N$1001,0),0), INDEX($U$1004:$AC$1004,1,MATCH(COLUMNS($U$1006:Y1006),$U$1006:$AC$1006,0)))),"Fix")))</f>
        <v>0</v>
      </c>
      <c r="G910" s="3">
        <f>IF(OR(INDEX($O$2:$O$1001,MATCH(ROWS($N$2:N910),$N$2:$N$1001,0),1)&gt;=100000,INDEX($U$1005:$AC$1005,1,MATCH(COLUMNS($U$1006:Z1006),$U$1006:$AC$1006,0))&gt;=100000), " ",IF(INDEX($U$2:$AC$1001,MATCH(ROWS($N$2:N910),$N$2:$N$1001,0),MATCH(COLUMNS($U$1006:Z1006),$U$1006:$AC$1006,0)), HYPERLINK("#",""), HYPERLINK(CONCATENATE("#metadata!", ADDRESS(INDEX($P$2:$P$1001,MATCH(ROWS($N$2:N910),$N$2:$N$1001,0),0), INDEX($U$1004:$AC$1004,1,MATCH(COLUMNS($U$1006:Z1006),$U$1006:$AC$1006,0)))),"Fix")))</f>
        <v>0</v>
      </c>
      <c r="H910" s="3">
        <f>IF(OR(INDEX($O$2:$O$1001,MATCH(ROWS($N$2:N910),$N$2:$N$1001,0),1)&gt;=100000,INDEX($U$1005:$AC$1005,1,MATCH(COLUMNS($U$1006:AA1006),$U$1006:$AC$1006,0))&gt;=100000), " ",IF(INDEX($U$2:$AC$1001,MATCH(ROWS($N$2:N910),$N$2:$N$1001,0),MATCH(COLUMNS($U$1006:AA1006),$U$1006:$AC$1006,0)), HYPERLINK("#",""), HYPERLINK(CONCATENATE("#metadata!", ADDRESS(INDEX($P$2:$P$1001,MATCH(ROWS($N$2:N910),$N$2:$N$1001,0),0), INDEX($U$1004:$AC$1004,1,MATCH(COLUMNS($U$1006:AA1006),$U$1006:$AC$1006,0)))),"Fix")))</f>
        <v>0</v>
      </c>
      <c r="I910" s="3">
        <f>IF(OR(INDEX($O$2:$O$1001,MATCH(ROWS($N$2:N910),$N$2:$N$1001,0),1)&gt;=100000,INDEX($U$1005:$AC$1005,1,MATCH(COLUMNS($U$1006:AB1006),$U$1006:$AC$1006,0))&gt;=100000), " ",IF(INDEX($U$2:$AC$1001,MATCH(ROWS($N$2:N910),$N$2:$N$1001,0),MATCH(COLUMNS($U$1006:AB1006),$U$1006:$AC$1006,0)), HYPERLINK("#",""), HYPERLINK(CONCATENATE("#metadata!", ADDRESS(INDEX($P$2:$P$1001,MATCH(ROWS($N$2:N910),$N$2:$N$1001,0),0), INDEX($U$1004:$AC$1004,1,MATCH(COLUMNS($U$1006:AB1006),$U$1006:$AC$1006,0)))),"Fix")))</f>
        <v>0</v>
      </c>
      <c r="J910" s="3">
        <f>IF(OR(INDEX($O$2:$O$1001,MATCH(ROWS($N$2:N910),$N$2:$N$1001,0),1)&gt;=100000,INDEX($U$1005:$AC$1005,1,MATCH(COLUMNS($U$1006:AC1006),$U$1006:$AC$1006,0))&gt;=100000), " ",IF(INDEX($U$2:$AC$1001,MATCH(ROWS($N$2:N910),$N$2:$N$1001,0),MATCH(COLUMNS($U$1006:AC1006),$U$1006:$AC$1006,0)), HYPERLINK("#",""), HYPERLINK(CONCATENATE("#metadata!", ADDRESS(INDEX($P$2:$P$1001,MATCH(ROWS($N$2:N910),$N$2:$N$1001,0),0), INDEX($U$1004:$AC$1004,1,MATCH(COLUMNS($U$1006:AC1006),$U$1006:$AC$1006,0)))),"Fix")))</f>
        <v>0</v>
      </c>
      <c r="N910">
        <v>0</v>
      </c>
      <c r="O910">
        <v>0</v>
      </c>
      <c r="P910">
        <v>0</v>
      </c>
      <c r="Q910">
        <f>IF(R910,TRUE,AND(U910:AC910))</f>
        <v>0</v>
      </c>
      <c r="R910">
        <f>COUNTBLANK(metadata!B910:J910)=COLUMNS(metadata!B910:J910)</f>
        <v>0</v>
      </c>
      <c r="S910">
        <v>0</v>
      </c>
      <c r="U910">
        <f>AND(IF(metadata!B910="",FALSE,TRUE),COUNTIF(metadata!B:B, metadata!B910) = 1,NOT(ISERROR(SUMPRODUCT(SEARCH(MID(metadata!B910,ROW(INDIRECT("1:"&amp;LEN(metadata!B910))), 1),"0123456789abcdefghijklmnopqrstuvwxyzABCDEFGHIJKLMNOPQRSTUVWXYZ.")))))</f>
        <v>0</v>
      </c>
      <c r="V910">
        <f>AND(IF(metadata!C910="",FALSE,TRUE),exact(metadata!C910,"UBERON:genitourinary"))</f>
        <v>0</v>
      </c>
      <c r="W910">
        <f>AND(IF(metadata!D910="",FALSE,TRUE),exact(metadata!D910,"UBERON:urine"))</f>
        <v>0</v>
      </c>
      <c r="X910">
        <f>AND(IF(metadata!E910="",FALSE,TRUE),exact(metadata!E910,"UBERON:kidney"))</f>
        <v>0</v>
      </c>
      <c r="Y910">
        <f>AND(IF(metadata!F910="",FALSE,TRUE),exact(metadata!F910,"animal corpus"))</f>
        <v>0</v>
      </c>
      <c r="Z910">
        <f>AND(IF(metadata!G910="",FALSE,TRUE),exact(metadata!G910,"urine"))</f>
        <v>0</v>
      </c>
      <c r="AA910">
        <f>AND(IF(metadata!H910="",FALSE,TRUE),exact(metadata!H910,"urine"))</f>
        <v>0</v>
      </c>
      <c r="AB910">
        <f>AND(IF(metadata!I910="",FALSE,TRUE),exact(metadata!I910,"urine metagenome"))</f>
        <v>0</v>
      </c>
      <c r="AC910">
        <f>AND(IF(metadata!J910="",FALSE,TRUE),exact(metadata!J910,"1346744"))</f>
        <v>0</v>
      </c>
    </row>
    <row r="911" spans="1:29">
      <c r="A911" s="4">
        <f>IF(B911=" "," ",HYPERLINK(CONCATENATE("#metadata!",ADDRESS(INDEX($P$2:$P$1001,MATCH(ROWS($N$2:N911),$N$2:$N$1001,0),0),1)),INDEX($S$2:$S$1001,MATCH(ROWS($N$2:N911),$N$2:$N$1001,0),0)))</f>
        <v>0</v>
      </c>
      <c r="B911" s="3">
        <f>IF(OR(INDEX($O$2:$O$1001,MATCH(ROWS($N$2:N911),$N$2:$N$1001,0),1)&gt;=100000,INDEX($U$1005:$AC$1005,1,MATCH(COLUMNS($U$1006:U1006),$U$1006:$AC$1006,0))&gt;=100000), " ",IF(INDEX($U$2:$AC$1001,MATCH(ROWS($N$2:N911),$N$2:$N$1001,0),MATCH(COLUMNS($U$1006:U1006),$U$1006:$AC$1006,0)), HYPERLINK("#",""), HYPERLINK(CONCATENATE("#metadata!", ADDRESS(INDEX($P$2:$P$1001,MATCH(ROWS($N$2:N911),$N$2:$N$1001,0),0), INDEX($U$1004:$AC$1004,1,MATCH(COLUMNS($U$1006:U1006),$U$1006:$AC$1006,0)))),"Fix")))</f>
        <v>0</v>
      </c>
      <c r="C911" s="3">
        <f>IF(OR(INDEX($O$2:$O$1001,MATCH(ROWS($N$2:N911),$N$2:$N$1001,0),1)&gt;=100000,INDEX($U$1005:$AC$1005,1,MATCH(COLUMNS($U$1006:V1006),$U$1006:$AC$1006,0))&gt;=100000), " ",IF(INDEX($U$2:$AC$1001,MATCH(ROWS($N$2:N911),$N$2:$N$1001,0),MATCH(COLUMNS($U$1006:V1006),$U$1006:$AC$1006,0)), HYPERLINK("#",""), HYPERLINK(CONCATENATE("#metadata!", ADDRESS(INDEX($P$2:$P$1001,MATCH(ROWS($N$2:N911),$N$2:$N$1001,0),0), INDEX($U$1004:$AC$1004,1,MATCH(COLUMNS($U$1006:V1006),$U$1006:$AC$1006,0)))),"Fix")))</f>
        <v>0</v>
      </c>
      <c r="D911" s="3">
        <f>IF(OR(INDEX($O$2:$O$1001,MATCH(ROWS($N$2:N911),$N$2:$N$1001,0),1)&gt;=100000,INDEX($U$1005:$AC$1005,1,MATCH(COLUMNS($U$1006:W1006),$U$1006:$AC$1006,0))&gt;=100000), " ",IF(INDEX($U$2:$AC$1001,MATCH(ROWS($N$2:N911),$N$2:$N$1001,0),MATCH(COLUMNS($U$1006:W1006),$U$1006:$AC$1006,0)), HYPERLINK("#",""), HYPERLINK(CONCATENATE("#metadata!", ADDRESS(INDEX($P$2:$P$1001,MATCH(ROWS($N$2:N911),$N$2:$N$1001,0),0), INDEX($U$1004:$AC$1004,1,MATCH(COLUMNS($U$1006:W1006),$U$1006:$AC$1006,0)))),"Fix")))</f>
        <v>0</v>
      </c>
      <c r="E911" s="3">
        <f>IF(OR(INDEX($O$2:$O$1001,MATCH(ROWS($N$2:N911),$N$2:$N$1001,0),1)&gt;=100000,INDEX($U$1005:$AC$1005,1,MATCH(COLUMNS($U$1006:X1006),$U$1006:$AC$1006,0))&gt;=100000), " ",IF(INDEX($U$2:$AC$1001,MATCH(ROWS($N$2:N911),$N$2:$N$1001,0),MATCH(COLUMNS($U$1006:X1006),$U$1006:$AC$1006,0)), HYPERLINK("#",""), HYPERLINK(CONCATENATE("#metadata!", ADDRESS(INDEX($P$2:$P$1001,MATCH(ROWS($N$2:N911),$N$2:$N$1001,0),0), INDEX($U$1004:$AC$1004,1,MATCH(COLUMNS($U$1006:X1006),$U$1006:$AC$1006,0)))),"Fix")))</f>
        <v>0</v>
      </c>
      <c r="F911" s="3">
        <f>IF(OR(INDEX($O$2:$O$1001,MATCH(ROWS($N$2:N911),$N$2:$N$1001,0),1)&gt;=100000,INDEX($U$1005:$AC$1005,1,MATCH(COLUMNS($U$1006:Y1006),$U$1006:$AC$1006,0))&gt;=100000), " ",IF(INDEX($U$2:$AC$1001,MATCH(ROWS($N$2:N911),$N$2:$N$1001,0),MATCH(COLUMNS($U$1006:Y1006),$U$1006:$AC$1006,0)), HYPERLINK("#",""), HYPERLINK(CONCATENATE("#metadata!", ADDRESS(INDEX($P$2:$P$1001,MATCH(ROWS($N$2:N911),$N$2:$N$1001,0),0), INDEX($U$1004:$AC$1004,1,MATCH(COLUMNS($U$1006:Y1006),$U$1006:$AC$1006,0)))),"Fix")))</f>
        <v>0</v>
      </c>
      <c r="G911" s="3">
        <f>IF(OR(INDEX($O$2:$O$1001,MATCH(ROWS($N$2:N911),$N$2:$N$1001,0),1)&gt;=100000,INDEX($U$1005:$AC$1005,1,MATCH(COLUMNS($U$1006:Z1006),$U$1006:$AC$1006,0))&gt;=100000), " ",IF(INDEX($U$2:$AC$1001,MATCH(ROWS($N$2:N911),$N$2:$N$1001,0),MATCH(COLUMNS($U$1006:Z1006),$U$1006:$AC$1006,0)), HYPERLINK("#",""), HYPERLINK(CONCATENATE("#metadata!", ADDRESS(INDEX($P$2:$P$1001,MATCH(ROWS($N$2:N911),$N$2:$N$1001,0),0), INDEX($U$1004:$AC$1004,1,MATCH(COLUMNS($U$1006:Z1006),$U$1006:$AC$1006,0)))),"Fix")))</f>
        <v>0</v>
      </c>
      <c r="H911" s="3">
        <f>IF(OR(INDEX($O$2:$O$1001,MATCH(ROWS($N$2:N911),$N$2:$N$1001,0),1)&gt;=100000,INDEX($U$1005:$AC$1005,1,MATCH(COLUMNS($U$1006:AA1006),$U$1006:$AC$1006,0))&gt;=100000), " ",IF(INDEX($U$2:$AC$1001,MATCH(ROWS($N$2:N911),$N$2:$N$1001,0),MATCH(COLUMNS($U$1006:AA1006),$U$1006:$AC$1006,0)), HYPERLINK("#",""), HYPERLINK(CONCATENATE("#metadata!", ADDRESS(INDEX($P$2:$P$1001,MATCH(ROWS($N$2:N911),$N$2:$N$1001,0),0), INDEX($U$1004:$AC$1004,1,MATCH(COLUMNS($U$1006:AA1006),$U$1006:$AC$1006,0)))),"Fix")))</f>
        <v>0</v>
      </c>
      <c r="I911" s="3">
        <f>IF(OR(INDEX($O$2:$O$1001,MATCH(ROWS($N$2:N911),$N$2:$N$1001,0),1)&gt;=100000,INDEX($U$1005:$AC$1005,1,MATCH(COLUMNS($U$1006:AB1006),$U$1006:$AC$1006,0))&gt;=100000), " ",IF(INDEX($U$2:$AC$1001,MATCH(ROWS($N$2:N911),$N$2:$N$1001,0),MATCH(COLUMNS($U$1006:AB1006),$U$1006:$AC$1006,0)), HYPERLINK("#",""), HYPERLINK(CONCATENATE("#metadata!", ADDRESS(INDEX($P$2:$P$1001,MATCH(ROWS($N$2:N911),$N$2:$N$1001,0),0), INDEX($U$1004:$AC$1004,1,MATCH(COLUMNS($U$1006:AB1006),$U$1006:$AC$1006,0)))),"Fix")))</f>
        <v>0</v>
      </c>
      <c r="J911" s="3">
        <f>IF(OR(INDEX($O$2:$O$1001,MATCH(ROWS($N$2:N911),$N$2:$N$1001,0),1)&gt;=100000,INDEX($U$1005:$AC$1005,1,MATCH(COLUMNS($U$1006:AC1006),$U$1006:$AC$1006,0))&gt;=100000), " ",IF(INDEX($U$2:$AC$1001,MATCH(ROWS($N$2:N911),$N$2:$N$1001,0),MATCH(COLUMNS($U$1006:AC1006),$U$1006:$AC$1006,0)), HYPERLINK("#",""), HYPERLINK(CONCATENATE("#metadata!", ADDRESS(INDEX($P$2:$P$1001,MATCH(ROWS($N$2:N911),$N$2:$N$1001,0),0), INDEX($U$1004:$AC$1004,1,MATCH(COLUMNS($U$1006:AC1006),$U$1006:$AC$1006,0)))),"Fix")))</f>
        <v>0</v>
      </c>
      <c r="N911">
        <v>0</v>
      </c>
      <c r="O911">
        <v>0</v>
      </c>
      <c r="P911">
        <v>0</v>
      </c>
      <c r="Q911">
        <f>IF(R911,TRUE,AND(U911:AC911))</f>
        <v>0</v>
      </c>
      <c r="R911">
        <f>COUNTBLANK(metadata!B911:J911)=COLUMNS(metadata!B911:J911)</f>
        <v>0</v>
      </c>
      <c r="S911">
        <v>0</v>
      </c>
      <c r="U911">
        <f>AND(IF(metadata!B911="",FALSE,TRUE),COUNTIF(metadata!B:B, metadata!B911) = 1,NOT(ISERROR(SUMPRODUCT(SEARCH(MID(metadata!B911,ROW(INDIRECT("1:"&amp;LEN(metadata!B911))), 1),"0123456789abcdefghijklmnopqrstuvwxyzABCDEFGHIJKLMNOPQRSTUVWXYZ.")))))</f>
        <v>0</v>
      </c>
      <c r="V911">
        <f>AND(IF(metadata!C911="",FALSE,TRUE),exact(metadata!C911,"UBERON:genitourinary"))</f>
        <v>0</v>
      </c>
      <c r="W911">
        <f>AND(IF(metadata!D911="",FALSE,TRUE),exact(metadata!D911,"UBERON:urine"))</f>
        <v>0</v>
      </c>
      <c r="X911">
        <f>AND(IF(metadata!E911="",FALSE,TRUE),exact(metadata!E911,"UBERON:kidney"))</f>
        <v>0</v>
      </c>
      <c r="Y911">
        <f>AND(IF(metadata!F911="",FALSE,TRUE),exact(metadata!F911,"animal corpus"))</f>
        <v>0</v>
      </c>
      <c r="Z911">
        <f>AND(IF(metadata!G911="",FALSE,TRUE),exact(metadata!G911,"urine"))</f>
        <v>0</v>
      </c>
      <c r="AA911">
        <f>AND(IF(metadata!H911="",FALSE,TRUE),exact(metadata!H911,"urine"))</f>
        <v>0</v>
      </c>
      <c r="AB911">
        <f>AND(IF(metadata!I911="",FALSE,TRUE),exact(metadata!I911,"urine metagenome"))</f>
        <v>0</v>
      </c>
      <c r="AC911">
        <f>AND(IF(metadata!J911="",FALSE,TRUE),exact(metadata!J911,"1346744"))</f>
        <v>0</v>
      </c>
    </row>
    <row r="912" spans="1:29">
      <c r="A912" s="4">
        <f>IF(B912=" "," ",HYPERLINK(CONCATENATE("#metadata!",ADDRESS(INDEX($P$2:$P$1001,MATCH(ROWS($N$2:N912),$N$2:$N$1001,0),0),1)),INDEX($S$2:$S$1001,MATCH(ROWS($N$2:N912),$N$2:$N$1001,0),0)))</f>
        <v>0</v>
      </c>
      <c r="B912" s="3">
        <f>IF(OR(INDEX($O$2:$O$1001,MATCH(ROWS($N$2:N912),$N$2:$N$1001,0),1)&gt;=100000,INDEX($U$1005:$AC$1005,1,MATCH(COLUMNS($U$1006:U1006),$U$1006:$AC$1006,0))&gt;=100000), " ",IF(INDEX($U$2:$AC$1001,MATCH(ROWS($N$2:N912),$N$2:$N$1001,0),MATCH(COLUMNS($U$1006:U1006),$U$1006:$AC$1006,0)), HYPERLINK("#",""), HYPERLINK(CONCATENATE("#metadata!", ADDRESS(INDEX($P$2:$P$1001,MATCH(ROWS($N$2:N912),$N$2:$N$1001,0),0), INDEX($U$1004:$AC$1004,1,MATCH(COLUMNS($U$1006:U1006),$U$1006:$AC$1006,0)))),"Fix")))</f>
        <v>0</v>
      </c>
      <c r="C912" s="3">
        <f>IF(OR(INDEX($O$2:$O$1001,MATCH(ROWS($N$2:N912),$N$2:$N$1001,0),1)&gt;=100000,INDEX($U$1005:$AC$1005,1,MATCH(COLUMNS($U$1006:V1006),$U$1006:$AC$1006,0))&gt;=100000), " ",IF(INDEX($U$2:$AC$1001,MATCH(ROWS($N$2:N912),$N$2:$N$1001,0),MATCH(COLUMNS($U$1006:V1006),$U$1006:$AC$1006,0)), HYPERLINK("#",""), HYPERLINK(CONCATENATE("#metadata!", ADDRESS(INDEX($P$2:$P$1001,MATCH(ROWS($N$2:N912),$N$2:$N$1001,0),0), INDEX($U$1004:$AC$1004,1,MATCH(COLUMNS($U$1006:V1006),$U$1006:$AC$1006,0)))),"Fix")))</f>
        <v>0</v>
      </c>
      <c r="D912" s="3">
        <f>IF(OR(INDEX($O$2:$O$1001,MATCH(ROWS($N$2:N912),$N$2:$N$1001,0),1)&gt;=100000,INDEX($U$1005:$AC$1005,1,MATCH(COLUMNS($U$1006:W1006),$U$1006:$AC$1006,0))&gt;=100000), " ",IF(INDEX($U$2:$AC$1001,MATCH(ROWS($N$2:N912),$N$2:$N$1001,0),MATCH(COLUMNS($U$1006:W1006),$U$1006:$AC$1006,0)), HYPERLINK("#",""), HYPERLINK(CONCATENATE("#metadata!", ADDRESS(INDEX($P$2:$P$1001,MATCH(ROWS($N$2:N912),$N$2:$N$1001,0),0), INDEX($U$1004:$AC$1004,1,MATCH(COLUMNS($U$1006:W1006),$U$1006:$AC$1006,0)))),"Fix")))</f>
        <v>0</v>
      </c>
      <c r="E912" s="3">
        <f>IF(OR(INDEX($O$2:$O$1001,MATCH(ROWS($N$2:N912),$N$2:$N$1001,0),1)&gt;=100000,INDEX($U$1005:$AC$1005,1,MATCH(COLUMNS($U$1006:X1006),$U$1006:$AC$1006,0))&gt;=100000), " ",IF(INDEX($U$2:$AC$1001,MATCH(ROWS($N$2:N912),$N$2:$N$1001,0),MATCH(COLUMNS($U$1006:X1006),$U$1006:$AC$1006,0)), HYPERLINK("#",""), HYPERLINK(CONCATENATE("#metadata!", ADDRESS(INDEX($P$2:$P$1001,MATCH(ROWS($N$2:N912),$N$2:$N$1001,0),0), INDEX($U$1004:$AC$1004,1,MATCH(COLUMNS($U$1006:X1006),$U$1006:$AC$1006,0)))),"Fix")))</f>
        <v>0</v>
      </c>
      <c r="F912" s="3">
        <f>IF(OR(INDEX($O$2:$O$1001,MATCH(ROWS($N$2:N912),$N$2:$N$1001,0),1)&gt;=100000,INDEX($U$1005:$AC$1005,1,MATCH(COLUMNS($U$1006:Y1006),$U$1006:$AC$1006,0))&gt;=100000), " ",IF(INDEX($U$2:$AC$1001,MATCH(ROWS($N$2:N912),$N$2:$N$1001,0),MATCH(COLUMNS($U$1006:Y1006),$U$1006:$AC$1006,0)), HYPERLINK("#",""), HYPERLINK(CONCATENATE("#metadata!", ADDRESS(INDEX($P$2:$P$1001,MATCH(ROWS($N$2:N912),$N$2:$N$1001,0),0), INDEX($U$1004:$AC$1004,1,MATCH(COLUMNS($U$1006:Y1006),$U$1006:$AC$1006,0)))),"Fix")))</f>
        <v>0</v>
      </c>
      <c r="G912" s="3">
        <f>IF(OR(INDEX($O$2:$O$1001,MATCH(ROWS($N$2:N912),$N$2:$N$1001,0),1)&gt;=100000,INDEX($U$1005:$AC$1005,1,MATCH(COLUMNS($U$1006:Z1006),$U$1006:$AC$1006,0))&gt;=100000), " ",IF(INDEX($U$2:$AC$1001,MATCH(ROWS($N$2:N912),$N$2:$N$1001,0),MATCH(COLUMNS($U$1006:Z1006),$U$1006:$AC$1006,0)), HYPERLINK("#",""), HYPERLINK(CONCATENATE("#metadata!", ADDRESS(INDEX($P$2:$P$1001,MATCH(ROWS($N$2:N912),$N$2:$N$1001,0),0), INDEX($U$1004:$AC$1004,1,MATCH(COLUMNS($U$1006:Z1006),$U$1006:$AC$1006,0)))),"Fix")))</f>
        <v>0</v>
      </c>
      <c r="H912" s="3">
        <f>IF(OR(INDEX($O$2:$O$1001,MATCH(ROWS($N$2:N912),$N$2:$N$1001,0),1)&gt;=100000,INDEX($U$1005:$AC$1005,1,MATCH(COLUMNS($U$1006:AA1006),$U$1006:$AC$1006,0))&gt;=100000), " ",IF(INDEX($U$2:$AC$1001,MATCH(ROWS($N$2:N912),$N$2:$N$1001,0),MATCH(COLUMNS($U$1006:AA1006),$U$1006:$AC$1006,0)), HYPERLINK("#",""), HYPERLINK(CONCATENATE("#metadata!", ADDRESS(INDEX($P$2:$P$1001,MATCH(ROWS($N$2:N912),$N$2:$N$1001,0),0), INDEX($U$1004:$AC$1004,1,MATCH(COLUMNS($U$1006:AA1006),$U$1006:$AC$1006,0)))),"Fix")))</f>
        <v>0</v>
      </c>
      <c r="I912" s="3">
        <f>IF(OR(INDEX($O$2:$O$1001,MATCH(ROWS($N$2:N912),$N$2:$N$1001,0),1)&gt;=100000,INDEX($U$1005:$AC$1005,1,MATCH(COLUMNS($U$1006:AB1006),$U$1006:$AC$1006,0))&gt;=100000), " ",IF(INDEX($U$2:$AC$1001,MATCH(ROWS($N$2:N912),$N$2:$N$1001,0),MATCH(COLUMNS($U$1006:AB1006),$U$1006:$AC$1006,0)), HYPERLINK("#",""), HYPERLINK(CONCATENATE("#metadata!", ADDRESS(INDEX($P$2:$P$1001,MATCH(ROWS($N$2:N912),$N$2:$N$1001,0),0), INDEX($U$1004:$AC$1004,1,MATCH(COLUMNS($U$1006:AB1006),$U$1006:$AC$1006,0)))),"Fix")))</f>
        <v>0</v>
      </c>
      <c r="J912" s="3">
        <f>IF(OR(INDEX($O$2:$O$1001,MATCH(ROWS($N$2:N912),$N$2:$N$1001,0),1)&gt;=100000,INDEX($U$1005:$AC$1005,1,MATCH(COLUMNS($U$1006:AC1006),$U$1006:$AC$1006,0))&gt;=100000), " ",IF(INDEX($U$2:$AC$1001,MATCH(ROWS($N$2:N912),$N$2:$N$1001,0),MATCH(COLUMNS($U$1006:AC1006),$U$1006:$AC$1006,0)), HYPERLINK("#",""), HYPERLINK(CONCATENATE("#metadata!", ADDRESS(INDEX($P$2:$P$1001,MATCH(ROWS($N$2:N912),$N$2:$N$1001,0),0), INDEX($U$1004:$AC$1004,1,MATCH(COLUMNS($U$1006:AC1006),$U$1006:$AC$1006,0)))),"Fix")))</f>
        <v>0</v>
      </c>
      <c r="N912">
        <v>0</v>
      </c>
      <c r="O912">
        <v>0</v>
      </c>
      <c r="P912">
        <v>0</v>
      </c>
      <c r="Q912">
        <f>IF(R912,TRUE,AND(U912:AC912))</f>
        <v>0</v>
      </c>
      <c r="R912">
        <f>COUNTBLANK(metadata!B912:J912)=COLUMNS(metadata!B912:J912)</f>
        <v>0</v>
      </c>
      <c r="S912">
        <v>0</v>
      </c>
      <c r="U912">
        <f>AND(IF(metadata!B912="",FALSE,TRUE),COUNTIF(metadata!B:B, metadata!B912) = 1,NOT(ISERROR(SUMPRODUCT(SEARCH(MID(metadata!B912,ROW(INDIRECT("1:"&amp;LEN(metadata!B912))), 1),"0123456789abcdefghijklmnopqrstuvwxyzABCDEFGHIJKLMNOPQRSTUVWXYZ.")))))</f>
        <v>0</v>
      </c>
      <c r="V912">
        <f>AND(IF(metadata!C912="",FALSE,TRUE),exact(metadata!C912,"UBERON:genitourinary"))</f>
        <v>0</v>
      </c>
      <c r="W912">
        <f>AND(IF(metadata!D912="",FALSE,TRUE),exact(metadata!D912,"UBERON:urine"))</f>
        <v>0</v>
      </c>
      <c r="X912">
        <f>AND(IF(metadata!E912="",FALSE,TRUE),exact(metadata!E912,"UBERON:kidney"))</f>
        <v>0</v>
      </c>
      <c r="Y912">
        <f>AND(IF(metadata!F912="",FALSE,TRUE),exact(metadata!F912,"animal corpus"))</f>
        <v>0</v>
      </c>
      <c r="Z912">
        <f>AND(IF(metadata!G912="",FALSE,TRUE),exact(metadata!G912,"urine"))</f>
        <v>0</v>
      </c>
      <c r="AA912">
        <f>AND(IF(metadata!H912="",FALSE,TRUE),exact(metadata!H912,"urine"))</f>
        <v>0</v>
      </c>
      <c r="AB912">
        <f>AND(IF(metadata!I912="",FALSE,TRUE),exact(metadata!I912,"urine metagenome"))</f>
        <v>0</v>
      </c>
      <c r="AC912">
        <f>AND(IF(metadata!J912="",FALSE,TRUE),exact(metadata!J912,"1346744"))</f>
        <v>0</v>
      </c>
    </row>
    <row r="913" spans="1:29">
      <c r="A913" s="4">
        <f>IF(B913=" "," ",HYPERLINK(CONCATENATE("#metadata!",ADDRESS(INDEX($P$2:$P$1001,MATCH(ROWS($N$2:N913),$N$2:$N$1001,0),0),1)),INDEX($S$2:$S$1001,MATCH(ROWS($N$2:N913),$N$2:$N$1001,0),0)))</f>
        <v>0</v>
      </c>
      <c r="B913" s="3">
        <f>IF(OR(INDEX($O$2:$O$1001,MATCH(ROWS($N$2:N913),$N$2:$N$1001,0),1)&gt;=100000,INDEX($U$1005:$AC$1005,1,MATCH(COLUMNS($U$1006:U1006),$U$1006:$AC$1006,0))&gt;=100000), " ",IF(INDEX($U$2:$AC$1001,MATCH(ROWS($N$2:N913),$N$2:$N$1001,0),MATCH(COLUMNS($U$1006:U1006),$U$1006:$AC$1006,0)), HYPERLINK("#",""), HYPERLINK(CONCATENATE("#metadata!", ADDRESS(INDEX($P$2:$P$1001,MATCH(ROWS($N$2:N913),$N$2:$N$1001,0),0), INDEX($U$1004:$AC$1004,1,MATCH(COLUMNS($U$1006:U1006),$U$1006:$AC$1006,0)))),"Fix")))</f>
        <v>0</v>
      </c>
      <c r="C913" s="3">
        <f>IF(OR(INDEX($O$2:$O$1001,MATCH(ROWS($N$2:N913),$N$2:$N$1001,0),1)&gt;=100000,INDEX($U$1005:$AC$1005,1,MATCH(COLUMNS($U$1006:V1006),$U$1006:$AC$1006,0))&gt;=100000), " ",IF(INDEX($U$2:$AC$1001,MATCH(ROWS($N$2:N913),$N$2:$N$1001,0),MATCH(COLUMNS($U$1006:V1006),$U$1006:$AC$1006,0)), HYPERLINK("#",""), HYPERLINK(CONCATENATE("#metadata!", ADDRESS(INDEX($P$2:$P$1001,MATCH(ROWS($N$2:N913),$N$2:$N$1001,0),0), INDEX($U$1004:$AC$1004,1,MATCH(COLUMNS($U$1006:V1006),$U$1006:$AC$1006,0)))),"Fix")))</f>
        <v>0</v>
      </c>
      <c r="D913" s="3">
        <f>IF(OR(INDEX($O$2:$O$1001,MATCH(ROWS($N$2:N913),$N$2:$N$1001,0),1)&gt;=100000,INDEX($U$1005:$AC$1005,1,MATCH(COLUMNS($U$1006:W1006),$U$1006:$AC$1006,0))&gt;=100000), " ",IF(INDEX($U$2:$AC$1001,MATCH(ROWS($N$2:N913),$N$2:$N$1001,0),MATCH(COLUMNS($U$1006:W1006),$U$1006:$AC$1006,0)), HYPERLINK("#",""), HYPERLINK(CONCATENATE("#metadata!", ADDRESS(INDEX($P$2:$P$1001,MATCH(ROWS($N$2:N913),$N$2:$N$1001,0),0), INDEX($U$1004:$AC$1004,1,MATCH(COLUMNS($U$1006:W1006),$U$1006:$AC$1006,0)))),"Fix")))</f>
        <v>0</v>
      </c>
      <c r="E913" s="3">
        <f>IF(OR(INDEX($O$2:$O$1001,MATCH(ROWS($N$2:N913),$N$2:$N$1001,0),1)&gt;=100000,INDEX($U$1005:$AC$1005,1,MATCH(COLUMNS($U$1006:X1006),$U$1006:$AC$1006,0))&gt;=100000), " ",IF(INDEX($U$2:$AC$1001,MATCH(ROWS($N$2:N913),$N$2:$N$1001,0),MATCH(COLUMNS($U$1006:X1006),$U$1006:$AC$1006,0)), HYPERLINK("#",""), HYPERLINK(CONCATENATE("#metadata!", ADDRESS(INDEX($P$2:$P$1001,MATCH(ROWS($N$2:N913),$N$2:$N$1001,0),0), INDEX($U$1004:$AC$1004,1,MATCH(COLUMNS($U$1006:X1006),$U$1006:$AC$1006,0)))),"Fix")))</f>
        <v>0</v>
      </c>
      <c r="F913" s="3">
        <f>IF(OR(INDEX($O$2:$O$1001,MATCH(ROWS($N$2:N913),$N$2:$N$1001,0),1)&gt;=100000,INDEX($U$1005:$AC$1005,1,MATCH(COLUMNS($U$1006:Y1006),$U$1006:$AC$1006,0))&gt;=100000), " ",IF(INDEX($U$2:$AC$1001,MATCH(ROWS($N$2:N913),$N$2:$N$1001,0),MATCH(COLUMNS($U$1006:Y1006),$U$1006:$AC$1006,0)), HYPERLINK("#",""), HYPERLINK(CONCATENATE("#metadata!", ADDRESS(INDEX($P$2:$P$1001,MATCH(ROWS($N$2:N913),$N$2:$N$1001,0),0), INDEX($U$1004:$AC$1004,1,MATCH(COLUMNS($U$1006:Y1006),$U$1006:$AC$1006,0)))),"Fix")))</f>
        <v>0</v>
      </c>
      <c r="G913" s="3">
        <f>IF(OR(INDEX($O$2:$O$1001,MATCH(ROWS($N$2:N913),$N$2:$N$1001,0),1)&gt;=100000,INDEX($U$1005:$AC$1005,1,MATCH(COLUMNS($U$1006:Z1006),$U$1006:$AC$1006,0))&gt;=100000), " ",IF(INDEX($U$2:$AC$1001,MATCH(ROWS($N$2:N913),$N$2:$N$1001,0),MATCH(COLUMNS($U$1006:Z1006),$U$1006:$AC$1006,0)), HYPERLINK("#",""), HYPERLINK(CONCATENATE("#metadata!", ADDRESS(INDEX($P$2:$P$1001,MATCH(ROWS($N$2:N913),$N$2:$N$1001,0),0), INDEX($U$1004:$AC$1004,1,MATCH(COLUMNS($U$1006:Z1006),$U$1006:$AC$1006,0)))),"Fix")))</f>
        <v>0</v>
      </c>
      <c r="H913" s="3">
        <f>IF(OR(INDEX($O$2:$O$1001,MATCH(ROWS($N$2:N913),$N$2:$N$1001,0),1)&gt;=100000,INDEX($U$1005:$AC$1005,1,MATCH(COLUMNS($U$1006:AA1006),$U$1006:$AC$1006,0))&gt;=100000), " ",IF(INDEX($U$2:$AC$1001,MATCH(ROWS($N$2:N913),$N$2:$N$1001,0),MATCH(COLUMNS($U$1006:AA1006),$U$1006:$AC$1006,0)), HYPERLINK("#",""), HYPERLINK(CONCATENATE("#metadata!", ADDRESS(INDEX($P$2:$P$1001,MATCH(ROWS($N$2:N913),$N$2:$N$1001,0),0), INDEX($U$1004:$AC$1004,1,MATCH(COLUMNS($U$1006:AA1006),$U$1006:$AC$1006,0)))),"Fix")))</f>
        <v>0</v>
      </c>
      <c r="I913" s="3">
        <f>IF(OR(INDEX($O$2:$O$1001,MATCH(ROWS($N$2:N913),$N$2:$N$1001,0),1)&gt;=100000,INDEX($U$1005:$AC$1005,1,MATCH(COLUMNS($U$1006:AB1006),$U$1006:$AC$1006,0))&gt;=100000), " ",IF(INDEX($U$2:$AC$1001,MATCH(ROWS($N$2:N913),$N$2:$N$1001,0),MATCH(COLUMNS($U$1006:AB1006),$U$1006:$AC$1006,0)), HYPERLINK("#",""), HYPERLINK(CONCATENATE("#metadata!", ADDRESS(INDEX($P$2:$P$1001,MATCH(ROWS($N$2:N913),$N$2:$N$1001,0),0), INDEX($U$1004:$AC$1004,1,MATCH(COLUMNS($U$1006:AB1006),$U$1006:$AC$1006,0)))),"Fix")))</f>
        <v>0</v>
      </c>
      <c r="J913" s="3">
        <f>IF(OR(INDEX($O$2:$O$1001,MATCH(ROWS($N$2:N913),$N$2:$N$1001,0),1)&gt;=100000,INDEX($U$1005:$AC$1005,1,MATCH(COLUMNS($U$1006:AC1006),$U$1006:$AC$1006,0))&gt;=100000), " ",IF(INDEX($U$2:$AC$1001,MATCH(ROWS($N$2:N913),$N$2:$N$1001,0),MATCH(COLUMNS($U$1006:AC1006),$U$1006:$AC$1006,0)), HYPERLINK("#",""), HYPERLINK(CONCATENATE("#metadata!", ADDRESS(INDEX($P$2:$P$1001,MATCH(ROWS($N$2:N913),$N$2:$N$1001,0),0), INDEX($U$1004:$AC$1004,1,MATCH(COLUMNS($U$1006:AC1006),$U$1006:$AC$1006,0)))),"Fix")))</f>
        <v>0</v>
      </c>
      <c r="N913">
        <v>0</v>
      </c>
      <c r="O913">
        <v>0</v>
      </c>
      <c r="P913">
        <v>0</v>
      </c>
      <c r="Q913">
        <f>IF(R913,TRUE,AND(U913:AC913))</f>
        <v>0</v>
      </c>
      <c r="R913">
        <f>COUNTBLANK(metadata!B913:J913)=COLUMNS(metadata!B913:J913)</f>
        <v>0</v>
      </c>
      <c r="S913">
        <v>0</v>
      </c>
      <c r="U913">
        <f>AND(IF(metadata!B913="",FALSE,TRUE),COUNTIF(metadata!B:B, metadata!B913) = 1,NOT(ISERROR(SUMPRODUCT(SEARCH(MID(metadata!B913,ROW(INDIRECT("1:"&amp;LEN(metadata!B913))), 1),"0123456789abcdefghijklmnopqrstuvwxyzABCDEFGHIJKLMNOPQRSTUVWXYZ.")))))</f>
        <v>0</v>
      </c>
      <c r="V913">
        <f>AND(IF(metadata!C913="",FALSE,TRUE),exact(metadata!C913,"UBERON:genitourinary"))</f>
        <v>0</v>
      </c>
      <c r="W913">
        <f>AND(IF(metadata!D913="",FALSE,TRUE),exact(metadata!D913,"UBERON:urine"))</f>
        <v>0</v>
      </c>
      <c r="X913">
        <f>AND(IF(metadata!E913="",FALSE,TRUE),exact(metadata!E913,"UBERON:kidney"))</f>
        <v>0</v>
      </c>
      <c r="Y913">
        <f>AND(IF(metadata!F913="",FALSE,TRUE),exact(metadata!F913,"animal corpus"))</f>
        <v>0</v>
      </c>
      <c r="Z913">
        <f>AND(IF(metadata!G913="",FALSE,TRUE),exact(metadata!G913,"urine"))</f>
        <v>0</v>
      </c>
      <c r="AA913">
        <f>AND(IF(metadata!H913="",FALSE,TRUE),exact(metadata!H913,"urine"))</f>
        <v>0</v>
      </c>
      <c r="AB913">
        <f>AND(IF(metadata!I913="",FALSE,TRUE),exact(metadata!I913,"urine metagenome"))</f>
        <v>0</v>
      </c>
      <c r="AC913">
        <f>AND(IF(metadata!J913="",FALSE,TRUE),exact(metadata!J913,"1346744"))</f>
        <v>0</v>
      </c>
    </row>
    <row r="914" spans="1:29">
      <c r="A914" s="4">
        <f>IF(B914=" "," ",HYPERLINK(CONCATENATE("#metadata!",ADDRESS(INDEX($P$2:$P$1001,MATCH(ROWS($N$2:N914),$N$2:$N$1001,0),0),1)),INDEX($S$2:$S$1001,MATCH(ROWS($N$2:N914),$N$2:$N$1001,0),0)))</f>
        <v>0</v>
      </c>
      <c r="B914" s="3">
        <f>IF(OR(INDEX($O$2:$O$1001,MATCH(ROWS($N$2:N914),$N$2:$N$1001,0),1)&gt;=100000,INDEX($U$1005:$AC$1005,1,MATCH(COLUMNS($U$1006:U1006),$U$1006:$AC$1006,0))&gt;=100000), " ",IF(INDEX($U$2:$AC$1001,MATCH(ROWS($N$2:N914),$N$2:$N$1001,0),MATCH(COLUMNS($U$1006:U1006),$U$1006:$AC$1006,0)), HYPERLINK("#",""), HYPERLINK(CONCATENATE("#metadata!", ADDRESS(INDEX($P$2:$P$1001,MATCH(ROWS($N$2:N914),$N$2:$N$1001,0),0), INDEX($U$1004:$AC$1004,1,MATCH(COLUMNS($U$1006:U1006),$U$1006:$AC$1006,0)))),"Fix")))</f>
        <v>0</v>
      </c>
      <c r="C914" s="3">
        <f>IF(OR(INDEX($O$2:$O$1001,MATCH(ROWS($N$2:N914),$N$2:$N$1001,0),1)&gt;=100000,INDEX($U$1005:$AC$1005,1,MATCH(COLUMNS($U$1006:V1006),$U$1006:$AC$1006,0))&gt;=100000), " ",IF(INDEX($U$2:$AC$1001,MATCH(ROWS($N$2:N914),$N$2:$N$1001,0),MATCH(COLUMNS($U$1006:V1006),$U$1006:$AC$1006,0)), HYPERLINK("#",""), HYPERLINK(CONCATENATE("#metadata!", ADDRESS(INDEX($P$2:$P$1001,MATCH(ROWS($N$2:N914),$N$2:$N$1001,0),0), INDEX($U$1004:$AC$1004,1,MATCH(COLUMNS($U$1006:V1006),$U$1006:$AC$1006,0)))),"Fix")))</f>
        <v>0</v>
      </c>
      <c r="D914" s="3">
        <f>IF(OR(INDEX($O$2:$O$1001,MATCH(ROWS($N$2:N914),$N$2:$N$1001,0),1)&gt;=100000,INDEX($U$1005:$AC$1005,1,MATCH(COLUMNS($U$1006:W1006),$U$1006:$AC$1006,0))&gt;=100000), " ",IF(INDEX($U$2:$AC$1001,MATCH(ROWS($N$2:N914),$N$2:$N$1001,0),MATCH(COLUMNS($U$1006:W1006),$U$1006:$AC$1006,0)), HYPERLINK("#",""), HYPERLINK(CONCATENATE("#metadata!", ADDRESS(INDEX($P$2:$P$1001,MATCH(ROWS($N$2:N914),$N$2:$N$1001,0),0), INDEX($U$1004:$AC$1004,1,MATCH(COLUMNS($U$1006:W1006),$U$1006:$AC$1006,0)))),"Fix")))</f>
        <v>0</v>
      </c>
      <c r="E914" s="3">
        <f>IF(OR(INDEX($O$2:$O$1001,MATCH(ROWS($N$2:N914),$N$2:$N$1001,0),1)&gt;=100000,INDEX($U$1005:$AC$1005,1,MATCH(COLUMNS($U$1006:X1006),$U$1006:$AC$1006,0))&gt;=100000), " ",IF(INDEX($U$2:$AC$1001,MATCH(ROWS($N$2:N914),$N$2:$N$1001,0),MATCH(COLUMNS($U$1006:X1006),$U$1006:$AC$1006,0)), HYPERLINK("#",""), HYPERLINK(CONCATENATE("#metadata!", ADDRESS(INDEX($P$2:$P$1001,MATCH(ROWS($N$2:N914),$N$2:$N$1001,0),0), INDEX($U$1004:$AC$1004,1,MATCH(COLUMNS($U$1006:X1006),$U$1006:$AC$1006,0)))),"Fix")))</f>
        <v>0</v>
      </c>
      <c r="F914" s="3">
        <f>IF(OR(INDEX($O$2:$O$1001,MATCH(ROWS($N$2:N914),$N$2:$N$1001,0),1)&gt;=100000,INDEX($U$1005:$AC$1005,1,MATCH(COLUMNS($U$1006:Y1006),$U$1006:$AC$1006,0))&gt;=100000), " ",IF(INDEX($U$2:$AC$1001,MATCH(ROWS($N$2:N914),$N$2:$N$1001,0),MATCH(COLUMNS($U$1006:Y1006),$U$1006:$AC$1006,0)), HYPERLINK("#",""), HYPERLINK(CONCATENATE("#metadata!", ADDRESS(INDEX($P$2:$P$1001,MATCH(ROWS($N$2:N914),$N$2:$N$1001,0),0), INDEX($U$1004:$AC$1004,1,MATCH(COLUMNS($U$1006:Y1006),$U$1006:$AC$1006,0)))),"Fix")))</f>
        <v>0</v>
      </c>
      <c r="G914" s="3">
        <f>IF(OR(INDEX($O$2:$O$1001,MATCH(ROWS($N$2:N914),$N$2:$N$1001,0),1)&gt;=100000,INDEX($U$1005:$AC$1005,1,MATCH(COLUMNS($U$1006:Z1006),$U$1006:$AC$1006,0))&gt;=100000), " ",IF(INDEX($U$2:$AC$1001,MATCH(ROWS($N$2:N914),$N$2:$N$1001,0),MATCH(COLUMNS($U$1006:Z1006),$U$1006:$AC$1006,0)), HYPERLINK("#",""), HYPERLINK(CONCATENATE("#metadata!", ADDRESS(INDEX($P$2:$P$1001,MATCH(ROWS($N$2:N914),$N$2:$N$1001,0),0), INDEX($U$1004:$AC$1004,1,MATCH(COLUMNS($U$1006:Z1006),$U$1006:$AC$1006,0)))),"Fix")))</f>
        <v>0</v>
      </c>
      <c r="H914" s="3">
        <f>IF(OR(INDEX($O$2:$O$1001,MATCH(ROWS($N$2:N914),$N$2:$N$1001,0),1)&gt;=100000,INDEX($U$1005:$AC$1005,1,MATCH(COLUMNS($U$1006:AA1006),$U$1006:$AC$1006,0))&gt;=100000), " ",IF(INDEX($U$2:$AC$1001,MATCH(ROWS($N$2:N914),$N$2:$N$1001,0),MATCH(COLUMNS($U$1006:AA1006),$U$1006:$AC$1006,0)), HYPERLINK("#",""), HYPERLINK(CONCATENATE("#metadata!", ADDRESS(INDEX($P$2:$P$1001,MATCH(ROWS($N$2:N914),$N$2:$N$1001,0),0), INDEX($U$1004:$AC$1004,1,MATCH(COLUMNS($U$1006:AA1006),$U$1006:$AC$1006,0)))),"Fix")))</f>
        <v>0</v>
      </c>
      <c r="I914" s="3">
        <f>IF(OR(INDEX($O$2:$O$1001,MATCH(ROWS($N$2:N914),$N$2:$N$1001,0),1)&gt;=100000,INDEX($U$1005:$AC$1005,1,MATCH(COLUMNS($U$1006:AB1006),$U$1006:$AC$1006,0))&gt;=100000), " ",IF(INDEX($U$2:$AC$1001,MATCH(ROWS($N$2:N914),$N$2:$N$1001,0),MATCH(COLUMNS($U$1006:AB1006),$U$1006:$AC$1006,0)), HYPERLINK("#",""), HYPERLINK(CONCATENATE("#metadata!", ADDRESS(INDEX($P$2:$P$1001,MATCH(ROWS($N$2:N914),$N$2:$N$1001,0),0), INDEX($U$1004:$AC$1004,1,MATCH(COLUMNS($U$1006:AB1006),$U$1006:$AC$1006,0)))),"Fix")))</f>
        <v>0</v>
      </c>
      <c r="J914" s="3">
        <f>IF(OR(INDEX($O$2:$O$1001,MATCH(ROWS($N$2:N914),$N$2:$N$1001,0),1)&gt;=100000,INDEX($U$1005:$AC$1005,1,MATCH(COLUMNS($U$1006:AC1006),$U$1006:$AC$1006,0))&gt;=100000), " ",IF(INDEX($U$2:$AC$1001,MATCH(ROWS($N$2:N914),$N$2:$N$1001,0),MATCH(COLUMNS($U$1006:AC1006),$U$1006:$AC$1006,0)), HYPERLINK("#",""), HYPERLINK(CONCATENATE("#metadata!", ADDRESS(INDEX($P$2:$P$1001,MATCH(ROWS($N$2:N914),$N$2:$N$1001,0),0), INDEX($U$1004:$AC$1004,1,MATCH(COLUMNS($U$1006:AC1006),$U$1006:$AC$1006,0)))),"Fix")))</f>
        <v>0</v>
      </c>
      <c r="N914">
        <v>0</v>
      </c>
      <c r="O914">
        <v>0</v>
      </c>
      <c r="P914">
        <v>0</v>
      </c>
      <c r="Q914">
        <f>IF(R914,TRUE,AND(U914:AC914))</f>
        <v>0</v>
      </c>
      <c r="R914">
        <f>COUNTBLANK(metadata!B914:J914)=COLUMNS(metadata!B914:J914)</f>
        <v>0</v>
      </c>
      <c r="S914">
        <v>0</v>
      </c>
      <c r="U914">
        <f>AND(IF(metadata!B914="",FALSE,TRUE),COUNTIF(metadata!B:B, metadata!B914) = 1,NOT(ISERROR(SUMPRODUCT(SEARCH(MID(metadata!B914,ROW(INDIRECT("1:"&amp;LEN(metadata!B914))), 1),"0123456789abcdefghijklmnopqrstuvwxyzABCDEFGHIJKLMNOPQRSTUVWXYZ.")))))</f>
        <v>0</v>
      </c>
      <c r="V914">
        <f>AND(IF(metadata!C914="",FALSE,TRUE),exact(metadata!C914,"UBERON:genitourinary"))</f>
        <v>0</v>
      </c>
      <c r="W914">
        <f>AND(IF(metadata!D914="",FALSE,TRUE),exact(metadata!D914,"UBERON:urine"))</f>
        <v>0</v>
      </c>
      <c r="X914">
        <f>AND(IF(metadata!E914="",FALSE,TRUE),exact(metadata!E914,"UBERON:kidney"))</f>
        <v>0</v>
      </c>
      <c r="Y914">
        <f>AND(IF(metadata!F914="",FALSE,TRUE),exact(metadata!F914,"animal corpus"))</f>
        <v>0</v>
      </c>
      <c r="Z914">
        <f>AND(IF(metadata!G914="",FALSE,TRUE),exact(metadata!G914,"urine"))</f>
        <v>0</v>
      </c>
      <c r="AA914">
        <f>AND(IF(metadata!H914="",FALSE,TRUE),exact(metadata!H914,"urine"))</f>
        <v>0</v>
      </c>
      <c r="AB914">
        <f>AND(IF(metadata!I914="",FALSE,TRUE),exact(metadata!I914,"urine metagenome"))</f>
        <v>0</v>
      </c>
      <c r="AC914">
        <f>AND(IF(metadata!J914="",FALSE,TRUE),exact(metadata!J914,"1346744"))</f>
        <v>0</v>
      </c>
    </row>
    <row r="915" spans="1:29">
      <c r="A915" s="4">
        <f>IF(B915=" "," ",HYPERLINK(CONCATENATE("#metadata!",ADDRESS(INDEX($P$2:$P$1001,MATCH(ROWS($N$2:N915),$N$2:$N$1001,0),0),1)),INDEX($S$2:$S$1001,MATCH(ROWS($N$2:N915),$N$2:$N$1001,0),0)))</f>
        <v>0</v>
      </c>
      <c r="B915" s="3">
        <f>IF(OR(INDEX($O$2:$O$1001,MATCH(ROWS($N$2:N915),$N$2:$N$1001,0),1)&gt;=100000,INDEX($U$1005:$AC$1005,1,MATCH(COLUMNS($U$1006:U1006),$U$1006:$AC$1006,0))&gt;=100000), " ",IF(INDEX($U$2:$AC$1001,MATCH(ROWS($N$2:N915),$N$2:$N$1001,0),MATCH(COLUMNS($U$1006:U1006),$U$1006:$AC$1006,0)), HYPERLINK("#",""), HYPERLINK(CONCATENATE("#metadata!", ADDRESS(INDEX($P$2:$P$1001,MATCH(ROWS($N$2:N915),$N$2:$N$1001,0),0), INDEX($U$1004:$AC$1004,1,MATCH(COLUMNS($U$1006:U1006),$U$1006:$AC$1006,0)))),"Fix")))</f>
        <v>0</v>
      </c>
      <c r="C915" s="3">
        <f>IF(OR(INDEX($O$2:$O$1001,MATCH(ROWS($N$2:N915),$N$2:$N$1001,0),1)&gt;=100000,INDEX($U$1005:$AC$1005,1,MATCH(COLUMNS($U$1006:V1006),$U$1006:$AC$1006,0))&gt;=100000), " ",IF(INDEX($U$2:$AC$1001,MATCH(ROWS($N$2:N915),$N$2:$N$1001,0),MATCH(COLUMNS($U$1006:V1006),$U$1006:$AC$1006,0)), HYPERLINK("#",""), HYPERLINK(CONCATENATE("#metadata!", ADDRESS(INDEX($P$2:$P$1001,MATCH(ROWS($N$2:N915),$N$2:$N$1001,0),0), INDEX($U$1004:$AC$1004,1,MATCH(COLUMNS($U$1006:V1006),$U$1006:$AC$1006,0)))),"Fix")))</f>
        <v>0</v>
      </c>
      <c r="D915" s="3">
        <f>IF(OR(INDEX($O$2:$O$1001,MATCH(ROWS($N$2:N915),$N$2:$N$1001,0),1)&gt;=100000,INDEX($U$1005:$AC$1005,1,MATCH(COLUMNS($U$1006:W1006),$U$1006:$AC$1006,0))&gt;=100000), " ",IF(INDEX($U$2:$AC$1001,MATCH(ROWS($N$2:N915),$N$2:$N$1001,0),MATCH(COLUMNS($U$1006:W1006),$U$1006:$AC$1006,0)), HYPERLINK("#",""), HYPERLINK(CONCATENATE("#metadata!", ADDRESS(INDEX($P$2:$P$1001,MATCH(ROWS($N$2:N915),$N$2:$N$1001,0),0), INDEX($U$1004:$AC$1004,1,MATCH(COLUMNS($U$1006:W1006),$U$1006:$AC$1006,0)))),"Fix")))</f>
        <v>0</v>
      </c>
      <c r="E915" s="3">
        <f>IF(OR(INDEX($O$2:$O$1001,MATCH(ROWS($N$2:N915),$N$2:$N$1001,0),1)&gt;=100000,INDEX($U$1005:$AC$1005,1,MATCH(COLUMNS($U$1006:X1006),$U$1006:$AC$1006,0))&gt;=100000), " ",IF(INDEX($U$2:$AC$1001,MATCH(ROWS($N$2:N915),$N$2:$N$1001,0),MATCH(COLUMNS($U$1006:X1006),$U$1006:$AC$1006,0)), HYPERLINK("#",""), HYPERLINK(CONCATENATE("#metadata!", ADDRESS(INDEX($P$2:$P$1001,MATCH(ROWS($N$2:N915),$N$2:$N$1001,0),0), INDEX($U$1004:$AC$1004,1,MATCH(COLUMNS($U$1006:X1006),$U$1006:$AC$1006,0)))),"Fix")))</f>
        <v>0</v>
      </c>
      <c r="F915" s="3">
        <f>IF(OR(INDEX($O$2:$O$1001,MATCH(ROWS($N$2:N915),$N$2:$N$1001,0),1)&gt;=100000,INDEX($U$1005:$AC$1005,1,MATCH(COLUMNS($U$1006:Y1006),$U$1006:$AC$1006,0))&gt;=100000), " ",IF(INDEX($U$2:$AC$1001,MATCH(ROWS($N$2:N915),$N$2:$N$1001,0),MATCH(COLUMNS($U$1006:Y1006),$U$1006:$AC$1006,0)), HYPERLINK("#",""), HYPERLINK(CONCATENATE("#metadata!", ADDRESS(INDEX($P$2:$P$1001,MATCH(ROWS($N$2:N915),$N$2:$N$1001,0),0), INDEX($U$1004:$AC$1004,1,MATCH(COLUMNS($U$1006:Y1006),$U$1006:$AC$1006,0)))),"Fix")))</f>
        <v>0</v>
      </c>
      <c r="G915" s="3">
        <f>IF(OR(INDEX($O$2:$O$1001,MATCH(ROWS($N$2:N915),$N$2:$N$1001,0),1)&gt;=100000,INDEX($U$1005:$AC$1005,1,MATCH(COLUMNS($U$1006:Z1006),$U$1006:$AC$1006,0))&gt;=100000), " ",IF(INDEX($U$2:$AC$1001,MATCH(ROWS($N$2:N915),$N$2:$N$1001,0),MATCH(COLUMNS($U$1006:Z1006),$U$1006:$AC$1006,0)), HYPERLINK("#",""), HYPERLINK(CONCATENATE("#metadata!", ADDRESS(INDEX($P$2:$P$1001,MATCH(ROWS($N$2:N915),$N$2:$N$1001,0),0), INDEX($U$1004:$AC$1004,1,MATCH(COLUMNS($U$1006:Z1006),$U$1006:$AC$1006,0)))),"Fix")))</f>
        <v>0</v>
      </c>
      <c r="H915" s="3">
        <f>IF(OR(INDEX($O$2:$O$1001,MATCH(ROWS($N$2:N915),$N$2:$N$1001,0),1)&gt;=100000,INDEX($U$1005:$AC$1005,1,MATCH(COLUMNS($U$1006:AA1006),$U$1006:$AC$1006,0))&gt;=100000), " ",IF(INDEX($U$2:$AC$1001,MATCH(ROWS($N$2:N915),$N$2:$N$1001,0),MATCH(COLUMNS($U$1006:AA1006),$U$1006:$AC$1006,0)), HYPERLINK("#",""), HYPERLINK(CONCATENATE("#metadata!", ADDRESS(INDEX($P$2:$P$1001,MATCH(ROWS($N$2:N915),$N$2:$N$1001,0),0), INDEX($U$1004:$AC$1004,1,MATCH(COLUMNS($U$1006:AA1006),$U$1006:$AC$1006,0)))),"Fix")))</f>
        <v>0</v>
      </c>
      <c r="I915" s="3">
        <f>IF(OR(INDEX($O$2:$O$1001,MATCH(ROWS($N$2:N915),$N$2:$N$1001,0),1)&gt;=100000,INDEX($U$1005:$AC$1005,1,MATCH(COLUMNS($U$1006:AB1006),$U$1006:$AC$1006,0))&gt;=100000), " ",IF(INDEX($U$2:$AC$1001,MATCH(ROWS($N$2:N915),$N$2:$N$1001,0),MATCH(COLUMNS($U$1006:AB1006),$U$1006:$AC$1006,0)), HYPERLINK("#",""), HYPERLINK(CONCATENATE("#metadata!", ADDRESS(INDEX($P$2:$P$1001,MATCH(ROWS($N$2:N915),$N$2:$N$1001,0),0), INDEX($U$1004:$AC$1004,1,MATCH(COLUMNS($U$1006:AB1006),$U$1006:$AC$1006,0)))),"Fix")))</f>
        <v>0</v>
      </c>
      <c r="J915" s="3">
        <f>IF(OR(INDEX($O$2:$O$1001,MATCH(ROWS($N$2:N915),$N$2:$N$1001,0),1)&gt;=100000,INDEX($U$1005:$AC$1005,1,MATCH(COLUMNS($U$1006:AC1006),$U$1006:$AC$1006,0))&gt;=100000), " ",IF(INDEX($U$2:$AC$1001,MATCH(ROWS($N$2:N915),$N$2:$N$1001,0),MATCH(COLUMNS($U$1006:AC1006),$U$1006:$AC$1006,0)), HYPERLINK("#",""), HYPERLINK(CONCATENATE("#metadata!", ADDRESS(INDEX($P$2:$P$1001,MATCH(ROWS($N$2:N915),$N$2:$N$1001,0),0), INDEX($U$1004:$AC$1004,1,MATCH(COLUMNS($U$1006:AC1006),$U$1006:$AC$1006,0)))),"Fix")))</f>
        <v>0</v>
      </c>
      <c r="N915">
        <v>0</v>
      </c>
      <c r="O915">
        <v>0</v>
      </c>
      <c r="P915">
        <v>0</v>
      </c>
      <c r="Q915">
        <f>IF(R915,TRUE,AND(U915:AC915))</f>
        <v>0</v>
      </c>
      <c r="R915">
        <f>COUNTBLANK(metadata!B915:J915)=COLUMNS(metadata!B915:J915)</f>
        <v>0</v>
      </c>
      <c r="S915">
        <v>0</v>
      </c>
      <c r="U915">
        <f>AND(IF(metadata!B915="",FALSE,TRUE),COUNTIF(metadata!B:B, metadata!B915) = 1,NOT(ISERROR(SUMPRODUCT(SEARCH(MID(metadata!B915,ROW(INDIRECT("1:"&amp;LEN(metadata!B915))), 1),"0123456789abcdefghijklmnopqrstuvwxyzABCDEFGHIJKLMNOPQRSTUVWXYZ.")))))</f>
        <v>0</v>
      </c>
      <c r="V915">
        <f>AND(IF(metadata!C915="",FALSE,TRUE),exact(metadata!C915,"UBERON:genitourinary"))</f>
        <v>0</v>
      </c>
      <c r="W915">
        <f>AND(IF(metadata!D915="",FALSE,TRUE),exact(metadata!D915,"UBERON:urine"))</f>
        <v>0</v>
      </c>
      <c r="X915">
        <f>AND(IF(metadata!E915="",FALSE,TRUE),exact(metadata!E915,"UBERON:kidney"))</f>
        <v>0</v>
      </c>
      <c r="Y915">
        <f>AND(IF(metadata!F915="",FALSE,TRUE),exact(metadata!F915,"animal corpus"))</f>
        <v>0</v>
      </c>
      <c r="Z915">
        <f>AND(IF(metadata!G915="",FALSE,TRUE),exact(metadata!G915,"urine"))</f>
        <v>0</v>
      </c>
      <c r="AA915">
        <f>AND(IF(metadata!H915="",FALSE,TRUE),exact(metadata!H915,"urine"))</f>
        <v>0</v>
      </c>
      <c r="AB915">
        <f>AND(IF(metadata!I915="",FALSE,TRUE),exact(metadata!I915,"urine metagenome"))</f>
        <v>0</v>
      </c>
      <c r="AC915">
        <f>AND(IF(metadata!J915="",FALSE,TRUE),exact(metadata!J915,"1346744"))</f>
        <v>0</v>
      </c>
    </row>
    <row r="916" spans="1:29">
      <c r="A916" s="4">
        <f>IF(B916=" "," ",HYPERLINK(CONCATENATE("#metadata!",ADDRESS(INDEX($P$2:$P$1001,MATCH(ROWS($N$2:N916),$N$2:$N$1001,0),0),1)),INDEX($S$2:$S$1001,MATCH(ROWS($N$2:N916),$N$2:$N$1001,0),0)))</f>
        <v>0</v>
      </c>
      <c r="B916" s="3">
        <f>IF(OR(INDEX($O$2:$O$1001,MATCH(ROWS($N$2:N916),$N$2:$N$1001,0),1)&gt;=100000,INDEX($U$1005:$AC$1005,1,MATCH(COLUMNS($U$1006:U1006),$U$1006:$AC$1006,0))&gt;=100000), " ",IF(INDEX($U$2:$AC$1001,MATCH(ROWS($N$2:N916),$N$2:$N$1001,0),MATCH(COLUMNS($U$1006:U1006),$U$1006:$AC$1006,0)), HYPERLINK("#",""), HYPERLINK(CONCATENATE("#metadata!", ADDRESS(INDEX($P$2:$P$1001,MATCH(ROWS($N$2:N916),$N$2:$N$1001,0),0), INDEX($U$1004:$AC$1004,1,MATCH(COLUMNS($U$1006:U1006),$U$1006:$AC$1006,0)))),"Fix")))</f>
        <v>0</v>
      </c>
      <c r="C916" s="3">
        <f>IF(OR(INDEX($O$2:$O$1001,MATCH(ROWS($N$2:N916),$N$2:$N$1001,0),1)&gt;=100000,INDEX($U$1005:$AC$1005,1,MATCH(COLUMNS($U$1006:V1006),$U$1006:$AC$1006,0))&gt;=100000), " ",IF(INDEX($U$2:$AC$1001,MATCH(ROWS($N$2:N916),$N$2:$N$1001,0),MATCH(COLUMNS($U$1006:V1006),$U$1006:$AC$1006,0)), HYPERLINK("#",""), HYPERLINK(CONCATENATE("#metadata!", ADDRESS(INDEX($P$2:$P$1001,MATCH(ROWS($N$2:N916),$N$2:$N$1001,0),0), INDEX($U$1004:$AC$1004,1,MATCH(COLUMNS($U$1006:V1006),$U$1006:$AC$1006,0)))),"Fix")))</f>
        <v>0</v>
      </c>
      <c r="D916" s="3">
        <f>IF(OR(INDEX($O$2:$O$1001,MATCH(ROWS($N$2:N916),$N$2:$N$1001,0),1)&gt;=100000,INDEX($U$1005:$AC$1005,1,MATCH(COLUMNS($U$1006:W1006),$U$1006:$AC$1006,0))&gt;=100000), " ",IF(INDEX($U$2:$AC$1001,MATCH(ROWS($N$2:N916),$N$2:$N$1001,0),MATCH(COLUMNS($U$1006:W1006),$U$1006:$AC$1006,0)), HYPERLINK("#",""), HYPERLINK(CONCATENATE("#metadata!", ADDRESS(INDEX($P$2:$P$1001,MATCH(ROWS($N$2:N916),$N$2:$N$1001,0),0), INDEX($U$1004:$AC$1004,1,MATCH(COLUMNS($U$1006:W1006),$U$1006:$AC$1006,0)))),"Fix")))</f>
        <v>0</v>
      </c>
      <c r="E916" s="3">
        <f>IF(OR(INDEX($O$2:$O$1001,MATCH(ROWS($N$2:N916),$N$2:$N$1001,0),1)&gt;=100000,INDEX($U$1005:$AC$1005,1,MATCH(COLUMNS($U$1006:X1006),$U$1006:$AC$1006,0))&gt;=100000), " ",IF(INDEX($U$2:$AC$1001,MATCH(ROWS($N$2:N916),$N$2:$N$1001,0),MATCH(COLUMNS($U$1006:X1006),$U$1006:$AC$1006,0)), HYPERLINK("#",""), HYPERLINK(CONCATENATE("#metadata!", ADDRESS(INDEX($P$2:$P$1001,MATCH(ROWS($N$2:N916),$N$2:$N$1001,0),0), INDEX($U$1004:$AC$1004,1,MATCH(COLUMNS($U$1006:X1006),$U$1006:$AC$1006,0)))),"Fix")))</f>
        <v>0</v>
      </c>
      <c r="F916" s="3">
        <f>IF(OR(INDEX($O$2:$O$1001,MATCH(ROWS($N$2:N916),$N$2:$N$1001,0),1)&gt;=100000,INDEX($U$1005:$AC$1005,1,MATCH(COLUMNS($U$1006:Y1006),$U$1006:$AC$1006,0))&gt;=100000), " ",IF(INDEX($U$2:$AC$1001,MATCH(ROWS($N$2:N916),$N$2:$N$1001,0),MATCH(COLUMNS($U$1006:Y1006),$U$1006:$AC$1006,0)), HYPERLINK("#",""), HYPERLINK(CONCATENATE("#metadata!", ADDRESS(INDEX($P$2:$P$1001,MATCH(ROWS($N$2:N916),$N$2:$N$1001,0),0), INDEX($U$1004:$AC$1004,1,MATCH(COLUMNS($U$1006:Y1006),$U$1006:$AC$1006,0)))),"Fix")))</f>
        <v>0</v>
      </c>
      <c r="G916" s="3">
        <f>IF(OR(INDEX($O$2:$O$1001,MATCH(ROWS($N$2:N916),$N$2:$N$1001,0),1)&gt;=100000,INDEX($U$1005:$AC$1005,1,MATCH(COLUMNS($U$1006:Z1006),$U$1006:$AC$1006,0))&gt;=100000), " ",IF(INDEX($U$2:$AC$1001,MATCH(ROWS($N$2:N916),$N$2:$N$1001,0),MATCH(COLUMNS($U$1006:Z1006),$U$1006:$AC$1006,0)), HYPERLINK("#",""), HYPERLINK(CONCATENATE("#metadata!", ADDRESS(INDEX($P$2:$P$1001,MATCH(ROWS($N$2:N916),$N$2:$N$1001,0),0), INDEX($U$1004:$AC$1004,1,MATCH(COLUMNS($U$1006:Z1006),$U$1006:$AC$1006,0)))),"Fix")))</f>
        <v>0</v>
      </c>
      <c r="H916" s="3">
        <f>IF(OR(INDEX($O$2:$O$1001,MATCH(ROWS($N$2:N916),$N$2:$N$1001,0),1)&gt;=100000,INDEX($U$1005:$AC$1005,1,MATCH(COLUMNS($U$1006:AA1006),$U$1006:$AC$1006,0))&gt;=100000), " ",IF(INDEX($U$2:$AC$1001,MATCH(ROWS($N$2:N916),$N$2:$N$1001,0),MATCH(COLUMNS($U$1006:AA1006),$U$1006:$AC$1006,0)), HYPERLINK("#",""), HYPERLINK(CONCATENATE("#metadata!", ADDRESS(INDEX($P$2:$P$1001,MATCH(ROWS($N$2:N916),$N$2:$N$1001,0),0), INDEX($U$1004:$AC$1004,1,MATCH(COLUMNS($U$1006:AA1006),$U$1006:$AC$1006,0)))),"Fix")))</f>
        <v>0</v>
      </c>
      <c r="I916" s="3">
        <f>IF(OR(INDEX($O$2:$O$1001,MATCH(ROWS($N$2:N916),$N$2:$N$1001,0),1)&gt;=100000,INDEX($U$1005:$AC$1005,1,MATCH(COLUMNS($U$1006:AB1006),$U$1006:$AC$1006,0))&gt;=100000), " ",IF(INDEX($U$2:$AC$1001,MATCH(ROWS($N$2:N916),$N$2:$N$1001,0),MATCH(COLUMNS($U$1006:AB1006),$U$1006:$AC$1006,0)), HYPERLINK("#",""), HYPERLINK(CONCATENATE("#metadata!", ADDRESS(INDEX($P$2:$P$1001,MATCH(ROWS($N$2:N916),$N$2:$N$1001,0),0), INDEX($U$1004:$AC$1004,1,MATCH(COLUMNS($U$1006:AB1006),$U$1006:$AC$1006,0)))),"Fix")))</f>
        <v>0</v>
      </c>
      <c r="J916" s="3">
        <f>IF(OR(INDEX($O$2:$O$1001,MATCH(ROWS($N$2:N916),$N$2:$N$1001,0),1)&gt;=100000,INDEX($U$1005:$AC$1005,1,MATCH(COLUMNS($U$1006:AC1006),$U$1006:$AC$1006,0))&gt;=100000), " ",IF(INDEX($U$2:$AC$1001,MATCH(ROWS($N$2:N916),$N$2:$N$1001,0),MATCH(COLUMNS($U$1006:AC1006),$U$1006:$AC$1006,0)), HYPERLINK("#",""), HYPERLINK(CONCATENATE("#metadata!", ADDRESS(INDEX($P$2:$P$1001,MATCH(ROWS($N$2:N916),$N$2:$N$1001,0),0), INDEX($U$1004:$AC$1004,1,MATCH(COLUMNS($U$1006:AC1006),$U$1006:$AC$1006,0)))),"Fix")))</f>
        <v>0</v>
      </c>
      <c r="N916">
        <v>0</v>
      </c>
      <c r="O916">
        <v>0</v>
      </c>
      <c r="P916">
        <v>0</v>
      </c>
      <c r="Q916">
        <f>IF(R916,TRUE,AND(U916:AC916))</f>
        <v>0</v>
      </c>
      <c r="R916">
        <f>COUNTBLANK(metadata!B916:J916)=COLUMNS(metadata!B916:J916)</f>
        <v>0</v>
      </c>
      <c r="S916">
        <v>0</v>
      </c>
      <c r="U916">
        <f>AND(IF(metadata!B916="",FALSE,TRUE),COUNTIF(metadata!B:B, metadata!B916) = 1,NOT(ISERROR(SUMPRODUCT(SEARCH(MID(metadata!B916,ROW(INDIRECT("1:"&amp;LEN(metadata!B916))), 1),"0123456789abcdefghijklmnopqrstuvwxyzABCDEFGHIJKLMNOPQRSTUVWXYZ.")))))</f>
        <v>0</v>
      </c>
      <c r="V916">
        <f>AND(IF(metadata!C916="",FALSE,TRUE),exact(metadata!C916,"UBERON:genitourinary"))</f>
        <v>0</v>
      </c>
      <c r="W916">
        <f>AND(IF(metadata!D916="",FALSE,TRUE),exact(metadata!D916,"UBERON:urine"))</f>
        <v>0</v>
      </c>
      <c r="X916">
        <f>AND(IF(metadata!E916="",FALSE,TRUE),exact(metadata!E916,"UBERON:kidney"))</f>
        <v>0</v>
      </c>
      <c r="Y916">
        <f>AND(IF(metadata!F916="",FALSE,TRUE),exact(metadata!F916,"animal corpus"))</f>
        <v>0</v>
      </c>
      <c r="Z916">
        <f>AND(IF(metadata!G916="",FALSE,TRUE),exact(metadata!G916,"urine"))</f>
        <v>0</v>
      </c>
      <c r="AA916">
        <f>AND(IF(metadata!H916="",FALSE,TRUE),exact(metadata!H916,"urine"))</f>
        <v>0</v>
      </c>
      <c r="AB916">
        <f>AND(IF(metadata!I916="",FALSE,TRUE),exact(metadata!I916,"urine metagenome"))</f>
        <v>0</v>
      </c>
      <c r="AC916">
        <f>AND(IF(metadata!J916="",FALSE,TRUE),exact(metadata!J916,"1346744"))</f>
        <v>0</v>
      </c>
    </row>
    <row r="917" spans="1:29">
      <c r="A917" s="4">
        <f>IF(B917=" "," ",HYPERLINK(CONCATENATE("#metadata!",ADDRESS(INDEX($P$2:$P$1001,MATCH(ROWS($N$2:N917),$N$2:$N$1001,0),0),1)),INDEX($S$2:$S$1001,MATCH(ROWS($N$2:N917),$N$2:$N$1001,0),0)))</f>
        <v>0</v>
      </c>
      <c r="B917" s="3">
        <f>IF(OR(INDEX($O$2:$O$1001,MATCH(ROWS($N$2:N917),$N$2:$N$1001,0),1)&gt;=100000,INDEX($U$1005:$AC$1005,1,MATCH(COLUMNS($U$1006:U1006),$U$1006:$AC$1006,0))&gt;=100000), " ",IF(INDEX($U$2:$AC$1001,MATCH(ROWS($N$2:N917),$N$2:$N$1001,0),MATCH(COLUMNS($U$1006:U1006),$U$1006:$AC$1006,0)), HYPERLINK("#",""), HYPERLINK(CONCATENATE("#metadata!", ADDRESS(INDEX($P$2:$P$1001,MATCH(ROWS($N$2:N917),$N$2:$N$1001,0),0), INDEX($U$1004:$AC$1004,1,MATCH(COLUMNS($U$1006:U1006),$U$1006:$AC$1006,0)))),"Fix")))</f>
        <v>0</v>
      </c>
      <c r="C917" s="3">
        <f>IF(OR(INDEX($O$2:$O$1001,MATCH(ROWS($N$2:N917),$N$2:$N$1001,0),1)&gt;=100000,INDEX($U$1005:$AC$1005,1,MATCH(COLUMNS($U$1006:V1006),$U$1006:$AC$1006,0))&gt;=100000), " ",IF(INDEX($U$2:$AC$1001,MATCH(ROWS($N$2:N917),$N$2:$N$1001,0),MATCH(COLUMNS($U$1006:V1006),$U$1006:$AC$1006,0)), HYPERLINK("#",""), HYPERLINK(CONCATENATE("#metadata!", ADDRESS(INDEX($P$2:$P$1001,MATCH(ROWS($N$2:N917),$N$2:$N$1001,0),0), INDEX($U$1004:$AC$1004,1,MATCH(COLUMNS($U$1006:V1006),$U$1006:$AC$1006,0)))),"Fix")))</f>
        <v>0</v>
      </c>
      <c r="D917" s="3">
        <f>IF(OR(INDEX($O$2:$O$1001,MATCH(ROWS($N$2:N917),$N$2:$N$1001,0),1)&gt;=100000,INDEX($U$1005:$AC$1005,1,MATCH(COLUMNS($U$1006:W1006),$U$1006:$AC$1006,0))&gt;=100000), " ",IF(INDEX($U$2:$AC$1001,MATCH(ROWS($N$2:N917),$N$2:$N$1001,0),MATCH(COLUMNS($U$1006:W1006),$U$1006:$AC$1006,0)), HYPERLINK("#",""), HYPERLINK(CONCATENATE("#metadata!", ADDRESS(INDEX($P$2:$P$1001,MATCH(ROWS($N$2:N917),$N$2:$N$1001,0),0), INDEX($U$1004:$AC$1004,1,MATCH(COLUMNS($U$1006:W1006),$U$1006:$AC$1006,0)))),"Fix")))</f>
        <v>0</v>
      </c>
      <c r="E917" s="3">
        <f>IF(OR(INDEX($O$2:$O$1001,MATCH(ROWS($N$2:N917),$N$2:$N$1001,0),1)&gt;=100000,INDEX($U$1005:$AC$1005,1,MATCH(COLUMNS($U$1006:X1006),$U$1006:$AC$1006,0))&gt;=100000), " ",IF(INDEX($U$2:$AC$1001,MATCH(ROWS($N$2:N917),$N$2:$N$1001,0),MATCH(COLUMNS($U$1006:X1006),$U$1006:$AC$1006,0)), HYPERLINK("#",""), HYPERLINK(CONCATENATE("#metadata!", ADDRESS(INDEX($P$2:$P$1001,MATCH(ROWS($N$2:N917),$N$2:$N$1001,0),0), INDEX($U$1004:$AC$1004,1,MATCH(COLUMNS($U$1006:X1006),$U$1006:$AC$1006,0)))),"Fix")))</f>
        <v>0</v>
      </c>
      <c r="F917" s="3">
        <f>IF(OR(INDEX($O$2:$O$1001,MATCH(ROWS($N$2:N917),$N$2:$N$1001,0),1)&gt;=100000,INDEX($U$1005:$AC$1005,1,MATCH(COLUMNS($U$1006:Y1006),$U$1006:$AC$1006,0))&gt;=100000), " ",IF(INDEX($U$2:$AC$1001,MATCH(ROWS($N$2:N917),$N$2:$N$1001,0),MATCH(COLUMNS($U$1006:Y1006),$U$1006:$AC$1006,0)), HYPERLINK("#",""), HYPERLINK(CONCATENATE("#metadata!", ADDRESS(INDEX($P$2:$P$1001,MATCH(ROWS($N$2:N917),$N$2:$N$1001,0),0), INDEX($U$1004:$AC$1004,1,MATCH(COLUMNS($U$1006:Y1006),$U$1006:$AC$1006,0)))),"Fix")))</f>
        <v>0</v>
      </c>
      <c r="G917" s="3">
        <f>IF(OR(INDEX($O$2:$O$1001,MATCH(ROWS($N$2:N917),$N$2:$N$1001,0),1)&gt;=100000,INDEX($U$1005:$AC$1005,1,MATCH(COLUMNS($U$1006:Z1006),$U$1006:$AC$1006,0))&gt;=100000), " ",IF(INDEX($U$2:$AC$1001,MATCH(ROWS($N$2:N917),$N$2:$N$1001,0),MATCH(COLUMNS($U$1006:Z1006),$U$1006:$AC$1006,0)), HYPERLINK("#",""), HYPERLINK(CONCATENATE("#metadata!", ADDRESS(INDEX($P$2:$P$1001,MATCH(ROWS($N$2:N917),$N$2:$N$1001,0),0), INDEX($U$1004:$AC$1004,1,MATCH(COLUMNS($U$1006:Z1006),$U$1006:$AC$1006,0)))),"Fix")))</f>
        <v>0</v>
      </c>
      <c r="H917" s="3">
        <f>IF(OR(INDEX($O$2:$O$1001,MATCH(ROWS($N$2:N917),$N$2:$N$1001,0),1)&gt;=100000,INDEX($U$1005:$AC$1005,1,MATCH(COLUMNS($U$1006:AA1006),$U$1006:$AC$1006,0))&gt;=100000), " ",IF(INDEX($U$2:$AC$1001,MATCH(ROWS($N$2:N917),$N$2:$N$1001,0),MATCH(COLUMNS($U$1006:AA1006),$U$1006:$AC$1006,0)), HYPERLINK("#",""), HYPERLINK(CONCATENATE("#metadata!", ADDRESS(INDEX($P$2:$P$1001,MATCH(ROWS($N$2:N917),$N$2:$N$1001,0),0), INDEX($U$1004:$AC$1004,1,MATCH(COLUMNS($U$1006:AA1006),$U$1006:$AC$1006,0)))),"Fix")))</f>
        <v>0</v>
      </c>
      <c r="I917" s="3">
        <f>IF(OR(INDEX($O$2:$O$1001,MATCH(ROWS($N$2:N917),$N$2:$N$1001,0),1)&gt;=100000,INDEX($U$1005:$AC$1005,1,MATCH(COLUMNS($U$1006:AB1006),$U$1006:$AC$1006,0))&gt;=100000), " ",IF(INDEX($U$2:$AC$1001,MATCH(ROWS($N$2:N917),$N$2:$N$1001,0),MATCH(COLUMNS($U$1006:AB1006),$U$1006:$AC$1006,0)), HYPERLINK("#",""), HYPERLINK(CONCATENATE("#metadata!", ADDRESS(INDEX($P$2:$P$1001,MATCH(ROWS($N$2:N917),$N$2:$N$1001,0),0), INDEX($U$1004:$AC$1004,1,MATCH(COLUMNS($U$1006:AB1006),$U$1006:$AC$1006,0)))),"Fix")))</f>
        <v>0</v>
      </c>
      <c r="J917" s="3">
        <f>IF(OR(INDEX($O$2:$O$1001,MATCH(ROWS($N$2:N917),$N$2:$N$1001,0),1)&gt;=100000,INDEX($U$1005:$AC$1005,1,MATCH(COLUMNS($U$1006:AC1006),$U$1006:$AC$1006,0))&gt;=100000), " ",IF(INDEX($U$2:$AC$1001,MATCH(ROWS($N$2:N917),$N$2:$N$1001,0),MATCH(COLUMNS($U$1006:AC1006),$U$1006:$AC$1006,0)), HYPERLINK("#",""), HYPERLINK(CONCATENATE("#metadata!", ADDRESS(INDEX($P$2:$P$1001,MATCH(ROWS($N$2:N917),$N$2:$N$1001,0),0), INDEX($U$1004:$AC$1004,1,MATCH(COLUMNS($U$1006:AC1006),$U$1006:$AC$1006,0)))),"Fix")))</f>
        <v>0</v>
      </c>
      <c r="N917">
        <v>0</v>
      </c>
      <c r="O917">
        <v>0</v>
      </c>
      <c r="P917">
        <v>0</v>
      </c>
      <c r="Q917">
        <f>IF(R917,TRUE,AND(U917:AC917))</f>
        <v>0</v>
      </c>
      <c r="R917">
        <f>COUNTBLANK(metadata!B917:J917)=COLUMNS(metadata!B917:J917)</f>
        <v>0</v>
      </c>
      <c r="S917">
        <v>0</v>
      </c>
      <c r="U917">
        <f>AND(IF(metadata!B917="",FALSE,TRUE),COUNTIF(metadata!B:B, metadata!B917) = 1,NOT(ISERROR(SUMPRODUCT(SEARCH(MID(metadata!B917,ROW(INDIRECT("1:"&amp;LEN(metadata!B917))), 1),"0123456789abcdefghijklmnopqrstuvwxyzABCDEFGHIJKLMNOPQRSTUVWXYZ.")))))</f>
        <v>0</v>
      </c>
      <c r="V917">
        <f>AND(IF(metadata!C917="",FALSE,TRUE),exact(metadata!C917,"UBERON:genitourinary"))</f>
        <v>0</v>
      </c>
      <c r="W917">
        <f>AND(IF(metadata!D917="",FALSE,TRUE),exact(metadata!D917,"UBERON:urine"))</f>
        <v>0</v>
      </c>
      <c r="X917">
        <f>AND(IF(metadata!E917="",FALSE,TRUE),exact(metadata!E917,"UBERON:kidney"))</f>
        <v>0</v>
      </c>
      <c r="Y917">
        <f>AND(IF(metadata!F917="",FALSE,TRUE),exact(metadata!F917,"animal corpus"))</f>
        <v>0</v>
      </c>
      <c r="Z917">
        <f>AND(IF(metadata!G917="",FALSE,TRUE),exact(metadata!G917,"urine"))</f>
        <v>0</v>
      </c>
      <c r="AA917">
        <f>AND(IF(metadata!H917="",FALSE,TRUE),exact(metadata!H917,"urine"))</f>
        <v>0</v>
      </c>
      <c r="AB917">
        <f>AND(IF(metadata!I917="",FALSE,TRUE),exact(metadata!I917,"urine metagenome"))</f>
        <v>0</v>
      </c>
      <c r="AC917">
        <f>AND(IF(metadata!J917="",FALSE,TRUE),exact(metadata!J917,"1346744"))</f>
        <v>0</v>
      </c>
    </row>
    <row r="918" spans="1:29">
      <c r="A918" s="4">
        <f>IF(B918=" "," ",HYPERLINK(CONCATENATE("#metadata!",ADDRESS(INDEX($P$2:$P$1001,MATCH(ROWS($N$2:N918),$N$2:$N$1001,0),0),1)),INDEX($S$2:$S$1001,MATCH(ROWS($N$2:N918),$N$2:$N$1001,0),0)))</f>
        <v>0</v>
      </c>
      <c r="B918" s="3">
        <f>IF(OR(INDEX($O$2:$O$1001,MATCH(ROWS($N$2:N918),$N$2:$N$1001,0),1)&gt;=100000,INDEX($U$1005:$AC$1005,1,MATCH(COLUMNS($U$1006:U1006),$U$1006:$AC$1006,0))&gt;=100000), " ",IF(INDEX($U$2:$AC$1001,MATCH(ROWS($N$2:N918),$N$2:$N$1001,0),MATCH(COLUMNS($U$1006:U1006),$U$1006:$AC$1006,0)), HYPERLINK("#",""), HYPERLINK(CONCATENATE("#metadata!", ADDRESS(INDEX($P$2:$P$1001,MATCH(ROWS($N$2:N918),$N$2:$N$1001,0),0), INDEX($U$1004:$AC$1004,1,MATCH(COLUMNS($U$1006:U1006),$U$1006:$AC$1006,0)))),"Fix")))</f>
        <v>0</v>
      </c>
      <c r="C918" s="3">
        <f>IF(OR(INDEX($O$2:$O$1001,MATCH(ROWS($N$2:N918),$N$2:$N$1001,0),1)&gt;=100000,INDEX($U$1005:$AC$1005,1,MATCH(COLUMNS($U$1006:V1006),$U$1006:$AC$1006,0))&gt;=100000), " ",IF(INDEX($U$2:$AC$1001,MATCH(ROWS($N$2:N918),$N$2:$N$1001,0),MATCH(COLUMNS($U$1006:V1006),$U$1006:$AC$1006,0)), HYPERLINK("#",""), HYPERLINK(CONCATENATE("#metadata!", ADDRESS(INDEX($P$2:$P$1001,MATCH(ROWS($N$2:N918),$N$2:$N$1001,0),0), INDEX($U$1004:$AC$1004,1,MATCH(COLUMNS($U$1006:V1006),$U$1006:$AC$1006,0)))),"Fix")))</f>
        <v>0</v>
      </c>
      <c r="D918" s="3">
        <f>IF(OR(INDEX($O$2:$O$1001,MATCH(ROWS($N$2:N918),$N$2:$N$1001,0),1)&gt;=100000,INDEX($U$1005:$AC$1005,1,MATCH(COLUMNS($U$1006:W1006),$U$1006:$AC$1006,0))&gt;=100000), " ",IF(INDEX($U$2:$AC$1001,MATCH(ROWS($N$2:N918),$N$2:$N$1001,0),MATCH(COLUMNS($U$1006:W1006),$U$1006:$AC$1006,0)), HYPERLINK("#",""), HYPERLINK(CONCATENATE("#metadata!", ADDRESS(INDEX($P$2:$P$1001,MATCH(ROWS($N$2:N918),$N$2:$N$1001,0),0), INDEX($U$1004:$AC$1004,1,MATCH(COLUMNS($U$1006:W1006),$U$1006:$AC$1006,0)))),"Fix")))</f>
        <v>0</v>
      </c>
      <c r="E918" s="3">
        <f>IF(OR(INDEX($O$2:$O$1001,MATCH(ROWS($N$2:N918),$N$2:$N$1001,0),1)&gt;=100000,INDEX($U$1005:$AC$1005,1,MATCH(COLUMNS($U$1006:X1006),$U$1006:$AC$1006,0))&gt;=100000), " ",IF(INDEX($U$2:$AC$1001,MATCH(ROWS($N$2:N918),$N$2:$N$1001,0),MATCH(COLUMNS($U$1006:X1006),$U$1006:$AC$1006,0)), HYPERLINK("#",""), HYPERLINK(CONCATENATE("#metadata!", ADDRESS(INDEX($P$2:$P$1001,MATCH(ROWS($N$2:N918),$N$2:$N$1001,0),0), INDEX($U$1004:$AC$1004,1,MATCH(COLUMNS($U$1006:X1006),$U$1006:$AC$1006,0)))),"Fix")))</f>
        <v>0</v>
      </c>
      <c r="F918" s="3">
        <f>IF(OR(INDEX($O$2:$O$1001,MATCH(ROWS($N$2:N918),$N$2:$N$1001,0),1)&gt;=100000,INDEX($U$1005:$AC$1005,1,MATCH(COLUMNS($U$1006:Y1006),$U$1006:$AC$1006,0))&gt;=100000), " ",IF(INDEX($U$2:$AC$1001,MATCH(ROWS($N$2:N918),$N$2:$N$1001,0),MATCH(COLUMNS($U$1006:Y1006),$U$1006:$AC$1006,0)), HYPERLINK("#",""), HYPERLINK(CONCATENATE("#metadata!", ADDRESS(INDEX($P$2:$P$1001,MATCH(ROWS($N$2:N918),$N$2:$N$1001,0),0), INDEX($U$1004:$AC$1004,1,MATCH(COLUMNS($U$1006:Y1006),$U$1006:$AC$1006,0)))),"Fix")))</f>
        <v>0</v>
      </c>
      <c r="G918" s="3">
        <f>IF(OR(INDEX($O$2:$O$1001,MATCH(ROWS($N$2:N918),$N$2:$N$1001,0),1)&gt;=100000,INDEX($U$1005:$AC$1005,1,MATCH(COLUMNS($U$1006:Z1006),$U$1006:$AC$1006,0))&gt;=100000), " ",IF(INDEX($U$2:$AC$1001,MATCH(ROWS($N$2:N918),$N$2:$N$1001,0),MATCH(COLUMNS($U$1006:Z1006),$U$1006:$AC$1006,0)), HYPERLINK("#",""), HYPERLINK(CONCATENATE("#metadata!", ADDRESS(INDEX($P$2:$P$1001,MATCH(ROWS($N$2:N918),$N$2:$N$1001,0),0), INDEX($U$1004:$AC$1004,1,MATCH(COLUMNS($U$1006:Z1006),$U$1006:$AC$1006,0)))),"Fix")))</f>
        <v>0</v>
      </c>
      <c r="H918" s="3">
        <f>IF(OR(INDEX($O$2:$O$1001,MATCH(ROWS($N$2:N918),$N$2:$N$1001,0),1)&gt;=100000,INDEX($U$1005:$AC$1005,1,MATCH(COLUMNS($U$1006:AA1006),$U$1006:$AC$1006,0))&gt;=100000), " ",IF(INDEX($U$2:$AC$1001,MATCH(ROWS($N$2:N918),$N$2:$N$1001,0),MATCH(COLUMNS($U$1006:AA1006),$U$1006:$AC$1006,0)), HYPERLINK("#",""), HYPERLINK(CONCATENATE("#metadata!", ADDRESS(INDEX($P$2:$P$1001,MATCH(ROWS($N$2:N918),$N$2:$N$1001,0),0), INDEX($U$1004:$AC$1004,1,MATCH(COLUMNS($U$1006:AA1006),$U$1006:$AC$1006,0)))),"Fix")))</f>
        <v>0</v>
      </c>
      <c r="I918" s="3">
        <f>IF(OR(INDEX($O$2:$O$1001,MATCH(ROWS($N$2:N918),$N$2:$N$1001,0),1)&gt;=100000,INDEX($U$1005:$AC$1005,1,MATCH(COLUMNS($U$1006:AB1006),$U$1006:$AC$1006,0))&gt;=100000), " ",IF(INDEX($U$2:$AC$1001,MATCH(ROWS($N$2:N918),$N$2:$N$1001,0),MATCH(COLUMNS($U$1006:AB1006),$U$1006:$AC$1006,0)), HYPERLINK("#",""), HYPERLINK(CONCATENATE("#metadata!", ADDRESS(INDEX($P$2:$P$1001,MATCH(ROWS($N$2:N918),$N$2:$N$1001,0),0), INDEX($U$1004:$AC$1004,1,MATCH(COLUMNS($U$1006:AB1006),$U$1006:$AC$1006,0)))),"Fix")))</f>
        <v>0</v>
      </c>
      <c r="J918" s="3">
        <f>IF(OR(INDEX($O$2:$O$1001,MATCH(ROWS($N$2:N918),$N$2:$N$1001,0),1)&gt;=100000,INDEX($U$1005:$AC$1005,1,MATCH(COLUMNS($U$1006:AC1006),$U$1006:$AC$1006,0))&gt;=100000), " ",IF(INDEX($U$2:$AC$1001,MATCH(ROWS($N$2:N918),$N$2:$N$1001,0),MATCH(COLUMNS($U$1006:AC1006),$U$1006:$AC$1006,0)), HYPERLINK("#",""), HYPERLINK(CONCATENATE("#metadata!", ADDRESS(INDEX($P$2:$P$1001,MATCH(ROWS($N$2:N918),$N$2:$N$1001,0),0), INDEX($U$1004:$AC$1004,1,MATCH(COLUMNS($U$1006:AC1006),$U$1006:$AC$1006,0)))),"Fix")))</f>
        <v>0</v>
      </c>
      <c r="N918">
        <v>0</v>
      </c>
      <c r="O918">
        <v>0</v>
      </c>
      <c r="P918">
        <v>0</v>
      </c>
      <c r="Q918">
        <f>IF(R918,TRUE,AND(U918:AC918))</f>
        <v>0</v>
      </c>
      <c r="R918">
        <f>COUNTBLANK(metadata!B918:J918)=COLUMNS(metadata!B918:J918)</f>
        <v>0</v>
      </c>
      <c r="S918">
        <v>0</v>
      </c>
      <c r="U918">
        <f>AND(IF(metadata!B918="",FALSE,TRUE),COUNTIF(metadata!B:B, metadata!B918) = 1,NOT(ISERROR(SUMPRODUCT(SEARCH(MID(metadata!B918,ROW(INDIRECT("1:"&amp;LEN(metadata!B918))), 1),"0123456789abcdefghijklmnopqrstuvwxyzABCDEFGHIJKLMNOPQRSTUVWXYZ.")))))</f>
        <v>0</v>
      </c>
      <c r="V918">
        <f>AND(IF(metadata!C918="",FALSE,TRUE),exact(metadata!C918,"UBERON:genitourinary"))</f>
        <v>0</v>
      </c>
      <c r="W918">
        <f>AND(IF(metadata!D918="",FALSE,TRUE),exact(metadata!D918,"UBERON:urine"))</f>
        <v>0</v>
      </c>
      <c r="X918">
        <f>AND(IF(metadata!E918="",FALSE,TRUE),exact(metadata!E918,"UBERON:kidney"))</f>
        <v>0</v>
      </c>
      <c r="Y918">
        <f>AND(IF(metadata!F918="",FALSE,TRUE),exact(metadata!F918,"animal corpus"))</f>
        <v>0</v>
      </c>
      <c r="Z918">
        <f>AND(IF(metadata!G918="",FALSE,TRUE),exact(metadata!G918,"urine"))</f>
        <v>0</v>
      </c>
      <c r="AA918">
        <f>AND(IF(metadata!H918="",FALSE,TRUE),exact(metadata!H918,"urine"))</f>
        <v>0</v>
      </c>
      <c r="AB918">
        <f>AND(IF(metadata!I918="",FALSE,TRUE),exact(metadata!I918,"urine metagenome"))</f>
        <v>0</v>
      </c>
      <c r="AC918">
        <f>AND(IF(metadata!J918="",FALSE,TRUE),exact(metadata!J918,"1346744"))</f>
        <v>0</v>
      </c>
    </row>
    <row r="919" spans="1:29">
      <c r="A919" s="4">
        <f>IF(B919=" "," ",HYPERLINK(CONCATENATE("#metadata!",ADDRESS(INDEX($P$2:$P$1001,MATCH(ROWS($N$2:N919),$N$2:$N$1001,0),0),1)),INDEX($S$2:$S$1001,MATCH(ROWS($N$2:N919),$N$2:$N$1001,0),0)))</f>
        <v>0</v>
      </c>
      <c r="B919" s="3">
        <f>IF(OR(INDEX($O$2:$O$1001,MATCH(ROWS($N$2:N919),$N$2:$N$1001,0),1)&gt;=100000,INDEX($U$1005:$AC$1005,1,MATCH(COLUMNS($U$1006:U1006),$U$1006:$AC$1006,0))&gt;=100000), " ",IF(INDEX($U$2:$AC$1001,MATCH(ROWS($N$2:N919),$N$2:$N$1001,0),MATCH(COLUMNS($U$1006:U1006),$U$1006:$AC$1006,0)), HYPERLINK("#",""), HYPERLINK(CONCATENATE("#metadata!", ADDRESS(INDEX($P$2:$P$1001,MATCH(ROWS($N$2:N919),$N$2:$N$1001,0),0), INDEX($U$1004:$AC$1004,1,MATCH(COLUMNS($U$1006:U1006),$U$1006:$AC$1006,0)))),"Fix")))</f>
        <v>0</v>
      </c>
      <c r="C919" s="3">
        <f>IF(OR(INDEX($O$2:$O$1001,MATCH(ROWS($N$2:N919),$N$2:$N$1001,0),1)&gt;=100000,INDEX($U$1005:$AC$1005,1,MATCH(COLUMNS($U$1006:V1006),$U$1006:$AC$1006,0))&gt;=100000), " ",IF(INDEX($U$2:$AC$1001,MATCH(ROWS($N$2:N919),$N$2:$N$1001,0),MATCH(COLUMNS($U$1006:V1006),$U$1006:$AC$1006,0)), HYPERLINK("#",""), HYPERLINK(CONCATENATE("#metadata!", ADDRESS(INDEX($P$2:$P$1001,MATCH(ROWS($N$2:N919),$N$2:$N$1001,0),0), INDEX($U$1004:$AC$1004,1,MATCH(COLUMNS($U$1006:V1006),$U$1006:$AC$1006,0)))),"Fix")))</f>
        <v>0</v>
      </c>
      <c r="D919" s="3">
        <f>IF(OR(INDEX($O$2:$O$1001,MATCH(ROWS($N$2:N919),$N$2:$N$1001,0),1)&gt;=100000,INDEX($U$1005:$AC$1005,1,MATCH(COLUMNS($U$1006:W1006),$U$1006:$AC$1006,0))&gt;=100000), " ",IF(INDEX($U$2:$AC$1001,MATCH(ROWS($N$2:N919),$N$2:$N$1001,0),MATCH(COLUMNS($U$1006:W1006),$U$1006:$AC$1006,0)), HYPERLINK("#",""), HYPERLINK(CONCATENATE("#metadata!", ADDRESS(INDEX($P$2:$P$1001,MATCH(ROWS($N$2:N919),$N$2:$N$1001,0),0), INDEX($U$1004:$AC$1004,1,MATCH(COLUMNS($U$1006:W1006),$U$1006:$AC$1006,0)))),"Fix")))</f>
        <v>0</v>
      </c>
      <c r="E919" s="3">
        <f>IF(OR(INDEX($O$2:$O$1001,MATCH(ROWS($N$2:N919),$N$2:$N$1001,0),1)&gt;=100000,INDEX($U$1005:$AC$1005,1,MATCH(COLUMNS($U$1006:X1006),$U$1006:$AC$1006,0))&gt;=100000), " ",IF(INDEX($U$2:$AC$1001,MATCH(ROWS($N$2:N919),$N$2:$N$1001,0),MATCH(COLUMNS($U$1006:X1006),$U$1006:$AC$1006,0)), HYPERLINK("#",""), HYPERLINK(CONCATENATE("#metadata!", ADDRESS(INDEX($P$2:$P$1001,MATCH(ROWS($N$2:N919),$N$2:$N$1001,0),0), INDEX($U$1004:$AC$1004,1,MATCH(COLUMNS($U$1006:X1006),$U$1006:$AC$1006,0)))),"Fix")))</f>
        <v>0</v>
      </c>
      <c r="F919" s="3">
        <f>IF(OR(INDEX($O$2:$O$1001,MATCH(ROWS($N$2:N919),$N$2:$N$1001,0),1)&gt;=100000,INDEX($U$1005:$AC$1005,1,MATCH(COLUMNS($U$1006:Y1006),$U$1006:$AC$1006,0))&gt;=100000), " ",IF(INDEX($U$2:$AC$1001,MATCH(ROWS($N$2:N919),$N$2:$N$1001,0),MATCH(COLUMNS($U$1006:Y1006),$U$1006:$AC$1006,0)), HYPERLINK("#",""), HYPERLINK(CONCATENATE("#metadata!", ADDRESS(INDEX($P$2:$P$1001,MATCH(ROWS($N$2:N919),$N$2:$N$1001,0),0), INDEX($U$1004:$AC$1004,1,MATCH(COLUMNS($U$1006:Y1006),$U$1006:$AC$1006,0)))),"Fix")))</f>
        <v>0</v>
      </c>
      <c r="G919" s="3">
        <f>IF(OR(INDEX($O$2:$O$1001,MATCH(ROWS($N$2:N919),$N$2:$N$1001,0),1)&gt;=100000,INDEX($U$1005:$AC$1005,1,MATCH(COLUMNS($U$1006:Z1006),$U$1006:$AC$1006,0))&gt;=100000), " ",IF(INDEX($U$2:$AC$1001,MATCH(ROWS($N$2:N919),$N$2:$N$1001,0),MATCH(COLUMNS($U$1006:Z1006),$U$1006:$AC$1006,0)), HYPERLINK("#",""), HYPERLINK(CONCATENATE("#metadata!", ADDRESS(INDEX($P$2:$P$1001,MATCH(ROWS($N$2:N919),$N$2:$N$1001,0),0), INDEX($U$1004:$AC$1004,1,MATCH(COLUMNS($U$1006:Z1006),$U$1006:$AC$1006,0)))),"Fix")))</f>
        <v>0</v>
      </c>
      <c r="H919" s="3">
        <f>IF(OR(INDEX($O$2:$O$1001,MATCH(ROWS($N$2:N919),$N$2:$N$1001,0),1)&gt;=100000,INDEX($U$1005:$AC$1005,1,MATCH(COLUMNS($U$1006:AA1006),$U$1006:$AC$1006,0))&gt;=100000), " ",IF(INDEX($U$2:$AC$1001,MATCH(ROWS($N$2:N919),$N$2:$N$1001,0),MATCH(COLUMNS($U$1006:AA1006),$U$1006:$AC$1006,0)), HYPERLINK("#",""), HYPERLINK(CONCATENATE("#metadata!", ADDRESS(INDEX($P$2:$P$1001,MATCH(ROWS($N$2:N919),$N$2:$N$1001,0),0), INDEX($U$1004:$AC$1004,1,MATCH(COLUMNS($U$1006:AA1006),$U$1006:$AC$1006,0)))),"Fix")))</f>
        <v>0</v>
      </c>
      <c r="I919" s="3">
        <f>IF(OR(INDEX($O$2:$O$1001,MATCH(ROWS($N$2:N919),$N$2:$N$1001,0),1)&gt;=100000,INDEX($U$1005:$AC$1005,1,MATCH(COLUMNS($U$1006:AB1006),$U$1006:$AC$1006,0))&gt;=100000), " ",IF(INDEX($U$2:$AC$1001,MATCH(ROWS($N$2:N919),$N$2:$N$1001,0),MATCH(COLUMNS($U$1006:AB1006),$U$1006:$AC$1006,0)), HYPERLINK("#",""), HYPERLINK(CONCATENATE("#metadata!", ADDRESS(INDEX($P$2:$P$1001,MATCH(ROWS($N$2:N919),$N$2:$N$1001,0),0), INDEX($U$1004:$AC$1004,1,MATCH(COLUMNS($U$1006:AB1006),$U$1006:$AC$1006,0)))),"Fix")))</f>
        <v>0</v>
      </c>
      <c r="J919" s="3">
        <f>IF(OR(INDEX($O$2:$O$1001,MATCH(ROWS($N$2:N919),$N$2:$N$1001,0),1)&gt;=100000,INDEX($U$1005:$AC$1005,1,MATCH(COLUMNS($U$1006:AC1006),$U$1006:$AC$1006,0))&gt;=100000), " ",IF(INDEX($U$2:$AC$1001,MATCH(ROWS($N$2:N919),$N$2:$N$1001,0),MATCH(COLUMNS($U$1006:AC1006),$U$1006:$AC$1006,0)), HYPERLINK("#",""), HYPERLINK(CONCATENATE("#metadata!", ADDRESS(INDEX($P$2:$P$1001,MATCH(ROWS($N$2:N919),$N$2:$N$1001,0),0), INDEX($U$1004:$AC$1004,1,MATCH(COLUMNS($U$1006:AC1006),$U$1006:$AC$1006,0)))),"Fix")))</f>
        <v>0</v>
      </c>
      <c r="N919">
        <v>0</v>
      </c>
      <c r="O919">
        <v>0</v>
      </c>
      <c r="P919">
        <v>0</v>
      </c>
      <c r="Q919">
        <f>IF(R919,TRUE,AND(U919:AC919))</f>
        <v>0</v>
      </c>
      <c r="R919">
        <f>COUNTBLANK(metadata!B919:J919)=COLUMNS(metadata!B919:J919)</f>
        <v>0</v>
      </c>
      <c r="S919">
        <v>0</v>
      </c>
      <c r="U919">
        <f>AND(IF(metadata!B919="",FALSE,TRUE),COUNTIF(metadata!B:B, metadata!B919) = 1,NOT(ISERROR(SUMPRODUCT(SEARCH(MID(metadata!B919,ROW(INDIRECT("1:"&amp;LEN(metadata!B919))), 1),"0123456789abcdefghijklmnopqrstuvwxyzABCDEFGHIJKLMNOPQRSTUVWXYZ.")))))</f>
        <v>0</v>
      </c>
      <c r="V919">
        <f>AND(IF(metadata!C919="",FALSE,TRUE),exact(metadata!C919,"UBERON:genitourinary"))</f>
        <v>0</v>
      </c>
      <c r="W919">
        <f>AND(IF(metadata!D919="",FALSE,TRUE),exact(metadata!D919,"UBERON:urine"))</f>
        <v>0</v>
      </c>
      <c r="X919">
        <f>AND(IF(metadata!E919="",FALSE,TRUE),exact(metadata!E919,"UBERON:kidney"))</f>
        <v>0</v>
      </c>
      <c r="Y919">
        <f>AND(IF(metadata!F919="",FALSE,TRUE),exact(metadata!F919,"animal corpus"))</f>
        <v>0</v>
      </c>
      <c r="Z919">
        <f>AND(IF(metadata!G919="",FALSE,TRUE),exact(metadata!G919,"urine"))</f>
        <v>0</v>
      </c>
      <c r="AA919">
        <f>AND(IF(metadata!H919="",FALSE,TRUE),exact(metadata!H919,"urine"))</f>
        <v>0</v>
      </c>
      <c r="AB919">
        <f>AND(IF(metadata!I919="",FALSE,TRUE),exact(metadata!I919,"urine metagenome"))</f>
        <v>0</v>
      </c>
      <c r="AC919">
        <f>AND(IF(metadata!J919="",FALSE,TRUE),exact(metadata!J919,"1346744"))</f>
        <v>0</v>
      </c>
    </row>
    <row r="920" spans="1:29">
      <c r="A920" s="4">
        <f>IF(B920=" "," ",HYPERLINK(CONCATENATE("#metadata!",ADDRESS(INDEX($P$2:$P$1001,MATCH(ROWS($N$2:N920),$N$2:$N$1001,0),0),1)),INDEX($S$2:$S$1001,MATCH(ROWS($N$2:N920),$N$2:$N$1001,0),0)))</f>
        <v>0</v>
      </c>
      <c r="B920" s="3">
        <f>IF(OR(INDEX($O$2:$O$1001,MATCH(ROWS($N$2:N920),$N$2:$N$1001,0),1)&gt;=100000,INDEX($U$1005:$AC$1005,1,MATCH(COLUMNS($U$1006:U1006),$U$1006:$AC$1006,0))&gt;=100000), " ",IF(INDEX($U$2:$AC$1001,MATCH(ROWS($N$2:N920),$N$2:$N$1001,0),MATCH(COLUMNS($U$1006:U1006),$U$1006:$AC$1006,0)), HYPERLINK("#",""), HYPERLINK(CONCATENATE("#metadata!", ADDRESS(INDEX($P$2:$P$1001,MATCH(ROWS($N$2:N920),$N$2:$N$1001,0),0), INDEX($U$1004:$AC$1004,1,MATCH(COLUMNS($U$1006:U1006),$U$1006:$AC$1006,0)))),"Fix")))</f>
        <v>0</v>
      </c>
      <c r="C920" s="3">
        <f>IF(OR(INDEX($O$2:$O$1001,MATCH(ROWS($N$2:N920),$N$2:$N$1001,0),1)&gt;=100000,INDEX($U$1005:$AC$1005,1,MATCH(COLUMNS($U$1006:V1006),$U$1006:$AC$1006,0))&gt;=100000), " ",IF(INDEX($U$2:$AC$1001,MATCH(ROWS($N$2:N920),$N$2:$N$1001,0),MATCH(COLUMNS($U$1006:V1006),$U$1006:$AC$1006,0)), HYPERLINK("#",""), HYPERLINK(CONCATENATE("#metadata!", ADDRESS(INDEX($P$2:$P$1001,MATCH(ROWS($N$2:N920),$N$2:$N$1001,0),0), INDEX($U$1004:$AC$1004,1,MATCH(COLUMNS($U$1006:V1006),$U$1006:$AC$1006,0)))),"Fix")))</f>
        <v>0</v>
      </c>
      <c r="D920" s="3">
        <f>IF(OR(INDEX($O$2:$O$1001,MATCH(ROWS($N$2:N920),$N$2:$N$1001,0),1)&gt;=100000,INDEX($U$1005:$AC$1005,1,MATCH(COLUMNS($U$1006:W1006),$U$1006:$AC$1006,0))&gt;=100000), " ",IF(INDEX($U$2:$AC$1001,MATCH(ROWS($N$2:N920),$N$2:$N$1001,0),MATCH(COLUMNS($U$1006:W1006),$U$1006:$AC$1006,0)), HYPERLINK("#",""), HYPERLINK(CONCATENATE("#metadata!", ADDRESS(INDEX($P$2:$P$1001,MATCH(ROWS($N$2:N920),$N$2:$N$1001,0),0), INDEX($U$1004:$AC$1004,1,MATCH(COLUMNS($U$1006:W1006),$U$1006:$AC$1006,0)))),"Fix")))</f>
        <v>0</v>
      </c>
      <c r="E920" s="3">
        <f>IF(OR(INDEX($O$2:$O$1001,MATCH(ROWS($N$2:N920),$N$2:$N$1001,0),1)&gt;=100000,INDEX($U$1005:$AC$1005,1,MATCH(COLUMNS($U$1006:X1006),$U$1006:$AC$1006,0))&gt;=100000), " ",IF(INDEX($U$2:$AC$1001,MATCH(ROWS($N$2:N920),$N$2:$N$1001,0),MATCH(COLUMNS($U$1006:X1006),$U$1006:$AC$1006,0)), HYPERLINK("#",""), HYPERLINK(CONCATENATE("#metadata!", ADDRESS(INDEX($P$2:$P$1001,MATCH(ROWS($N$2:N920),$N$2:$N$1001,0),0), INDEX($U$1004:$AC$1004,1,MATCH(COLUMNS($U$1006:X1006),$U$1006:$AC$1006,0)))),"Fix")))</f>
        <v>0</v>
      </c>
      <c r="F920" s="3">
        <f>IF(OR(INDEX($O$2:$O$1001,MATCH(ROWS($N$2:N920),$N$2:$N$1001,0),1)&gt;=100000,INDEX($U$1005:$AC$1005,1,MATCH(COLUMNS($U$1006:Y1006),$U$1006:$AC$1006,0))&gt;=100000), " ",IF(INDEX($U$2:$AC$1001,MATCH(ROWS($N$2:N920),$N$2:$N$1001,0),MATCH(COLUMNS($U$1006:Y1006),$U$1006:$AC$1006,0)), HYPERLINK("#",""), HYPERLINK(CONCATENATE("#metadata!", ADDRESS(INDEX($P$2:$P$1001,MATCH(ROWS($N$2:N920),$N$2:$N$1001,0),0), INDEX($U$1004:$AC$1004,1,MATCH(COLUMNS($U$1006:Y1006),$U$1006:$AC$1006,0)))),"Fix")))</f>
        <v>0</v>
      </c>
      <c r="G920" s="3">
        <f>IF(OR(INDEX($O$2:$O$1001,MATCH(ROWS($N$2:N920),$N$2:$N$1001,0),1)&gt;=100000,INDEX($U$1005:$AC$1005,1,MATCH(COLUMNS($U$1006:Z1006),$U$1006:$AC$1006,0))&gt;=100000), " ",IF(INDEX($U$2:$AC$1001,MATCH(ROWS($N$2:N920),$N$2:$N$1001,0),MATCH(COLUMNS($U$1006:Z1006),$U$1006:$AC$1006,0)), HYPERLINK("#",""), HYPERLINK(CONCATENATE("#metadata!", ADDRESS(INDEX($P$2:$P$1001,MATCH(ROWS($N$2:N920),$N$2:$N$1001,0),0), INDEX($U$1004:$AC$1004,1,MATCH(COLUMNS($U$1006:Z1006),$U$1006:$AC$1006,0)))),"Fix")))</f>
        <v>0</v>
      </c>
      <c r="H920" s="3">
        <f>IF(OR(INDEX($O$2:$O$1001,MATCH(ROWS($N$2:N920),$N$2:$N$1001,0),1)&gt;=100000,INDEX($U$1005:$AC$1005,1,MATCH(COLUMNS($U$1006:AA1006),$U$1006:$AC$1006,0))&gt;=100000), " ",IF(INDEX($U$2:$AC$1001,MATCH(ROWS($N$2:N920),$N$2:$N$1001,0),MATCH(COLUMNS($U$1006:AA1006),$U$1006:$AC$1006,0)), HYPERLINK("#",""), HYPERLINK(CONCATENATE("#metadata!", ADDRESS(INDEX($P$2:$P$1001,MATCH(ROWS($N$2:N920),$N$2:$N$1001,0),0), INDEX($U$1004:$AC$1004,1,MATCH(COLUMNS($U$1006:AA1006),$U$1006:$AC$1006,0)))),"Fix")))</f>
        <v>0</v>
      </c>
      <c r="I920" s="3">
        <f>IF(OR(INDEX($O$2:$O$1001,MATCH(ROWS($N$2:N920),$N$2:$N$1001,0),1)&gt;=100000,INDEX($U$1005:$AC$1005,1,MATCH(COLUMNS($U$1006:AB1006),$U$1006:$AC$1006,0))&gt;=100000), " ",IF(INDEX($U$2:$AC$1001,MATCH(ROWS($N$2:N920),$N$2:$N$1001,0),MATCH(COLUMNS($U$1006:AB1006),$U$1006:$AC$1006,0)), HYPERLINK("#",""), HYPERLINK(CONCATENATE("#metadata!", ADDRESS(INDEX($P$2:$P$1001,MATCH(ROWS($N$2:N920),$N$2:$N$1001,0),0), INDEX($U$1004:$AC$1004,1,MATCH(COLUMNS($U$1006:AB1006),$U$1006:$AC$1006,0)))),"Fix")))</f>
        <v>0</v>
      </c>
      <c r="J920" s="3">
        <f>IF(OR(INDEX($O$2:$O$1001,MATCH(ROWS($N$2:N920),$N$2:$N$1001,0),1)&gt;=100000,INDEX($U$1005:$AC$1005,1,MATCH(COLUMNS($U$1006:AC1006),$U$1006:$AC$1006,0))&gt;=100000), " ",IF(INDEX($U$2:$AC$1001,MATCH(ROWS($N$2:N920),$N$2:$N$1001,0),MATCH(COLUMNS($U$1006:AC1006),$U$1006:$AC$1006,0)), HYPERLINK("#",""), HYPERLINK(CONCATENATE("#metadata!", ADDRESS(INDEX($P$2:$P$1001,MATCH(ROWS($N$2:N920),$N$2:$N$1001,0),0), INDEX($U$1004:$AC$1004,1,MATCH(COLUMNS($U$1006:AC1006),$U$1006:$AC$1006,0)))),"Fix")))</f>
        <v>0</v>
      </c>
      <c r="N920">
        <v>0</v>
      </c>
      <c r="O920">
        <v>0</v>
      </c>
      <c r="P920">
        <v>0</v>
      </c>
      <c r="Q920">
        <f>IF(R920,TRUE,AND(U920:AC920))</f>
        <v>0</v>
      </c>
      <c r="R920">
        <f>COUNTBLANK(metadata!B920:J920)=COLUMNS(metadata!B920:J920)</f>
        <v>0</v>
      </c>
      <c r="S920">
        <v>0</v>
      </c>
      <c r="U920">
        <f>AND(IF(metadata!B920="",FALSE,TRUE),COUNTIF(metadata!B:B, metadata!B920) = 1,NOT(ISERROR(SUMPRODUCT(SEARCH(MID(metadata!B920,ROW(INDIRECT("1:"&amp;LEN(metadata!B920))), 1),"0123456789abcdefghijklmnopqrstuvwxyzABCDEFGHIJKLMNOPQRSTUVWXYZ.")))))</f>
        <v>0</v>
      </c>
      <c r="V920">
        <f>AND(IF(metadata!C920="",FALSE,TRUE),exact(metadata!C920,"UBERON:genitourinary"))</f>
        <v>0</v>
      </c>
      <c r="W920">
        <f>AND(IF(metadata!D920="",FALSE,TRUE),exact(metadata!D920,"UBERON:urine"))</f>
        <v>0</v>
      </c>
      <c r="X920">
        <f>AND(IF(metadata!E920="",FALSE,TRUE),exact(metadata!E920,"UBERON:kidney"))</f>
        <v>0</v>
      </c>
      <c r="Y920">
        <f>AND(IF(metadata!F920="",FALSE,TRUE),exact(metadata!F920,"animal corpus"))</f>
        <v>0</v>
      </c>
      <c r="Z920">
        <f>AND(IF(metadata!G920="",FALSE,TRUE),exact(metadata!G920,"urine"))</f>
        <v>0</v>
      </c>
      <c r="AA920">
        <f>AND(IF(metadata!H920="",FALSE,TRUE),exact(metadata!H920,"urine"))</f>
        <v>0</v>
      </c>
      <c r="AB920">
        <f>AND(IF(metadata!I920="",FALSE,TRUE),exact(metadata!I920,"urine metagenome"))</f>
        <v>0</v>
      </c>
      <c r="AC920">
        <f>AND(IF(metadata!J920="",FALSE,TRUE),exact(metadata!J920,"1346744"))</f>
        <v>0</v>
      </c>
    </row>
    <row r="921" spans="1:29">
      <c r="A921" s="4">
        <f>IF(B921=" "," ",HYPERLINK(CONCATENATE("#metadata!",ADDRESS(INDEX($P$2:$P$1001,MATCH(ROWS($N$2:N921),$N$2:$N$1001,0),0),1)),INDEX($S$2:$S$1001,MATCH(ROWS($N$2:N921),$N$2:$N$1001,0),0)))</f>
        <v>0</v>
      </c>
      <c r="B921" s="3">
        <f>IF(OR(INDEX($O$2:$O$1001,MATCH(ROWS($N$2:N921),$N$2:$N$1001,0),1)&gt;=100000,INDEX($U$1005:$AC$1005,1,MATCH(COLUMNS($U$1006:U1006),$U$1006:$AC$1006,0))&gt;=100000), " ",IF(INDEX($U$2:$AC$1001,MATCH(ROWS($N$2:N921),$N$2:$N$1001,0),MATCH(COLUMNS($U$1006:U1006),$U$1006:$AC$1006,0)), HYPERLINK("#",""), HYPERLINK(CONCATENATE("#metadata!", ADDRESS(INDEX($P$2:$P$1001,MATCH(ROWS($N$2:N921),$N$2:$N$1001,0),0), INDEX($U$1004:$AC$1004,1,MATCH(COLUMNS($U$1006:U1006),$U$1006:$AC$1006,0)))),"Fix")))</f>
        <v>0</v>
      </c>
      <c r="C921" s="3">
        <f>IF(OR(INDEX($O$2:$O$1001,MATCH(ROWS($N$2:N921),$N$2:$N$1001,0),1)&gt;=100000,INDEX($U$1005:$AC$1005,1,MATCH(COLUMNS($U$1006:V1006),$U$1006:$AC$1006,0))&gt;=100000), " ",IF(INDEX($U$2:$AC$1001,MATCH(ROWS($N$2:N921),$N$2:$N$1001,0),MATCH(COLUMNS($U$1006:V1006),$U$1006:$AC$1006,0)), HYPERLINK("#",""), HYPERLINK(CONCATENATE("#metadata!", ADDRESS(INDEX($P$2:$P$1001,MATCH(ROWS($N$2:N921),$N$2:$N$1001,0),0), INDEX($U$1004:$AC$1004,1,MATCH(COLUMNS($U$1006:V1006),$U$1006:$AC$1006,0)))),"Fix")))</f>
        <v>0</v>
      </c>
      <c r="D921" s="3">
        <f>IF(OR(INDEX($O$2:$O$1001,MATCH(ROWS($N$2:N921),$N$2:$N$1001,0),1)&gt;=100000,INDEX($U$1005:$AC$1005,1,MATCH(COLUMNS($U$1006:W1006),$U$1006:$AC$1006,0))&gt;=100000), " ",IF(INDEX($U$2:$AC$1001,MATCH(ROWS($N$2:N921),$N$2:$N$1001,0),MATCH(COLUMNS($U$1006:W1006),$U$1006:$AC$1006,0)), HYPERLINK("#",""), HYPERLINK(CONCATENATE("#metadata!", ADDRESS(INDEX($P$2:$P$1001,MATCH(ROWS($N$2:N921),$N$2:$N$1001,0),0), INDEX($U$1004:$AC$1004,1,MATCH(COLUMNS($U$1006:W1006),$U$1006:$AC$1006,0)))),"Fix")))</f>
        <v>0</v>
      </c>
      <c r="E921" s="3">
        <f>IF(OR(INDEX($O$2:$O$1001,MATCH(ROWS($N$2:N921),$N$2:$N$1001,0),1)&gt;=100000,INDEX($U$1005:$AC$1005,1,MATCH(COLUMNS($U$1006:X1006),$U$1006:$AC$1006,0))&gt;=100000), " ",IF(INDEX($U$2:$AC$1001,MATCH(ROWS($N$2:N921),$N$2:$N$1001,0),MATCH(COLUMNS($U$1006:X1006),$U$1006:$AC$1006,0)), HYPERLINK("#",""), HYPERLINK(CONCATENATE("#metadata!", ADDRESS(INDEX($P$2:$P$1001,MATCH(ROWS($N$2:N921),$N$2:$N$1001,0),0), INDEX($U$1004:$AC$1004,1,MATCH(COLUMNS($U$1006:X1006),$U$1006:$AC$1006,0)))),"Fix")))</f>
        <v>0</v>
      </c>
      <c r="F921" s="3">
        <f>IF(OR(INDEX($O$2:$O$1001,MATCH(ROWS($N$2:N921),$N$2:$N$1001,0),1)&gt;=100000,INDEX($U$1005:$AC$1005,1,MATCH(COLUMNS($U$1006:Y1006),$U$1006:$AC$1006,0))&gt;=100000), " ",IF(INDEX($U$2:$AC$1001,MATCH(ROWS($N$2:N921),$N$2:$N$1001,0),MATCH(COLUMNS($U$1006:Y1006),$U$1006:$AC$1006,0)), HYPERLINK("#",""), HYPERLINK(CONCATENATE("#metadata!", ADDRESS(INDEX($P$2:$P$1001,MATCH(ROWS($N$2:N921),$N$2:$N$1001,0),0), INDEX($U$1004:$AC$1004,1,MATCH(COLUMNS($U$1006:Y1006),$U$1006:$AC$1006,0)))),"Fix")))</f>
        <v>0</v>
      </c>
      <c r="G921" s="3">
        <f>IF(OR(INDEX($O$2:$O$1001,MATCH(ROWS($N$2:N921),$N$2:$N$1001,0),1)&gt;=100000,INDEX($U$1005:$AC$1005,1,MATCH(COLUMNS($U$1006:Z1006),$U$1006:$AC$1006,0))&gt;=100000), " ",IF(INDEX($U$2:$AC$1001,MATCH(ROWS($N$2:N921),$N$2:$N$1001,0),MATCH(COLUMNS($U$1006:Z1006),$U$1006:$AC$1006,0)), HYPERLINK("#",""), HYPERLINK(CONCATENATE("#metadata!", ADDRESS(INDEX($P$2:$P$1001,MATCH(ROWS($N$2:N921),$N$2:$N$1001,0),0), INDEX($U$1004:$AC$1004,1,MATCH(COLUMNS($U$1006:Z1006),$U$1006:$AC$1006,0)))),"Fix")))</f>
        <v>0</v>
      </c>
      <c r="H921" s="3">
        <f>IF(OR(INDEX($O$2:$O$1001,MATCH(ROWS($N$2:N921),$N$2:$N$1001,0),1)&gt;=100000,INDEX($U$1005:$AC$1005,1,MATCH(COLUMNS($U$1006:AA1006),$U$1006:$AC$1006,0))&gt;=100000), " ",IF(INDEX($U$2:$AC$1001,MATCH(ROWS($N$2:N921),$N$2:$N$1001,0),MATCH(COLUMNS($U$1006:AA1006),$U$1006:$AC$1006,0)), HYPERLINK("#",""), HYPERLINK(CONCATENATE("#metadata!", ADDRESS(INDEX($P$2:$P$1001,MATCH(ROWS($N$2:N921),$N$2:$N$1001,0),0), INDEX($U$1004:$AC$1004,1,MATCH(COLUMNS($U$1006:AA1006),$U$1006:$AC$1006,0)))),"Fix")))</f>
        <v>0</v>
      </c>
      <c r="I921" s="3">
        <f>IF(OR(INDEX($O$2:$O$1001,MATCH(ROWS($N$2:N921),$N$2:$N$1001,0),1)&gt;=100000,INDEX($U$1005:$AC$1005,1,MATCH(COLUMNS($U$1006:AB1006),$U$1006:$AC$1006,0))&gt;=100000), " ",IF(INDEX($U$2:$AC$1001,MATCH(ROWS($N$2:N921),$N$2:$N$1001,0),MATCH(COLUMNS($U$1006:AB1006),$U$1006:$AC$1006,0)), HYPERLINK("#",""), HYPERLINK(CONCATENATE("#metadata!", ADDRESS(INDEX($P$2:$P$1001,MATCH(ROWS($N$2:N921),$N$2:$N$1001,0),0), INDEX($U$1004:$AC$1004,1,MATCH(COLUMNS($U$1006:AB1006),$U$1006:$AC$1006,0)))),"Fix")))</f>
        <v>0</v>
      </c>
      <c r="J921" s="3">
        <f>IF(OR(INDEX($O$2:$O$1001,MATCH(ROWS($N$2:N921),$N$2:$N$1001,0),1)&gt;=100000,INDEX($U$1005:$AC$1005,1,MATCH(COLUMNS($U$1006:AC1006),$U$1006:$AC$1006,0))&gt;=100000), " ",IF(INDEX($U$2:$AC$1001,MATCH(ROWS($N$2:N921),$N$2:$N$1001,0),MATCH(COLUMNS($U$1006:AC1006),$U$1006:$AC$1006,0)), HYPERLINK("#",""), HYPERLINK(CONCATENATE("#metadata!", ADDRESS(INDEX($P$2:$P$1001,MATCH(ROWS($N$2:N921),$N$2:$N$1001,0),0), INDEX($U$1004:$AC$1004,1,MATCH(COLUMNS($U$1006:AC1006),$U$1006:$AC$1006,0)))),"Fix")))</f>
        <v>0</v>
      </c>
      <c r="N921">
        <v>0</v>
      </c>
      <c r="O921">
        <v>0</v>
      </c>
      <c r="P921">
        <v>0</v>
      </c>
      <c r="Q921">
        <f>IF(R921,TRUE,AND(U921:AC921))</f>
        <v>0</v>
      </c>
      <c r="R921">
        <f>COUNTBLANK(metadata!B921:J921)=COLUMNS(metadata!B921:J921)</f>
        <v>0</v>
      </c>
      <c r="S921">
        <v>0</v>
      </c>
      <c r="U921">
        <f>AND(IF(metadata!B921="",FALSE,TRUE),COUNTIF(metadata!B:B, metadata!B921) = 1,NOT(ISERROR(SUMPRODUCT(SEARCH(MID(metadata!B921,ROW(INDIRECT("1:"&amp;LEN(metadata!B921))), 1),"0123456789abcdefghijklmnopqrstuvwxyzABCDEFGHIJKLMNOPQRSTUVWXYZ.")))))</f>
        <v>0</v>
      </c>
      <c r="V921">
        <f>AND(IF(metadata!C921="",FALSE,TRUE),exact(metadata!C921,"UBERON:genitourinary"))</f>
        <v>0</v>
      </c>
      <c r="W921">
        <f>AND(IF(metadata!D921="",FALSE,TRUE),exact(metadata!D921,"UBERON:urine"))</f>
        <v>0</v>
      </c>
      <c r="X921">
        <f>AND(IF(metadata!E921="",FALSE,TRUE),exact(metadata!E921,"UBERON:kidney"))</f>
        <v>0</v>
      </c>
      <c r="Y921">
        <f>AND(IF(metadata!F921="",FALSE,TRUE),exact(metadata!F921,"animal corpus"))</f>
        <v>0</v>
      </c>
      <c r="Z921">
        <f>AND(IF(metadata!G921="",FALSE,TRUE),exact(metadata!G921,"urine"))</f>
        <v>0</v>
      </c>
      <c r="AA921">
        <f>AND(IF(metadata!H921="",FALSE,TRUE),exact(metadata!H921,"urine"))</f>
        <v>0</v>
      </c>
      <c r="AB921">
        <f>AND(IF(metadata!I921="",FALSE,TRUE),exact(metadata!I921,"urine metagenome"))</f>
        <v>0</v>
      </c>
      <c r="AC921">
        <f>AND(IF(metadata!J921="",FALSE,TRUE),exact(metadata!J921,"1346744"))</f>
        <v>0</v>
      </c>
    </row>
    <row r="922" spans="1:29">
      <c r="A922" s="4">
        <f>IF(B922=" "," ",HYPERLINK(CONCATENATE("#metadata!",ADDRESS(INDEX($P$2:$P$1001,MATCH(ROWS($N$2:N922),$N$2:$N$1001,0),0),1)),INDEX($S$2:$S$1001,MATCH(ROWS($N$2:N922),$N$2:$N$1001,0),0)))</f>
        <v>0</v>
      </c>
      <c r="B922" s="3">
        <f>IF(OR(INDEX($O$2:$O$1001,MATCH(ROWS($N$2:N922),$N$2:$N$1001,0),1)&gt;=100000,INDEX($U$1005:$AC$1005,1,MATCH(COLUMNS($U$1006:U1006),$U$1006:$AC$1006,0))&gt;=100000), " ",IF(INDEX($U$2:$AC$1001,MATCH(ROWS($N$2:N922),$N$2:$N$1001,0),MATCH(COLUMNS($U$1006:U1006),$U$1006:$AC$1006,0)), HYPERLINK("#",""), HYPERLINK(CONCATENATE("#metadata!", ADDRESS(INDEX($P$2:$P$1001,MATCH(ROWS($N$2:N922),$N$2:$N$1001,0),0), INDEX($U$1004:$AC$1004,1,MATCH(COLUMNS($U$1006:U1006),$U$1006:$AC$1006,0)))),"Fix")))</f>
        <v>0</v>
      </c>
      <c r="C922" s="3">
        <f>IF(OR(INDEX($O$2:$O$1001,MATCH(ROWS($N$2:N922),$N$2:$N$1001,0),1)&gt;=100000,INDEX($U$1005:$AC$1005,1,MATCH(COLUMNS($U$1006:V1006),$U$1006:$AC$1006,0))&gt;=100000), " ",IF(INDEX($U$2:$AC$1001,MATCH(ROWS($N$2:N922),$N$2:$N$1001,0),MATCH(COLUMNS($U$1006:V1006),$U$1006:$AC$1006,0)), HYPERLINK("#",""), HYPERLINK(CONCATENATE("#metadata!", ADDRESS(INDEX($P$2:$P$1001,MATCH(ROWS($N$2:N922),$N$2:$N$1001,0),0), INDEX($U$1004:$AC$1004,1,MATCH(COLUMNS($U$1006:V1006),$U$1006:$AC$1006,0)))),"Fix")))</f>
        <v>0</v>
      </c>
      <c r="D922" s="3">
        <f>IF(OR(INDEX($O$2:$O$1001,MATCH(ROWS($N$2:N922),$N$2:$N$1001,0),1)&gt;=100000,INDEX($U$1005:$AC$1005,1,MATCH(COLUMNS($U$1006:W1006),$U$1006:$AC$1006,0))&gt;=100000), " ",IF(INDEX($U$2:$AC$1001,MATCH(ROWS($N$2:N922),$N$2:$N$1001,0),MATCH(COLUMNS($U$1006:W1006),$U$1006:$AC$1006,0)), HYPERLINK("#",""), HYPERLINK(CONCATENATE("#metadata!", ADDRESS(INDEX($P$2:$P$1001,MATCH(ROWS($N$2:N922),$N$2:$N$1001,0),0), INDEX($U$1004:$AC$1004,1,MATCH(COLUMNS($U$1006:W1006),$U$1006:$AC$1006,0)))),"Fix")))</f>
        <v>0</v>
      </c>
      <c r="E922" s="3">
        <f>IF(OR(INDEX($O$2:$O$1001,MATCH(ROWS($N$2:N922),$N$2:$N$1001,0),1)&gt;=100000,INDEX($U$1005:$AC$1005,1,MATCH(COLUMNS($U$1006:X1006),$U$1006:$AC$1006,0))&gt;=100000), " ",IF(INDEX($U$2:$AC$1001,MATCH(ROWS($N$2:N922),$N$2:$N$1001,0),MATCH(COLUMNS($U$1006:X1006),$U$1006:$AC$1006,0)), HYPERLINK("#",""), HYPERLINK(CONCATENATE("#metadata!", ADDRESS(INDEX($P$2:$P$1001,MATCH(ROWS($N$2:N922),$N$2:$N$1001,0),0), INDEX($U$1004:$AC$1004,1,MATCH(COLUMNS($U$1006:X1006),$U$1006:$AC$1006,0)))),"Fix")))</f>
        <v>0</v>
      </c>
      <c r="F922" s="3">
        <f>IF(OR(INDEX($O$2:$O$1001,MATCH(ROWS($N$2:N922),$N$2:$N$1001,0),1)&gt;=100000,INDEX($U$1005:$AC$1005,1,MATCH(COLUMNS($U$1006:Y1006),$U$1006:$AC$1006,0))&gt;=100000), " ",IF(INDEX($U$2:$AC$1001,MATCH(ROWS($N$2:N922),$N$2:$N$1001,0),MATCH(COLUMNS($U$1006:Y1006),$U$1006:$AC$1006,0)), HYPERLINK("#",""), HYPERLINK(CONCATENATE("#metadata!", ADDRESS(INDEX($P$2:$P$1001,MATCH(ROWS($N$2:N922),$N$2:$N$1001,0),0), INDEX($U$1004:$AC$1004,1,MATCH(COLUMNS($U$1006:Y1006),$U$1006:$AC$1006,0)))),"Fix")))</f>
        <v>0</v>
      </c>
      <c r="G922" s="3">
        <f>IF(OR(INDEX($O$2:$O$1001,MATCH(ROWS($N$2:N922),$N$2:$N$1001,0),1)&gt;=100000,INDEX($U$1005:$AC$1005,1,MATCH(COLUMNS($U$1006:Z1006),$U$1006:$AC$1006,0))&gt;=100000), " ",IF(INDEX($U$2:$AC$1001,MATCH(ROWS($N$2:N922),$N$2:$N$1001,0),MATCH(COLUMNS($U$1006:Z1006),$U$1006:$AC$1006,0)), HYPERLINK("#",""), HYPERLINK(CONCATENATE("#metadata!", ADDRESS(INDEX($P$2:$P$1001,MATCH(ROWS($N$2:N922),$N$2:$N$1001,0),0), INDEX($U$1004:$AC$1004,1,MATCH(COLUMNS($U$1006:Z1006),$U$1006:$AC$1006,0)))),"Fix")))</f>
        <v>0</v>
      </c>
      <c r="H922" s="3">
        <f>IF(OR(INDEX($O$2:$O$1001,MATCH(ROWS($N$2:N922),$N$2:$N$1001,0),1)&gt;=100000,INDEX($U$1005:$AC$1005,1,MATCH(COLUMNS($U$1006:AA1006),$U$1006:$AC$1006,0))&gt;=100000), " ",IF(INDEX($U$2:$AC$1001,MATCH(ROWS($N$2:N922),$N$2:$N$1001,0),MATCH(COLUMNS($U$1006:AA1006),$U$1006:$AC$1006,0)), HYPERLINK("#",""), HYPERLINK(CONCATENATE("#metadata!", ADDRESS(INDEX($P$2:$P$1001,MATCH(ROWS($N$2:N922),$N$2:$N$1001,0),0), INDEX($U$1004:$AC$1004,1,MATCH(COLUMNS($U$1006:AA1006),$U$1006:$AC$1006,0)))),"Fix")))</f>
        <v>0</v>
      </c>
      <c r="I922" s="3">
        <f>IF(OR(INDEX($O$2:$O$1001,MATCH(ROWS($N$2:N922),$N$2:$N$1001,0),1)&gt;=100000,INDEX($U$1005:$AC$1005,1,MATCH(COLUMNS($U$1006:AB1006),$U$1006:$AC$1006,0))&gt;=100000), " ",IF(INDEX($U$2:$AC$1001,MATCH(ROWS($N$2:N922),$N$2:$N$1001,0),MATCH(COLUMNS($U$1006:AB1006),$U$1006:$AC$1006,0)), HYPERLINK("#",""), HYPERLINK(CONCATENATE("#metadata!", ADDRESS(INDEX($P$2:$P$1001,MATCH(ROWS($N$2:N922),$N$2:$N$1001,0),0), INDEX($U$1004:$AC$1004,1,MATCH(COLUMNS($U$1006:AB1006),$U$1006:$AC$1006,0)))),"Fix")))</f>
        <v>0</v>
      </c>
      <c r="J922" s="3">
        <f>IF(OR(INDEX($O$2:$O$1001,MATCH(ROWS($N$2:N922),$N$2:$N$1001,0),1)&gt;=100000,INDEX($U$1005:$AC$1005,1,MATCH(COLUMNS($U$1006:AC1006),$U$1006:$AC$1006,0))&gt;=100000), " ",IF(INDEX($U$2:$AC$1001,MATCH(ROWS($N$2:N922),$N$2:$N$1001,0),MATCH(COLUMNS($U$1006:AC1006),$U$1006:$AC$1006,0)), HYPERLINK("#",""), HYPERLINK(CONCATENATE("#metadata!", ADDRESS(INDEX($P$2:$P$1001,MATCH(ROWS($N$2:N922),$N$2:$N$1001,0),0), INDEX($U$1004:$AC$1004,1,MATCH(COLUMNS($U$1006:AC1006),$U$1006:$AC$1006,0)))),"Fix")))</f>
        <v>0</v>
      </c>
      <c r="N922">
        <v>0</v>
      </c>
      <c r="O922">
        <v>0</v>
      </c>
      <c r="P922">
        <v>0</v>
      </c>
      <c r="Q922">
        <f>IF(R922,TRUE,AND(U922:AC922))</f>
        <v>0</v>
      </c>
      <c r="R922">
        <f>COUNTBLANK(metadata!B922:J922)=COLUMNS(metadata!B922:J922)</f>
        <v>0</v>
      </c>
      <c r="S922">
        <v>0</v>
      </c>
      <c r="U922">
        <f>AND(IF(metadata!B922="",FALSE,TRUE),COUNTIF(metadata!B:B, metadata!B922) = 1,NOT(ISERROR(SUMPRODUCT(SEARCH(MID(metadata!B922,ROW(INDIRECT("1:"&amp;LEN(metadata!B922))), 1),"0123456789abcdefghijklmnopqrstuvwxyzABCDEFGHIJKLMNOPQRSTUVWXYZ.")))))</f>
        <v>0</v>
      </c>
      <c r="V922">
        <f>AND(IF(metadata!C922="",FALSE,TRUE),exact(metadata!C922,"UBERON:genitourinary"))</f>
        <v>0</v>
      </c>
      <c r="W922">
        <f>AND(IF(metadata!D922="",FALSE,TRUE),exact(metadata!D922,"UBERON:urine"))</f>
        <v>0</v>
      </c>
      <c r="X922">
        <f>AND(IF(metadata!E922="",FALSE,TRUE),exact(metadata!E922,"UBERON:kidney"))</f>
        <v>0</v>
      </c>
      <c r="Y922">
        <f>AND(IF(metadata!F922="",FALSE,TRUE),exact(metadata!F922,"animal corpus"))</f>
        <v>0</v>
      </c>
      <c r="Z922">
        <f>AND(IF(metadata!G922="",FALSE,TRUE),exact(metadata!G922,"urine"))</f>
        <v>0</v>
      </c>
      <c r="AA922">
        <f>AND(IF(metadata!H922="",FALSE,TRUE),exact(metadata!H922,"urine"))</f>
        <v>0</v>
      </c>
      <c r="AB922">
        <f>AND(IF(metadata!I922="",FALSE,TRUE),exact(metadata!I922,"urine metagenome"))</f>
        <v>0</v>
      </c>
      <c r="AC922">
        <f>AND(IF(metadata!J922="",FALSE,TRUE),exact(metadata!J922,"1346744"))</f>
        <v>0</v>
      </c>
    </row>
    <row r="923" spans="1:29">
      <c r="A923" s="4">
        <f>IF(B923=" "," ",HYPERLINK(CONCATENATE("#metadata!",ADDRESS(INDEX($P$2:$P$1001,MATCH(ROWS($N$2:N923),$N$2:$N$1001,0),0),1)),INDEX($S$2:$S$1001,MATCH(ROWS($N$2:N923),$N$2:$N$1001,0),0)))</f>
        <v>0</v>
      </c>
      <c r="B923" s="3">
        <f>IF(OR(INDEX($O$2:$O$1001,MATCH(ROWS($N$2:N923),$N$2:$N$1001,0),1)&gt;=100000,INDEX($U$1005:$AC$1005,1,MATCH(COLUMNS($U$1006:U1006),$U$1006:$AC$1006,0))&gt;=100000), " ",IF(INDEX($U$2:$AC$1001,MATCH(ROWS($N$2:N923),$N$2:$N$1001,0),MATCH(COLUMNS($U$1006:U1006),$U$1006:$AC$1006,0)), HYPERLINK("#",""), HYPERLINK(CONCATENATE("#metadata!", ADDRESS(INDEX($P$2:$P$1001,MATCH(ROWS($N$2:N923),$N$2:$N$1001,0),0), INDEX($U$1004:$AC$1004,1,MATCH(COLUMNS($U$1006:U1006),$U$1006:$AC$1006,0)))),"Fix")))</f>
        <v>0</v>
      </c>
      <c r="C923" s="3">
        <f>IF(OR(INDEX($O$2:$O$1001,MATCH(ROWS($N$2:N923),$N$2:$N$1001,0),1)&gt;=100000,INDEX($U$1005:$AC$1005,1,MATCH(COLUMNS($U$1006:V1006),$U$1006:$AC$1006,0))&gt;=100000), " ",IF(INDEX($U$2:$AC$1001,MATCH(ROWS($N$2:N923),$N$2:$N$1001,0),MATCH(COLUMNS($U$1006:V1006),$U$1006:$AC$1006,0)), HYPERLINK("#",""), HYPERLINK(CONCATENATE("#metadata!", ADDRESS(INDEX($P$2:$P$1001,MATCH(ROWS($N$2:N923),$N$2:$N$1001,0),0), INDEX($U$1004:$AC$1004,1,MATCH(COLUMNS($U$1006:V1006),$U$1006:$AC$1006,0)))),"Fix")))</f>
        <v>0</v>
      </c>
      <c r="D923" s="3">
        <f>IF(OR(INDEX($O$2:$O$1001,MATCH(ROWS($N$2:N923),$N$2:$N$1001,0),1)&gt;=100000,INDEX($U$1005:$AC$1005,1,MATCH(COLUMNS($U$1006:W1006),$U$1006:$AC$1006,0))&gt;=100000), " ",IF(INDEX($U$2:$AC$1001,MATCH(ROWS($N$2:N923),$N$2:$N$1001,0),MATCH(COLUMNS($U$1006:W1006),$U$1006:$AC$1006,0)), HYPERLINK("#",""), HYPERLINK(CONCATENATE("#metadata!", ADDRESS(INDEX($P$2:$P$1001,MATCH(ROWS($N$2:N923),$N$2:$N$1001,0),0), INDEX($U$1004:$AC$1004,1,MATCH(COLUMNS($U$1006:W1006),$U$1006:$AC$1006,0)))),"Fix")))</f>
        <v>0</v>
      </c>
      <c r="E923" s="3">
        <f>IF(OR(INDEX($O$2:$O$1001,MATCH(ROWS($N$2:N923),$N$2:$N$1001,0),1)&gt;=100000,INDEX($U$1005:$AC$1005,1,MATCH(COLUMNS($U$1006:X1006),$U$1006:$AC$1006,0))&gt;=100000), " ",IF(INDEX($U$2:$AC$1001,MATCH(ROWS($N$2:N923),$N$2:$N$1001,0),MATCH(COLUMNS($U$1006:X1006),$U$1006:$AC$1006,0)), HYPERLINK("#",""), HYPERLINK(CONCATENATE("#metadata!", ADDRESS(INDEX($P$2:$P$1001,MATCH(ROWS($N$2:N923),$N$2:$N$1001,0),0), INDEX($U$1004:$AC$1004,1,MATCH(COLUMNS($U$1006:X1006),$U$1006:$AC$1006,0)))),"Fix")))</f>
        <v>0</v>
      </c>
      <c r="F923" s="3">
        <f>IF(OR(INDEX($O$2:$O$1001,MATCH(ROWS($N$2:N923),$N$2:$N$1001,0),1)&gt;=100000,INDEX($U$1005:$AC$1005,1,MATCH(COLUMNS($U$1006:Y1006),$U$1006:$AC$1006,0))&gt;=100000), " ",IF(INDEX($U$2:$AC$1001,MATCH(ROWS($N$2:N923),$N$2:$N$1001,0),MATCH(COLUMNS($U$1006:Y1006),$U$1006:$AC$1006,0)), HYPERLINK("#",""), HYPERLINK(CONCATENATE("#metadata!", ADDRESS(INDEX($P$2:$P$1001,MATCH(ROWS($N$2:N923),$N$2:$N$1001,0),0), INDEX($U$1004:$AC$1004,1,MATCH(COLUMNS($U$1006:Y1006),$U$1006:$AC$1006,0)))),"Fix")))</f>
        <v>0</v>
      </c>
      <c r="G923" s="3">
        <f>IF(OR(INDEX($O$2:$O$1001,MATCH(ROWS($N$2:N923),$N$2:$N$1001,0),1)&gt;=100000,INDEX($U$1005:$AC$1005,1,MATCH(COLUMNS($U$1006:Z1006),$U$1006:$AC$1006,0))&gt;=100000), " ",IF(INDEX($U$2:$AC$1001,MATCH(ROWS($N$2:N923),$N$2:$N$1001,0),MATCH(COLUMNS($U$1006:Z1006),$U$1006:$AC$1006,0)), HYPERLINK("#",""), HYPERLINK(CONCATENATE("#metadata!", ADDRESS(INDEX($P$2:$P$1001,MATCH(ROWS($N$2:N923),$N$2:$N$1001,0),0), INDEX($U$1004:$AC$1004,1,MATCH(COLUMNS($U$1006:Z1006),$U$1006:$AC$1006,0)))),"Fix")))</f>
        <v>0</v>
      </c>
      <c r="H923" s="3">
        <f>IF(OR(INDEX($O$2:$O$1001,MATCH(ROWS($N$2:N923),$N$2:$N$1001,0),1)&gt;=100000,INDEX($U$1005:$AC$1005,1,MATCH(COLUMNS($U$1006:AA1006),$U$1006:$AC$1006,0))&gt;=100000), " ",IF(INDEX($U$2:$AC$1001,MATCH(ROWS($N$2:N923),$N$2:$N$1001,0),MATCH(COLUMNS($U$1006:AA1006),$U$1006:$AC$1006,0)), HYPERLINK("#",""), HYPERLINK(CONCATENATE("#metadata!", ADDRESS(INDEX($P$2:$P$1001,MATCH(ROWS($N$2:N923),$N$2:$N$1001,0),0), INDEX($U$1004:$AC$1004,1,MATCH(COLUMNS($U$1006:AA1006),$U$1006:$AC$1006,0)))),"Fix")))</f>
        <v>0</v>
      </c>
      <c r="I923" s="3">
        <f>IF(OR(INDEX($O$2:$O$1001,MATCH(ROWS($N$2:N923),$N$2:$N$1001,0),1)&gt;=100000,INDEX($U$1005:$AC$1005,1,MATCH(COLUMNS($U$1006:AB1006),$U$1006:$AC$1006,0))&gt;=100000), " ",IF(INDEX($U$2:$AC$1001,MATCH(ROWS($N$2:N923),$N$2:$N$1001,0),MATCH(COLUMNS($U$1006:AB1006),$U$1006:$AC$1006,0)), HYPERLINK("#",""), HYPERLINK(CONCATENATE("#metadata!", ADDRESS(INDEX($P$2:$P$1001,MATCH(ROWS($N$2:N923),$N$2:$N$1001,0),0), INDEX($U$1004:$AC$1004,1,MATCH(COLUMNS($U$1006:AB1006),$U$1006:$AC$1006,0)))),"Fix")))</f>
        <v>0</v>
      </c>
      <c r="J923" s="3">
        <f>IF(OR(INDEX($O$2:$O$1001,MATCH(ROWS($N$2:N923),$N$2:$N$1001,0),1)&gt;=100000,INDEX($U$1005:$AC$1005,1,MATCH(COLUMNS($U$1006:AC1006),$U$1006:$AC$1006,0))&gt;=100000), " ",IF(INDEX($U$2:$AC$1001,MATCH(ROWS($N$2:N923),$N$2:$N$1001,0),MATCH(COLUMNS($U$1006:AC1006),$U$1006:$AC$1006,0)), HYPERLINK("#",""), HYPERLINK(CONCATENATE("#metadata!", ADDRESS(INDEX($P$2:$P$1001,MATCH(ROWS($N$2:N923),$N$2:$N$1001,0),0), INDEX($U$1004:$AC$1004,1,MATCH(COLUMNS($U$1006:AC1006),$U$1006:$AC$1006,0)))),"Fix")))</f>
        <v>0</v>
      </c>
      <c r="N923">
        <v>0</v>
      </c>
      <c r="O923">
        <v>0</v>
      </c>
      <c r="P923">
        <v>0</v>
      </c>
      <c r="Q923">
        <f>IF(R923,TRUE,AND(U923:AC923))</f>
        <v>0</v>
      </c>
      <c r="R923">
        <f>COUNTBLANK(metadata!B923:J923)=COLUMNS(metadata!B923:J923)</f>
        <v>0</v>
      </c>
      <c r="S923">
        <v>0</v>
      </c>
      <c r="U923">
        <f>AND(IF(metadata!B923="",FALSE,TRUE),COUNTIF(metadata!B:B, metadata!B923) = 1,NOT(ISERROR(SUMPRODUCT(SEARCH(MID(metadata!B923,ROW(INDIRECT("1:"&amp;LEN(metadata!B923))), 1),"0123456789abcdefghijklmnopqrstuvwxyzABCDEFGHIJKLMNOPQRSTUVWXYZ.")))))</f>
        <v>0</v>
      </c>
      <c r="V923">
        <f>AND(IF(metadata!C923="",FALSE,TRUE),exact(metadata!C923,"UBERON:genitourinary"))</f>
        <v>0</v>
      </c>
      <c r="W923">
        <f>AND(IF(metadata!D923="",FALSE,TRUE),exact(metadata!D923,"UBERON:urine"))</f>
        <v>0</v>
      </c>
      <c r="X923">
        <f>AND(IF(metadata!E923="",FALSE,TRUE),exact(metadata!E923,"UBERON:kidney"))</f>
        <v>0</v>
      </c>
      <c r="Y923">
        <f>AND(IF(metadata!F923="",FALSE,TRUE),exact(metadata!F923,"animal corpus"))</f>
        <v>0</v>
      </c>
      <c r="Z923">
        <f>AND(IF(metadata!G923="",FALSE,TRUE),exact(metadata!G923,"urine"))</f>
        <v>0</v>
      </c>
      <c r="AA923">
        <f>AND(IF(metadata!H923="",FALSE,TRUE),exact(metadata!H923,"urine"))</f>
        <v>0</v>
      </c>
      <c r="AB923">
        <f>AND(IF(metadata!I923="",FALSE,TRUE),exact(metadata!I923,"urine metagenome"))</f>
        <v>0</v>
      </c>
      <c r="AC923">
        <f>AND(IF(metadata!J923="",FALSE,TRUE),exact(metadata!J923,"1346744"))</f>
        <v>0</v>
      </c>
    </row>
    <row r="924" spans="1:29">
      <c r="A924" s="4">
        <f>IF(B924=" "," ",HYPERLINK(CONCATENATE("#metadata!",ADDRESS(INDEX($P$2:$P$1001,MATCH(ROWS($N$2:N924),$N$2:$N$1001,0),0),1)),INDEX($S$2:$S$1001,MATCH(ROWS($N$2:N924),$N$2:$N$1001,0),0)))</f>
        <v>0</v>
      </c>
      <c r="B924" s="3">
        <f>IF(OR(INDEX($O$2:$O$1001,MATCH(ROWS($N$2:N924),$N$2:$N$1001,0),1)&gt;=100000,INDEX($U$1005:$AC$1005,1,MATCH(COLUMNS($U$1006:U1006),$U$1006:$AC$1006,0))&gt;=100000), " ",IF(INDEX($U$2:$AC$1001,MATCH(ROWS($N$2:N924),$N$2:$N$1001,0),MATCH(COLUMNS($U$1006:U1006),$U$1006:$AC$1006,0)), HYPERLINK("#",""), HYPERLINK(CONCATENATE("#metadata!", ADDRESS(INDEX($P$2:$P$1001,MATCH(ROWS($N$2:N924),$N$2:$N$1001,0),0), INDEX($U$1004:$AC$1004,1,MATCH(COLUMNS($U$1006:U1006),$U$1006:$AC$1006,0)))),"Fix")))</f>
        <v>0</v>
      </c>
      <c r="C924" s="3">
        <f>IF(OR(INDEX($O$2:$O$1001,MATCH(ROWS($N$2:N924),$N$2:$N$1001,0),1)&gt;=100000,INDEX($U$1005:$AC$1005,1,MATCH(COLUMNS($U$1006:V1006),$U$1006:$AC$1006,0))&gt;=100000), " ",IF(INDEX($U$2:$AC$1001,MATCH(ROWS($N$2:N924),$N$2:$N$1001,0),MATCH(COLUMNS($U$1006:V1006),$U$1006:$AC$1006,0)), HYPERLINK("#",""), HYPERLINK(CONCATENATE("#metadata!", ADDRESS(INDEX($P$2:$P$1001,MATCH(ROWS($N$2:N924),$N$2:$N$1001,0),0), INDEX($U$1004:$AC$1004,1,MATCH(COLUMNS($U$1006:V1006),$U$1006:$AC$1006,0)))),"Fix")))</f>
        <v>0</v>
      </c>
      <c r="D924" s="3">
        <f>IF(OR(INDEX($O$2:$O$1001,MATCH(ROWS($N$2:N924),$N$2:$N$1001,0),1)&gt;=100000,INDEX($U$1005:$AC$1005,1,MATCH(COLUMNS($U$1006:W1006),$U$1006:$AC$1006,0))&gt;=100000), " ",IF(INDEX($U$2:$AC$1001,MATCH(ROWS($N$2:N924),$N$2:$N$1001,0),MATCH(COLUMNS($U$1006:W1006),$U$1006:$AC$1006,0)), HYPERLINK("#",""), HYPERLINK(CONCATENATE("#metadata!", ADDRESS(INDEX($P$2:$P$1001,MATCH(ROWS($N$2:N924),$N$2:$N$1001,0),0), INDEX($U$1004:$AC$1004,1,MATCH(COLUMNS($U$1006:W1006),$U$1006:$AC$1006,0)))),"Fix")))</f>
        <v>0</v>
      </c>
      <c r="E924" s="3">
        <f>IF(OR(INDEX($O$2:$O$1001,MATCH(ROWS($N$2:N924),$N$2:$N$1001,0),1)&gt;=100000,INDEX($U$1005:$AC$1005,1,MATCH(COLUMNS($U$1006:X1006),$U$1006:$AC$1006,0))&gt;=100000), " ",IF(INDEX($U$2:$AC$1001,MATCH(ROWS($N$2:N924),$N$2:$N$1001,0),MATCH(COLUMNS($U$1006:X1006),$U$1006:$AC$1006,0)), HYPERLINK("#",""), HYPERLINK(CONCATENATE("#metadata!", ADDRESS(INDEX($P$2:$P$1001,MATCH(ROWS($N$2:N924),$N$2:$N$1001,0),0), INDEX($U$1004:$AC$1004,1,MATCH(COLUMNS($U$1006:X1006),$U$1006:$AC$1006,0)))),"Fix")))</f>
        <v>0</v>
      </c>
      <c r="F924" s="3">
        <f>IF(OR(INDEX($O$2:$O$1001,MATCH(ROWS($N$2:N924),$N$2:$N$1001,0),1)&gt;=100000,INDEX($U$1005:$AC$1005,1,MATCH(COLUMNS($U$1006:Y1006),$U$1006:$AC$1006,0))&gt;=100000), " ",IF(INDEX($U$2:$AC$1001,MATCH(ROWS($N$2:N924),$N$2:$N$1001,0),MATCH(COLUMNS($U$1006:Y1006),$U$1006:$AC$1006,0)), HYPERLINK("#",""), HYPERLINK(CONCATENATE("#metadata!", ADDRESS(INDEX($P$2:$P$1001,MATCH(ROWS($N$2:N924),$N$2:$N$1001,0),0), INDEX($U$1004:$AC$1004,1,MATCH(COLUMNS($U$1006:Y1006),$U$1006:$AC$1006,0)))),"Fix")))</f>
        <v>0</v>
      </c>
      <c r="G924" s="3">
        <f>IF(OR(INDEX($O$2:$O$1001,MATCH(ROWS($N$2:N924),$N$2:$N$1001,0),1)&gt;=100000,INDEX($U$1005:$AC$1005,1,MATCH(COLUMNS($U$1006:Z1006),$U$1006:$AC$1006,0))&gt;=100000), " ",IF(INDEX($U$2:$AC$1001,MATCH(ROWS($N$2:N924),$N$2:$N$1001,0),MATCH(COLUMNS($U$1006:Z1006),$U$1006:$AC$1006,0)), HYPERLINK("#",""), HYPERLINK(CONCATENATE("#metadata!", ADDRESS(INDEX($P$2:$P$1001,MATCH(ROWS($N$2:N924),$N$2:$N$1001,0),0), INDEX($U$1004:$AC$1004,1,MATCH(COLUMNS($U$1006:Z1006),$U$1006:$AC$1006,0)))),"Fix")))</f>
        <v>0</v>
      </c>
      <c r="H924" s="3">
        <f>IF(OR(INDEX($O$2:$O$1001,MATCH(ROWS($N$2:N924),$N$2:$N$1001,0),1)&gt;=100000,INDEX($U$1005:$AC$1005,1,MATCH(COLUMNS($U$1006:AA1006),$U$1006:$AC$1006,0))&gt;=100000), " ",IF(INDEX($U$2:$AC$1001,MATCH(ROWS($N$2:N924),$N$2:$N$1001,0),MATCH(COLUMNS($U$1006:AA1006),$U$1006:$AC$1006,0)), HYPERLINK("#",""), HYPERLINK(CONCATENATE("#metadata!", ADDRESS(INDEX($P$2:$P$1001,MATCH(ROWS($N$2:N924),$N$2:$N$1001,0),0), INDEX($U$1004:$AC$1004,1,MATCH(COLUMNS($U$1006:AA1006),$U$1006:$AC$1006,0)))),"Fix")))</f>
        <v>0</v>
      </c>
      <c r="I924" s="3">
        <f>IF(OR(INDEX($O$2:$O$1001,MATCH(ROWS($N$2:N924),$N$2:$N$1001,0),1)&gt;=100000,INDEX($U$1005:$AC$1005,1,MATCH(COLUMNS($U$1006:AB1006),$U$1006:$AC$1006,0))&gt;=100000), " ",IF(INDEX($U$2:$AC$1001,MATCH(ROWS($N$2:N924),$N$2:$N$1001,0),MATCH(COLUMNS($U$1006:AB1006),$U$1006:$AC$1006,0)), HYPERLINK("#",""), HYPERLINK(CONCATENATE("#metadata!", ADDRESS(INDEX($P$2:$P$1001,MATCH(ROWS($N$2:N924),$N$2:$N$1001,0),0), INDEX($U$1004:$AC$1004,1,MATCH(COLUMNS($U$1006:AB1006),$U$1006:$AC$1006,0)))),"Fix")))</f>
        <v>0</v>
      </c>
      <c r="J924" s="3">
        <f>IF(OR(INDEX($O$2:$O$1001,MATCH(ROWS($N$2:N924),$N$2:$N$1001,0),1)&gt;=100000,INDEX($U$1005:$AC$1005,1,MATCH(COLUMNS($U$1006:AC1006),$U$1006:$AC$1006,0))&gt;=100000), " ",IF(INDEX($U$2:$AC$1001,MATCH(ROWS($N$2:N924),$N$2:$N$1001,0),MATCH(COLUMNS($U$1006:AC1006),$U$1006:$AC$1006,0)), HYPERLINK("#",""), HYPERLINK(CONCATENATE("#metadata!", ADDRESS(INDEX($P$2:$P$1001,MATCH(ROWS($N$2:N924),$N$2:$N$1001,0),0), INDEX($U$1004:$AC$1004,1,MATCH(COLUMNS($U$1006:AC1006),$U$1006:$AC$1006,0)))),"Fix")))</f>
        <v>0</v>
      </c>
      <c r="N924">
        <v>0</v>
      </c>
      <c r="O924">
        <v>0</v>
      </c>
      <c r="P924">
        <v>0</v>
      </c>
      <c r="Q924">
        <f>IF(R924,TRUE,AND(U924:AC924))</f>
        <v>0</v>
      </c>
      <c r="R924">
        <f>COUNTBLANK(metadata!B924:J924)=COLUMNS(metadata!B924:J924)</f>
        <v>0</v>
      </c>
      <c r="S924">
        <v>0</v>
      </c>
      <c r="U924">
        <f>AND(IF(metadata!B924="",FALSE,TRUE),COUNTIF(metadata!B:B, metadata!B924) = 1,NOT(ISERROR(SUMPRODUCT(SEARCH(MID(metadata!B924,ROW(INDIRECT("1:"&amp;LEN(metadata!B924))), 1),"0123456789abcdefghijklmnopqrstuvwxyzABCDEFGHIJKLMNOPQRSTUVWXYZ.")))))</f>
        <v>0</v>
      </c>
      <c r="V924">
        <f>AND(IF(metadata!C924="",FALSE,TRUE),exact(metadata!C924,"UBERON:genitourinary"))</f>
        <v>0</v>
      </c>
      <c r="W924">
        <f>AND(IF(metadata!D924="",FALSE,TRUE),exact(metadata!D924,"UBERON:urine"))</f>
        <v>0</v>
      </c>
      <c r="X924">
        <f>AND(IF(metadata!E924="",FALSE,TRUE),exact(metadata!E924,"UBERON:kidney"))</f>
        <v>0</v>
      </c>
      <c r="Y924">
        <f>AND(IF(metadata!F924="",FALSE,TRUE),exact(metadata!F924,"animal corpus"))</f>
        <v>0</v>
      </c>
      <c r="Z924">
        <f>AND(IF(metadata!G924="",FALSE,TRUE),exact(metadata!G924,"urine"))</f>
        <v>0</v>
      </c>
      <c r="AA924">
        <f>AND(IF(metadata!H924="",FALSE,TRUE),exact(metadata!H924,"urine"))</f>
        <v>0</v>
      </c>
      <c r="AB924">
        <f>AND(IF(metadata!I924="",FALSE,TRUE),exact(metadata!I924,"urine metagenome"))</f>
        <v>0</v>
      </c>
      <c r="AC924">
        <f>AND(IF(metadata!J924="",FALSE,TRUE),exact(metadata!J924,"1346744"))</f>
        <v>0</v>
      </c>
    </row>
    <row r="925" spans="1:29">
      <c r="A925" s="4">
        <f>IF(B925=" "," ",HYPERLINK(CONCATENATE("#metadata!",ADDRESS(INDEX($P$2:$P$1001,MATCH(ROWS($N$2:N925),$N$2:$N$1001,0),0),1)),INDEX($S$2:$S$1001,MATCH(ROWS($N$2:N925),$N$2:$N$1001,0),0)))</f>
        <v>0</v>
      </c>
      <c r="B925" s="3">
        <f>IF(OR(INDEX($O$2:$O$1001,MATCH(ROWS($N$2:N925),$N$2:$N$1001,0),1)&gt;=100000,INDEX($U$1005:$AC$1005,1,MATCH(COLUMNS($U$1006:U1006),$U$1006:$AC$1006,0))&gt;=100000), " ",IF(INDEX($U$2:$AC$1001,MATCH(ROWS($N$2:N925),$N$2:$N$1001,0),MATCH(COLUMNS($U$1006:U1006),$U$1006:$AC$1006,0)), HYPERLINK("#",""), HYPERLINK(CONCATENATE("#metadata!", ADDRESS(INDEX($P$2:$P$1001,MATCH(ROWS($N$2:N925),$N$2:$N$1001,0),0), INDEX($U$1004:$AC$1004,1,MATCH(COLUMNS($U$1006:U1006),$U$1006:$AC$1006,0)))),"Fix")))</f>
        <v>0</v>
      </c>
      <c r="C925" s="3">
        <f>IF(OR(INDEX($O$2:$O$1001,MATCH(ROWS($N$2:N925),$N$2:$N$1001,0),1)&gt;=100000,INDEX($U$1005:$AC$1005,1,MATCH(COLUMNS($U$1006:V1006),$U$1006:$AC$1006,0))&gt;=100000), " ",IF(INDEX($U$2:$AC$1001,MATCH(ROWS($N$2:N925),$N$2:$N$1001,0),MATCH(COLUMNS($U$1006:V1006),$U$1006:$AC$1006,0)), HYPERLINK("#",""), HYPERLINK(CONCATENATE("#metadata!", ADDRESS(INDEX($P$2:$P$1001,MATCH(ROWS($N$2:N925),$N$2:$N$1001,0),0), INDEX($U$1004:$AC$1004,1,MATCH(COLUMNS($U$1006:V1006),$U$1006:$AC$1006,0)))),"Fix")))</f>
        <v>0</v>
      </c>
      <c r="D925" s="3">
        <f>IF(OR(INDEX($O$2:$O$1001,MATCH(ROWS($N$2:N925),$N$2:$N$1001,0),1)&gt;=100000,INDEX($U$1005:$AC$1005,1,MATCH(COLUMNS($U$1006:W1006),$U$1006:$AC$1006,0))&gt;=100000), " ",IF(INDEX($U$2:$AC$1001,MATCH(ROWS($N$2:N925),$N$2:$N$1001,0),MATCH(COLUMNS($U$1006:W1006),$U$1006:$AC$1006,0)), HYPERLINK("#",""), HYPERLINK(CONCATENATE("#metadata!", ADDRESS(INDEX($P$2:$P$1001,MATCH(ROWS($N$2:N925),$N$2:$N$1001,0),0), INDEX($U$1004:$AC$1004,1,MATCH(COLUMNS($U$1006:W1006),$U$1006:$AC$1006,0)))),"Fix")))</f>
        <v>0</v>
      </c>
      <c r="E925" s="3">
        <f>IF(OR(INDEX($O$2:$O$1001,MATCH(ROWS($N$2:N925),$N$2:$N$1001,0),1)&gt;=100000,INDEX($U$1005:$AC$1005,1,MATCH(COLUMNS($U$1006:X1006),$U$1006:$AC$1006,0))&gt;=100000), " ",IF(INDEX($U$2:$AC$1001,MATCH(ROWS($N$2:N925),$N$2:$N$1001,0),MATCH(COLUMNS($U$1006:X1006),$U$1006:$AC$1006,0)), HYPERLINK("#",""), HYPERLINK(CONCATENATE("#metadata!", ADDRESS(INDEX($P$2:$P$1001,MATCH(ROWS($N$2:N925),$N$2:$N$1001,0),0), INDEX($U$1004:$AC$1004,1,MATCH(COLUMNS($U$1006:X1006),$U$1006:$AC$1006,0)))),"Fix")))</f>
        <v>0</v>
      </c>
      <c r="F925" s="3">
        <f>IF(OR(INDEX($O$2:$O$1001,MATCH(ROWS($N$2:N925),$N$2:$N$1001,0),1)&gt;=100000,INDEX($U$1005:$AC$1005,1,MATCH(COLUMNS($U$1006:Y1006),$U$1006:$AC$1006,0))&gt;=100000), " ",IF(INDEX($U$2:$AC$1001,MATCH(ROWS($N$2:N925),$N$2:$N$1001,0),MATCH(COLUMNS($U$1006:Y1006),$U$1006:$AC$1006,0)), HYPERLINK("#",""), HYPERLINK(CONCATENATE("#metadata!", ADDRESS(INDEX($P$2:$P$1001,MATCH(ROWS($N$2:N925),$N$2:$N$1001,0),0), INDEX($U$1004:$AC$1004,1,MATCH(COLUMNS($U$1006:Y1006),$U$1006:$AC$1006,0)))),"Fix")))</f>
        <v>0</v>
      </c>
      <c r="G925" s="3">
        <f>IF(OR(INDEX($O$2:$O$1001,MATCH(ROWS($N$2:N925),$N$2:$N$1001,0),1)&gt;=100000,INDEX($U$1005:$AC$1005,1,MATCH(COLUMNS($U$1006:Z1006),$U$1006:$AC$1006,0))&gt;=100000), " ",IF(INDEX($U$2:$AC$1001,MATCH(ROWS($N$2:N925),$N$2:$N$1001,0),MATCH(COLUMNS($U$1006:Z1006),$U$1006:$AC$1006,0)), HYPERLINK("#",""), HYPERLINK(CONCATENATE("#metadata!", ADDRESS(INDEX($P$2:$P$1001,MATCH(ROWS($N$2:N925),$N$2:$N$1001,0),0), INDEX($U$1004:$AC$1004,1,MATCH(COLUMNS($U$1006:Z1006),$U$1006:$AC$1006,0)))),"Fix")))</f>
        <v>0</v>
      </c>
      <c r="H925" s="3">
        <f>IF(OR(INDEX($O$2:$O$1001,MATCH(ROWS($N$2:N925),$N$2:$N$1001,0),1)&gt;=100000,INDEX($U$1005:$AC$1005,1,MATCH(COLUMNS($U$1006:AA1006),$U$1006:$AC$1006,0))&gt;=100000), " ",IF(INDEX($U$2:$AC$1001,MATCH(ROWS($N$2:N925),$N$2:$N$1001,0),MATCH(COLUMNS($U$1006:AA1006),$U$1006:$AC$1006,0)), HYPERLINK("#",""), HYPERLINK(CONCATENATE("#metadata!", ADDRESS(INDEX($P$2:$P$1001,MATCH(ROWS($N$2:N925),$N$2:$N$1001,0),0), INDEX($U$1004:$AC$1004,1,MATCH(COLUMNS($U$1006:AA1006),$U$1006:$AC$1006,0)))),"Fix")))</f>
        <v>0</v>
      </c>
      <c r="I925" s="3">
        <f>IF(OR(INDEX($O$2:$O$1001,MATCH(ROWS($N$2:N925),$N$2:$N$1001,0),1)&gt;=100000,INDEX($U$1005:$AC$1005,1,MATCH(COLUMNS($U$1006:AB1006),$U$1006:$AC$1006,0))&gt;=100000), " ",IF(INDEX($U$2:$AC$1001,MATCH(ROWS($N$2:N925),$N$2:$N$1001,0),MATCH(COLUMNS($U$1006:AB1006),$U$1006:$AC$1006,0)), HYPERLINK("#",""), HYPERLINK(CONCATENATE("#metadata!", ADDRESS(INDEX($P$2:$P$1001,MATCH(ROWS($N$2:N925),$N$2:$N$1001,0),0), INDEX($U$1004:$AC$1004,1,MATCH(COLUMNS($U$1006:AB1006),$U$1006:$AC$1006,0)))),"Fix")))</f>
        <v>0</v>
      </c>
      <c r="J925" s="3">
        <f>IF(OR(INDEX($O$2:$O$1001,MATCH(ROWS($N$2:N925),$N$2:$N$1001,0),1)&gt;=100000,INDEX($U$1005:$AC$1005,1,MATCH(COLUMNS($U$1006:AC1006),$U$1006:$AC$1006,0))&gt;=100000), " ",IF(INDEX($U$2:$AC$1001,MATCH(ROWS($N$2:N925),$N$2:$N$1001,0),MATCH(COLUMNS($U$1006:AC1006),$U$1006:$AC$1006,0)), HYPERLINK("#",""), HYPERLINK(CONCATENATE("#metadata!", ADDRESS(INDEX($P$2:$P$1001,MATCH(ROWS($N$2:N925),$N$2:$N$1001,0),0), INDEX($U$1004:$AC$1004,1,MATCH(COLUMNS($U$1006:AC1006),$U$1006:$AC$1006,0)))),"Fix")))</f>
        <v>0</v>
      </c>
      <c r="N925">
        <v>0</v>
      </c>
      <c r="O925">
        <v>0</v>
      </c>
      <c r="P925">
        <v>0</v>
      </c>
      <c r="Q925">
        <f>IF(R925,TRUE,AND(U925:AC925))</f>
        <v>0</v>
      </c>
      <c r="R925">
        <f>COUNTBLANK(metadata!B925:J925)=COLUMNS(metadata!B925:J925)</f>
        <v>0</v>
      </c>
      <c r="S925">
        <v>0</v>
      </c>
      <c r="U925">
        <f>AND(IF(metadata!B925="",FALSE,TRUE),COUNTIF(metadata!B:B, metadata!B925) = 1,NOT(ISERROR(SUMPRODUCT(SEARCH(MID(metadata!B925,ROW(INDIRECT("1:"&amp;LEN(metadata!B925))), 1),"0123456789abcdefghijklmnopqrstuvwxyzABCDEFGHIJKLMNOPQRSTUVWXYZ.")))))</f>
        <v>0</v>
      </c>
      <c r="V925">
        <f>AND(IF(metadata!C925="",FALSE,TRUE),exact(metadata!C925,"UBERON:genitourinary"))</f>
        <v>0</v>
      </c>
      <c r="W925">
        <f>AND(IF(metadata!D925="",FALSE,TRUE),exact(metadata!D925,"UBERON:urine"))</f>
        <v>0</v>
      </c>
      <c r="X925">
        <f>AND(IF(metadata!E925="",FALSE,TRUE),exact(metadata!E925,"UBERON:kidney"))</f>
        <v>0</v>
      </c>
      <c r="Y925">
        <f>AND(IF(metadata!F925="",FALSE,TRUE),exact(metadata!F925,"animal corpus"))</f>
        <v>0</v>
      </c>
      <c r="Z925">
        <f>AND(IF(metadata!G925="",FALSE,TRUE),exact(metadata!G925,"urine"))</f>
        <v>0</v>
      </c>
      <c r="AA925">
        <f>AND(IF(metadata!H925="",FALSE,TRUE),exact(metadata!H925,"urine"))</f>
        <v>0</v>
      </c>
      <c r="AB925">
        <f>AND(IF(metadata!I925="",FALSE,TRUE),exact(metadata!I925,"urine metagenome"))</f>
        <v>0</v>
      </c>
      <c r="AC925">
        <f>AND(IF(metadata!J925="",FALSE,TRUE),exact(metadata!J925,"1346744"))</f>
        <v>0</v>
      </c>
    </row>
    <row r="926" spans="1:29">
      <c r="A926" s="4">
        <f>IF(B926=" "," ",HYPERLINK(CONCATENATE("#metadata!",ADDRESS(INDEX($P$2:$P$1001,MATCH(ROWS($N$2:N926),$N$2:$N$1001,0),0),1)),INDEX($S$2:$S$1001,MATCH(ROWS($N$2:N926),$N$2:$N$1001,0),0)))</f>
        <v>0</v>
      </c>
      <c r="B926" s="3">
        <f>IF(OR(INDEX($O$2:$O$1001,MATCH(ROWS($N$2:N926),$N$2:$N$1001,0),1)&gt;=100000,INDEX($U$1005:$AC$1005,1,MATCH(COLUMNS($U$1006:U1006),$U$1006:$AC$1006,0))&gt;=100000), " ",IF(INDEX($U$2:$AC$1001,MATCH(ROWS($N$2:N926),$N$2:$N$1001,0),MATCH(COLUMNS($U$1006:U1006),$U$1006:$AC$1006,0)), HYPERLINK("#",""), HYPERLINK(CONCATENATE("#metadata!", ADDRESS(INDEX($P$2:$P$1001,MATCH(ROWS($N$2:N926),$N$2:$N$1001,0),0), INDEX($U$1004:$AC$1004,1,MATCH(COLUMNS($U$1006:U1006),$U$1006:$AC$1006,0)))),"Fix")))</f>
        <v>0</v>
      </c>
      <c r="C926" s="3">
        <f>IF(OR(INDEX($O$2:$O$1001,MATCH(ROWS($N$2:N926),$N$2:$N$1001,0),1)&gt;=100000,INDEX($U$1005:$AC$1005,1,MATCH(COLUMNS($U$1006:V1006),$U$1006:$AC$1006,0))&gt;=100000), " ",IF(INDEX($U$2:$AC$1001,MATCH(ROWS($N$2:N926),$N$2:$N$1001,0),MATCH(COLUMNS($U$1006:V1006),$U$1006:$AC$1006,0)), HYPERLINK("#",""), HYPERLINK(CONCATENATE("#metadata!", ADDRESS(INDEX($P$2:$P$1001,MATCH(ROWS($N$2:N926),$N$2:$N$1001,0),0), INDEX($U$1004:$AC$1004,1,MATCH(COLUMNS($U$1006:V1006),$U$1006:$AC$1006,0)))),"Fix")))</f>
        <v>0</v>
      </c>
      <c r="D926" s="3">
        <f>IF(OR(INDEX($O$2:$O$1001,MATCH(ROWS($N$2:N926),$N$2:$N$1001,0),1)&gt;=100000,INDEX($U$1005:$AC$1005,1,MATCH(COLUMNS($U$1006:W1006),$U$1006:$AC$1006,0))&gt;=100000), " ",IF(INDEX($U$2:$AC$1001,MATCH(ROWS($N$2:N926),$N$2:$N$1001,0),MATCH(COLUMNS($U$1006:W1006),$U$1006:$AC$1006,0)), HYPERLINK("#",""), HYPERLINK(CONCATENATE("#metadata!", ADDRESS(INDEX($P$2:$P$1001,MATCH(ROWS($N$2:N926),$N$2:$N$1001,0),0), INDEX($U$1004:$AC$1004,1,MATCH(COLUMNS($U$1006:W1006),$U$1006:$AC$1006,0)))),"Fix")))</f>
        <v>0</v>
      </c>
      <c r="E926" s="3">
        <f>IF(OR(INDEX($O$2:$O$1001,MATCH(ROWS($N$2:N926),$N$2:$N$1001,0),1)&gt;=100000,INDEX($U$1005:$AC$1005,1,MATCH(COLUMNS($U$1006:X1006),$U$1006:$AC$1006,0))&gt;=100000), " ",IF(INDEX($U$2:$AC$1001,MATCH(ROWS($N$2:N926),$N$2:$N$1001,0),MATCH(COLUMNS($U$1006:X1006),$U$1006:$AC$1006,0)), HYPERLINK("#",""), HYPERLINK(CONCATENATE("#metadata!", ADDRESS(INDEX($P$2:$P$1001,MATCH(ROWS($N$2:N926),$N$2:$N$1001,0),0), INDEX($U$1004:$AC$1004,1,MATCH(COLUMNS($U$1006:X1006),$U$1006:$AC$1006,0)))),"Fix")))</f>
        <v>0</v>
      </c>
      <c r="F926" s="3">
        <f>IF(OR(INDEX($O$2:$O$1001,MATCH(ROWS($N$2:N926),$N$2:$N$1001,0),1)&gt;=100000,INDEX($U$1005:$AC$1005,1,MATCH(COLUMNS($U$1006:Y1006),$U$1006:$AC$1006,0))&gt;=100000), " ",IF(INDEX($U$2:$AC$1001,MATCH(ROWS($N$2:N926),$N$2:$N$1001,0),MATCH(COLUMNS($U$1006:Y1006),$U$1006:$AC$1006,0)), HYPERLINK("#",""), HYPERLINK(CONCATENATE("#metadata!", ADDRESS(INDEX($P$2:$P$1001,MATCH(ROWS($N$2:N926),$N$2:$N$1001,0),0), INDEX($U$1004:$AC$1004,1,MATCH(COLUMNS($U$1006:Y1006),$U$1006:$AC$1006,0)))),"Fix")))</f>
        <v>0</v>
      </c>
      <c r="G926" s="3">
        <f>IF(OR(INDEX($O$2:$O$1001,MATCH(ROWS($N$2:N926),$N$2:$N$1001,0),1)&gt;=100000,INDEX($U$1005:$AC$1005,1,MATCH(COLUMNS($U$1006:Z1006),$U$1006:$AC$1006,0))&gt;=100000), " ",IF(INDEX($U$2:$AC$1001,MATCH(ROWS($N$2:N926),$N$2:$N$1001,0),MATCH(COLUMNS($U$1006:Z1006),$U$1006:$AC$1006,0)), HYPERLINK("#",""), HYPERLINK(CONCATENATE("#metadata!", ADDRESS(INDEX($P$2:$P$1001,MATCH(ROWS($N$2:N926),$N$2:$N$1001,0),0), INDEX($U$1004:$AC$1004,1,MATCH(COLUMNS($U$1006:Z1006),$U$1006:$AC$1006,0)))),"Fix")))</f>
        <v>0</v>
      </c>
      <c r="H926" s="3">
        <f>IF(OR(INDEX($O$2:$O$1001,MATCH(ROWS($N$2:N926),$N$2:$N$1001,0),1)&gt;=100000,INDEX($U$1005:$AC$1005,1,MATCH(COLUMNS($U$1006:AA1006),$U$1006:$AC$1006,0))&gt;=100000), " ",IF(INDEX($U$2:$AC$1001,MATCH(ROWS($N$2:N926),$N$2:$N$1001,0),MATCH(COLUMNS($U$1006:AA1006),$U$1006:$AC$1006,0)), HYPERLINK("#",""), HYPERLINK(CONCATENATE("#metadata!", ADDRESS(INDEX($P$2:$P$1001,MATCH(ROWS($N$2:N926),$N$2:$N$1001,0),0), INDEX($U$1004:$AC$1004,1,MATCH(COLUMNS($U$1006:AA1006),$U$1006:$AC$1006,0)))),"Fix")))</f>
        <v>0</v>
      </c>
      <c r="I926" s="3">
        <f>IF(OR(INDEX($O$2:$O$1001,MATCH(ROWS($N$2:N926),$N$2:$N$1001,0),1)&gt;=100000,INDEX($U$1005:$AC$1005,1,MATCH(COLUMNS($U$1006:AB1006),$U$1006:$AC$1006,0))&gt;=100000), " ",IF(INDEX($U$2:$AC$1001,MATCH(ROWS($N$2:N926),$N$2:$N$1001,0),MATCH(COLUMNS($U$1006:AB1006),$U$1006:$AC$1006,0)), HYPERLINK("#",""), HYPERLINK(CONCATENATE("#metadata!", ADDRESS(INDEX($P$2:$P$1001,MATCH(ROWS($N$2:N926),$N$2:$N$1001,0),0), INDEX($U$1004:$AC$1004,1,MATCH(COLUMNS($U$1006:AB1006),$U$1006:$AC$1006,0)))),"Fix")))</f>
        <v>0</v>
      </c>
      <c r="J926" s="3">
        <f>IF(OR(INDEX($O$2:$O$1001,MATCH(ROWS($N$2:N926),$N$2:$N$1001,0),1)&gt;=100000,INDEX($U$1005:$AC$1005,1,MATCH(COLUMNS($U$1006:AC1006),$U$1006:$AC$1006,0))&gt;=100000), " ",IF(INDEX($U$2:$AC$1001,MATCH(ROWS($N$2:N926),$N$2:$N$1001,0),MATCH(COLUMNS($U$1006:AC1006),$U$1006:$AC$1006,0)), HYPERLINK("#",""), HYPERLINK(CONCATENATE("#metadata!", ADDRESS(INDEX($P$2:$P$1001,MATCH(ROWS($N$2:N926),$N$2:$N$1001,0),0), INDEX($U$1004:$AC$1004,1,MATCH(COLUMNS($U$1006:AC1006),$U$1006:$AC$1006,0)))),"Fix")))</f>
        <v>0</v>
      </c>
      <c r="N926">
        <v>0</v>
      </c>
      <c r="O926">
        <v>0</v>
      </c>
      <c r="P926">
        <v>0</v>
      </c>
      <c r="Q926">
        <f>IF(R926,TRUE,AND(U926:AC926))</f>
        <v>0</v>
      </c>
      <c r="R926">
        <f>COUNTBLANK(metadata!B926:J926)=COLUMNS(metadata!B926:J926)</f>
        <v>0</v>
      </c>
      <c r="S926">
        <v>0</v>
      </c>
      <c r="U926">
        <f>AND(IF(metadata!B926="",FALSE,TRUE),COUNTIF(metadata!B:B, metadata!B926) = 1,NOT(ISERROR(SUMPRODUCT(SEARCH(MID(metadata!B926,ROW(INDIRECT("1:"&amp;LEN(metadata!B926))), 1),"0123456789abcdefghijklmnopqrstuvwxyzABCDEFGHIJKLMNOPQRSTUVWXYZ.")))))</f>
        <v>0</v>
      </c>
      <c r="V926">
        <f>AND(IF(metadata!C926="",FALSE,TRUE),exact(metadata!C926,"UBERON:genitourinary"))</f>
        <v>0</v>
      </c>
      <c r="W926">
        <f>AND(IF(metadata!D926="",FALSE,TRUE),exact(metadata!D926,"UBERON:urine"))</f>
        <v>0</v>
      </c>
      <c r="X926">
        <f>AND(IF(metadata!E926="",FALSE,TRUE),exact(metadata!E926,"UBERON:kidney"))</f>
        <v>0</v>
      </c>
      <c r="Y926">
        <f>AND(IF(metadata!F926="",FALSE,TRUE),exact(metadata!F926,"animal corpus"))</f>
        <v>0</v>
      </c>
      <c r="Z926">
        <f>AND(IF(metadata!G926="",FALSE,TRUE),exact(metadata!G926,"urine"))</f>
        <v>0</v>
      </c>
      <c r="AA926">
        <f>AND(IF(metadata!H926="",FALSE,TRUE),exact(metadata!H926,"urine"))</f>
        <v>0</v>
      </c>
      <c r="AB926">
        <f>AND(IF(metadata!I926="",FALSE,TRUE),exact(metadata!I926,"urine metagenome"))</f>
        <v>0</v>
      </c>
      <c r="AC926">
        <f>AND(IF(metadata!J926="",FALSE,TRUE),exact(metadata!J926,"1346744"))</f>
        <v>0</v>
      </c>
    </row>
    <row r="927" spans="1:29">
      <c r="A927" s="4">
        <f>IF(B927=" "," ",HYPERLINK(CONCATENATE("#metadata!",ADDRESS(INDEX($P$2:$P$1001,MATCH(ROWS($N$2:N927),$N$2:$N$1001,0),0),1)),INDEX($S$2:$S$1001,MATCH(ROWS($N$2:N927),$N$2:$N$1001,0),0)))</f>
        <v>0</v>
      </c>
      <c r="B927" s="3">
        <f>IF(OR(INDEX($O$2:$O$1001,MATCH(ROWS($N$2:N927),$N$2:$N$1001,0),1)&gt;=100000,INDEX($U$1005:$AC$1005,1,MATCH(COLUMNS($U$1006:U1006),$U$1006:$AC$1006,0))&gt;=100000), " ",IF(INDEX($U$2:$AC$1001,MATCH(ROWS($N$2:N927),$N$2:$N$1001,0),MATCH(COLUMNS($U$1006:U1006),$U$1006:$AC$1006,0)), HYPERLINK("#",""), HYPERLINK(CONCATENATE("#metadata!", ADDRESS(INDEX($P$2:$P$1001,MATCH(ROWS($N$2:N927),$N$2:$N$1001,0),0), INDEX($U$1004:$AC$1004,1,MATCH(COLUMNS($U$1006:U1006),$U$1006:$AC$1006,0)))),"Fix")))</f>
        <v>0</v>
      </c>
      <c r="C927" s="3">
        <f>IF(OR(INDEX($O$2:$O$1001,MATCH(ROWS($N$2:N927),$N$2:$N$1001,0),1)&gt;=100000,INDEX($U$1005:$AC$1005,1,MATCH(COLUMNS($U$1006:V1006),$U$1006:$AC$1006,0))&gt;=100000), " ",IF(INDEX($U$2:$AC$1001,MATCH(ROWS($N$2:N927),$N$2:$N$1001,0),MATCH(COLUMNS($U$1006:V1006),$U$1006:$AC$1006,0)), HYPERLINK("#",""), HYPERLINK(CONCATENATE("#metadata!", ADDRESS(INDEX($P$2:$P$1001,MATCH(ROWS($N$2:N927),$N$2:$N$1001,0),0), INDEX($U$1004:$AC$1004,1,MATCH(COLUMNS($U$1006:V1006),$U$1006:$AC$1006,0)))),"Fix")))</f>
        <v>0</v>
      </c>
      <c r="D927" s="3">
        <f>IF(OR(INDEX($O$2:$O$1001,MATCH(ROWS($N$2:N927),$N$2:$N$1001,0),1)&gt;=100000,INDEX($U$1005:$AC$1005,1,MATCH(COLUMNS($U$1006:W1006),$U$1006:$AC$1006,0))&gt;=100000), " ",IF(INDEX($U$2:$AC$1001,MATCH(ROWS($N$2:N927),$N$2:$N$1001,0),MATCH(COLUMNS($U$1006:W1006),$U$1006:$AC$1006,0)), HYPERLINK("#",""), HYPERLINK(CONCATENATE("#metadata!", ADDRESS(INDEX($P$2:$P$1001,MATCH(ROWS($N$2:N927),$N$2:$N$1001,0),0), INDEX($U$1004:$AC$1004,1,MATCH(COLUMNS($U$1006:W1006),$U$1006:$AC$1006,0)))),"Fix")))</f>
        <v>0</v>
      </c>
      <c r="E927" s="3">
        <f>IF(OR(INDEX($O$2:$O$1001,MATCH(ROWS($N$2:N927),$N$2:$N$1001,0),1)&gt;=100000,INDEX($U$1005:$AC$1005,1,MATCH(COLUMNS($U$1006:X1006),$U$1006:$AC$1006,0))&gt;=100000), " ",IF(INDEX($U$2:$AC$1001,MATCH(ROWS($N$2:N927),$N$2:$N$1001,0),MATCH(COLUMNS($U$1006:X1006),$U$1006:$AC$1006,0)), HYPERLINK("#",""), HYPERLINK(CONCATENATE("#metadata!", ADDRESS(INDEX($P$2:$P$1001,MATCH(ROWS($N$2:N927),$N$2:$N$1001,0),0), INDEX($U$1004:$AC$1004,1,MATCH(COLUMNS($U$1006:X1006),$U$1006:$AC$1006,0)))),"Fix")))</f>
        <v>0</v>
      </c>
      <c r="F927" s="3">
        <f>IF(OR(INDEX($O$2:$O$1001,MATCH(ROWS($N$2:N927),$N$2:$N$1001,0),1)&gt;=100000,INDEX($U$1005:$AC$1005,1,MATCH(COLUMNS($U$1006:Y1006),$U$1006:$AC$1006,0))&gt;=100000), " ",IF(INDEX($U$2:$AC$1001,MATCH(ROWS($N$2:N927),$N$2:$N$1001,0),MATCH(COLUMNS($U$1006:Y1006),$U$1006:$AC$1006,0)), HYPERLINK("#",""), HYPERLINK(CONCATENATE("#metadata!", ADDRESS(INDEX($P$2:$P$1001,MATCH(ROWS($N$2:N927),$N$2:$N$1001,0),0), INDEX($U$1004:$AC$1004,1,MATCH(COLUMNS($U$1006:Y1006),$U$1006:$AC$1006,0)))),"Fix")))</f>
        <v>0</v>
      </c>
      <c r="G927" s="3">
        <f>IF(OR(INDEX($O$2:$O$1001,MATCH(ROWS($N$2:N927),$N$2:$N$1001,0),1)&gt;=100000,INDEX($U$1005:$AC$1005,1,MATCH(COLUMNS($U$1006:Z1006),$U$1006:$AC$1006,0))&gt;=100000), " ",IF(INDEX($U$2:$AC$1001,MATCH(ROWS($N$2:N927),$N$2:$N$1001,0),MATCH(COLUMNS($U$1006:Z1006),$U$1006:$AC$1006,0)), HYPERLINK("#",""), HYPERLINK(CONCATENATE("#metadata!", ADDRESS(INDEX($P$2:$P$1001,MATCH(ROWS($N$2:N927),$N$2:$N$1001,0),0), INDEX($U$1004:$AC$1004,1,MATCH(COLUMNS($U$1006:Z1006),$U$1006:$AC$1006,0)))),"Fix")))</f>
        <v>0</v>
      </c>
      <c r="H927" s="3">
        <f>IF(OR(INDEX($O$2:$O$1001,MATCH(ROWS($N$2:N927),$N$2:$N$1001,0),1)&gt;=100000,INDEX($U$1005:$AC$1005,1,MATCH(COLUMNS($U$1006:AA1006),$U$1006:$AC$1006,0))&gt;=100000), " ",IF(INDEX($U$2:$AC$1001,MATCH(ROWS($N$2:N927),$N$2:$N$1001,0),MATCH(COLUMNS($U$1006:AA1006),$U$1006:$AC$1006,0)), HYPERLINK("#",""), HYPERLINK(CONCATENATE("#metadata!", ADDRESS(INDEX($P$2:$P$1001,MATCH(ROWS($N$2:N927),$N$2:$N$1001,0),0), INDEX($U$1004:$AC$1004,1,MATCH(COLUMNS($U$1006:AA1006),$U$1006:$AC$1006,0)))),"Fix")))</f>
        <v>0</v>
      </c>
      <c r="I927" s="3">
        <f>IF(OR(INDEX($O$2:$O$1001,MATCH(ROWS($N$2:N927),$N$2:$N$1001,0),1)&gt;=100000,INDEX($U$1005:$AC$1005,1,MATCH(COLUMNS($U$1006:AB1006),$U$1006:$AC$1006,0))&gt;=100000), " ",IF(INDEX($U$2:$AC$1001,MATCH(ROWS($N$2:N927),$N$2:$N$1001,0),MATCH(COLUMNS($U$1006:AB1006),$U$1006:$AC$1006,0)), HYPERLINK("#",""), HYPERLINK(CONCATENATE("#metadata!", ADDRESS(INDEX($P$2:$P$1001,MATCH(ROWS($N$2:N927),$N$2:$N$1001,0),0), INDEX($U$1004:$AC$1004,1,MATCH(COLUMNS($U$1006:AB1006),$U$1006:$AC$1006,0)))),"Fix")))</f>
        <v>0</v>
      </c>
      <c r="J927" s="3">
        <f>IF(OR(INDEX($O$2:$O$1001,MATCH(ROWS($N$2:N927),$N$2:$N$1001,0),1)&gt;=100000,INDEX($U$1005:$AC$1005,1,MATCH(COLUMNS($U$1006:AC1006),$U$1006:$AC$1006,0))&gt;=100000), " ",IF(INDEX($U$2:$AC$1001,MATCH(ROWS($N$2:N927),$N$2:$N$1001,0),MATCH(COLUMNS($U$1006:AC1006),$U$1006:$AC$1006,0)), HYPERLINK("#",""), HYPERLINK(CONCATENATE("#metadata!", ADDRESS(INDEX($P$2:$P$1001,MATCH(ROWS($N$2:N927),$N$2:$N$1001,0),0), INDEX($U$1004:$AC$1004,1,MATCH(COLUMNS($U$1006:AC1006),$U$1006:$AC$1006,0)))),"Fix")))</f>
        <v>0</v>
      </c>
      <c r="N927">
        <v>0</v>
      </c>
      <c r="O927">
        <v>0</v>
      </c>
      <c r="P927">
        <v>0</v>
      </c>
      <c r="Q927">
        <f>IF(R927,TRUE,AND(U927:AC927))</f>
        <v>0</v>
      </c>
      <c r="R927">
        <f>COUNTBLANK(metadata!B927:J927)=COLUMNS(metadata!B927:J927)</f>
        <v>0</v>
      </c>
      <c r="S927">
        <v>0</v>
      </c>
      <c r="U927">
        <f>AND(IF(metadata!B927="",FALSE,TRUE),COUNTIF(metadata!B:B, metadata!B927) = 1,NOT(ISERROR(SUMPRODUCT(SEARCH(MID(metadata!B927,ROW(INDIRECT("1:"&amp;LEN(metadata!B927))), 1),"0123456789abcdefghijklmnopqrstuvwxyzABCDEFGHIJKLMNOPQRSTUVWXYZ.")))))</f>
        <v>0</v>
      </c>
      <c r="V927">
        <f>AND(IF(metadata!C927="",FALSE,TRUE),exact(metadata!C927,"UBERON:genitourinary"))</f>
        <v>0</v>
      </c>
      <c r="W927">
        <f>AND(IF(metadata!D927="",FALSE,TRUE),exact(metadata!D927,"UBERON:urine"))</f>
        <v>0</v>
      </c>
      <c r="X927">
        <f>AND(IF(metadata!E927="",FALSE,TRUE),exact(metadata!E927,"UBERON:kidney"))</f>
        <v>0</v>
      </c>
      <c r="Y927">
        <f>AND(IF(metadata!F927="",FALSE,TRUE),exact(metadata!F927,"animal corpus"))</f>
        <v>0</v>
      </c>
      <c r="Z927">
        <f>AND(IF(metadata!G927="",FALSE,TRUE),exact(metadata!G927,"urine"))</f>
        <v>0</v>
      </c>
      <c r="AA927">
        <f>AND(IF(metadata!H927="",FALSE,TRUE),exact(metadata!H927,"urine"))</f>
        <v>0</v>
      </c>
      <c r="AB927">
        <f>AND(IF(metadata!I927="",FALSE,TRUE),exact(metadata!I927,"urine metagenome"))</f>
        <v>0</v>
      </c>
      <c r="AC927">
        <f>AND(IF(metadata!J927="",FALSE,TRUE),exact(metadata!J927,"1346744"))</f>
        <v>0</v>
      </c>
    </row>
    <row r="928" spans="1:29">
      <c r="A928" s="4">
        <f>IF(B928=" "," ",HYPERLINK(CONCATENATE("#metadata!",ADDRESS(INDEX($P$2:$P$1001,MATCH(ROWS($N$2:N928),$N$2:$N$1001,0),0),1)),INDEX($S$2:$S$1001,MATCH(ROWS($N$2:N928),$N$2:$N$1001,0),0)))</f>
        <v>0</v>
      </c>
      <c r="B928" s="3">
        <f>IF(OR(INDEX($O$2:$O$1001,MATCH(ROWS($N$2:N928),$N$2:$N$1001,0),1)&gt;=100000,INDEX($U$1005:$AC$1005,1,MATCH(COLUMNS($U$1006:U1006),$U$1006:$AC$1006,0))&gt;=100000), " ",IF(INDEX($U$2:$AC$1001,MATCH(ROWS($N$2:N928),$N$2:$N$1001,0),MATCH(COLUMNS($U$1006:U1006),$U$1006:$AC$1006,0)), HYPERLINK("#",""), HYPERLINK(CONCATENATE("#metadata!", ADDRESS(INDEX($P$2:$P$1001,MATCH(ROWS($N$2:N928),$N$2:$N$1001,0),0), INDEX($U$1004:$AC$1004,1,MATCH(COLUMNS($U$1006:U1006),$U$1006:$AC$1006,0)))),"Fix")))</f>
        <v>0</v>
      </c>
      <c r="C928" s="3">
        <f>IF(OR(INDEX($O$2:$O$1001,MATCH(ROWS($N$2:N928),$N$2:$N$1001,0),1)&gt;=100000,INDEX($U$1005:$AC$1005,1,MATCH(COLUMNS($U$1006:V1006),$U$1006:$AC$1006,0))&gt;=100000), " ",IF(INDEX($U$2:$AC$1001,MATCH(ROWS($N$2:N928),$N$2:$N$1001,0),MATCH(COLUMNS($U$1006:V1006),$U$1006:$AC$1006,0)), HYPERLINK("#",""), HYPERLINK(CONCATENATE("#metadata!", ADDRESS(INDEX($P$2:$P$1001,MATCH(ROWS($N$2:N928),$N$2:$N$1001,0),0), INDEX($U$1004:$AC$1004,1,MATCH(COLUMNS($U$1006:V1006),$U$1006:$AC$1006,0)))),"Fix")))</f>
        <v>0</v>
      </c>
      <c r="D928" s="3">
        <f>IF(OR(INDEX($O$2:$O$1001,MATCH(ROWS($N$2:N928),$N$2:$N$1001,0),1)&gt;=100000,INDEX($U$1005:$AC$1005,1,MATCH(COLUMNS($U$1006:W1006),$U$1006:$AC$1006,0))&gt;=100000), " ",IF(INDEX($U$2:$AC$1001,MATCH(ROWS($N$2:N928),$N$2:$N$1001,0),MATCH(COLUMNS($U$1006:W1006),$U$1006:$AC$1006,0)), HYPERLINK("#",""), HYPERLINK(CONCATENATE("#metadata!", ADDRESS(INDEX($P$2:$P$1001,MATCH(ROWS($N$2:N928),$N$2:$N$1001,0),0), INDEX($U$1004:$AC$1004,1,MATCH(COLUMNS($U$1006:W1006),$U$1006:$AC$1006,0)))),"Fix")))</f>
        <v>0</v>
      </c>
      <c r="E928" s="3">
        <f>IF(OR(INDEX($O$2:$O$1001,MATCH(ROWS($N$2:N928),$N$2:$N$1001,0),1)&gt;=100000,INDEX($U$1005:$AC$1005,1,MATCH(COLUMNS($U$1006:X1006),$U$1006:$AC$1006,0))&gt;=100000), " ",IF(INDEX($U$2:$AC$1001,MATCH(ROWS($N$2:N928),$N$2:$N$1001,0),MATCH(COLUMNS($U$1006:X1006),$U$1006:$AC$1006,0)), HYPERLINK("#",""), HYPERLINK(CONCATENATE("#metadata!", ADDRESS(INDEX($P$2:$P$1001,MATCH(ROWS($N$2:N928),$N$2:$N$1001,0),0), INDEX($U$1004:$AC$1004,1,MATCH(COLUMNS($U$1006:X1006),$U$1006:$AC$1006,0)))),"Fix")))</f>
        <v>0</v>
      </c>
      <c r="F928" s="3">
        <f>IF(OR(INDEX($O$2:$O$1001,MATCH(ROWS($N$2:N928),$N$2:$N$1001,0),1)&gt;=100000,INDEX($U$1005:$AC$1005,1,MATCH(COLUMNS($U$1006:Y1006),$U$1006:$AC$1006,0))&gt;=100000), " ",IF(INDEX($U$2:$AC$1001,MATCH(ROWS($N$2:N928),$N$2:$N$1001,0),MATCH(COLUMNS($U$1006:Y1006),$U$1006:$AC$1006,0)), HYPERLINK("#",""), HYPERLINK(CONCATENATE("#metadata!", ADDRESS(INDEX($P$2:$P$1001,MATCH(ROWS($N$2:N928),$N$2:$N$1001,0),0), INDEX($U$1004:$AC$1004,1,MATCH(COLUMNS($U$1006:Y1006),$U$1006:$AC$1006,0)))),"Fix")))</f>
        <v>0</v>
      </c>
      <c r="G928" s="3">
        <f>IF(OR(INDEX($O$2:$O$1001,MATCH(ROWS($N$2:N928),$N$2:$N$1001,0),1)&gt;=100000,INDEX($U$1005:$AC$1005,1,MATCH(COLUMNS($U$1006:Z1006),$U$1006:$AC$1006,0))&gt;=100000), " ",IF(INDEX($U$2:$AC$1001,MATCH(ROWS($N$2:N928),$N$2:$N$1001,0),MATCH(COLUMNS($U$1006:Z1006),$U$1006:$AC$1006,0)), HYPERLINK("#",""), HYPERLINK(CONCATENATE("#metadata!", ADDRESS(INDEX($P$2:$P$1001,MATCH(ROWS($N$2:N928),$N$2:$N$1001,0),0), INDEX($U$1004:$AC$1004,1,MATCH(COLUMNS($U$1006:Z1006),$U$1006:$AC$1006,0)))),"Fix")))</f>
        <v>0</v>
      </c>
      <c r="H928" s="3">
        <f>IF(OR(INDEX($O$2:$O$1001,MATCH(ROWS($N$2:N928),$N$2:$N$1001,0),1)&gt;=100000,INDEX($U$1005:$AC$1005,1,MATCH(COLUMNS($U$1006:AA1006),$U$1006:$AC$1006,0))&gt;=100000), " ",IF(INDEX($U$2:$AC$1001,MATCH(ROWS($N$2:N928),$N$2:$N$1001,0),MATCH(COLUMNS($U$1006:AA1006),$U$1006:$AC$1006,0)), HYPERLINK("#",""), HYPERLINK(CONCATENATE("#metadata!", ADDRESS(INDEX($P$2:$P$1001,MATCH(ROWS($N$2:N928),$N$2:$N$1001,0),0), INDEX($U$1004:$AC$1004,1,MATCH(COLUMNS($U$1006:AA1006),$U$1006:$AC$1006,0)))),"Fix")))</f>
        <v>0</v>
      </c>
      <c r="I928" s="3">
        <f>IF(OR(INDEX($O$2:$O$1001,MATCH(ROWS($N$2:N928),$N$2:$N$1001,0),1)&gt;=100000,INDEX($U$1005:$AC$1005,1,MATCH(COLUMNS($U$1006:AB1006),$U$1006:$AC$1006,0))&gt;=100000), " ",IF(INDEX($U$2:$AC$1001,MATCH(ROWS($N$2:N928),$N$2:$N$1001,0),MATCH(COLUMNS($U$1006:AB1006),$U$1006:$AC$1006,0)), HYPERLINK("#",""), HYPERLINK(CONCATENATE("#metadata!", ADDRESS(INDEX($P$2:$P$1001,MATCH(ROWS($N$2:N928),$N$2:$N$1001,0),0), INDEX($U$1004:$AC$1004,1,MATCH(COLUMNS($U$1006:AB1006),$U$1006:$AC$1006,0)))),"Fix")))</f>
        <v>0</v>
      </c>
      <c r="J928" s="3">
        <f>IF(OR(INDEX($O$2:$O$1001,MATCH(ROWS($N$2:N928),$N$2:$N$1001,0),1)&gt;=100000,INDEX($U$1005:$AC$1005,1,MATCH(COLUMNS($U$1006:AC1006),$U$1006:$AC$1006,0))&gt;=100000), " ",IF(INDEX($U$2:$AC$1001,MATCH(ROWS($N$2:N928),$N$2:$N$1001,0),MATCH(COLUMNS($U$1006:AC1006),$U$1006:$AC$1006,0)), HYPERLINK("#",""), HYPERLINK(CONCATENATE("#metadata!", ADDRESS(INDEX($P$2:$P$1001,MATCH(ROWS($N$2:N928),$N$2:$N$1001,0),0), INDEX($U$1004:$AC$1004,1,MATCH(COLUMNS($U$1006:AC1006),$U$1006:$AC$1006,0)))),"Fix")))</f>
        <v>0</v>
      </c>
      <c r="N928">
        <v>0</v>
      </c>
      <c r="O928">
        <v>0</v>
      </c>
      <c r="P928">
        <v>0</v>
      </c>
      <c r="Q928">
        <f>IF(R928,TRUE,AND(U928:AC928))</f>
        <v>0</v>
      </c>
      <c r="R928">
        <f>COUNTBLANK(metadata!B928:J928)=COLUMNS(metadata!B928:J928)</f>
        <v>0</v>
      </c>
      <c r="S928">
        <v>0</v>
      </c>
      <c r="U928">
        <f>AND(IF(metadata!B928="",FALSE,TRUE),COUNTIF(metadata!B:B, metadata!B928) = 1,NOT(ISERROR(SUMPRODUCT(SEARCH(MID(metadata!B928,ROW(INDIRECT("1:"&amp;LEN(metadata!B928))), 1),"0123456789abcdefghijklmnopqrstuvwxyzABCDEFGHIJKLMNOPQRSTUVWXYZ.")))))</f>
        <v>0</v>
      </c>
      <c r="V928">
        <f>AND(IF(metadata!C928="",FALSE,TRUE),exact(metadata!C928,"UBERON:genitourinary"))</f>
        <v>0</v>
      </c>
      <c r="W928">
        <f>AND(IF(metadata!D928="",FALSE,TRUE),exact(metadata!D928,"UBERON:urine"))</f>
        <v>0</v>
      </c>
      <c r="X928">
        <f>AND(IF(metadata!E928="",FALSE,TRUE),exact(metadata!E928,"UBERON:kidney"))</f>
        <v>0</v>
      </c>
      <c r="Y928">
        <f>AND(IF(metadata!F928="",FALSE,TRUE),exact(metadata!F928,"animal corpus"))</f>
        <v>0</v>
      </c>
      <c r="Z928">
        <f>AND(IF(metadata!G928="",FALSE,TRUE),exact(metadata!G928,"urine"))</f>
        <v>0</v>
      </c>
      <c r="AA928">
        <f>AND(IF(metadata!H928="",FALSE,TRUE),exact(metadata!H928,"urine"))</f>
        <v>0</v>
      </c>
      <c r="AB928">
        <f>AND(IF(metadata!I928="",FALSE,TRUE),exact(metadata!I928,"urine metagenome"))</f>
        <v>0</v>
      </c>
      <c r="AC928">
        <f>AND(IF(metadata!J928="",FALSE,TRUE),exact(metadata!J928,"1346744"))</f>
        <v>0</v>
      </c>
    </row>
    <row r="929" spans="1:29">
      <c r="A929" s="4">
        <f>IF(B929=" "," ",HYPERLINK(CONCATENATE("#metadata!",ADDRESS(INDEX($P$2:$P$1001,MATCH(ROWS($N$2:N929),$N$2:$N$1001,0),0),1)),INDEX($S$2:$S$1001,MATCH(ROWS($N$2:N929),$N$2:$N$1001,0),0)))</f>
        <v>0</v>
      </c>
      <c r="B929" s="3">
        <f>IF(OR(INDEX($O$2:$O$1001,MATCH(ROWS($N$2:N929),$N$2:$N$1001,0),1)&gt;=100000,INDEX($U$1005:$AC$1005,1,MATCH(COLUMNS($U$1006:U1006),$U$1006:$AC$1006,0))&gt;=100000), " ",IF(INDEX($U$2:$AC$1001,MATCH(ROWS($N$2:N929),$N$2:$N$1001,0),MATCH(COLUMNS($U$1006:U1006),$U$1006:$AC$1006,0)), HYPERLINK("#",""), HYPERLINK(CONCATENATE("#metadata!", ADDRESS(INDEX($P$2:$P$1001,MATCH(ROWS($N$2:N929),$N$2:$N$1001,0),0), INDEX($U$1004:$AC$1004,1,MATCH(COLUMNS($U$1006:U1006),$U$1006:$AC$1006,0)))),"Fix")))</f>
        <v>0</v>
      </c>
      <c r="C929" s="3">
        <f>IF(OR(INDEX($O$2:$O$1001,MATCH(ROWS($N$2:N929),$N$2:$N$1001,0),1)&gt;=100000,INDEX($U$1005:$AC$1005,1,MATCH(COLUMNS($U$1006:V1006),$U$1006:$AC$1006,0))&gt;=100000), " ",IF(INDEX($U$2:$AC$1001,MATCH(ROWS($N$2:N929),$N$2:$N$1001,0),MATCH(COLUMNS($U$1006:V1006),$U$1006:$AC$1006,0)), HYPERLINK("#",""), HYPERLINK(CONCATENATE("#metadata!", ADDRESS(INDEX($P$2:$P$1001,MATCH(ROWS($N$2:N929),$N$2:$N$1001,0),0), INDEX($U$1004:$AC$1004,1,MATCH(COLUMNS($U$1006:V1006),$U$1006:$AC$1006,0)))),"Fix")))</f>
        <v>0</v>
      </c>
      <c r="D929" s="3">
        <f>IF(OR(INDEX($O$2:$O$1001,MATCH(ROWS($N$2:N929),$N$2:$N$1001,0),1)&gt;=100000,INDEX($U$1005:$AC$1005,1,MATCH(COLUMNS($U$1006:W1006),$U$1006:$AC$1006,0))&gt;=100000), " ",IF(INDEX($U$2:$AC$1001,MATCH(ROWS($N$2:N929),$N$2:$N$1001,0),MATCH(COLUMNS($U$1006:W1006),$U$1006:$AC$1006,0)), HYPERLINK("#",""), HYPERLINK(CONCATENATE("#metadata!", ADDRESS(INDEX($P$2:$P$1001,MATCH(ROWS($N$2:N929),$N$2:$N$1001,0),0), INDEX($U$1004:$AC$1004,1,MATCH(COLUMNS($U$1006:W1006),$U$1006:$AC$1006,0)))),"Fix")))</f>
        <v>0</v>
      </c>
      <c r="E929" s="3">
        <f>IF(OR(INDEX($O$2:$O$1001,MATCH(ROWS($N$2:N929),$N$2:$N$1001,0),1)&gt;=100000,INDEX($U$1005:$AC$1005,1,MATCH(COLUMNS($U$1006:X1006),$U$1006:$AC$1006,0))&gt;=100000), " ",IF(INDEX($U$2:$AC$1001,MATCH(ROWS($N$2:N929),$N$2:$N$1001,0),MATCH(COLUMNS($U$1006:X1006),$U$1006:$AC$1006,0)), HYPERLINK("#",""), HYPERLINK(CONCATENATE("#metadata!", ADDRESS(INDEX($P$2:$P$1001,MATCH(ROWS($N$2:N929),$N$2:$N$1001,0),0), INDEX($U$1004:$AC$1004,1,MATCH(COLUMNS($U$1006:X1006),$U$1006:$AC$1006,0)))),"Fix")))</f>
        <v>0</v>
      </c>
      <c r="F929" s="3">
        <f>IF(OR(INDEX($O$2:$O$1001,MATCH(ROWS($N$2:N929),$N$2:$N$1001,0),1)&gt;=100000,INDEX($U$1005:$AC$1005,1,MATCH(COLUMNS($U$1006:Y1006),$U$1006:$AC$1006,0))&gt;=100000), " ",IF(INDEX($U$2:$AC$1001,MATCH(ROWS($N$2:N929),$N$2:$N$1001,0),MATCH(COLUMNS($U$1006:Y1006),$U$1006:$AC$1006,0)), HYPERLINK("#",""), HYPERLINK(CONCATENATE("#metadata!", ADDRESS(INDEX($P$2:$P$1001,MATCH(ROWS($N$2:N929),$N$2:$N$1001,0),0), INDEX($U$1004:$AC$1004,1,MATCH(COLUMNS($U$1006:Y1006),$U$1006:$AC$1006,0)))),"Fix")))</f>
        <v>0</v>
      </c>
      <c r="G929" s="3">
        <f>IF(OR(INDEX($O$2:$O$1001,MATCH(ROWS($N$2:N929),$N$2:$N$1001,0),1)&gt;=100000,INDEX($U$1005:$AC$1005,1,MATCH(COLUMNS($U$1006:Z1006),$U$1006:$AC$1006,0))&gt;=100000), " ",IF(INDEX($U$2:$AC$1001,MATCH(ROWS($N$2:N929),$N$2:$N$1001,0),MATCH(COLUMNS($U$1006:Z1006),$U$1006:$AC$1006,0)), HYPERLINK("#",""), HYPERLINK(CONCATENATE("#metadata!", ADDRESS(INDEX($P$2:$P$1001,MATCH(ROWS($N$2:N929),$N$2:$N$1001,0),0), INDEX($U$1004:$AC$1004,1,MATCH(COLUMNS($U$1006:Z1006),$U$1006:$AC$1006,0)))),"Fix")))</f>
        <v>0</v>
      </c>
      <c r="H929" s="3">
        <f>IF(OR(INDEX($O$2:$O$1001,MATCH(ROWS($N$2:N929),$N$2:$N$1001,0),1)&gt;=100000,INDEX($U$1005:$AC$1005,1,MATCH(COLUMNS($U$1006:AA1006),$U$1006:$AC$1006,0))&gt;=100000), " ",IF(INDEX($U$2:$AC$1001,MATCH(ROWS($N$2:N929),$N$2:$N$1001,0),MATCH(COLUMNS($U$1006:AA1006),$U$1006:$AC$1006,0)), HYPERLINK("#",""), HYPERLINK(CONCATENATE("#metadata!", ADDRESS(INDEX($P$2:$P$1001,MATCH(ROWS($N$2:N929),$N$2:$N$1001,0),0), INDEX($U$1004:$AC$1004,1,MATCH(COLUMNS($U$1006:AA1006),$U$1006:$AC$1006,0)))),"Fix")))</f>
        <v>0</v>
      </c>
      <c r="I929" s="3">
        <f>IF(OR(INDEX($O$2:$O$1001,MATCH(ROWS($N$2:N929),$N$2:$N$1001,0),1)&gt;=100000,INDEX($U$1005:$AC$1005,1,MATCH(COLUMNS($U$1006:AB1006),$U$1006:$AC$1006,0))&gt;=100000), " ",IF(INDEX($U$2:$AC$1001,MATCH(ROWS($N$2:N929),$N$2:$N$1001,0),MATCH(COLUMNS($U$1006:AB1006),$U$1006:$AC$1006,0)), HYPERLINK("#",""), HYPERLINK(CONCATENATE("#metadata!", ADDRESS(INDEX($P$2:$P$1001,MATCH(ROWS($N$2:N929),$N$2:$N$1001,0),0), INDEX($U$1004:$AC$1004,1,MATCH(COLUMNS($U$1006:AB1006),$U$1006:$AC$1006,0)))),"Fix")))</f>
        <v>0</v>
      </c>
      <c r="J929" s="3">
        <f>IF(OR(INDEX($O$2:$O$1001,MATCH(ROWS($N$2:N929),$N$2:$N$1001,0),1)&gt;=100000,INDEX($U$1005:$AC$1005,1,MATCH(COLUMNS($U$1006:AC1006),$U$1006:$AC$1006,0))&gt;=100000), " ",IF(INDEX($U$2:$AC$1001,MATCH(ROWS($N$2:N929),$N$2:$N$1001,0),MATCH(COLUMNS($U$1006:AC1006),$U$1006:$AC$1006,0)), HYPERLINK("#",""), HYPERLINK(CONCATENATE("#metadata!", ADDRESS(INDEX($P$2:$P$1001,MATCH(ROWS($N$2:N929),$N$2:$N$1001,0),0), INDEX($U$1004:$AC$1004,1,MATCH(COLUMNS($U$1006:AC1006),$U$1006:$AC$1006,0)))),"Fix")))</f>
        <v>0</v>
      </c>
      <c r="N929">
        <v>0</v>
      </c>
      <c r="O929">
        <v>0</v>
      </c>
      <c r="P929">
        <v>0</v>
      </c>
      <c r="Q929">
        <f>IF(R929,TRUE,AND(U929:AC929))</f>
        <v>0</v>
      </c>
      <c r="R929">
        <f>COUNTBLANK(metadata!B929:J929)=COLUMNS(metadata!B929:J929)</f>
        <v>0</v>
      </c>
      <c r="S929">
        <v>0</v>
      </c>
      <c r="U929">
        <f>AND(IF(metadata!B929="",FALSE,TRUE),COUNTIF(metadata!B:B, metadata!B929) = 1,NOT(ISERROR(SUMPRODUCT(SEARCH(MID(metadata!B929,ROW(INDIRECT("1:"&amp;LEN(metadata!B929))), 1),"0123456789abcdefghijklmnopqrstuvwxyzABCDEFGHIJKLMNOPQRSTUVWXYZ.")))))</f>
        <v>0</v>
      </c>
      <c r="V929">
        <f>AND(IF(metadata!C929="",FALSE,TRUE),exact(metadata!C929,"UBERON:genitourinary"))</f>
        <v>0</v>
      </c>
      <c r="W929">
        <f>AND(IF(metadata!D929="",FALSE,TRUE),exact(metadata!D929,"UBERON:urine"))</f>
        <v>0</v>
      </c>
      <c r="X929">
        <f>AND(IF(metadata!E929="",FALSE,TRUE),exact(metadata!E929,"UBERON:kidney"))</f>
        <v>0</v>
      </c>
      <c r="Y929">
        <f>AND(IF(metadata!F929="",FALSE,TRUE),exact(metadata!F929,"animal corpus"))</f>
        <v>0</v>
      </c>
      <c r="Z929">
        <f>AND(IF(metadata!G929="",FALSE,TRUE),exact(metadata!G929,"urine"))</f>
        <v>0</v>
      </c>
      <c r="AA929">
        <f>AND(IF(metadata!H929="",FALSE,TRUE),exact(metadata!H929,"urine"))</f>
        <v>0</v>
      </c>
      <c r="AB929">
        <f>AND(IF(metadata!I929="",FALSE,TRUE),exact(metadata!I929,"urine metagenome"))</f>
        <v>0</v>
      </c>
      <c r="AC929">
        <f>AND(IF(metadata!J929="",FALSE,TRUE),exact(metadata!J929,"1346744"))</f>
        <v>0</v>
      </c>
    </row>
    <row r="930" spans="1:29">
      <c r="A930" s="4">
        <f>IF(B930=" "," ",HYPERLINK(CONCATENATE("#metadata!",ADDRESS(INDEX($P$2:$P$1001,MATCH(ROWS($N$2:N930),$N$2:$N$1001,0),0),1)),INDEX($S$2:$S$1001,MATCH(ROWS($N$2:N930),$N$2:$N$1001,0),0)))</f>
        <v>0</v>
      </c>
      <c r="B930" s="3">
        <f>IF(OR(INDEX($O$2:$O$1001,MATCH(ROWS($N$2:N930),$N$2:$N$1001,0),1)&gt;=100000,INDEX($U$1005:$AC$1005,1,MATCH(COLUMNS($U$1006:U1006),$U$1006:$AC$1006,0))&gt;=100000), " ",IF(INDEX($U$2:$AC$1001,MATCH(ROWS($N$2:N930),$N$2:$N$1001,0),MATCH(COLUMNS($U$1006:U1006),$U$1006:$AC$1006,0)), HYPERLINK("#",""), HYPERLINK(CONCATENATE("#metadata!", ADDRESS(INDEX($P$2:$P$1001,MATCH(ROWS($N$2:N930),$N$2:$N$1001,0),0), INDEX($U$1004:$AC$1004,1,MATCH(COLUMNS($U$1006:U1006),$U$1006:$AC$1006,0)))),"Fix")))</f>
        <v>0</v>
      </c>
      <c r="C930" s="3">
        <f>IF(OR(INDEX($O$2:$O$1001,MATCH(ROWS($N$2:N930),$N$2:$N$1001,0),1)&gt;=100000,INDEX($U$1005:$AC$1005,1,MATCH(COLUMNS($U$1006:V1006),$U$1006:$AC$1006,0))&gt;=100000), " ",IF(INDEX($U$2:$AC$1001,MATCH(ROWS($N$2:N930),$N$2:$N$1001,0),MATCH(COLUMNS($U$1006:V1006),$U$1006:$AC$1006,0)), HYPERLINK("#",""), HYPERLINK(CONCATENATE("#metadata!", ADDRESS(INDEX($P$2:$P$1001,MATCH(ROWS($N$2:N930),$N$2:$N$1001,0),0), INDEX($U$1004:$AC$1004,1,MATCH(COLUMNS($U$1006:V1006),$U$1006:$AC$1006,0)))),"Fix")))</f>
        <v>0</v>
      </c>
      <c r="D930" s="3">
        <f>IF(OR(INDEX($O$2:$O$1001,MATCH(ROWS($N$2:N930),$N$2:$N$1001,0),1)&gt;=100000,INDEX($U$1005:$AC$1005,1,MATCH(COLUMNS($U$1006:W1006),$U$1006:$AC$1006,0))&gt;=100000), " ",IF(INDEX($U$2:$AC$1001,MATCH(ROWS($N$2:N930),$N$2:$N$1001,0),MATCH(COLUMNS($U$1006:W1006),$U$1006:$AC$1006,0)), HYPERLINK("#",""), HYPERLINK(CONCATENATE("#metadata!", ADDRESS(INDEX($P$2:$P$1001,MATCH(ROWS($N$2:N930),$N$2:$N$1001,0),0), INDEX($U$1004:$AC$1004,1,MATCH(COLUMNS($U$1006:W1006),$U$1006:$AC$1006,0)))),"Fix")))</f>
        <v>0</v>
      </c>
      <c r="E930" s="3">
        <f>IF(OR(INDEX($O$2:$O$1001,MATCH(ROWS($N$2:N930),$N$2:$N$1001,0),1)&gt;=100000,INDEX($U$1005:$AC$1005,1,MATCH(COLUMNS($U$1006:X1006),$U$1006:$AC$1006,0))&gt;=100000), " ",IF(INDEX($U$2:$AC$1001,MATCH(ROWS($N$2:N930),$N$2:$N$1001,0),MATCH(COLUMNS($U$1006:X1006),$U$1006:$AC$1006,0)), HYPERLINK("#",""), HYPERLINK(CONCATENATE("#metadata!", ADDRESS(INDEX($P$2:$P$1001,MATCH(ROWS($N$2:N930),$N$2:$N$1001,0),0), INDEX($U$1004:$AC$1004,1,MATCH(COLUMNS($U$1006:X1006),$U$1006:$AC$1006,0)))),"Fix")))</f>
        <v>0</v>
      </c>
      <c r="F930" s="3">
        <f>IF(OR(INDEX($O$2:$O$1001,MATCH(ROWS($N$2:N930),$N$2:$N$1001,0),1)&gt;=100000,INDEX($U$1005:$AC$1005,1,MATCH(COLUMNS($U$1006:Y1006),$U$1006:$AC$1006,0))&gt;=100000), " ",IF(INDEX($U$2:$AC$1001,MATCH(ROWS($N$2:N930),$N$2:$N$1001,0),MATCH(COLUMNS($U$1006:Y1006),$U$1006:$AC$1006,0)), HYPERLINK("#",""), HYPERLINK(CONCATENATE("#metadata!", ADDRESS(INDEX($P$2:$P$1001,MATCH(ROWS($N$2:N930),$N$2:$N$1001,0),0), INDEX($U$1004:$AC$1004,1,MATCH(COLUMNS($U$1006:Y1006),$U$1006:$AC$1006,0)))),"Fix")))</f>
        <v>0</v>
      </c>
      <c r="G930" s="3">
        <f>IF(OR(INDEX($O$2:$O$1001,MATCH(ROWS($N$2:N930),$N$2:$N$1001,0),1)&gt;=100000,INDEX($U$1005:$AC$1005,1,MATCH(COLUMNS($U$1006:Z1006),$U$1006:$AC$1006,0))&gt;=100000), " ",IF(INDEX($U$2:$AC$1001,MATCH(ROWS($N$2:N930),$N$2:$N$1001,0),MATCH(COLUMNS($U$1006:Z1006),$U$1006:$AC$1006,0)), HYPERLINK("#",""), HYPERLINK(CONCATENATE("#metadata!", ADDRESS(INDEX($P$2:$P$1001,MATCH(ROWS($N$2:N930),$N$2:$N$1001,0),0), INDEX($U$1004:$AC$1004,1,MATCH(COLUMNS($U$1006:Z1006),$U$1006:$AC$1006,0)))),"Fix")))</f>
        <v>0</v>
      </c>
      <c r="H930" s="3">
        <f>IF(OR(INDEX($O$2:$O$1001,MATCH(ROWS($N$2:N930),$N$2:$N$1001,0),1)&gt;=100000,INDEX($U$1005:$AC$1005,1,MATCH(COLUMNS($U$1006:AA1006),$U$1006:$AC$1006,0))&gt;=100000), " ",IF(INDEX($U$2:$AC$1001,MATCH(ROWS($N$2:N930),$N$2:$N$1001,0),MATCH(COLUMNS($U$1006:AA1006),$U$1006:$AC$1006,0)), HYPERLINK("#",""), HYPERLINK(CONCATENATE("#metadata!", ADDRESS(INDEX($P$2:$P$1001,MATCH(ROWS($N$2:N930),$N$2:$N$1001,0),0), INDEX($U$1004:$AC$1004,1,MATCH(COLUMNS($U$1006:AA1006),$U$1006:$AC$1006,0)))),"Fix")))</f>
        <v>0</v>
      </c>
      <c r="I930" s="3">
        <f>IF(OR(INDEX($O$2:$O$1001,MATCH(ROWS($N$2:N930),$N$2:$N$1001,0),1)&gt;=100000,INDEX($U$1005:$AC$1005,1,MATCH(COLUMNS($U$1006:AB1006),$U$1006:$AC$1006,0))&gt;=100000), " ",IF(INDEX($U$2:$AC$1001,MATCH(ROWS($N$2:N930),$N$2:$N$1001,0),MATCH(COLUMNS($U$1006:AB1006),$U$1006:$AC$1006,0)), HYPERLINK("#",""), HYPERLINK(CONCATENATE("#metadata!", ADDRESS(INDEX($P$2:$P$1001,MATCH(ROWS($N$2:N930),$N$2:$N$1001,0),0), INDEX($U$1004:$AC$1004,1,MATCH(COLUMNS($U$1006:AB1006),$U$1006:$AC$1006,0)))),"Fix")))</f>
        <v>0</v>
      </c>
      <c r="J930" s="3">
        <f>IF(OR(INDEX($O$2:$O$1001,MATCH(ROWS($N$2:N930),$N$2:$N$1001,0),1)&gt;=100000,INDEX($U$1005:$AC$1005,1,MATCH(COLUMNS($U$1006:AC1006),$U$1006:$AC$1006,0))&gt;=100000), " ",IF(INDEX($U$2:$AC$1001,MATCH(ROWS($N$2:N930),$N$2:$N$1001,0),MATCH(COLUMNS($U$1006:AC1006),$U$1006:$AC$1006,0)), HYPERLINK("#",""), HYPERLINK(CONCATENATE("#metadata!", ADDRESS(INDEX($P$2:$P$1001,MATCH(ROWS($N$2:N930),$N$2:$N$1001,0),0), INDEX($U$1004:$AC$1004,1,MATCH(COLUMNS($U$1006:AC1006),$U$1006:$AC$1006,0)))),"Fix")))</f>
        <v>0</v>
      </c>
      <c r="N930">
        <v>0</v>
      </c>
      <c r="O930">
        <v>0</v>
      </c>
      <c r="P930">
        <v>0</v>
      </c>
      <c r="Q930">
        <f>IF(R930,TRUE,AND(U930:AC930))</f>
        <v>0</v>
      </c>
      <c r="R930">
        <f>COUNTBLANK(metadata!B930:J930)=COLUMNS(metadata!B930:J930)</f>
        <v>0</v>
      </c>
      <c r="S930">
        <v>0</v>
      </c>
      <c r="U930">
        <f>AND(IF(metadata!B930="",FALSE,TRUE),COUNTIF(metadata!B:B, metadata!B930) = 1,NOT(ISERROR(SUMPRODUCT(SEARCH(MID(metadata!B930,ROW(INDIRECT("1:"&amp;LEN(metadata!B930))), 1),"0123456789abcdefghijklmnopqrstuvwxyzABCDEFGHIJKLMNOPQRSTUVWXYZ.")))))</f>
        <v>0</v>
      </c>
      <c r="V930">
        <f>AND(IF(metadata!C930="",FALSE,TRUE),exact(metadata!C930,"UBERON:genitourinary"))</f>
        <v>0</v>
      </c>
      <c r="W930">
        <f>AND(IF(metadata!D930="",FALSE,TRUE),exact(metadata!D930,"UBERON:urine"))</f>
        <v>0</v>
      </c>
      <c r="X930">
        <f>AND(IF(metadata!E930="",FALSE,TRUE),exact(metadata!E930,"UBERON:kidney"))</f>
        <v>0</v>
      </c>
      <c r="Y930">
        <f>AND(IF(metadata!F930="",FALSE,TRUE),exact(metadata!F930,"animal corpus"))</f>
        <v>0</v>
      </c>
      <c r="Z930">
        <f>AND(IF(metadata!G930="",FALSE,TRUE),exact(metadata!G930,"urine"))</f>
        <v>0</v>
      </c>
      <c r="AA930">
        <f>AND(IF(metadata!H930="",FALSE,TRUE),exact(metadata!H930,"urine"))</f>
        <v>0</v>
      </c>
      <c r="AB930">
        <f>AND(IF(metadata!I930="",FALSE,TRUE),exact(metadata!I930,"urine metagenome"))</f>
        <v>0</v>
      </c>
      <c r="AC930">
        <f>AND(IF(metadata!J930="",FALSE,TRUE),exact(metadata!J930,"1346744"))</f>
        <v>0</v>
      </c>
    </row>
    <row r="931" spans="1:29">
      <c r="A931" s="4">
        <f>IF(B931=" "," ",HYPERLINK(CONCATENATE("#metadata!",ADDRESS(INDEX($P$2:$P$1001,MATCH(ROWS($N$2:N931),$N$2:$N$1001,0),0),1)),INDEX($S$2:$S$1001,MATCH(ROWS($N$2:N931),$N$2:$N$1001,0),0)))</f>
        <v>0</v>
      </c>
      <c r="B931" s="3">
        <f>IF(OR(INDEX($O$2:$O$1001,MATCH(ROWS($N$2:N931),$N$2:$N$1001,0),1)&gt;=100000,INDEX($U$1005:$AC$1005,1,MATCH(COLUMNS($U$1006:U1006),$U$1006:$AC$1006,0))&gt;=100000), " ",IF(INDEX($U$2:$AC$1001,MATCH(ROWS($N$2:N931),$N$2:$N$1001,0),MATCH(COLUMNS($U$1006:U1006),$U$1006:$AC$1006,0)), HYPERLINK("#",""), HYPERLINK(CONCATENATE("#metadata!", ADDRESS(INDEX($P$2:$P$1001,MATCH(ROWS($N$2:N931),$N$2:$N$1001,0),0), INDEX($U$1004:$AC$1004,1,MATCH(COLUMNS($U$1006:U1006),$U$1006:$AC$1006,0)))),"Fix")))</f>
        <v>0</v>
      </c>
      <c r="C931" s="3">
        <f>IF(OR(INDEX($O$2:$O$1001,MATCH(ROWS($N$2:N931),$N$2:$N$1001,0),1)&gt;=100000,INDEX($U$1005:$AC$1005,1,MATCH(COLUMNS($U$1006:V1006),$U$1006:$AC$1006,0))&gt;=100000), " ",IF(INDEX($U$2:$AC$1001,MATCH(ROWS($N$2:N931),$N$2:$N$1001,0),MATCH(COLUMNS($U$1006:V1006),$U$1006:$AC$1006,0)), HYPERLINK("#",""), HYPERLINK(CONCATENATE("#metadata!", ADDRESS(INDEX($P$2:$P$1001,MATCH(ROWS($N$2:N931),$N$2:$N$1001,0),0), INDEX($U$1004:$AC$1004,1,MATCH(COLUMNS($U$1006:V1006),$U$1006:$AC$1006,0)))),"Fix")))</f>
        <v>0</v>
      </c>
      <c r="D931" s="3">
        <f>IF(OR(INDEX($O$2:$O$1001,MATCH(ROWS($N$2:N931),$N$2:$N$1001,0),1)&gt;=100000,INDEX($U$1005:$AC$1005,1,MATCH(COLUMNS($U$1006:W1006),$U$1006:$AC$1006,0))&gt;=100000), " ",IF(INDEX($U$2:$AC$1001,MATCH(ROWS($N$2:N931),$N$2:$N$1001,0),MATCH(COLUMNS($U$1006:W1006),$U$1006:$AC$1006,0)), HYPERLINK("#",""), HYPERLINK(CONCATENATE("#metadata!", ADDRESS(INDEX($P$2:$P$1001,MATCH(ROWS($N$2:N931),$N$2:$N$1001,0),0), INDEX($U$1004:$AC$1004,1,MATCH(COLUMNS($U$1006:W1006),$U$1006:$AC$1006,0)))),"Fix")))</f>
        <v>0</v>
      </c>
      <c r="E931" s="3">
        <f>IF(OR(INDEX($O$2:$O$1001,MATCH(ROWS($N$2:N931),$N$2:$N$1001,0),1)&gt;=100000,INDEX($U$1005:$AC$1005,1,MATCH(COLUMNS($U$1006:X1006),$U$1006:$AC$1006,0))&gt;=100000), " ",IF(INDEX($U$2:$AC$1001,MATCH(ROWS($N$2:N931),$N$2:$N$1001,0),MATCH(COLUMNS($U$1006:X1006),$U$1006:$AC$1006,0)), HYPERLINK("#",""), HYPERLINK(CONCATENATE("#metadata!", ADDRESS(INDEX($P$2:$P$1001,MATCH(ROWS($N$2:N931),$N$2:$N$1001,0),0), INDEX($U$1004:$AC$1004,1,MATCH(COLUMNS($U$1006:X1006),$U$1006:$AC$1006,0)))),"Fix")))</f>
        <v>0</v>
      </c>
      <c r="F931" s="3">
        <f>IF(OR(INDEX($O$2:$O$1001,MATCH(ROWS($N$2:N931),$N$2:$N$1001,0),1)&gt;=100000,INDEX($U$1005:$AC$1005,1,MATCH(COLUMNS($U$1006:Y1006),$U$1006:$AC$1006,0))&gt;=100000), " ",IF(INDEX($U$2:$AC$1001,MATCH(ROWS($N$2:N931),$N$2:$N$1001,0),MATCH(COLUMNS($U$1006:Y1006),$U$1006:$AC$1006,0)), HYPERLINK("#",""), HYPERLINK(CONCATENATE("#metadata!", ADDRESS(INDEX($P$2:$P$1001,MATCH(ROWS($N$2:N931),$N$2:$N$1001,0),0), INDEX($U$1004:$AC$1004,1,MATCH(COLUMNS($U$1006:Y1006),$U$1006:$AC$1006,0)))),"Fix")))</f>
        <v>0</v>
      </c>
      <c r="G931" s="3">
        <f>IF(OR(INDEX($O$2:$O$1001,MATCH(ROWS($N$2:N931),$N$2:$N$1001,0),1)&gt;=100000,INDEX($U$1005:$AC$1005,1,MATCH(COLUMNS($U$1006:Z1006),$U$1006:$AC$1006,0))&gt;=100000), " ",IF(INDEX($U$2:$AC$1001,MATCH(ROWS($N$2:N931),$N$2:$N$1001,0),MATCH(COLUMNS($U$1006:Z1006),$U$1006:$AC$1006,0)), HYPERLINK("#",""), HYPERLINK(CONCATENATE("#metadata!", ADDRESS(INDEX($P$2:$P$1001,MATCH(ROWS($N$2:N931),$N$2:$N$1001,0),0), INDEX($U$1004:$AC$1004,1,MATCH(COLUMNS($U$1006:Z1006),$U$1006:$AC$1006,0)))),"Fix")))</f>
        <v>0</v>
      </c>
      <c r="H931" s="3">
        <f>IF(OR(INDEX($O$2:$O$1001,MATCH(ROWS($N$2:N931),$N$2:$N$1001,0),1)&gt;=100000,INDEX($U$1005:$AC$1005,1,MATCH(COLUMNS($U$1006:AA1006),$U$1006:$AC$1006,0))&gt;=100000), " ",IF(INDEX($U$2:$AC$1001,MATCH(ROWS($N$2:N931),$N$2:$N$1001,0),MATCH(COLUMNS($U$1006:AA1006),$U$1006:$AC$1006,0)), HYPERLINK("#",""), HYPERLINK(CONCATENATE("#metadata!", ADDRESS(INDEX($P$2:$P$1001,MATCH(ROWS($N$2:N931),$N$2:$N$1001,0),0), INDEX($U$1004:$AC$1004,1,MATCH(COLUMNS($U$1006:AA1006),$U$1006:$AC$1006,0)))),"Fix")))</f>
        <v>0</v>
      </c>
      <c r="I931" s="3">
        <f>IF(OR(INDEX($O$2:$O$1001,MATCH(ROWS($N$2:N931),$N$2:$N$1001,0),1)&gt;=100000,INDEX($U$1005:$AC$1005,1,MATCH(COLUMNS($U$1006:AB1006),$U$1006:$AC$1006,0))&gt;=100000), " ",IF(INDEX($U$2:$AC$1001,MATCH(ROWS($N$2:N931),$N$2:$N$1001,0),MATCH(COLUMNS($U$1006:AB1006),$U$1006:$AC$1006,0)), HYPERLINK("#",""), HYPERLINK(CONCATENATE("#metadata!", ADDRESS(INDEX($P$2:$P$1001,MATCH(ROWS($N$2:N931),$N$2:$N$1001,0),0), INDEX($U$1004:$AC$1004,1,MATCH(COLUMNS($U$1006:AB1006),$U$1006:$AC$1006,0)))),"Fix")))</f>
        <v>0</v>
      </c>
      <c r="J931" s="3">
        <f>IF(OR(INDEX($O$2:$O$1001,MATCH(ROWS($N$2:N931),$N$2:$N$1001,0),1)&gt;=100000,INDEX($U$1005:$AC$1005,1,MATCH(COLUMNS($U$1006:AC1006),$U$1006:$AC$1006,0))&gt;=100000), " ",IF(INDEX($U$2:$AC$1001,MATCH(ROWS($N$2:N931),$N$2:$N$1001,0),MATCH(COLUMNS($U$1006:AC1006),$U$1006:$AC$1006,0)), HYPERLINK("#",""), HYPERLINK(CONCATENATE("#metadata!", ADDRESS(INDEX($P$2:$P$1001,MATCH(ROWS($N$2:N931),$N$2:$N$1001,0),0), INDEX($U$1004:$AC$1004,1,MATCH(COLUMNS($U$1006:AC1006),$U$1006:$AC$1006,0)))),"Fix")))</f>
        <v>0</v>
      </c>
      <c r="N931">
        <v>0</v>
      </c>
      <c r="O931">
        <v>0</v>
      </c>
      <c r="P931">
        <v>0</v>
      </c>
      <c r="Q931">
        <f>IF(R931,TRUE,AND(U931:AC931))</f>
        <v>0</v>
      </c>
      <c r="R931">
        <f>COUNTBLANK(metadata!B931:J931)=COLUMNS(metadata!B931:J931)</f>
        <v>0</v>
      </c>
      <c r="S931">
        <v>0</v>
      </c>
      <c r="U931">
        <f>AND(IF(metadata!B931="",FALSE,TRUE),COUNTIF(metadata!B:B, metadata!B931) = 1,NOT(ISERROR(SUMPRODUCT(SEARCH(MID(metadata!B931,ROW(INDIRECT("1:"&amp;LEN(metadata!B931))), 1),"0123456789abcdefghijklmnopqrstuvwxyzABCDEFGHIJKLMNOPQRSTUVWXYZ.")))))</f>
        <v>0</v>
      </c>
      <c r="V931">
        <f>AND(IF(metadata!C931="",FALSE,TRUE),exact(metadata!C931,"UBERON:genitourinary"))</f>
        <v>0</v>
      </c>
      <c r="W931">
        <f>AND(IF(metadata!D931="",FALSE,TRUE),exact(metadata!D931,"UBERON:urine"))</f>
        <v>0</v>
      </c>
      <c r="X931">
        <f>AND(IF(metadata!E931="",FALSE,TRUE),exact(metadata!E931,"UBERON:kidney"))</f>
        <v>0</v>
      </c>
      <c r="Y931">
        <f>AND(IF(metadata!F931="",FALSE,TRUE),exact(metadata!F931,"animal corpus"))</f>
        <v>0</v>
      </c>
      <c r="Z931">
        <f>AND(IF(metadata!G931="",FALSE,TRUE),exact(metadata!G931,"urine"))</f>
        <v>0</v>
      </c>
      <c r="AA931">
        <f>AND(IF(metadata!H931="",FALSE,TRUE),exact(metadata!H931,"urine"))</f>
        <v>0</v>
      </c>
      <c r="AB931">
        <f>AND(IF(metadata!I931="",FALSE,TRUE),exact(metadata!I931,"urine metagenome"))</f>
        <v>0</v>
      </c>
      <c r="AC931">
        <f>AND(IF(metadata!J931="",FALSE,TRUE),exact(metadata!J931,"1346744"))</f>
        <v>0</v>
      </c>
    </row>
    <row r="932" spans="1:29">
      <c r="A932" s="4">
        <f>IF(B932=" "," ",HYPERLINK(CONCATENATE("#metadata!",ADDRESS(INDEX($P$2:$P$1001,MATCH(ROWS($N$2:N932),$N$2:$N$1001,0),0),1)),INDEX($S$2:$S$1001,MATCH(ROWS($N$2:N932),$N$2:$N$1001,0),0)))</f>
        <v>0</v>
      </c>
      <c r="B932" s="3">
        <f>IF(OR(INDEX($O$2:$O$1001,MATCH(ROWS($N$2:N932),$N$2:$N$1001,0),1)&gt;=100000,INDEX($U$1005:$AC$1005,1,MATCH(COLUMNS($U$1006:U1006),$U$1006:$AC$1006,0))&gt;=100000), " ",IF(INDEX($U$2:$AC$1001,MATCH(ROWS($N$2:N932),$N$2:$N$1001,0),MATCH(COLUMNS($U$1006:U1006),$U$1006:$AC$1006,0)), HYPERLINK("#",""), HYPERLINK(CONCATENATE("#metadata!", ADDRESS(INDEX($P$2:$P$1001,MATCH(ROWS($N$2:N932),$N$2:$N$1001,0),0), INDEX($U$1004:$AC$1004,1,MATCH(COLUMNS($U$1006:U1006),$U$1006:$AC$1006,0)))),"Fix")))</f>
        <v>0</v>
      </c>
      <c r="C932" s="3">
        <f>IF(OR(INDEX($O$2:$O$1001,MATCH(ROWS($N$2:N932),$N$2:$N$1001,0),1)&gt;=100000,INDEX($U$1005:$AC$1005,1,MATCH(COLUMNS($U$1006:V1006),$U$1006:$AC$1006,0))&gt;=100000), " ",IF(INDEX($U$2:$AC$1001,MATCH(ROWS($N$2:N932),$N$2:$N$1001,0),MATCH(COLUMNS($U$1006:V1006),$U$1006:$AC$1006,0)), HYPERLINK("#",""), HYPERLINK(CONCATENATE("#metadata!", ADDRESS(INDEX($P$2:$P$1001,MATCH(ROWS($N$2:N932),$N$2:$N$1001,0),0), INDEX($U$1004:$AC$1004,1,MATCH(COLUMNS($U$1006:V1006),$U$1006:$AC$1006,0)))),"Fix")))</f>
        <v>0</v>
      </c>
      <c r="D932" s="3">
        <f>IF(OR(INDEX($O$2:$O$1001,MATCH(ROWS($N$2:N932),$N$2:$N$1001,0),1)&gt;=100000,INDEX($U$1005:$AC$1005,1,MATCH(COLUMNS($U$1006:W1006),$U$1006:$AC$1006,0))&gt;=100000), " ",IF(INDEX($U$2:$AC$1001,MATCH(ROWS($N$2:N932),$N$2:$N$1001,0),MATCH(COLUMNS($U$1006:W1006),$U$1006:$AC$1006,0)), HYPERLINK("#",""), HYPERLINK(CONCATENATE("#metadata!", ADDRESS(INDEX($P$2:$P$1001,MATCH(ROWS($N$2:N932),$N$2:$N$1001,0),0), INDEX($U$1004:$AC$1004,1,MATCH(COLUMNS($U$1006:W1006),$U$1006:$AC$1006,0)))),"Fix")))</f>
        <v>0</v>
      </c>
      <c r="E932" s="3">
        <f>IF(OR(INDEX($O$2:$O$1001,MATCH(ROWS($N$2:N932),$N$2:$N$1001,0),1)&gt;=100000,INDEX($U$1005:$AC$1005,1,MATCH(COLUMNS($U$1006:X1006),$U$1006:$AC$1006,0))&gt;=100000), " ",IF(INDEX($U$2:$AC$1001,MATCH(ROWS($N$2:N932),$N$2:$N$1001,0),MATCH(COLUMNS($U$1006:X1006),$U$1006:$AC$1006,0)), HYPERLINK("#",""), HYPERLINK(CONCATENATE("#metadata!", ADDRESS(INDEX($P$2:$P$1001,MATCH(ROWS($N$2:N932),$N$2:$N$1001,0),0), INDEX($U$1004:$AC$1004,1,MATCH(COLUMNS($U$1006:X1006),$U$1006:$AC$1006,0)))),"Fix")))</f>
        <v>0</v>
      </c>
      <c r="F932" s="3">
        <f>IF(OR(INDEX($O$2:$O$1001,MATCH(ROWS($N$2:N932),$N$2:$N$1001,0),1)&gt;=100000,INDEX($U$1005:$AC$1005,1,MATCH(COLUMNS($U$1006:Y1006),$U$1006:$AC$1006,0))&gt;=100000), " ",IF(INDEX($U$2:$AC$1001,MATCH(ROWS($N$2:N932),$N$2:$N$1001,0),MATCH(COLUMNS($U$1006:Y1006),$U$1006:$AC$1006,0)), HYPERLINK("#",""), HYPERLINK(CONCATENATE("#metadata!", ADDRESS(INDEX($P$2:$P$1001,MATCH(ROWS($N$2:N932),$N$2:$N$1001,0),0), INDEX($U$1004:$AC$1004,1,MATCH(COLUMNS($U$1006:Y1006),$U$1006:$AC$1006,0)))),"Fix")))</f>
        <v>0</v>
      </c>
      <c r="G932" s="3">
        <f>IF(OR(INDEX($O$2:$O$1001,MATCH(ROWS($N$2:N932),$N$2:$N$1001,0),1)&gt;=100000,INDEX($U$1005:$AC$1005,1,MATCH(COLUMNS($U$1006:Z1006),$U$1006:$AC$1006,0))&gt;=100000), " ",IF(INDEX($U$2:$AC$1001,MATCH(ROWS($N$2:N932),$N$2:$N$1001,0),MATCH(COLUMNS($U$1006:Z1006),$U$1006:$AC$1006,0)), HYPERLINK("#",""), HYPERLINK(CONCATENATE("#metadata!", ADDRESS(INDEX($P$2:$P$1001,MATCH(ROWS($N$2:N932),$N$2:$N$1001,0),0), INDEX($U$1004:$AC$1004,1,MATCH(COLUMNS($U$1006:Z1006),$U$1006:$AC$1006,0)))),"Fix")))</f>
        <v>0</v>
      </c>
      <c r="H932" s="3">
        <f>IF(OR(INDEX($O$2:$O$1001,MATCH(ROWS($N$2:N932),$N$2:$N$1001,0),1)&gt;=100000,INDEX($U$1005:$AC$1005,1,MATCH(COLUMNS($U$1006:AA1006),$U$1006:$AC$1006,0))&gt;=100000), " ",IF(INDEX($U$2:$AC$1001,MATCH(ROWS($N$2:N932),$N$2:$N$1001,0),MATCH(COLUMNS($U$1006:AA1006),$U$1006:$AC$1006,0)), HYPERLINK("#",""), HYPERLINK(CONCATENATE("#metadata!", ADDRESS(INDEX($P$2:$P$1001,MATCH(ROWS($N$2:N932),$N$2:$N$1001,0),0), INDEX($U$1004:$AC$1004,1,MATCH(COLUMNS($U$1006:AA1006),$U$1006:$AC$1006,0)))),"Fix")))</f>
        <v>0</v>
      </c>
      <c r="I932" s="3">
        <f>IF(OR(INDEX($O$2:$O$1001,MATCH(ROWS($N$2:N932),$N$2:$N$1001,0),1)&gt;=100000,INDEX($U$1005:$AC$1005,1,MATCH(COLUMNS($U$1006:AB1006),$U$1006:$AC$1006,0))&gt;=100000), " ",IF(INDEX($U$2:$AC$1001,MATCH(ROWS($N$2:N932),$N$2:$N$1001,0),MATCH(COLUMNS($U$1006:AB1006),$U$1006:$AC$1006,0)), HYPERLINK("#",""), HYPERLINK(CONCATENATE("#metadata!", ADDRESS(INDEX($P$2:$P$1001,MATCH(ROWS($N$2:N932),$N$2:$N$1001,0),0), INDEX($U$1004:$AC$1004,1,MATCH(COLUMNS($U$1006:AB1006),$U$1006:$AC$1006,0)))),"Fix")))</f>
        <v>0</v>
      </c>
      <c r="J932" s="3">
        <f>IF(OR(INDEX($O$2:$O$1001,MATCH(ROWS($N$2:N932),$N$2:$N$1001,0),1)&gt;=100000,INDEX($U$1005:$AC$1005,1,MATCH(COLUMNS($U$1006:AC1006),$U$1006:$AC$1006,0))&gt;=100000), " ",IF(INDEX($U$2:$AC$1001,MATCH(ROWS($N$2:N932),$N$2:$N$1001,0),MATCH(COLUMNS($U$1006:AC1006),$U$1006:$AC$1006,0)), HYPERLINK("#",""), HYPERLINK(CONCATENATE("#metadata!", ADDRESS(INDEX($P$2:$P$1001,MATCH(ROWS($N$2:N932),$N$2:$N$1001,0),0), INDEX($U$1004:$AC$1004,1,MATCH(COLUMNS($U$1006:AC1006),$U$1006:$AC$1006,0)))),"Fix")))</f>
        <v>0</v>
      </c>
      <c r="N932">
        <v>0</v>
      </c>
      <c r="O932">
        <v>0</v>
      </c>
      <c r="P932">
        <v>0</v>
      </c>
      <c r="Q932">
        <f>IF(R932,TRUE,AND(U932:AC932))</f>
        <v>0</v>
      </c>
      <c r="R932">
        <f>COUNTBLANK(metadata!B932:J932)=COLUMNS(metadata!B932:J932)</f>
        <v>0</v>
      </c>
      <c r="S932">
        <v>0</v>
      </c>
      <c r="U932">
        <f>AND(IF(metadata!B932="",FALSE,TRUE),COUNTIF(metadata!B:B, metadata!B932) = 1,NOT(ISERROR(SUMPRODUCT(SEARCH(MID(metadata!B932,ROW(INDIRECT("1:"&amp;LEN(metadata!B932))), 1),"0123456789abcdefghijklmnopqrstuvwxyzABCDEFGHIJKLMNOPQRSTUVWXYZ.")))))</f>
        <v>0</v>
      </c>
      <c r="V932">
        <f>AND(IF(metadata!C932="",FALSE,TRUE),exact(metadata!C932,"UBERON:genitourinary"))</f>
        <v>0</v>
      </c>
      <c r="W932">
        <f>AND(IF(metadata!D932="",FALSE,TRUE),exact(metadata!D932,"UBERON:urine"))</f>
        <v>0</v>
      </c>
      <c r="X932">
        <f>AND(IF(metadata!E932="",FALSE,TRUE),exact(metadata!E932,"UBERON:kidney"))</f>
        <v>0</v>
      </c>
      <c r="Y932">
        <f>AND(IF(metadata!F932="",FALSE,TRUE),exact(metadata!F932,"animal corpus"))</f>
        <v>0</v>
      </c>
      <c r="Z932">
        <f>AND(IF(metadata!G932="",FALSE,TRUE),exact(metadata!G932,"urine"))</f>
        <v>0</v>
      </c>
      <c r="AA932">
        <f>AND(IF(metadata!H932="",FALSE,TRUE),exact(metadata!H932,"urine"))</f>
        <v>0</v>
      </c>
      <c r="AB932">
        <f>AND(IF(metadata!I932="",FALSE,TRUE),exact(metadata!I932,"urine metagenome"))</f>
        <v>0</v>
      </c>
      <c r="AC932">
        <f>AND(IF(metadata!J932="",FALSE,TRUE),exact(metadata!J932,"1346744"))</f>
        <v>0</v>
      </c>
    </row>
    <row r="933" spans="1:29">
      <c r="A933" s="4">
        <f>IF(B933=" "," ",HYPERLINK(CONCATENATE("#metadata!",ADDRESS(INDEX($P$2:$P$1001,MATCH(ROWS($N$2:N933),$N$2:$N$1001,0),0),1)),INDEX($S$2:$S$1001,MATCH(ROWS($N$2:N933),$N$2:$N$1001,0),0)))</f>
        <v>0</v>
      </c>
      <c r="B933" s="3">
        <f>IF(OR(INDEX($O$2:$O$1001,MATCH(ROWS($N$2:N933),$N$2:$N$1001,0),1)&gt;=100000,INDEX($U$1005:$AC$1005,1,MATCH(COLUMNS($U$1006:U1006),$U$1006:$AC$1006,0))&gt;=100000), " ",IF(INDEX($U$2:$AC$1001,MATCH(ROWS($N$2:N933),$N$2:$N$1001,0),MATCH(COLUMNS($U$1006:U1006),$U$1006:$AC$1006,0)), HYPERLINK("#",""), HYPERLINK(CONCATENATE("#metadata!", ADDRESS(INDEX($P$2:$P$1001,MATCH(ROWS($N$2:N933),$N$2:$N$1001,0),0), INDEX($U$1004:$AC$1004,1,MATCH(COLUMNS($U$1006:U1006),$U$1006:$AC$1006,0)))),"Fix")))</f>
        <v>0</v>
      </c>
      <c r="C933" s="3">
        <f>IF(OR(INDEX($O$2:$O$1001,MATCH(ROWS($N$2:N933),$N$2:$N$1001,0),1)&gt;=100000,INDEX($U$1005:$AC$1005,1,MATCH(COLUMNS($U$1006:V1006),$U$1006:$AC$1006,0))&gt;=100000), " ",IF(INDEX($U$2:$AC$1001,MATCH(ROWS($N$2:N933),$N$2:$N$1001,0),MATCH(COLUMNS($U$1006:V1006),$U$1006:$AC$1006,0)), HYPERLINK("#",""), HYPERLINK(CONCATENATE("#metadata!", ADDRESS(INDEX($P$2:$P$1001,MATCH(ROWS($N$2:N933),$N$2:$N$1001,0),0), INDEX($U$1004:$AC$1004,1,MATCH(COLUMNS($U$1006:V1006),$U$1006:$AC$1006,0)))),"Fix")))</f>
        <v>0</v>
      </c>
      <c r="D933" s="3">
        <f>IF(OR(INDEX($O$2:$O$1001,MATCH(ROWS($N$2:N933),$N$2:$N$1001,0),1)&gt;=100000,INDEX($U$1005:$AC$1005,1,MATCH(COLUMNS($U$1006:W1006),$U$1006:$AC$1006,0))&gt;=100000), " ",IF(INDEX($U$2:$AC$1001,MATCH(ROWS($N$2:N933),$N$2:$N$1001,0),MATCH(COLUMNS($U$1006:W1006),$U$1006:$AC$1006,0)), HYPERLINK("#",""), HYPERLINK(CONCATENATE("#metadata!", ADDRESS(INDEX($P$2:$P$1001,MATCH(ROWS($N$2:N933),$N$2:$N$1001,0),0), INDEX($U$1004:$AC$1004,1,MATCH(COLUMNS($U$1006:W1006),$U$1006:$AC$1006,0)))),"Fix")))</f>
        <v>0</v>
      </c>
      <c r="E933" s="3">
        <f>IF(OR(INDEX($O$2:$O$1001,MATCH(ROWS($N$2:N933),$N$2:$N$1001,0),1)&gt;=100000,INDEX($U$1005:$AC$1005,1,MATCH(COLUMNS($U$1006:X1006),$U$1006:$AC$1006,0))&gt;=100000), " ",IF(INDEX($U$2:$AC$1001,MATCH(ROWS($N$2:N933),$N$2:$N$1001,0),MATCH(COLUMNS($U$1006:X1006),$U$1006:$AC$1006,0)), HYPERLINK("#",""), HYPERLINK(CONCATENATE("#metadata!", ADDRESS(INDEX($P$2:$P$1001,MATCH(ROWS($N$2:N933),$N$2:$N$1001,0),0), INDEX($U$1004:$AC$1004,1,MATCH(COLUMNS($U$1006:X1006),$U$1006:$AC$1006,0)))),"Fix")))</f>
        <v>0</v>
      </c>
      <c r="F933" s="3">
        <f>IF(OR(INDEX($O$2:$O$1001,MATCH(ROWS($N$2:N933),$N$2:$N$1001,0),1)&gt;=100000,INDEX($U$1005:$AC$1005,1,MATCH(COLUMNS($U$1006:Y1006),$U$1006:$AC$1006,0))&gt;=100000), " ",IF(INDEX($U$2:$AC$1001,MATCH(ROWS($N$2:N933),$N$2:$N$1001,0),MATCH(COLUMNS($U$1006:Y1006),$U$1006:$AC$1006,0)), HYPERLINK("#",""), HYPERLINK(CONCATENATE("#metadata!", ADDRESS(INDEX($P$2:$P$1001,MATCH(ROWS($N$2:N933),$N$2:$N$1001,0),0), INDEX($U$1004:$AC$1004,1,MATCH(COLUMNS($U$1006:Y1006),$U$1006:$AC$1006,0)))),"Fix")))</f>
        <v>0</v>
      </c>
      <c r="G933" s="3">
        <f>IF(OR(INDEX($O$2:$O$1001,MATCH(ROWS($N$2:N933),$N$2:$N$1001,0),1)&gt;=100000,INDEX($U$1005:$AC$1005,1,MATCH(COLUMNS($U$1006:Z1006),$U$1006:$AC$1006,0))&gt;=100000), " ",IF(INDEX($U$2:$AC$1001,MATCH(ROWS($N$2:N933),$N$2:$N$1001,0),MATCH(COLUMNS($U$1006:Z1006),$U$1006:$AC$1006,0)), HYPERLINK("#",""), HYPERLINK(CONCATENATE("#metadata!", ADDRESS(INDEX($P$2:$P$1001,MATCH(ROWS($N$2:N933),$N$2:$N$1001,0),0), INDEX($U$1004:$AC$1004,1,MATCH(COLUMNS($U$1006:Z1006),$U$1006:$AC$1006,0)))),"Fix")))</f>
        <v>0</v>
      </c>
      <c r="H933" s="3">
        <f>IF(OR(INDEX($O$2:$O$1001,MATCH(ROWS($N$2:N933),$N$2:$N$1001,0),1)&gt;=100000,INDEX($U$1005:$AC$1005,1,MATCH(COLUMNS($U$1006:AA1006),$U$1006:$AC$1006,0))&gt;=100000), " ",IF(INDEX($U$2:$AC$1001,MATCH(ROWS($N$2:N933),$N$2:$N$1001,0),MATCH(COLUMNS($U$1006:AA1006),$U$1006:$AC$1006,0)), HYPERLINK("#",""), HYPERLINK(CONCATENATE("#metadata!", ADDRESS(INDEX($P$2:$P$1001,MATCH(ROWS($N$2:N933),$N$2:$N$1001,0),0), INDEX($U$1004:$AC$1004,1,MATCH(COLUMNS($U$1006:AA1006),$U$1006:$AC$1006,0)))),"Fix")))</f>
        <v>0</v>
      </c>
      <c r="I933" s="3">
        <f>IF(OR(INDEX($O$2:$O$1001,MATCH(ROWS($N$2:N933),$N$2:$N$1001,0),1)&gt;=100000,INDEX($U$1005:$AC$1005,1,MATCH(COLUMNS($U$1006:AB1006),$U$1006:$AC$1006,0))&gt;=100000), " ",IF(INDEX($U$2:$AC$1001,MATCH(ROWS($N$2:N933),$N$2:$N$1001,0),MATCH(COLUMNS($U$1006:AB1006),$U$1006:$AC$1006,0)), HYPERLINK("#",""), HYPERLINK(CONCATENATE("#metadata!", ADDRESS(INDEX($P$2:$P$1001,MATCH(ROWS($N$2:N933),$N$2:$N$1001,0),0), INDEX($U$1004:$AC$1004,1,MATCH(COLUMNS($U$1006:AB1006),$U$1006:$AC$1006,0)))),"Fix")))</f>
        <v>0</v>
      </c>
      <c r="J933" s="3">
        <f>IF(OR(INDEX($O$2:$O$1001,MATCH(ROWS($N$2:N933),$N$2:$N$1001,0),1)&gt;=100000,INDEX($U$1005:$AC$1005,1,MATCH(COLUMNS($U$1006:AC1006),$U$1006:$AC$1006,0))&gt;=100000), " ",IF(INDEX($U$2:$AC$1001,MATCH(ROWS($N$2:N933),$N$2:$N$1001,0),MATCH(COLUMNS($U$1006:AC1006),$U$1006:$AC$1006,0)), HYPERLINK("#",""), HYPERLINK(CONCATENATE("#metadata!", ADDRESS(INDEX($P$2:$P$1001,MATCH(ROWS($N$2:N933),$N$2:$N$1001,0),0), INDEX($U$1004:$AC$1004,1,MATCH(COLUMNS($U$1006:AC1006),$U$1006:$AC$1006,0)))),"Fix")))</f>
        <v>0</v>
      </c>
      <c r="N933">
        <v>0</v>
      </c>
      <c r="O933">
        <v>0</v>
      </c>
      <c r="P933">
        <v>0</v>
      </c>
      <c r="Q933">
        <f>IF(R933,TRUE,AND(U933:AC933))</f>
        <v>0</v>
      </c>
      <c r="R933">
        <f>COUNTBLANK(metadata!B933:J933)=COLUMNS(metadata!B933:J933)</f>
        <v>0</v>
      </c>
      <c r="S933">
        <v>0</v>
      </c>
      <c r="U933">
        <f>AND(IF(metadata!B933="",FALSE,TRUE),COUNTIF(metadata!B:B, metadata!B933) = 1,NOT(ISERROR(SUMPRODUCT(SEARCH(MID(metadata!B933,ROW(INDIRECT("1:"&amp;LEN(metadata!B933))), 1),"0123456789abcdefghijklmnopqrstuvwxyzABCDEFGHIJKLMNOPQRSTUVWXYZ.")))))</f>
        <v>0</v>
      </c>
      <c r="V933">
        <f>AND(IF(metadata!C933="",FALSE,TRUE),exact(metadata!C933,"UBERON:genitourinary"))</f>
        <v>0</v>
      </c>
      <c r="W933">
        <f>AND(IF(metadata!D933="",FALSE,TRUE),exact(metadata!D933,"UBERON:urine"))</f>
        <v>0</v>
      </c>
      <c r="X933">
        <f>AND(IF(metadata!E933="",FALSE,TRUE),exact(metadata!E933,"UBERON:kidney"))</f>
        <v>0</v>
      </c>
      <c r="Y933">
        <f>AND(IF(metadata!F933="",FALSE,TRUE),exact(metadata!F933,"animal corpus"))</f>
        <v>0</v>
      </c>
      <c r="Z933">
        <f>AND(IF(metadata!G933="",FALSE,TRUE),exact(metadata!G933,"urine"))</f>
        <v>0</v>
      </c>
      <c r="AA933">
        <f>AND(IF(metadata!H933="",FALSE,TRUE),exact(metadata!H933,"urine"))</f>
        <v>0</v>
      </c>
      <c r="AB933">
        <f>AND(IF(metadata!I933="",FALSE,TRUE),exact(metadata!I933,"urine metagenome"))</f>
        <v>0</v>
      </c>
      <c r="AC933">
        <f>AND(IF(metadata!J933="",FALSE,TRUE),exact(metadata!J933,"1346744"))</f>
        <v>0</v>
      </c>
    </row>
    <row r="934" spans="1:29">
      <c r="A934" s="4">
        <f>IF(B934=" "," ",HYPERLINK(CONCATENATE("#metadata!",ADDRESS(INDEX($P$2:$P$1001,MATCH(ROWS($N$2:N934),$N$2:$N$1001,0),0),1)),INDEX($S$2:$S$1001,MATCH(ROWS($N$2:N934),$N$2:$N$1001,0),0)))</f>
        <v>0</v>
      </c>
      <c r="B934" s="3">
        <f>IF(OR(INDEX($O$2:$O$1001,MATCH(ROWS($N$2:N934),$N$2:$N$1001,0),1)&gt;=100000,INDEX($U$1005:$AC$1005,1,MATCH(COLUMNS($U$1006:U1006),$U$1006:$AC$1006,0))&gt;=100000), " ",IF(INDEX($U$2:$AC$1001,MATCH(ROWS($N$2:N934),$N$2:$N$1001,0),MATCH(COLUMNS($U$1006:U1006),$U$1006:$AC$1006,0)), HYPERLINK("#",""), HYPERLINK(CONCATENATE("#metadata!", ADDRESS(INDEX($P$2:$P$1001,MATCH(ROWS($N$2:N934),$N$2:$N$1001,0),0), INDEX($U$1004:$AC$1004,1,MATCH(COLUMNS($U$1006:U1006),$U$1006:$AC$1006,0)))),"Fix")))</f>
        <v>0</v>
      </c>
      <c r="C934" s="3">
        <f>IF(OR(INDEX($O$2:$O$1001,MATCH(ROWS($N$2:N934),$N$2:$N$1001,0),1)&gt;=100000,INDEX($U$1005:$AC$1005,1,MATCH(COLUMNS($U$1006:V1006),$U$1006:$AC$1006,0))&gt;=100000), " ",IF(INDEX($U$2:$AC$1001,MATCH(ROWS($N$2:N934),$N$2:$N$1001,0),MATCH(COLUMNS($U$1006:V1006),$U$1006:$AC$1006,0)), HYPERLINK("#",""), HYPERLINK(CONCATENATE("#metadata!", ADDRESS(INDEX($P$2:$P$1001,MATCH(ROWS($N$2:N934),$N$2:$N$1001,0),0), INDEX($U$1004:$AC$1004,1,MATCH(COLUMNS($U$1006:V1006),$U$1006:$AC$1006,0)))),"Fix")))</f>
        <v>0</v>
      </c>
      <c r="D934" s="3">
        <f>IF(OR(INDEX($O$2:$O$1001,MATCH(ROWS($N$2:N934),$N$2:$N$1001,0),1)&gt;=100000,INDEX($U$1005:$AC$1005,1,MATCH(COLUMNS($U$1006:W1006),$U$1006:$AC$1006,0))&gt;=100000), " ",IF(INDEX($U$2:$AC$1001,MATCH(ROWS($N$2:N934),$N$2:$N$1001,0),MATCH(COLUMNS($U$1006:W1006),$U$1006:$AC$1006,0)), HYPERLINK("#",""), HYPERLINK(CONCATENATE("#metadata!", ADDRESS(INDEX($P$2:$P$1001,MATCH(ROWS($N$2:N934),$N$2:$N$1001,0),0), INDEX($U$1004:$AC$1004,1,MATCH(COLUMNS($U$1006:W1006),$U$1006:$AC$1006,0)))),"Fix")))</f>
        <v>0</v>
      </c>
      <c r="E934" s="3">
        <f>IF(OR(INDEX($O$2:$O$1001,MATCH(ROWS($N$2:N934),$N$2:$N$1001,0),1)&gt;=100000,INDEX($U$1005:$AC$1005,1,MATCH(COLUMNS($U$1006:X1006),$U$1006:$AC$1006,0))&gt;=100000), " ",IF(INDEX($U$2:$AC$1001,MATCH(ROWS($N$2:N934),$N$2:$N$1001,0),MATCH(COLUMNS($U$1006:X1006),$U$1006:$AC$1006,0)), HYPERLINK("#",""), HYPERLINK(CONCATENATE("#metadata!", ADDRESS(INDEX($P$2:$P$1001,MATCH(ROWS($N$2:N934),$N$2:$N$1001,0),0), INDEX($U$1004:$AC$1004,1,MATCH(COLUMNS($U$1006:X1006),$U$1006:$AC$1006,0)))),"Fix")))</f>
        <v>0</v>
      </c>
      <c r="F934" s="3">
        <f>IF(OR(INDEX($O$2:$O$1001,MATCH(ROWS($N$2:N934),$N$2:$N$1001,0),1)&gt;=100000,INDEX($U$1005:$AC$1005,1,MATCH(COLUMNS($U$1006:Y1006),$U$1006:$AC$1006,0))&gt;=100000), " ",IF(INDEX($U$2:$AC$1001,MATCH(ROWS($N$2:N934),$N$2:$N$1001,0),MATCH(COLUMNS($U$1006:Y1006),$U$1006:$AC$1006,0)), HYPERLINK("#",""), HYPERLINK(CONCATENATE("#metadata!", ADDRESS(INDEX($P$2:$P$1001,MATCH(ROWS($N$2:N934),$N$2:$N$1001,0),0), INDEX($U$1004:$AC$1004,1,MATCH(COLUMNS($U$1006:Y1006),$U$1006:$AC$1006,0)))),"Fix")))</f>
        <v>0</v>
      </c>
      <c r="G934" s="3">
        <f>IF(OR(INDEX($O$2:$O$1001,MATCH(ROWS($N$2:N934),$N$2:$N$1001,0),1)&gt;=100000,INDEX($U$1005:$AC$1005,1,MATCH(COLUMNS($U$1006:Z1006),$U$1006:$AC$1006,0))&gt;=100000), " ",IF(INDEX($U$2:$AC$1001,MATCH(ROWS($N$2:N934),$N$2:$N$1001,0),MATCH(COLUMNS($U$1006:Z1006),$U$1006:$AC$1006,0)), HYPERLINK("#",""), HYPERLINK(CONCATENATE("#metadata!", ADDRESS(INDEX($P$2:$P$1001,MATCH(ROWS($N$2:N934),$N$2:$N$1001,0),0), INDEX($U$1004:$AC$1004,1,MATCH(COLUMNS($U$1006:Z1006),$U$1006:$AC$1006,0)))),"Fix")))</f>
        <v>0</v>
      </c>
      <c r="H934" s="3">
        <f>IF(OR(INDEX($O$2:$O$1001,MATCH(ROWS($N$2:N934),$N$2:$N$1001,0),1)&gt;=100000,INDEX($U$1005:$AC$1005,1,MATCH(COLUMNS($U$1006:AA1006),$U$1006:$AC$1006,0))&gt;=100000), " ",IF(INDEX($U$2:$AC$1001,MATCH(ROWS($N$2:N934),$N$2:$N$1001,0),MATCH(COLUMNS($U$1006:AA1006),$U$1006:$AC$1006,0)), HYPERLINK("#",""), HYPERLINK(CONCATENATE("#metadata!", ADDRESS(INDEX($P$2:$P$1001,MATCH(ROWS($N$2:N934),$N$2:$N$1001,0),0), INDEX($U$1004:$AC$1004,1,MATCH(COLUMNS($U$1006:AA1006),$U$1006:$AC$1006,0)))),"Fix")))</f>
        <v>0</v>
      </c>
      <c r="I934" s="3">
        <f>IF(OR(INDEX($O$2:$O$1001,MATCH(ROWS($N$2:N934),$N$2:$N$1001,0),1)&gt;=100000,INDEX($U$1005:$AC$1005,1,MATCH(COLUMNS($U$1006:AB1006),$U$1006:$AC$1006,0))&gt;=100000), " ",IF(INDEX($U$2:$AC$1001,MATCH(ROWS($N$2:N934),$N$2:$N$1001,0),MATCH(COLUMNS($U$1006:AB1006),$U$1006:$AC$1006,0)), HYPERLINK("#",""), HYPERLINK(CONCATENATE("#metadata!", ADDRESS(INDEX($P$2:$P$1001,MATCH(ROWS($N$2:N934),$N$2:$N$1001,0),0), INDEX($U$1004:$AC$1004,1,MATCH(COLUMNS($U$1006:AB1006),$U$1006:$AC$1006,0)))),"Fix")))</f>
        <v>0</v>
      </c>
      <c r="J934" s="3">
        <f>IF(OR(INDEX($O$2:$O$1001,MATCH(ROWS($N$2:N934),$N$2:$N$1001,0),1)&gt;=100000,INDEX($U$1005:$AC$1005,1,MATCH(COLUMNS($U$1006:AC1006),$U$1006:$AC$1006,0))&gt;=100000), " ",IF(INDEX($U$2:$AC$1001,MATCH(ROWS($N$2:N934),$N$2:$N$1001,0),MATCH(COLUMNS($U$1006:AC1006),$U$1006:$AC$1006,0)), HYPERLINK("#",""), HYPERLINK(CONCATENATE("#metadata!", ADDRESS(INDEX($P$2:$P$1001,MATCH(ROWS($N$2:N934),$N$2:$N$1001,0),0), INDEX($U$1004:$AC$1004,1,MATCH(COLUMNS($U$1006:AC1006),$U$1006:$AC$1006,0)))),"Fix")))</f>
        <v>0</v>
      </c>
      <c r="N934">
        <v>0</v>
      </c>
      <c r="O934">
        <v>0</v>
      </c>
      <c r="P934">
        <v>0</v>
      </c>
      <c r="Q934">
        <f>IF(R934,TRUE,AND(U934:AC934))</f>
        <v>0</v>
      </c>
      <c r="R934">
        <f>COUNTBLANK(metadata!B934:J934)=COLUMNS(metadata!B934:J934)</f>
        <v>0</v>
      </c>
      <c r="S934">
        <v>0</v>
      </c>
      <c r="U934">
        <f>AND(IF(metadata!B934="",FALSE,TRUE),COUNTIF(metadata!B:B, metadata!B934) = 1,NOT(ISERROR(SUMPRODUCT(SEARCH(MID(metadata!B934,ROW(INDIRECT("1:"&amp;LEN(metadata!B934))), 1),"0123456789abcdefghijklmnopqrstuvwxyzABCDEFGHIJKLMNOPQRSTUVWXYZ.")))))</f>
        <v>0</v>
      </c>
      <c r="V934">
        <f>AND(IF(metadata!C934="",FALSE,TRUE),exact(metadata!C934,"UBERON:genitourinary"))</f>
        <v>0</v>
      </c>
      <c r="W934">
        <f>AND(IF(metadata!D934="",FALSE,TRUE),exact(metadata!D934,"UBERON:urine"))</f>
        <v>0</v>
      </c>
      <c r="X934">
        <f>AND(IF(metadata!E934="",FALSE,TRUE),exact(metadata!E934,"UBERON:kidney"))</f>
        <v>0</v>
      </c>
      <c r="Y934">
        <f>AND(IF(metadata!F934="",FALSE,TRUE),exact(metadata!F934,"animal corpus"))</f>
        <v>0</v>
      </c>
      <c r="Z934">
        <f>AND(IF(metadata!G934="",FALSE,TRUE),exact(metadata!G934,"urine"))</f>
        <v>0</v>
      </c>
      <c r="AA934">
        <f>AND(IF(metadata!H934="",FALSE,TRUE),exact(metadata!H934,"urine"))</f>
        <v>0</v>
      </c>
      <c r="AB934">
        <f>AND(IF(metadata!I934="",FALSE,TRUE),exact(metadata!I934,"urine metagenome"))</f>
        <v>0</v>
      </c>
      <c r="AC934">
        <f>AND(IF(metadata!J934="",FALSE,TRUE),exact(metadata!J934,"1346744"))</f>
        <v>0</v>
      </c>
    </row>
    <row r="935" spans="1:29">
      <c r="A935" s="4">
        <f>IF(B935=" "," ",HYPERLINK(CONCATENATE("#metadata!",ADDRESS(INDEX($P$2:$P$1001,MATCH(ROWS($N$2:N935),$N$2:$N$1001,0),0),1)),INDEX($S$2:$S$1001,MATCH(ROWS($N$2:N935),$N$2:$N$1001,0),0)))</f>
        <v>0</v>
      </c>
      <c r="B935" s="3">
        <f>IF(OR(INDEX($O$2:$O$1001,MATCH(ROWS($N$2:N935),$N$2:$N$1001,0),1)&gt;=100000,INDEX($U$1005:$AC$1005,1,MATCH(COLUMNS($U$1006:U1006),$U$1006:$AC$1006,0))&gt;=100000), " ",IF(INDEX($U$2:$AC$1001,MATCH(ROWS($N$2:N935),$N$2:$N$1001,0),MATCH(COLUMNS($U$1006:U1006),$U$1006:$AC$1006,0)), HYPERLINK("#",""), HYPERLINK(CONCATENATE("#metadata!", ADDRESS(INDEX($P$2:$P$1001,MATCH(ROWS($N$2:N935),$N$2:$N$1001,0),0), INDEX($U$1004:$AC$1004,1,MATCH(COLUMNS($U$1006:U1006),$U$1006:$AC$1006,0)))),"Fix")))</f>
        <v>0</v>
      </c>
      <c r="C935" s="3">
        <f>IF(OR(INDEX($O$2:$O$1001,MATCH(ROWS($N$2:N935),$N$2:$N$1001,0),1)&gt;=100000,INDEX($U$1005:$AC$1005,1,MATCH(COLUMNS($U$1006:V1006),$U$1006:$AC$1006,0))&gt;=100000), " ",IF(INDEX($U$2:$AC$1001,MATCH(ROWS($N$2:N935),$N$2:$N$1001,0),MATCH(COLUMNS($U$1006:V1006),$U$1006:$AC$1006,0)), HYPERLINK("#",""), HYPERLINK(CONCATENATE("#metadata!", ADDRESS(INDEX($P$2:$P$1001,MATCH(ROWS($N$2:N935),$N$2:$N$1001,0),0), INDEX($U$1004:$AC$1004,1,MATCH(COLUMNS($U$1006:V1006),$U$1006:$AC$1006,0)))),"Fix")))</f>
        <v>0</v>
      </c>
      <c r="D935" s="3">
        <f>IF(OR(INDEX($O$2:$O$1001,MATCH(ROWS($N$2:N935),$N$2:$N$1001,0),1)&gt;=100000,INDEX($U$1005:$AC$1005,1,MATCH(COLUMNS($U$1006:W1006),$U$1006:$AC$1006,0))&gt;=100000), " ",IF(INDEX($U$2:$AC$1001,MATCH(ROWS($N$2:N935),$N$2:$N$1001,0),MATCH(COLUMNS($U$1006:W1006),$U$1006:$AC$1006,0)), HYPERLINK("#",""), HYPERLINK(CONCATENATE("#metadata!", ADDRESS(INDEX($P$2:$P$1001,MATCH(ROWS($N$2:N935),$N$2:$N$1001,0),0), INDEX($U$1004:$AC$1004,1,MATCH(COLUMNS($U$1006:W1006),$U$1006:$AC$1006,0)))),"Fix")))</f>
        <v>0</v>
      </c>
      <c r="E935" s="3">
        <f>IF(OR(INDEX($O$2:$O$1001,MATCH(ROWS($N$2:N935),$N$2:$N$1001,0),1)&gt;=100000,INDEX($U$1005:$AC$1005,1,MATCH(COLUMNS($U$1006:X1006),$U$1006:$AC$1006,0))&gt;=100000), " ",IF(INDEX($U$2:$AC$1001,MATCH(ROWS($N$2:N935),$N$2:$N$1001,0),MATCH(COLUMNS($U$1006:X1006),$U$1006:$AC$1006,0)), HYPERLINK("#",""), HYPERLINK(CONCATENATE("#metadata!", ADDRESS(INDEX($P$2:$P$1001,MATCH(ROWS($N$2:N935),$N$2:$N$1001,0),0), INDEX($U$1004:$AC$1004,1,MATCH(COLUMNS($U$1006:X1006),$U$1006:$AC$1006,0)))),"Fix")))</f>
        <v>0</v>
      </c>
      <c r="F935" s="3">
        <f>IF(OR(INDEX($O$2:$O$1001,MATCH(ROWS($N$2:N935),$N$2:$N$1001,0),1)&gt;=100000,INDEX($U$1005:$AC$1005,1,MATCH(COLUMNS($U$1006:Y1006),$U$1006:$AC$1006,0))&gt;=100000), " ",IF(INDEX($U$2:$AC$1001,MATCH(ROWS($N$2:N935),$N$2:$N$1001,0),MATCH(COLUMNS($U$1006:Y1006),$U$1006:$AC$1006,0)), HYPERLINK("#",""), HYPERLINK(CONCATENATE("#metadata!", ADDRESS(INDEX($P$2:$P$1001,MATCH(ROWS($N$2:N935),$N$2:$N$1001,0),0), INDEX($U$1004:$AC$1004,1,MATCH(COLUMNS($U$1006:Y1006),$U$1006:$AC$1006,0)))),"Fix")))</f>
        <v>0</v>
      </c>
      <c r="G935" s="3">
        <f>IF(OR(INDEX($O$2:$O$1001,MATCH(ROWS($N$2:N935),$N$2:$N$1001,0),1)&gt;=100000,INDEX($U$1005:$AC$1005,1,MATCH(COLUMNS($U$1006:Z1006),$U$1006:$AC$1006,0))&gt;=100000), " ",IF(INDEX($U$2:$AC$1001,MATCH(ROWS($N$2:N935),$N$2:$N$1001,0),MATCH(COLUMNS($U$1006:Z1006),$U$1006:$AC$1006,0)), HYPERLINK("#",""), HYPERLINK(CONCATENATE("#metadata!", ADDRESS(INDEX($P$2:$P$1001,MATCH(ROWS($N$2:N935),$N$2:$N$1001,0),0), INDEX($U$1004:$AC$1004,1,MATCH(COLUMNS($U$1006:Z1006),$U$1006:$AC$1006,0)))),"Fix")))</f>
        <v>0</v>
      </c>
      <c r="H935" s="3">
        <f>IF(OR(INDEX($O$2:$O$1001,MATCH(ROWS($N$2:N935),$N$2:$N$1001,0),1)&gt;=100000,INDEX($U$1005:$AC$1005,1,MATCH(COLUMNS($U$1006:AA1006),$U$1006:$AC$1006,0))&gt;=100000), " ",IF(INDEX($U$2:$AC$1001,MATCH(ROWS($N$2:N935),$N$2:$N$1001,0),MATCH(COLUMNS($U$1006:AA1006),$U$1006:$AC$1006,0)), HYPERLINK("#",""), HYPERLINK(CONCATENATE("#metadata!", ADDRESS(INDEX($P$2:$P$1001,MATCH(ROWS($N$2:N935),$N$2:$N$1001,0),0), INDEX($U$1004:$AC$1004,1,MATCH(COLUMNS($U$1006:AA1006),$U$1006:$AC$1006,0)))),"Fix")))</f>
        <v>0</v>
      </c>
      <c r="I935" s="3">
        <f>IF(OR(INDEX($O$2:$O$1001,MATCH(ROWS($N$2:N935),$N$2:$N$1001,0),1)&gt;=100000,INDEX($U$1005:$AC$1005,1,MATCH(COLUMNS($U$1006:AB1006),$U$1006:$AC$1006,0))&gt;=100000), " ",IF(INDEX($U$2:$AC$1001,MATCH(ROWS($N$2:N935),$N$2:$N$1001,0),MATCH(COLUMNS($U$1006:AB1006),$U$1006:$AC$1006,0)), HYPERLINK("#",""), HYPERLINK(CONCATENATE("#metadata!", ADDRESS(INDEX($P$2:$P$1001,MATCH(ROWS($N$2:N935),$N$2:$N$1001,0),0), INDEX($U$1004:$AC$1004,1,MATCH(COLUMNS($U$1006:AB1006),$U$1006:$AC$1006,0)))),"Fix")))</f>
        <v>0</v>
      </c>
      <c r="J935" s="3">
        <f>IF(OR(INDEX($O$2:$O$1001,MATCH(ROWS($N$2:N935),$N$2:$N$1001,0),1)&gt;=100000,INDEX($U$1005:$AC$1005,1,MATCH(COLUMNS($U$1006:AC1006),$U$1006:$AC$1006,0))&gt;=100000), " ",IF(INDEX($U$2:$AC$1001,MATCH(ROWS($N$2:N935),$N$2:$N$1001,0),MATCH(COLUMNS($U$1006:AC1006),$U$1006:$AC$1006,0)), HYPERLINK("#",""), HYPERLINK(CONCATENATE("#metadata!", ADDRESS(INDEX($P$2:$P$1001,MATCH(ROWS($N$2:N935),$N$2:$N$1001,0),0), INDEX($U$1004:$AC$1004,1,MATCH(COLUMNS($U$1006:AC1006),$U$1006:$AC$1006,0)))),"Fix")))</f>
        <v>0</v>
      </c>
      <c r="N935">
        <v>0</v>
      </c>
      <c r="O935">
        <v>0</v>
      </c>
      <c r="P935">
        <v>0</v>
      </c>
      <c r="Q935">
        <f>IF(R935,TRUE,AND(U935:AC935))</f>
        <v>0</v>
      </c>
      <c r="R935">
        <f>COUNTBLANK(metadata!B935:J935)=COLUMNS(metadata!B935:J935)</f>
        <v>0</v>
      </c>
      <c r="S935">
        <v>0</v>
      </c>
      <c r="U935">
        <f>AND(IF(metadata!B935="",FALSE,TRUE),COUNTIF(metadata!B:B, metadata!B935) = 1,NOT(ISERROR(SUMPRODUCT(SEARCH(MID(metadata!B935,ROW(INDIRECT("1:"&amp;LEN(metadata!B935))), 1),"0123456789abcdefghijklmnopqrstuvwxyzABCDEFGHIJKLMNOPQRSTUVWXYZ.")))))</f>
        <v>0</v>
      </c>
      <c r="V935">
        <f>AND(IF(metadata!C935="",FALSE,TRUE),exact(metadata!C935,"UBERON:genitourinary"))</f>
        <v>0</v>
      </c>
      <c r="W935">
        <f>AND(IF(metadata!D935="",FALSE,TRUE),exact(metadata!D935,"UBERON:urine"))</f>
        <v>0</v>
      </c>
      <c r="X935">
        <f>AND(IF(metadata!E935="",FALSE,TRUE),exact(metadata!E935,"UBERON:kidney"))</f>
        <v>0</v>
      </c>
      <c r="Y935">
        <f>AND(IF(metadata!F935="",FALSE,TRUE),exact(metadata!F935,"animal corpus"))</f>
        <v>0</v>
      </c>
      <c r="Z935">
        <f>AND(IF(metadata!G935="",FALSE,TRUE),exact(metadata!G935,"urine"))</f>
        <v>0</v>
      </c>
      <c r="AA935">
        <f>AND(IF(metadata!H935="",FALSE,TRUE),exact(metadata!H935,"urine"))</f>
        <v>0</v>
      </c>
      <c r="AB935">
        <f>AND(IF(metadata!I935="",FALSE,TRUE),exact(metadata!I935,"urine metagenome"))</f>
        <v>0</v>
      </c>
      <c r="AC935">
        <f>AND(IF(metadata!J935="",FALSE,TRUE),exact(metadata!J935,"1346744"))</f>
        <v>0</v>
      </c>
    </row>
    <row r="936" spans="1:29">
      <c r="A936" s="4">
        <f>IF(B936=" "," ",HYPERLINK(CONCATENATE("#metadata!",ADDRESS(INDEX($P$2:$P$1001,MATCH(ROWS($N$2:N936),$N$2:$N$1001,0),0),1)),INDEX($S$2:$S$1001,MATCH(ROWS($N$2:N936),$N$2:$N$1001,0),0)))</f>
        <v>0</v>
      </c>
      <c r="B936" s="3">
        <f>IF(OR(INDEX($O$2:$O$1001,MATCH(ROWS($N$2:N936),$N$2:$N$1001,0),1)&gt;=100000,INDEX($U$1005:$AC$1005,1,MATCH(COLUMNS($U$1006:U1006),$U$1006:$AC$1006,0))&gt;=100000), " ",IF(INDEX($U$2:$AC$1001,MATCH(ROWS($N$2:N936),$N$2:$N$1001,0),MATCH(COLUMNS($U$1006:U1006),$U$1006:$AC$1006,0)), HYPERLINK("#",""), HYPERLINK(CONCATENATE("#metadata!", ADDRESS(INDEX($P$2:$P$1001,MATCH(ROWS($N$2:N936),$N$2:$N$1001,0),0), INDEX($U$1004:$AC$1004,1,MATCH(COLUMNS($U$1006:U1006),$U$1006:$AC$1006,0)))),"Fix")))</f>
        <v>0</v>
      </c>
      <c r="C936" s="3">
        <f>IF(OR(INDEX($O$2:$O$1001,MATCH(ROWS($N$2:N936),$N$2:$N$1001,0),1)&gt;=100000,INDEX($U$1005:$AC$1005,1,MATCH(COLUMNS($U$1006:V1006),$U$1006:$AC$1006,0))&gt;=100000), " ",IF(INDEX($U$2:$AC$1001,MATCH(ROWS($N$2:N936),$N$2:$N$1001,0),MATCH(COLUMNS($U$1006:V1006),$U$1006:$AC$1006,0)), HYPERLINK("#",""), HYPERLINK(CONCATENATE("#metadata!", ADDRESS(INDEX($P$2:$P$1001,MATCH(ROWS($N$2:N936),$N$2:$N$1001,0),0), INDEX($U$1004:$AC$1004,1,MATCH(COLUMNS($U$1006:V1006),$U$1006:$AC$1006,0)))),"Fix")))</f>
        <v>0</v>
      </c>
      <c r="D936" s="3">
        <f>IF(OR(INDEX($O$2:$O$1001,MATCH(ROWS($N$2:N936),$N$2:$N$1001,0),1)&gt;=100000,INDEX($U$1005:$AC$1005,1,MATCH(COLUMNS($U$1006:W1006),$U$1006:$AC$1006,0))&gt;=100000), " ",IF(INDEX($U$2:$AC$1001,MATCH(ROWS($N$2:N936),$N$2:$N$1001,0),MATCH(COLUMNS($U$1006:W1006),$U$1006:$AC$1006,0)), HYPERLINK("#",""), HYPERLINK(CONCATENATE("#metadata!", ADDRESS(INDEX($P$2:$P$1001,MATCH(ROWS($N$2:N936),$N$2:$N$1001,0),0), INDEX($U$1004:$AC$1004,1,MATCH(COLUMNS($U$1006:W1006),$U$1006:$AC$1006,0)))),"Fix")))</f>
        <v>0</v>
      </c>
      <c r="E936" s="3">
        <f>IF(OR(INDEX($O$2:$O$1001,MATCH(ROWS($N$2:N936),$N$2:$N$1001,0),1)&gt;=100000,INDEX($U$1005:$AC$1005,1,MATCH(COLUMNS($U$1006:X1006),$U$1006:$AC$1006,0))&gt;=100000), " ",IF(INDEX($U$2:$AC$1001,MATCH(ROWS($N$2:N936),$N$2:$N$1001,0),MATCH(COLUMNS($U$1006:X1006),$U$1006:$AC$1006,0)), HYPERLINK("#",""), HYPERLINK(CONCATENATE("#metadata!", ADDRESS(INDEX($P$2:$P$1001,MATCH(ROWS($N$2:N936),$N$2:$N$1001,0),0), INDEX($U$1004:$AC$1004,1,MATCH(COLUMNS($U$1006:X1006),$U$1006:$AC$1006,0)))),"Fix")))</f>
        <v>0</v>
      </c>
      <c r="F936" s="3">
        <f>IF(OR(INDEX($O$2:$O$1001,MATCH(ROWS($N$2:N936),$N$2:$N$1001,0),1)&gt;=100000,INDEX($U$1005:$AC$1005,1,MATCH(COLUMNS($U$1006:Y1006),$U$1006:$AC$1006,0))&gt;=100000), " ",IF(INDEX($U$2:$AC$1001,MATCH(ROWS($N$2:N936),$N$2:$N$1001,0),MATCH(COLUMNS($U$1006:Y1006),$U$1006:$AC$1006,0)), HYPERLINK("#",""), HYPERLINK(CONCATENATE("#metadata!", ADDRESS(INDEX($P$2:$P$1001,MATCH(ROWS($N$2:N936),$N$2:$N$1001,0),0), INDEX($U$1004:$AC$1004,1,MATCH(COLUMNS($U$1006:Y1006),$U$1006:$AC$1006,0)))),"Fix")))</f>
        <v>0</v>
      </c>
      <c r="G936" s="3">
        <f>IF(OR(INDEX($O$2:$O$1001,MATCH(ROWS($N$2:N936),$N$2:$N$1001,0),1)&gt;=100000,INDEX($U$1005:$AC$1005,1,MATCH(COLUMNS($U$1006:Z1006),$U$1006:$AC$1006,0))&gt;=100000), " ",IF(INDEX($U$2:$AC$1001,MATCH(ROWS($N$2:N936),$N$2:$N$1001,0),MATCH(COLUMNS($U$1006:Z1006),$U$1006:$AC$1006,0)), HYPERLINK("#",""), HYPERLINK(CONCATENATE("#metadata!", ADDRESS(INDEX($P$2:$P$1001,MATCH(ROWS($N$2:N936),$N$2:$N$1001,0),0), INDEX($U$1004:$AC$1004,1,MATCH(COLUMNS($U$1006:Z1006),$U$1006:$AC$1006,0)))),"Fix")))</f>
        <v>0</v>
      </c>
      <c r="H936" s="3">
        <f>IF(OR(INDEX($O$2:$O$1001,MATCH(ROWS($N$2:N936),$N$2:$N$1001,0),1)&gt;=100000,INDEX($U$1005:$AC$1005,1,MATCH(COLUMNS($U$1006:AA1006),$U$1006:$AC$1006,0))&gt;=100000), " ",IF(INDEX($U$2:$AC$1001,MATCH(ROWS($N$2:N936),$N$2:$N$1001,0),MATCH(COLUMNS($U$1006:AA1006),$U$1006:$AC$1006,0)), HYPERLINK("#",""), HYPERLINK(CONCATENATE("#metadata!", ADDRESS(INDEX($P$2:$P$1001,MATCH(ROWS($N$2:N936),$N$2:$N$1001,0),0), INDEX($U$1004:$AC$1004,1,MATCH(COLUMNS($U$1006:AA1006),$U$1006:$AC$1006,0)))),"Fix")))</f>
        <v>0</v>
      </c>
      <c r="I936" s="3">
        <f>IF(OR(INDEX($O$2:$O$1001,MATCH(ROWS($N$2:N936),$N$2:$N$1001,0),1)&gt;=100000,INDEX($U$1005:$AC$1005,1,MATCH(COLUMNS($U$1006:AB1006),$U$1006:$AC$1006,0))&gt;=100000), " ",IF(INDEX($U$2:$AC$1001,MATCH(ROWS($N$2:N936),$N$2:$N$1001,0),MATCH(COLUMNS($U$1006:AB1006),$U$1006:$AC$1006,0)), HYPERLINK("#",""), HYPERLINK(CONCATENATE("#metadata!", ADDRESS(INDEX($P$2:$P$1001,MATCH(ROWS($N$2:N936),$N$2:$N$1001,0),0), INDEX($U$1004:$AC$1004,1,MATCH(COLUMNS($U$1006:AB1006),$U$1006:$AC$1006,0)))),"Fix")))</f>
        <v>0</v>
      </c>
      <c r="J936" s="3">
        <f>IF(OR(INDEX($O$2:$O$1001,MATCH(ROWS($N$2:N936),$N$2:$N$1001,0),1)&gt;=100000,INDEX($U$1005:$AC$1005,1,MATCH(COLUMNS($U$1006:AC1006),$U$1006:$AC$1006,0))&gt;=100000), " ",IF(INDEX($U$2:$AC$1001,MATCH(ROWS($N$2:N936),$N$2:$N$1001,0),MATCH(COLUMNS($U$1006:AC1006),$U$1006:$AC$1006,0)), HYPERLINK("#",""), HYPERLINK(CONCATENATE("#metadata!", ADDRESS(INDEX($P$2:$P$1001,MATCH(ROWS($N$2:N936),$N$2:$N$1001,0),0), INDEX($U$1004:$AC$1004,1,MATCH(COLUMNS($U$1006:AC1006),$U$1006:$AC$1006,0)))),"Fix")))</f>
        <v>0</v>
      </c>
      <c r="N936">
        <v>0</v>
      </c>
      <c r="O936">
        <v>0</v>
      </c>
      <c r="P936">
        <v>0</v>
      </c>
      <c r="Q936">
        <f>IF(R936,TRUE,AND(U936:AC936))</f>
        <v>0</v>
      </c>
      <c r="R936">
        <f>COUNTBLANK(metadata!B936:J936)=COLUMNS(metadata!B936:J936)</f>
        <v>0</v>
      </c>
      <c r="S936">
        <v>0</v>
      </c>
      <c r="U936">
        <f>AND(IF(metadata!B936="",FALSE,TRUE),COUNTIF(metadata!B:B, metadata!B936) = 1,NOT(ISERROR(SUMPRODUCT(SEARCH(MID(metadata!B936,ROW(INDIRECT("1:"&amp;LEN(metadata!B936))), 1),"0123456789abcdefghijklmnopqrstuvwxyzABCDEFGHIJKLMNOPQRSTUVWXYZ.")))))</f>
        <v>0</v>
      </c>
      <c r="V936">
        <f>AND(IF(metadata!C936="",FALSE,TRUE),exact(metadata!C936,"UBERON:genitourinary"))</f>
        <v>0</v>
      </c>
      <c r="W936">
        <f>AND(IF(metadata!D936="",FALSE,TRUE),exact(metadata!D936,"UBERON:urine"))</f>
        <v>0</v>
      </c>
      <c r="X936">
        <f>AND(IF(metadata!E936="",FALSE,TRUE),exact(metadata!E936,"UBERON:kidney"))</f>
        <v>0</v>
      </c>
      <c r="Y936">
        <f>AND(IF(metadata!F936="",FALSE,TRUE),exact(metadata!F936,"animal corpus"))</f>
        <v>0</v>
      </c>
      <c r="Z936">
        <f>AND(IF(metadata!G936="",FALSE,TRUE),exact(metadata!G936,"urine"))</f>
        <v>0</v>
      </c>
      <c r="AA936">
        <f>AND(IF(metadata!H936="",FALSE,TRUE),exact(metadata!H936,"urine"))</f>
        <v>0</v>
      </c>
      <c r="AB936">
        <f>AND(IF(metadata!I936="",FALSE,TRUE),exact(metadata!I936,"urine metagenome"))</f>
        <v>0</v>
      </c>
      <c r="AC936">
        <f>AND(IF(metadata!J936="",FALSE,TRUE),exact(metadata!J936,"1346744"))</f>
        <v>0</v>
      </c>
    </row>
    <row r="937" spans="1:29">
      <c r="A937" s="4">
        <f>IF(B937=" "," ",HYPERLINK(CONCATENATE("#metadata!",ADDRESS(INDEX($P$2:$P$1001,MATCH(ROWS($N$2:N937),$N$2:$N$1001,0),0),1)),INDEX($S$2:$S$1001,MATCH(ROWS($N$2:N937),$N$2:$N$1001,0),0)))</f>
        <v>0</v>
      </c>
      <c r="B937" s="3">
        <f>IF(OR(INDEX($O$2:$O$1001,MATCH(ROWS($N$2:N937),$N$2:$N$1001,0),1)&gt;=100000,INDEX($U$1005:$AC$1005,1,MATCH(COLUMNS($U$1006:U1006),$U$1006:$AC$1006,0))&gt;=100000), " ",IF(INDEX($U$2:$AC$1001,MATCH(ROWS($N$2:N937),$N$2:$N$1001,0),MATCH(COLUMNS($U$1006:U1006),$U$1006:$AC$1006,0)), HYPERLINK("#",""), HYPERLINK(CONCATENATE("#metadata!", ADDRESS(INDEX($P$2:$P$1001,MATCH(ROWS($N$2:N937),$N$2:$N$1001,0),0), INDEX($U$1004:$AC$1004,1,MATCH(COLUMNS($U$1006:U1006),$U$1006:$AC$1006,0)))),"Fix")))</f>
        <v>0</v>
      </c>
      <c r="C937" s="3">
        <f>IF(OR(INDEX($O$2:$O$1001,MATCH(ROWS($N$2:N937),$N$2:$N$1001,0),1)&gt;=100000,INDEX($U$1005:$AC$1005,1,MATCH(COLUMNS($U$1006:V1006),$U$1006:$AC$1006,0))&gt;=100000), " ",IF(INDEX($U$2:$AC$1001,MATCH(ROWS($N$2:N937),$N$2:$N$1001,0),MATCH(COLUMNS($U$1006:V1006),$U$1006:$AC$1006,0)), HYPERLINK("#",""), HYPERLINK(CONCATENATE("#metadata!", ADDRESS(INDEX($P$2:$P$1001,MATCH(ROWS($N$2:N937),$N$2:$N$1001,0),0), INDEX($U$1004:$AC$1004,1,MATCH(COLUMNS($U$1006:V1006),$U$1006:$AC$1006,0)))),"Fix")))</f>
        <v>0</v>
      </c>
      <c r="D937" s="3">
        <f>IF(OR(INDEX($O$2:$O$1001,MATCH(ROWS($N$2:N937),$N$2:$N$1001,0),1)&gt;=100000,INDEX($U$1005:$AC$1005,1,MATCH(COLUMNS($U$1006:W1006),$U$1006:$AC$1006,0))&gt;=100000), " ",IF(INDEX($U$2:$AC$1001,MATCH(ROWS($N$2:N937),$N$2:$N$1001,0),MATCH(COLUMNS($U$1006:W1006),$U$1006:$AC$1006,0)), HYPERLINK("#",""), HYPERLINK(CONCATENATE("#metadata!", ADDRESS(INDEX($P$2:$P$1001,MATCH(ROWS($N$2:N937),$N$2:$N$1001,0),0), INDEX($U$1004:$AC$1004,1,MATCH(COLUMNS($U$1006:W1006),$U$1006:$AC$1006,0)))),"Fix")))</f>
        <v>0</v>
      </c>
      <c r="E937" s="3">
        <f>IF(OR(INDEX($O$2:$O$1001,MATCH(ROWS($N$2:N937),$N$2:$N$1001,0),1)&gt;=100000,INDEX($U$1005:$AC$1005,1,MATCH(COLUMNS($U$1006:X1006),$U$1006:$AC$1006,0))&gt;=100000), " ",IF(INDEX($U$2:$AC$1001,MATCH(ROWS($N$2:N937),$N$2:$N$1001,0),MATCH(COLUMNS($U$1006:X1006),$U$1006:$AC$1006,0)), HYPERLINK("#",""), HYPERLINK(CONCATENATE("#metadata!", ADDRESS(INDEX($P$2:$P$1001,MATCH(ROWS($N$2:N937),$N$2:$N$1001,0),0), INDEX($U$1004:$AC$1004,1,MATCH(COLUMNS($U$1006:X1006),$U$1006:$AC$1006,0)))),"Fix")))</f>
        <v>0</v>
      </c>
      <c r="F937" s="3">
        <f>IF(OR(INDEX($O$2:$O$1001,MATCH(ROWS($N$2:N937),$N$2:$N$1001,0),1)&gt;=100000,INDEX($U$1005:$AC$1005,1,MATCH(COLUMNS($U$1006:Y1006),$U$1006:$AC$1006,0))&gt;=100000), " ",IF(INDEX($U$2:$AC$1001,MATCH(ROWS($N$2:N937),$N$2:$N$1001,0),MATCH(COLUMNS($U$1006:Y1006),$U$1006:$AC$1006,0)), HYPERLINK("#",""), HYPERLINK(CONCATENATE("#metadata!", ADDRESS(INDEX($P$2:$P$1001,MATCH(ROWS($N$2:N937),$N$2:$N$1001,0),0), INDEX($U$1004:$AC$1004,1,MATCH(COLUMNS($U$1006:Y1006),$U$1006:$AC$1006,0)))),"Fix")))</f>
        <v>0</v>
      </c>
      <c r="G937" s="3">
        <f>IF(OR(INDEX($O$2:$O$1001,MATCH(ROWS($N$2:N937),$N$2:$N$1001,0),1)&gt;=100000,INDEX($U$1005:$AC$1005,1,MATCH(COLUMNS($U$1006:Z1006),$U$1006:$AC$1006,0))&gt;=100000), " ",IF(INDEX($U$2:$AC$1001,MATCH(ROWS($N$2:N937),$N$2:$N$1001,0),MATCH(COLUMNS($U$1006:Z1006),$U$1006:$AC$1006,0)), HYPERLINK("#",""), HYPERLINK(CONCATENATE("#metadata!", ADDRESS(INDEX($P$2:$P$1001,MATCH(ROWS($N$2:N937),$N$2:$N$1001,0),0), INDEX($U$1004:$AC$1004,1,MATCH(COLUMNS($U$1006:Z1006),$U$1006:$AC$1006,0)))),"Fix")))</f>
        <v>0</v>
      </c>
      <c r="H937" s="3">
        <f>IF(OR(INDEX($O$2:$O$1001,MATCH(ROWS($N$2:N937),$N$2:$N$1001,0),1)&gt;=100000,INDEX($U$1005:$AC$1005,1,MATCH(COLUMNS($U$1006:AA1006),$U$1006:$AC$1006,0))&gt;=100000), " ",IF(INDEX($U$2:$AC$1001,MATCH(ROWS($N$2:N937),$N$2:$N$1001,0),MATCH(COLUMNS($U$1006:AA1006),$U$1006:$AC$1006,0)), HYPERLINK("#",""), HYPERLINK(CONCATENATE("#metadata!", ADDRESS(INDEX($P$2:$P$1001,MATCH(ROWS($N$2:N937),$N$2:$N$1001,0),0), INDEX($U$1004:$AC$1004,1,MATCH(COLUMNS($U$1006:AA1006),$U$1006:$AC$1006,0)))),"Fix")))</f>
        <v>0</v>
      </c>
      <c r="I937" s="3">
        <f>IF(OR(INDEX($O$2:$O$1001,MATCH(ROWS($N$2:N937),$N$2:$N$1001,0),1)&gt;=100000,INDEX($U$1005:$AC$1005,1,MATCH(COLUMNS($U$1006:AB1006),$U$1006:$AC$1006,0))&gt;=100000), " ",IF(INDEX($U$2:$AC$1001,MATCH(ROWS($N$2:N937),$N$2:$N$1001,0),MATCH(COLUMNS($U$1006:AB1006),$U$1006:$AC$1006,0)), HYPERLINK("#",""), HYPERLINK(CONCATENATE("#metadata!", ADDRESS(INDEX($P$2:$P$1001,MATCH(ROWS($N$2:N937),$N$2:$N$1001,0),0), INDEX($U$1004:$AC$1004,1,MATCH(COLUMNS($U$1006:AB1006),$U$1006:$AC$1006,0)))),"Fix")))</f>
        <v>0</v>
      </c>
      <c r="J937" s="3">
        <f>IF(OR(INDEX($O$2:$O$1001,MATCH(ROWS($N$2:N937),$N$2:$N$1001,0),1)&gt;=100000,INDEX($U$1005:$AC$1005,1,MATCH(COLUMNS($U$1006:AC1006),$U$1006:$AC$1006,0))&gt;=100000), " ",IF(INDEX($U$2:$AC$1001,MATCH(ROWS($N$2:N937),$N$2:$N$1001,0),MATCH(COLUMNS($U$1006:AC1006),$U$1006:$AC$1006,0)), HYPERLINK("#",""), HYPERLINK(CONCATENATE("#metadata!", ADDRESS(INDEX($P$2:$P$1001,MATCH(ROWS($N$2:N937),$N$2:$N$1001,0),0), INDEX($U$1004:$AC$1004,1,MATCH(COLUMNS($U$1006:AC1006),$U$1006:$AC$1006,0)))),"Fix")))</f>
        <v>0</v>
      </c>
      <c r="N937">
        <v>0</v>
      </c>
      <c r="O937">
        <v>0</v>
      </c>
      <c r="P937">
        <v>0</v>
      </c>
      <c r="Q937">
        <f>IF(R937,TRUE,AND(U937:AC937))</f>
        <v>0</v>
      </c>
      <c r="R937">
        <f>COUNTBLANK(metadata!B937:J937)=COLUMNS(metadata!B937:J937)</f>
        <v>0</v>
      </c>
      <c r="S937">
        <v>0</v>
      </c>
      <c r="U937">
        <f>AND(IF(metadata!B937="",FALSE,TRUE),COUNTIF(metadata!B:B, metadata!B937) = 1,NOT(ISERROR(SUMPRODUCT(SEARCH(MID(metadata!B937,ROW(INDIRECT("1:"&amp;LEN(metadata!B937))), 1),"0123456789abcdefghijklmnopqrstuvwxyzABCDEFGHIJKLMNOPQRSTUVWXYZ.")))))</f>
        <v>0</v>
      </c>
      <c r="V937">
        <f>AND(IF(metadata!C937="",FALSE,TRUE),exact(metadata!C937,"UBERON:genitourinary"))</f>
        <v>0</v>
      </c>
      <c r="W937">
        <f>AND(IF(metadata!D937="",FALSE,TRUE),exact(metadata!D937,"UBERON:urine"))</f>
        <v>0</v>
      </c>
      <c r="X937">
        <f>AND(IF(metadata!E937="",FALSE,TRUE),exact(metadata!E937,"UBERON:kidney"))</f>
        <v>0</v>
      </c>
      <c r="Y937">
        <f>AND(IF(metadata!F937="",FALSE,TRUE),exact(metadata!F937,"animal corpus"))</f>
        <v>0</v>
      </c>
      <c r="Z937">
        <f>AND(IF(metadata!G937="",FALSE,TRUE),exact(metadata!G937,"urine"))</f>
        <v>0</v>
      </c>
      <c r="AA937">
        <f>AND(IF(metadata!H937="",FALSE,TRUE),exact(metadata!H937,"urine"))</f>
        <v>0</v>
      </c>
      <c r="AB937">
        <f>AND(IF(metadata!I937="",FALSE,TRUE),exact(metadata!I937,"urine metagenome"))</f>
        <v>0</v>
      </c>
      <c r="AC937">
        <f>AND(IF(metadata!J937="",FALSE,TRUE),exact(metadata!J937,"1346744"))</f>
        <v>0</v>
      </c>
    </row>
    <row r="938" spans="1:29">
      <c r="A938" s="4">
        <f>IF(B938=" "," ",HYPERLINK(CONCATENATE("#metadata!",ADDRESS(INDEX($P$2:$P$1001,MATCH(ROWS($N$2:N938),$N$2:$N$1001,0),0),1)),INDEX($S$2:$S$1001,MATCH(ROWS($N$2:N938),$N$2:$N$1001,0),0)))</f>
        <v>0</v>
      </c>
      <c r="B938" s="3">
        <f>IF(OR(INDEX($O$2:$O$1001,MATCH(ROWS($N$2:N938),$N$2:$N$1001,0),1)&gt;=100000,INDEX($U$1005:$AC$1005,1,MATCH(COLUMNS($U$1006:U1006),$U$1006:$AC$1006,0))&gt;=100000), " ",IF(INDEX($U$2:$AC$1001,MATCH(ROWS($N$2:N938),$N$2:$N$1001,0),MATCH(COLUMNS($U$1006:U1006),$U$1006:$AC$1006,0)), HYPERLINK("#",""), HYPERLINK(CONCATENATE("#metadata!", ADDRESS(INDEX($P$2:$P$1001,MATCH(ROWS($N$2:N938),$N$2:$N$1001,0),0), INDEX($U$1004:$AC$1004,1,MATCH(COLUMNS($U$1006:U1006),$U$1006:$AC$1006,0)))),"Fix")))</f>
        <v>0</v>
      </c>
      <c r="C938" s="3">
        <f>IF(OR(INDEX($O$2:$O$1001,MATCH(ROWS($N$2:N938),$N$2:$N$1001,0),1)&gt;=100000,INDEX($U$1005:$AC$1005,1,MATCH(COLUMNS($U$1006:V1006),$U$1006:$AC$1006,0))&gt;=100000), " ",IF(INDEX($U$2:$AC$1001,MATCH(ROWS($N$2:N938),$N$2:$N$1001,0),MATCH(COLUMNS($U$1006:V1006),$U$1006:$AC$1006,0)), HYPERLINK("#",""), HYPERLINK(CONCATENATE("#metadata!", ADDRESS(INDEX($P$2:$P$1001,MATCH(ROWS($N$2:N938),$N$2:$N$1001,0),0), INDEX($U$1004:$AC$1004,1,MATCH(COLUMNS($U$1006:V1006),$U$1006:$AC$1006,0)))),"Fix")))</f>
        <v>0</v>
      </c>
      <c r="D938" s="3">
        <f>IF(OR(INDEX($O$2:$O$1001,MATCH(ROWS($N$2:N938),$N$2:$N$1001,0),1)&gt;=100000,INDEX($U$1005:$AC$1005,1,MATCH(COLUMNS($U$1006:W1006),$U$1006:$AC$1006,0))&gt;=100000), " ",IF(INDEX($U$2:$AC$1001,MATCH(ROWS($N$2:N938),$N$2:$N$1001,0),MATCH(COLUMNS($U$1006:W1006),$U$1006:$AC$1006,0)), HYPERLINK("#",""), HYPERLINK(CONCATENATE("#metadata!", ADDRESS(INDEX($P$2:$P$1001,MATCH(ROWS($N$2:N938),$N$2:$N$1001,0),0), INDEX($U$1004:$AC$1004,1,MATCH(COLUMNS($U$1006:W1006),$U$1006:$AC$1006,0)))),"Fix")))</f>
        <v>0</v>
      </c>
      <c r="E938" s="3">
        <f>IF(OR(INDEX($O$2:$O$1001,MATCH(ROWS($N$2:N938),$N$2:$N$1001,0),1)&gt;=100000,INDEX($U$1005:$AC$1005,1,MATCH(COLUMNS($U$1006:X1006),$U$1006:$AC$1006,0))&gt;=100000), " ",IF(INDEX($U$2:$AC$1001,MATCH(ROWS($N$2:N938),$N$2:$N$1001,0),MATCH(COLUMNS($U$1006:X1006),$U$1006:$AC$1006,0)), HYPERLINK("#",""), HYPERLINK(CONCATENATE("#metadata!", ADDRESS(INDEX($P$2:$P$1001,MATCH(ROWS($N$2:N938),$N$2:$N$1001,0),0), INDEX($U$1004:$AC$1004,1,MATCH(COLUMNS($U$1006:X1006),$U$1006:$AC$1006,0)))),"Fix")))</f>
        <v>0</v>
      </c>
      <c r="F938" s="3">
        <f>IF(OR(INDEX($O$2:$O$1001,MATCH(ROWS($N$2:N938),$N$2:$N$1001,0),1)&gt;=100000,INDEX($U$1005:$AC$1005,1,MATCH(COLUMNS($U$1006:Y1006),$U$1006:$AC$1006,0))&gt;=100000), " ",IF(INDEX($U$2:$AC$1001,MATCH(ROWS($N$2:N938),$N$2:$N$1001,0),MATCH(COLUMNS($U$1006:Y1006),$U$1006:$AC$1006,0)), HYPERLINK("#",""), HYPERLINK(CONCATENATE("#metadata!", ADDRESS(INDEX($P$2:$P$1001,MATCH(ROWS($N$2:N938),$N$2:$N$1001,0),0), INDEX($U$1004:$AC$1004,1,MATCH(COLUMNS($U$1006:Y1006),$U$1006:$AC$1006,0)))),"Fix")))</f>
        <v>0</v>
      </c>
      <c r="G938" s="3">
        <f>IF(OR(INDEX($O$2:$O$1001,MATCH(ROWS($N$2:N938),$N$2:$N$1001,0),1)&gt;=100000,INDEX($U$1005:$AC$1005,1,MATCH(COLUMNS($U$1006:Z1006),$U$1006:$AC$1006,0))&gt;=100000), " ",IF(INDEX($U$2:$AC$1001,MATCH(ROWS($N$2:N938),$N$2:$N$1001,0),MATCH(COLUMNS($U$1006:Z1006),$U$1006:$AC$1006,0)), HYPERLINK("#",""), HYPERLINK(CONCATENATE("#metadata!", ADDRESS(INDEX($P$2:$P$1001,MATCH(ROWS($N$2:N938),$N$2:$N$1001,0),0), INDEX($U$1004:$AC$1004,1,MATCH(COLUMNS($U$1006:Z1006),$U$1006:$AC$1006,0)))),"Fix")))</f>
        <v>0</v>
      </c>
      <c r="H938" s="3">
        <f>IF(OR(INDEX($O$2:$O$1001,MATCH(ROWS($N$2:N938),$N$2:$N$1001,0),1)&gt;=100000,INDEX($U$1005:$AC$1005,1,MATCH(COLUMNS($U$1006:AA1006),$U$1006:$AC$1006,0))&gt;=100000), " ",IF(INDEX($U$2:$AC$1001,MATCH(ROWS($N$2:N938),$N$2:$N$1001,0),MATCH(COLUMNS($U$1006:AA1006),$U$1006:$AC$1006,0)), HYPERLINK("#",""), HYPERLINK(CONCATENATE("#metadata!", ADDRESS(INDEX($P$2:$P$1001,MATCH(ROWS($N$2:N938),$N$2:$N$1001,0),0), INDEX($U$1004:$AC$1004,1,MATCH(COLUMNS($U$1006:AA1006),$U$1006:$AC$1006,0)))),"Fix")))</f>
        <v>0</v>
      </c>
      <c r="I938" s="3">
        <f>IF(OR(INDEX($O$2:$O$1001,MATCH(ROWS($N$2:N938),$N$2:$N$1001,0),1)&gt;=100000,INDEX($U$1005:$AC$1005,1,MATCH(COLUMNS($U$1006:AB1006),$U$1006:$AC$1006,0))&gt;=100000), " ",IF(INDEX($U$2:$AC$1001,MATCH(ROWS($N$2:N938),$N$2:$N$1001,0),MATCH(COLUMNS($U$1006:AB1006),$U$1006:$AC$1006,0)), HYPERLINK("#",""), HYPERLINK(CONCATENATE("#metadata!", ADDRESS(INDEX($P$2:$P$1001,MATCH(ROWS($N$2:N938),$N$2:$N$1001,0),0), INDEX($U$1004:$AC$1004,1,MATCH(COLUMNS($U$1006:AB1006),$U$1006:$AC$1006,0)))),"Fix")))</f>
        <v>0</v>
      </c>
      <c r="J938" s="3">
        <f>IF(OR(INDEX($O$2:$O$1001,MATCH(ROWS($N$2:N938),$N$2:$N$1001,0),1)&gt;=100000,INDEX($U$1005:$AC$1005,1,MATCH(COLUMNS($U$1006:AC1006),$U$1006:$AC$1006,0))&gt;=100000), " ",IF(INDEX($U$2:$AC$1001,MATCH(ROWS($N$2:N938),$N$2:$N$1001,0),MATCH(COLUMNS($U$1006:AC1006),$U$1006:$AC$1006,0)), HYPERLINK("#",""), HYPERLINK(CONCATENATE("#metadata!", ADDRESS(INDEX($P$2:$P$1001,MATCH(ROWS($N$2:N938),$N$2:$N$1001,0),0), INDEX($U$1004:$AC$1004,1,MATCH(COLUMNS($U$1006:AC1006),$U$1006:$AC$1006,0)))),"Fix")))</f>
        <v>0</v>
      </c>
      <c r="N938">
        <v>0</v>
      </c>
      <c r="O938">
        <v>0</v>
      </c>
      <c r="P938">
        <v>0</v>
      </c>
      <c r="Q938">
        <f>IF(R938,TRUE,AND(U938:AC938))</f>
        <v>0</v>
      </c>
      <c r="R938">
        <f>COUNTBLANK(metadata!B938:J938)=COLUMNS(metadata!B938:J938)</f>
        <v>0</v>
      </c>
      <c r="S938">
        <v>0</v>
      </c>
      <c r="U938">
        <f>AND(IF(metadata!B938="",FALSE,TRUE),COUNTIF(metadata!B:B, metadata!B938) = 1,NOT(ISERROR(SUMPRODUCT(SEARCH(MID(metadata!B938,ROW(INDIRECT("1:"&amp;LEN(metadata!B938))), 1),"0123456789abcdefghijklmnopqrstuvwxyzABCDEFGHIJKLMNOPQRSTUVWXYZ.")))))</f>
        <v>0</v>
      </c>
      <c r="V938">
        <f>AND(IF(metadata!C938="",FALSE,TRUE),exact(metadata!C938,"UBERON:genitourinary"))</f>
        <v>0</v>
      </c>
      <c r="W938">
        <f>AND(IF(metadata!D938="",FALSE,TRUE),exact(metadata!D938,"UBERON:urine"))</f>
        <v>0</v>
      </c>
      <c r="X938">
        <f>AND(IF(metadata!E938="",FALSE,TRUE),exact(metadata!E938,"UBERON:kidney"))</f>
        <v>0</v>
      </c>
      <c r="Y938">
        <f>AND(IF(metadata!F938="",FALSE,TRUE),exact(metadata!F938,"animal corpus"))</f>
        <v>0</v>
      </c>
      <c r="Z938">
        <f>AND(IF(metadata!G938="",FALSE,TRUE),exact(metadata!G938,"urine"))</f>
        <v>0</v>
      </c>
      <c r="AA938">
        <f>AND(IF(metadata!H938="",FALSE,TRUE),exact(metadata!H938,"urine"))</f>
        <v>0</v>
      </c>
      <c r="AB938">
        <f>AND(IF(metadata!I938="",FALSE,TRUE),exact(metadata!I938,"urine metagenome"))</f>
        <v>0</v>
      </c>
      <c r="AC938">
        <f>AND(IF(metadata!J938="",FALSE,TRUE),exact(metadata!J938,"1346744"))</f>
        <v>0</v>
      </c>
    </row>
    <row r="939" spans="1:29">
      <c r="A939" s="4">
        <f>IF(B939=" "," ",HYPERLINK(CONCATENATE("#metadata!",ADDRESS(INDEX($P$2:$P$1001,MATCH(ROWS($N$2:N939),$N$2:$N$1001,0),0),1)),INDEX($S$2:$S$1001,MATCH(ROWS($N$2:N939),$N$2:$N$1001,0),0)))</f>
        <v>0</v>
      </c>
      <c r="B939" s="3">
        <f>IF(OR(INDEX($O$2:$O$1001,MATCH(ROWS($N$2:N939),$N$2:$N$1001,0),1)&gt;=100000,INDEX($U$1005:$AC$1005,1,MATCH(COLUMNS($U$1006:U1006),$U$1006:$AC$1006,0))&gt;=100000), " ",IF(INDEX($U$2:$AC$1001,MATCH(ROWS($N$2:N939),$N$2:$N$1001,0),MATCH(COLUMNS($U$1006:U1006),$U$1006:$AC$1006,0)), HYPERLINK("#",""), HYPERLINK(CONCATENATE("#metadata!", ADDRESS(INDEX($P$2:$P$1001,MATCH(ROWS($N$2:N939),$N$2:$N$1001,0),0), INDEX($U$1004:$AC$1004,1,MATCH(COLUMNS($U$1006:U1006),$U$1006:$AC$1006,0)))),"Fix")))</f>
        <v>0</v>
      </c>
      <c r="C939" s="3">
        <f>IF(OR(INDEX($O$2:$O$1001,MATCH(ROWS($N$2:N939),$N$2:$N$1001,0),1)&gt;=100000,INDEX($U$1005:$AC$1005,1,MATCH(COLUMNS($U$1006:V1006),$U$1006:$AC$1006,0))&gt;=100000), " ",IF(INDEX($U$2:$AC$1001,MATCH(ROWS($N$2:N939),$N$2:$N$1001,0),MATCH(COLUMNS($U$1006:V1006),$U$1006:$AC$1006,0)), HYPERLINK("#",""), HYPERLINK(CONCATENATE("#metadata!", ADDRESS(INDEX($P$2:$P$1001,MATCH(ROWS($N$2:N939),$N$2:$N$1001,0),0), INDEX($U$1004:$AC$1004,1,MATCH(COLUMNS($U$1006:V1006),$U$1006:$AC$1006,0)))),"Fix")))</f>
        <v>0</v>
      </c>
      <c r="D939" s="3">
        <f>IF(OR(INDEX($O$2:$O$1001,MATCH(ROWS($N$2:N939),$N$2:$N$1001,0),1)&gt;=100000,INDEX($U$1005:$AC$1005,1,MATCH(COLUMNS($U$1006:W1006),$U$1006:$AC$1006,0))&gt;=100000), " ",IF(INDEX($U$2:$AC$1001,MATCH(ROWS($N$2:N939),$N$2:$N$1001,0),MATCH(COLUMNS($U$1006:W1006),$U$1006:$AC$1006,0)), HYPERLINK("#",""), HYPERLINK(CONCATENATE("#metadata!", ADDRESS(INDEX($P$2:$P$1001,MATCH(ROWS($N$2:N939),$N$2:$N$1001,0),0), INDEX($U$1004:$AC$1004,1,MATCH(COLUMNS($U$1006:W1006),$U$1006:$AC$1006,0)))),"Fix")))</f>
        <v>0</v>
      </c>
      <c r="E939" s="3">
        <f>IF(OR(INDEX($O$2:$O$1001,MATCH(ROWS($N$2:N939),$N$2:$N$1001,0),1)&gt;=100000,INDEX($U$1005:$AC$1005,1,MATCH(COLUMNS($U$1006:X1006),$U$1006:$AC$1006,0))&gt;=100000), " ",IF(INDEX($U$2:$AC$1001,MATCH(ROWS($N$2:N939),$N$2:$N$1001,0),MATCH(COLUMNS($U$1006:X1006),$U$1006:$AC$1006,0)), HYPERLINK("#",""), HYPERLINK(CONCATENATE("#metadata!", ADDRESS(INDEX($P$2:$P$1001,MATCH(ROWS($N$2:N939),$N$2:$N$1001,0),0), INDEX($U$1004:$AC$1004,1,MATCH(COLUMNS($U$1006:X1006),$U$1006:$AC$1006,0)))),"Fix")))</f>
        <v>0</v>
      </c>
      <c r="F939" s="3">
        <f>IF(OR(INDEX($O$2:$O$1001,MATCH(ROWS($N$2:N939),$N$2:$N$1001,0),1)&gt;=100000,INDEX($U$1005:$AC$1005,1,MATCH(COLUMNS($U$1006:Y1006),$U$1006:$AC$1006,0))&gt;=100000), " ",IF(INDEX($U$2:$AC$1001,MATCH(ROWS($N$2:N939),$N$2:$N$1001,0),MATCH(COLUMNS($U$1006:Y1006),$U$1006:$AC$1006,0)), HYPERLINK("#",""), HYPERLINK(CONCATENATE("#metadata!", ADDRESS(INDEX($P$2:$P$1001,MATCH(ROWS($N$2:N939),$N$2:$N$1001,0),0), INDEX($U$1004:$AC$1004,1,MATCH(COLUMNS($U$1006:Y1006),$U$1006:$AC$1006,0)))),"Fix")))</f>
        <v>0</v>
      </c>
      <c r="G939" s="3">
        <f>IF(OR(INDEX($O$2:$O$1001,MATCH(ROWS($N$2:N939),$N$2:$N$1001,0),1)&gt;=100000,INDEX($U$1005:$AC$1005,1,MATCH(COLUMNS($U$1006:Z1006),$U$1006:$AC$1006,0))&gt;=100000), " ",IF(INDEX($U$2:$AC$1001,MATCH(ROWS($N$2:N939),$N$2:$N$1001,0),MATCH(COLUMNS($U$1006:Z1006),$U$1006:$AC$1006,0)), HYPERLINK("#",""), HYPERLINK(CONCATENATE("#metadata!", ADDRESS(INDEX($P$2:$P$1001,MATCH(ROWS($N$2:N939),$N$2:$N$1001,0),0), INDEX($U$1004:$AC$1004,1,MATCH(COLUMNS($U$1006:Z1006),$U$1006:$AC$1006,0)))),"Fix")))</f>
        <v>0</v>
      </c>
      <c r="H939" s="3">
        <f>IF(OR(INDEX($O$2:$O$1001,MATCH(ROWS($N$2:N939),$N$2:$N$1001,0),1)&gt;=100000,INDEX($U$1005:$AC$1005,1,MATCH(COLUMNS($U$1006:AA1006),$U$1006:$AC$1006,0))&gt;=100000), " ",IF(INDEX($U$2:$AC$1001,MATCH(ROWS($N$2:N939),$N$2:$N$1001,0),MATCH(COLUMNS($U$1006:AA1006),$U$1006:$AC$1006,0)), HYPERLINK("#",""), HYPERLINK(CONCATENATE("#metadata!", ADDRESS(INDEX($P$2:$P$1001,MATCH(ROWS($N$2:N939),$N$2:$N$1001,0),0), INDEX($U$1004:$AC$1004,1,MATCH(COLUMNS($U$1006:AA1006),$U$1006:$AC$1006,0)))),"Fix")))</f>
        <v>0</v>
      </c>
      <c r="I939" s="3">
        <f>IF(OR(INDEX($O$2:$O$1001,MATCH(ROWS($N$2:N939),$N$2:$N$1001,0),1)&gt;=100000,INDEX($U$1005:$AC$1005,1,MATCH(COLUMNS($U$1006:AB1006),$U$1006:$AC$1006,0))&gt;=100000), " ",IF(INDEX($U$2:$AC$1001,MATCH(ROWS($N$2:N939),$N$2:$N$1001,0),MATCH(COLUMNS($U$1006:AB1006),$U$1006:$AC$1006,0)), HYPERLINK("#",""), HYPERLINK(CONCATENATE("#metadata!", ADDRESS(INDEX($P$2:$P$1001,MATCH(ROWS($N$2:N939),$N$2:$N$1001,0),0), INDEX($U$1004:$AC$1004,1,MATCH(COLUMNS($U$1006:AB1006),$U$1006:$AC$1006,0)))),"Fix")))</f>
        <v>0</v>
      </c>
      <c r="J939" s="3">
        <f>IF(OR(INDEX($O$2:$O$1001,MATCH(ROWS($N$2:N939),$N$2:$N$1001,0),1)&gt;=100000,INDEX($U$1005:$AC$1005,1,MATCH(COLUMNS($U$1006:AC1006),$U$1006:$AC$1006,0))&gt;=100000), " ",IF(INDEX($U$2:$AC$1001,MATCH(ROWS($N$2:N939),$N$2:$N$1001,0),MATCH(COLUMNS($U$1006:AC1006),$U$1006:$AC$1006,0)), HYPERLINK("#",""), HYPERLINK(CONCATENATE("#metadata!", ADDRESS(INDEX($P$2:$P$1001,MATCH(ROWS($N$2:N939),$N$2:$N$1001,0),0), INDEX($U$1004:$AC$1004,1,MATCH(COLUMNS($U$1006:AC1006),$U$1006:$AC$1006,0)))),"Fix")))</f>
        <v>0</v>
      </c>
      <c r="N939">
        <v>0</v>
      </c>
      <c r="O939">
        <v>0</v>
      </c>
      <c r="P939">
        <v>0</v>
      </c>
      <c r="Q939">
        <f>IF(R939,TRUE,AND(U939:AC939))</f>
        <v>0</v>
      </c>
      <c r="R939">
        <f>COUNTBLANK(metadata!B939:J939)=COLUMNS(metadata!B939:J939)</f>
        <v>0</v>
      </c>
      <c r="S939">
        <v>0</v>
      </c>
      <c r="U939">
        <f>AND(IF(metadata!B939="",FALSE,TRUE),COUNTIF(metadata!B:B, metadata!B939) = 1,NOT(ISERROR(SUMPRODUCT(SEARCH(MID(metadata!B939,ROW(INDIRECT("1:"&amp;LEN(metadata!B939))), 1),"0123456789abcdefghijklmnopqrstuvwxyzABCDEFGHIJKLMNOPQRSTUVWXYZ.")))))</f>
        <v>0</v>
      </c>
      <c r="V939">
        <f>AND(IF(metadata!C939="",FALSE,TRUE),exact(metadata!C939,"UBERON:genitourinary"))</f>
        <v>0</v>
      </c>
      <c r="W939">
        <f>AND(IF(metadata!D939="",FALSE,TRUE),exact(metadata!D939,"UBERON:urine"))</f>
        <v>0</v>
      </c>
      <c r="X939">
        <f>AND(IF(metadata!E939="",FALSE,TRUE),exact(metadata!E939,"UBERON:kidney"))</f>
        <v>0</v>
      </c>
      <c r="Y939">
        <f>AND(IF(metadata!F939="",FALSE,TRUE),exact(metadata!F939,"animal corpus"))</f>
        <v>0</v>
      </c>
      <c r="Z939">
        <f>AND(IF(metadata!G939="",FALSE,TRUE),exact(metadata!G939,"urine"))</f>
        <v>0</v>
      </c>
      <c r="AA939">
        <f>AND(IF(metadata!H939="",FALSE,TRUE),exact(metadata!H939,"urine"))</f>
        <v>0</v>
      </c>
      <c r="AB939">
        <f>AND(IF(metadata!I939="",FALSE,TRUE),exact(metadata!I939,"urine metagenome"))</f>
        <v>0</v>
      </c>
      <c r="AC939">
        <f>AND(IF(metadata!J939="",FALSE,TRUE),exact(metadata!J939,"1346744"))</f>
        <v>0</v>
      </c>
    </row>
    <row r="940" spans="1:29">
      <c r="A940" s="4">
        <f>IF(B940=" "," ",HYPERLINK(CONCATENATE("#metadata!",ADDRESS(INDEX($P$2:$P$1001,MATCH(ROWS($N$2:N940),$N$2:$N$1001,0),0),1)),INDEX($S$2:$S$1001,MATCH(ROWS($N$2:N940),$N$2:$N$1001,0),0)))</f>
        <v>0</v>
      </c>
      <c r="B940" s="3">
        <f>IF(OR(INDEX($O$2:$O$1001,MATCH(ROWS($N$2:N940),$N$2:$N$1001,0),1)&gt;=100000,INDEX($U$1005:$AC$1005,1,MATCH(COLUMNS($U$1006:U1006),$U$1006:$AC$1006,0))&gt;=100000), " ",IF(INDEX($U$2:$AC$1001,MATCH(ROWS($N$2:N940),$N$2:$N$1001,0),MATCH(COLUMNS($U$1006:U1006),$U$1006:$AC$1006,0)), HYPERLINK("#",""), HYPERLINK(CONCATENATE("#metadata!", ADDRESS(INDEX($P$2:$P$1001,MATCH(ROWS($N$2:N940),$N$2:$N$1001,0),0), INDEX($U$1004:$AC$1004,1,MATCH(COLUMNS($U$1006:U1006),$U$1006:$AC$1006,0)))),"Fix")))</f>
        <v>0</v>
      </c>
      <c r="C940" s="3">
        <f>IF(OR(INDEX($O$2:$O$1001,MATCH(ROWS($N$2:N940),$N$2:$N$1001,0),1)&gt;=100000,INDEX($U$1005:$AC$1005,1,MATCH(COLUMNS($U$1006:V1006),$U$1006:$AC$1006,0))&gt;=100000), " ",IF(INDEX($U$2:$AC$1001,MATCH(ROWS($N$2:N940),$N$2:$N$1001,0),MATCH(COLUMNS($U$1006:V1006),$U$1006:$AC$1006,0)), HYPERLINK("#",""), HYPERLINK(CONCATENATE("#metadata!", ADDRESS(INDEX($P$2:$P$1001,MATCH(ROWS($N$2:N940),$N$2:$N$1001,0),0), INDEX($U$1004:$AC$1004,1,MATCH(COLUMNS($U$1006:V1006),$U$1006:$AC$1006,0)))),"Fix")))</f>
        <v>0</v>
      </c>
      <c r="D940" s="3">
        <f>IF(OR(INDEX($O$2:$O$1001,MATCH(ROWS($N$2:N940),$N$2:$N$1001,0),1)&gt;=100000,INDEX($U$1005:$AC$1005,1,MATCH(COLUMNS($U$1006:W1006),$U$1006:$AC$1006,0))&gt;=100000), " ",IF(INDEX($U$2:$AC$1001,MATCH(ROWS($N$2:N940),$N$2:$N$1001,0),MATCH(COLUMNS($U$1006:W1006),$U$1006:$AC$1006,0)), HYPERLINK("#",""), HYPERLINK(CONCATENATE("#metadata!", ADDRESS(INDEX($P$2:$P$1001,MATCH(ROWS($N$2:N940),$N$2:$N$1001,0),0), INDEX($U$1004:$AC$1004,1,MATCH(COLUMNS($U$1006:W1006),$U$1006:$AC$1006,0)))),"Fix")))</f>
        <v>0</v>
      </c>
      <c r="E940" s="3">
        <f>IF(OR(INDEX($O$2:$O$1001,MATCH(ROWS($N$2:N940),$N$2:$N$1001,0),1)&gt;=100000,INDEX($U$1005:$AC$1005,1,MATCH(COLUMNS($U$1006:X1006),$U$1006:$AC$1006,0))&gt;=100000), " ",IF(INDEX($U$2:$AC$1001,MATCH(ROWS($N$2:N940),$N$2:$N$1001,0),MATCH(COLUMNS($U$1006:X1006),$U$1006:$AC$1006,0)), HYPERLINK("#",""), HYPERLINK(CONCATENATE("#metadata!", ADDRESS(INDEX($P$2:$P$1001,MATCH(ROWS($N$2:N940),$N$2:$N$1001,0),0), INDEX($U$1004:$AC$1004,1,MATCH(COLUMNS($U$1006:X1006),$U$1006:$AC$1006,0)))),"Fix")))</f>
        <v>0</v>
      </c>
      <c r="F940" s="3">
        <f>IF(OR(INDEX($O$2:$O$1001,MATCH(ROWS($N$2:N940),$N$2:$N$1001,0),1)&gt;=100000,INDEX($U$1005:$AC$1005,1,MATCH(COLUMNS($U$1006:Y1006),$U$1006:$AC$1006,0))&gt;=100000), " ",IF(INDEX($U$2:$AC$1001,MATCH(ROWS($N$2:N940),$N$2:$N$1001,0),MATCH(COLUMNS($U$1006:Y1006),$U$1006:$AC$1006,0)), HYPERLINK("#",""), HYPERLINK(CONCATENATE("#metadata!", ADDRESS(INDEX($P$2:$P$1001,MATCH(ROWS($N$2:N940),$N$2:$N$1001,0),0), INDEX($U$1004:$AC$1004,1,MATCH(COLUMNS($U$1006:Y1006),$U$1006:$AC$1006,0)))),"Fix")))</f>
        <v>0</v>
      </c>
      <c r="G940" s="3">
        <f>IF(OR(INDEX($O$2:$O$1001,MATCH(ROWS($N$2:N940),$N$2:$N$1001,0),1)&gt;=100000,INDEX($U$1005:$AC$1005,1,MATCH(COLUMNS($U$1006:Z1006),$U$1006:$AC$1006,0))&gt;=100000), " ",IF(INDEX($U$2:$AC$1001,MATCH(ROWS($N$2:N940),$N$2:$N$1001,0),MATCH(COLUMNS($U$1006:Z1006),$U$1006:$AC$1006,0)), HYPERLINK("#",""), HYPERLINK(CONCATENATE("#metadata!", ADDRESS(INDEX($P$2:$P$1001,MATCH(ROWS($N$2:N940),$N$2:$N$1001,0),0), INDEX($U$1004:$AC$1004,1,MATCH(COLUMNS($U$1006:Z1006),$U$1006:$AC$1006,0)))),"Fix")))</f>
        <v>0</v>
      </c>
      <c r="H940" s="3">
        <f>IF(OR(INDEX($O$2:$O$1001,MATCH(ROWS($N$2:N940),$N$2:$N$1001,0),1)&gt;=100000,INDEX($U$1005:$AC$1005,1,MATCH(COLUMNS($U$1006:AA1006),$U$1006:$AC$1006,0))&gt;=100000), " ",IF(INDEX($U$2:$AC$1001,MATCH(ROWS($N$2:N940),$N$2:$N$1001,0),MATCH(COLUMNS($U$1006:AA1006),$U$1006:$AC$1006,0)), HYPERLINK("#",""), HYPERLINK(CONCATENATE("#metadata!", ADDRESS(INDEX($P$2:$P$1001,MATCH(ROWS($N$2:N940),$N$2:$N$1001,0),0), INDEX($U$1004:$AC$1004,1,MATCH(COLUMNS($U$1006:AA1006),$U$1006:$AC$1006,0)))),"Fix")))</f>
        <v>0</v>
      </c>
      <c r="I940" s="3">
        <f>IF(OR(INDEX($O$2:$O$1001,MATCH(ROWS($N$2:N940),$N$2:$N$1001,0),1)&gt;=100000,INDEX($U$1005:$AC$1005,1,MATCH(COLUMNS($U$1006:AB1006),$U$1006:$AC$1006,0))&gt;=100000), " ",IF(INDEX($U$2:$AC$1001,MATCH(ROWS($N$2:N940),$N$2:$N$1001,0),MATCH(COLUMNS($U$1006:AB1006),$U$1006:$AC$1006,0)), HYPERLINK("#",""), HYPERLINK(CONCATENATE("#metadata!", ADDRESS(INDEX($P$2:$P$1001,MATCH(ROWS($N$2:N940),$N$2:$N$1001,0),0), INDEX($U$1004:$AC$1004,1,MATCH(COLUMNS($U$1006:AB1006),$U$1006:$AC$1006,0)))),"Fix")))</f>
        <v>0</v>
      </c>
      <c r="J940" s="3">
        <f>IF(OR(INDEX($O$2:$O$1001,MATCH(ROWS($N$2:N940),$N$2:$N$1001,0),1)&gt;=100000,INDEX($U$1005:$AC$1005,1,MATCH(COLUMNS($U$1006:AC1006),$U$1006:$AC$1006,0))&gt;=100000), " ",IF(INDEX($U$2:$AC$1001,MATCH(ROWS($N$2:N940),$N$2:$N$1001,0),MATCH(COLUMNS($U$1006:AC1006),$U$1006:$AC$1006,0)), HYPERLINK("#",""), HYPERLINK(CONCATENATE("#metadata!", ADDRESS(INDEX($P$2:$P$1001,MATCH(ROWS($N$2:N940),$N$2:$N$1001,0),0), INDEX($U$1004:$AC$1004,1,MATCH(COLUMNS($U$1006:AC1006),$U$1006:$AC$1006,0)))),"Fix")))</f>
        <v>0</v>
      </c>
      <c r="N940">
        <v>0</v>
      </c>
      <c r="O940">
        <v>0</v>
      </c>
      <c r="P940">
        <v>0</v>
      </c>
      <c r="Q940">
        <f>IF(R940,TRUE,AND(U940:AC940))</f>
        <v>0</v>
      </c>
      <c r="R940">
        <f>COUNTBLANK(metadata!B940:J940)=COLUMNS(metadata!B940:J940)</f>
        <v>0</v>
      </c>
      <c r="S940">
        <v>0</v>
      </c>
      <c r="U940">
        <f>AND(IF(metadata!B940="",FALSE,TRUE),COUNTIF(metadata!B:B, metadata!B940) = 1,NOT(ISERROR(SUMPRODUCT(SEARCH(MID(metadata!B940,ROW(INDIRECT("1:"&amp;LEN(metadata!B940))), 1),"0123456789abcdefghijklmnopqrstuvwxyzABCDEFGHIJKLMNOPQRSTUVWXYZ.")))))</f>
        <v>0</v>
      </c>
      <c r="V940">
        <f>AND(IF(metadata!C940="",FALSE,TRUE),exact(metadata!C940,"UBERON:genitourinary"))</f>
        <v>0</v>
      </c>
      <c r="W940">
        <f>AND(IF(metadata!D940="",FALSE,TRUE),exact(metadata!D940,"UBERON:urine"))</f>
        <v>0</v>
      </c>
      <c r="X940">
        <f>AND(IF(metadata!E940="",FALSE,TRUE),exact(metadata!E940,"UBERON:kidney"))</f>
        <v>0</v>
      </c>
      <c r="Y940">
        <f>AND(IF(metadata!F940="",FALSE,TRUE),exact(metadata!F940,"animal corpus"))</f>
        <v>0</v>
      </c>
      <c r="Z940">
        <f>AND(IF(metadata!G940="",FALSE,TRUE),exact(metadata!G940,"urine"))</f>
        <v>0</v>
      </c>
      <c r="AA940">
        <f>AND(IF(metadata!H940="",FALSE,TRUE),exact(metadata!H940,"urine"))</f>
        <v>0</v>
      </c>
      <c r="AB940">
        <f>AND(IF(metadata!I940="",FALSE,TRUE),exact(metadata!I940,"urine metagenome"))</f>
        <v>0</v>
      </c>
      <c r="AC940">
        <f>AND(IF(metadata!J940="",FALSE,TRUE),exact(metadata!J940,"1346744"))</f>
        <v>0</v>
      </c>
    </row>
    <row r="941" spans="1:29">
      <c r="A941" s="4">
        <f>IF(B941=" "," ",HYPERLINK(CONCATENATE("#metadata!",ADDRESS(INDEX($P$2:$P$1001,MATCH(ROWS($N$2:N941),$N$2:$N$1001,0),0),1)),INDEX($S$2:$S$1001,MATCH(ROWS($N$2:N941),$N$2:$N$1001,0),0)))</f>
        <v>0</v>
      </c>
      <c r="B941" s="3">
        <f>IF(OR(INDEX($O$2:$O$1001,MATCH(ROWS($N$2:N941),$N$2:$N$1001,0),1)&gt;=100000,INDEX($U$1005:$AC$1005,1,MATCH(COLUMNS($U$1006:U1006),$U$1006:$AC$1006,0))&gt;=100000), " ",IF(INDEX($U$2:$AC$1001,MATCH(ROWS($N$2:N941),$N$2:$N$1001,0),MATCH(COLUMNS($U$1006:U1006),$U$1006:$AC$1006,0)), HYPERLINK("#",""), HYPERLINK(CONCATENATE("#metadata!", ADDRESS(INDEX($P$2:$P$1001,MATCH(ROWS($N$2:N941),$N$2:$N$1001,0),0), INDEX($U$1004:$AC$1004,1,MATCH(COLUMNS($U$1006:U1006),$U$1006:$AC$1006,0)))),"Fix")))</f>
        <v>0</v>
      </c>
      <c r="C941" s="3">
        <f>IF(OR(INDEX($O$2:$O$1001,MATCH(ROWS($N$2:N941),$N$2:$N$1001,0),1)&gt;=100000,INDEX($U$1005:$AC$1005,1,MATCH(COLUMNS($U$1006:V1006),$U$1006:$AC$1006,0))&gt;=100000), " ",IF(INDEX($U$2:$AC$1001,MATCH(ROWS($N$2:N941),$N$2:$N$1001,0),MATCH(COLUMNS($U$1006:V1006),$U$1006:$AC$1006,0)), HYPERLINK("#",""), HYPERLINK(CONCATENATE("#metadata!", ADDRESS(INDEX($P$2:$P$1001,MATCH(ROWS($N$2:N941),$N$2:$N$1001,0),0), INDEX($U$1004:$AC$1004,1,MATCH(COLUMNS($U$1006:V1006),$U$1006:$AC$1006,0)))),"Fix")))</f>
        <v>0</v>
      </c>
      <c r="D941" s="3">
        <f>IF(OR(INDEX($O$2:$O$1001,MATCH(ROWS($N$2:N941),$N$2:$N$1001,0),1)&gt;=100000,INDEX($U$1005:$AC$1005,1,MATCH(COLUMNS($U$1006:W1006),$U$1006:$AC$1006,0))&gt;=100000), " ",IF(INDEX($U$2:$AC$1001,MATCH(ROWS($N$2:N941),$N$2:$N$1001,0),MATCH(COLUMNS($U$1006:W1006),$U$1006:$AC$1006,0)), HYPERLINK("#",""), HYPERLINK(CONCATENATE("#metadata!", ADDRESS(INDEX($P$2:$P$1001,MATCH(ROWS($N$2:N941),$N$2:$N$1001,0),0), INDEX($U$1004:$AC$1004,1,MATCH(COLUMNS($U$1006:W1006),$U$1006:$AC$1006,0)))),"Fix")))</f>
        <v>0</v>
      </c>
      <c r="E941" s="3">
        <f>IF(OR(INDEX($O$2:$O$1001,MATCH(ROWS($N$2:N941),$N$2:$N$1001,0),1)&gt;=100000,INDEX($U$1005:$AC$1005,1,MATCH(COLUMNS($U$1006:X1006),$U$1006:$AC$1006,0))&gt;=100000), " ",IF(INDEX($U$2:$AC$1001,MATCH(ROWS($N$2:N941),$N$2:$N$1001,0),MATCH(COLUMNS($U$1006:X1006),$U$1006:$AC$1006,0)), HYPERLINK("#",""), HYPERLINK(CONCATENATE("#metadata!", ADDRESS(INDEX($P$2:$P$1001,MATCH(ROWS($N$2:N941),$N$2:$N$1001,0),0), INDEX($U$1004:$AC$1004,1,MATCH(COLUMNS($U$1006:X1006),$U$1006:$AC$1006,0)))),"Fix")))</f>
        <v>0</v>
      </c>
      <c r="F941" s="3">
        <f>IF(OR(INDEX($O$2:$O$1001,MATCH(ROWS($N$2:N941),$N$2:$N$1001,0),1)&gt;=100000,INDEX($U$1005:$AC$1005,1,MATCH(COLUMNS($U$1006:Y1006),$U$1006:$AC$1006,0))&gt;=100000), " ",IF(INDEX($U$2:$AC$1001,MATCH(ROWS($N$2:N941),$N$2:$N$1001,0),MATCH(COLUMNS($U$1006:Y1006),$U$1006:$AC$1006,0)), HYPERLINK("#",""), HYPERLINK(CONCATENATE("#metadata!", ADDRESS(INDEX($P$2:$P$1001,MATCH(ROWS($N$2:N941),$N$2:$N$1001,0),0), INDEX($U$1004:$AC$1004,1,MATCH(COLUMNS($U$1006:Y1006),$U$1006:$AC$1006,0)))),"Fix")))</f>
        <v>0</v>
      </c>
      <c r="G941" s="3">
        <f>IF(OR(INDEX($O$2:$O$1001,MATCH(ROWS($N$2:N941),$N$2:$N$1001,0),1)&gt;=100000,INDEX($U$1005:$AC$1005,1,MATCH(COLUMNS($U$1006:Z1006),$U$1006:$AC$1006,0))&gt;=100000), " ",IF(INDEX($U$2:$AC$1001,MATCH(ROWS($N$2:N941),$N$2:$N$1001,0),MATCH(COLUMNS($U$1006:Z1006),$U$1006:$AC$1006,0)), HYPERLINK("#",""), HYPERLINK(CONCATENATE("#metadata!", ADDRESS(INDEX($P$2:$P$1001,MATCH(ROWS($N$2:N941),$N$2:$N$1001,0),0), INDEX($U$1004:$AC$1004,1,MATCH(COLUMNS($U$1006:Z1006),$U$1006:$AC$1006,0)))),"Fix")))</f>
        <v>0</v>
      </c>
      <c r="H941" s="3">
        <f>IF(OR(INDEX($O$2:$O$1001,MATCH(ROWS($N$2:N941),$N$2:$N$1001,0),1)&gt;=100000,INDEX($U$1005:$AC$1005,1,MATCH(COLUMNS($U$1006:AA1006),$U$1006:$AC$1006,0))&gt;=100000), " ",IF(INDEX($U$2:$AC$1001,MATCH(ROWS($N$2:N941),$N$2:$N$1001,0),MATCH(COLUMNS($U$1006:AA1006),$U$1006:$AC$1006,0)), HYPERLINK("#",""), HYPERLINK(CONCATENATE("#metadata!", ADDRESS(INDEX($P$2:$P$1001,MATCH(ROWS($N$2:N941),$N$2:$N$1001,0),0), INDEX($U$1004:$AC$1004,1,MATCH(COLUMNS($U$1006:AA1006),$U$1006:$AC$1006,0)))),"Fix")))</f>
        <v>0</v>
      </c>
      <c r="I941" s="3">
        <f>IF(OR(INDEX($O$2:$O$1001,MATCH(ROWS($N$2:N941),$N$2:$N$1001,0),1)&gt;=100000,INDEX($U$1005:$AC$1005,1,MATCH(COLUMNS($U$1006:AB1006),$U$1006:$AC$1006,0))&gt;=100000), " ",IF(INDEX($U$2:$AC$1001,MATCH(ROWS($N$2:N941),$N$2:$N$1001,0),MATCH(COLUMNS($U$1006:AB1006),$U$1006:$AC$1006,0)), HYPERLINK("#",""), HYPERLINK(CONCATENATE("#metadata!", ADDRESS(INDEX($P$2:$P$1001,MATCH(ROWS($N$2:N941),$N$2:$N$1001,0),0), INDEX($U$1004:$AC$1004,1,MATCH(COLUMNS($U$1006:AB1006),$U$1006:$AC$1006,0)))),"Fix")))</f>
        <v>0</v>
      </c>
      <c r="J941" s="3">
        <f>IF(OR(INDEX($O$2:$O$1001,MATCH(ROWS($N$2:N941),$N$2:$N$1001,0),1)&gt;=100000,INDEX($U$1005:$AC$1005,1,MATCH(COLUMNS($U$1006:AC1006),$U$1006:$AC$1006,0))&gt;=100000), " ",IF(INDEX($U$2:$AC$1001,MATCH(ROWS($N$2:N941),$N$2:$N$1001,0),MATCH(COLUMNS($U$1006:AC1006),$U$1006:$AC$1006,0)), HYPERLINK("#",""), HYPERLINK(CONCATENATE("#metadata!", ADDRESS(INDEX($P$2:$P$1001,MATCH(ROWS($N$2:N941),$N$2:$N$1001,0),0), INDEX($U$1004:$AC$1004,1,MATCH(COLUMNS($U$1006:AC1006),$U$1006:$AC$1006,0)))),"Fix")))</f>
        <v>0</v>
      </c>
      <c r="N941">
        <v>0</v>
      </c>
      <c r="O941">
        <v>0</v>
      </c>
      <c r="P941">
        <v>0</v>
      </c>
      <c r="Q941">
        <f>IF(R941,TRUE,AND(U941:AC941))</f>
        <v>0</v>
      </c>
      <c r="R941">
        <f>COUNTBLANK(metadata!B941:J941)=COLUMNS(metadata!B941:J941)</f>
        <v>0</v>
      </c>
      <c r="S941">
        <v>0</v>
      </c>
      <c r="U941">
        <f>AND(IF(metadata!B941="",FALSE,TRUE),COUNTIF(metadata!B:B, metadata!B941) = 1,NOT(ISERROR(SUMPRODUCT(SEARCH(MID(metadata!B941,ROW(INDIRECT("1:"&amp;LEN(metadata!B941))), 1),"0123456789abcdefghijklmnopqrstuvwxyzABCDEFGHIJKLMNOPQRSTUVWXYZ.")))))</f>
        <v>0</v>
      </c>
      <c r="V941">
        <f>AND(IF(metadata!C941="",FALSE,TRUE),exact(metadata!C941,"UBERON:genitourinary"))</f>
        <v>0</v>
      </c>
      <c r="W941">
        <f>AND(IF(metadata!D941="",FALSE,TRUE),exact(metadata!D941,"UBERON:urine"))</f>
        <v>0</v>
      </c>
      <c r="X941">
        <f>AND(IF(metadata!E941="",FALSE,TRUE),exact(metadata!E941,"UBERON:kidney"))</f>
        <v>0</v>
      </c>
      <c r="Y941">
        <f>AND(IF(metadata!F941="",FALSE,TRUE),exact(metadata!F941,"animal corpus"))</f>
        <v>0</v>
      </c>
      <c r="Z941">
        <f>AND(IF(metadata!G941="",FALSE,TRUE),exact(metadata!G941,"urine"))</f>
        <v>0</v>
      </c>
      <c r="AA941">
        <f>AND(IF(metadata!H941="",FALSE,TRUE),exact(metadata!H941,"urine"))</f>
        <v>0</v>
      </c>
      <c r="AB941">
        <f>AND(IF(metadata!I941="",FALSE,TRUE),exact(metadata!I941,"urine metagenome"))</f>
        <v>0</v>
      </c>
      <c r="AC941">
        <f>AND(IF(metadata!J941="",FALSE,TRUE),exact(metadata!J941,"1346744"))</f>
        <v>0</v>
      </c>
    </row>
    <row r="942" spans="1:29">
      <c r="A942" s="4">
        <f>IF(B942=" "," ",HYPERLINK(CONCATENATE("#metadata!",ADDRESS(INDEX($P$2:$P$1001,MATCH(ROWS($N$2:N942),$N$2:$N$1001,0),0),1)),INDEX($S$2:$S$1001,MATCH(ROWS($N$2:N942),$N$2:$N$1001,0),0)))</f>
        <v>0</v>
      </c>
      <c r="B942" s="3">
        <f>IF(OR(INDEX($O$2:$O$1001,MATCH(ROWS($N$2:N942),$N$2:$N$1001,0),1)&gt;=100000,INDEX($U$1005:$AC$1005,1,MATCH(COLUMNS($U$1006:U1006),$U$1006:$AC$1006,0))&gt;=100000), " ",IF(INDEX($U$2:$AC$1001,MATCH(ROWS($N$2:N942),$N$2:$N$1001,0),MATCH(COLUMNS($U$1006:U1006),$U$1006:$AC$1006,0)), HYPERLINK("#",""), HYPERLINK(CONCATENATE("#metadata!", ADDRESS(INDEX($P$2:$P$1001,MATCH(ROWS($N$2:N942),$N$2:$N$1001,0),0), INDEX($U$1004:$AC$1004,1,MATCH(COLUMNS($U$1006:U1006),$U$1006:$AC$1006,0)))),"Fix")))</f>
        <v>0</v>
      </c>
      <c r="C942" s="3">
        <f>IF(OR(INDEX($O$2:$O$1001,MATCH(ROWS($N$2:N942),$N$2:$N$1001,0),1)&gt;=100000,INDEX($U$1005:$AC$1005,1,MATCH(COLUMNS($U$1006:V1006),$U$1006:$AC$1006,0))&gt;=100000), " ",IF(INDEX($U$2:$AC$1001,MATCH(ROWS($N$2:N942),$N$2:$N$1001,0),MATCH(COLUMNS($U$1006:V1006),$U$1006:$AC$1006,0)), HYPERLINK("#",""), HYPERLINK(CONCATENATE("#metadata!", ADDRESS(INDEX($P$2:$P$1001,MATCH(ROWS($N$2:N942),$N$2:$N$1001,0),0), INDEX($U$1004:$AC$1004,1,MATCH(COLUMNS($U$1006:V1006),$U$1006:$AC$1006,0)))),"Fix")))</f>
        <v>0</v>
      </c>
      <c r="D942" s="3">
        <f>IF(OR(INDEX($O$2:$O$1001,MATCH(ROWS($N$2:N942),$N$2:$N$1001,0),1)&gt;=100000,INDEX($U$1005:$AC$1005,1,MATCH(COLUMNS($U$1006:W1006),$U$1006:$AC$1006,0))&gt;=100000), " ",IF(INDEX($U$2:$AC$1001,MATCH(ROWS($N$2:N942),$N$2:$N$1001,0),MATCH(COLUMNS($U$1006:W1006),$U$1006:$AC$1006,0)), HYPERLINK("#",""), HYPERLINK(CONCATENATE("#metadata!", ADDRESS(INDEX($P$2:$P$1001,MATCH(ROWS($N$2:N942),$N$2:$N$1001,0),0), INDEX($U$1004:$AC$1004,1,MATCH(COLUMNS($U$1006:W1006),$U$1006:$AC$1006,0)))),"Fix")))</f>
        <v>0</v>
      </c>
      <c r="E942" s="3">
        <f>IF(OR(INDEX($O$2:$O$1001,MATCH(ROWS($N$2:N942),$N$2:$N$1001,0),1)&gt;=100000,INDEX($U$1005:$AC$1005,1,MATCH(COLUMNS($U$1006:X1006),$U$1006:$AC$1006,0))&gt;=100000), " ",IF(INDEX($U$2:$AC$1001,MATCH(ROWS($N$2:N942),$N$2:$N$1001,0),MATCH(COLUMNS($U$1006:X1006),$U$1006:$AC$1006,0)), HYPERLINK("#",""), HYPERLINK(CONCATENATE("#metadata!", ADDRESS(INDEX($P$2:$P$1001,MATCH(ROWS($N$2:N942),$N$2:$N$1001,0),0), INDEX($U$1004:$AC$1004,1,MATCH(COLUMNS($U$1006:X1006),$U$1006:$AC$1006,0)))),"Fix")))</f>
        <v>0</v>
      </c>
      <c r="F942" s="3">
        <f>IF(OR(INDEX($O$2:$O$1001,MATCH(ROWS($N$2:N942),$N$2:$N$1001,0),1)&gt;=100000,INDEX($U$1005:$AC$1005,1,MATCH(COLUMNS($U$1006:Y1006),$U$1006:$AC$1006,0))&gt;=100000), " ",IF(INDEX($U$2:$AC$1001,MATCH(ROWS($N$2:N942),$N$2:$N$1001,0),MATCH(COLUMNS($U$1006:Y1006),$U$1006:$AC$1006,0)), HYPERLINK("#",""), HYPERLINK(CONCATENATE("#metadata!", ADDRESS(INDEX($P$2:$P$1001,MATCH(ROWS($N$2:N942),$N$2:$N$1001,0),0), INDEX($U$1004:$AC$1004,1,MATCH(COLUMNS($U$1006:Y1006),$U$1006:$AC$1006,0)))),"Fix")))</f>
        <v>0</v>
      </c>
      <c r="G942" s="3">
        <f>IF(OR(INDEX($O$2:$O$1001,MATCH(ROWS($N$2:N942),$N$2:$N$1001,0),1)&gt;=100000,INDEX($U$1005:$AC$1005,1,MATCH(COLUMNS($U$1006:Z1006),$U$1006:$AC$1006,0))&gt;=100000), " ",IF(INDEX($U$2:$AC$1001,MATCH(ROWS($N$2:N942),$N$2:$N$1001,0),MATCH(COLUMNS($U$1006:Z1006),$U$1006:$AC$1006,0)), HYPERLINK("#",""), HYPERLINK(CONCATENATE("#metadata!", ADDRESS(INDEX($P$2:$P$1001,MATCH(ROWS($N$2:N942),$N$2:$N$1001,0),0), INDEX($U$1004:$AC$1004,1,MATCH(COLUMNS($U$1006:Z1006),$U$1006:$AC$1006,0)))),"Fix")))</f>
        <v>0</v>
      </c>
      <c r="H942" s="3">
        <f>IF(OR(INDEX($O$2:$O$1001,MATCH(ROWS($N$2:N942),$N$2:$N$1001,0),1)&gt;=100000,INDEX($U$1005:$AC$1005,1,MATCH(COLUMNS($U$1006:AA1006),$U$1006:$AC$1006,0))&gt;=100000), " ",IF(INDEX($U$2:$AC$1001,MATCH(ROWS($N$2:N942),$N$2:$N$1001,0),MATCH(COLUMNS($U$1006:AA1006),$U$1006:$AC$1006,0)), HYPERLINK("#",""), HYPERLINK(CONCATENATE("#metadata!", ADDRESS(INDEX($P$2:$P$1001,MATCH(ROWS($N$2:N942),$N$2:$N$1001,0),0), INDEX($U$1004:$AC$1004,1,MATCH(COLUMNS($U$1006:AA1006),$U$1006:$AC$1006,0)))),"Fix")))</f>
        <v>0</v>
      </c>
      <c r="I942" s="3">
        <f>IF(OR(INDEX($O$2:$O$1001,MATCH(ROWS($N$2:N942),$N$2:$N$1001,0),1)&gt;=100000,INDEX($U$1005:$AC$1005,1,MATCH(COLUMNS($U$1006:AB1006),$U$1006:$AC$1006,0))&gt;=100000), " ",IF(INDEX($U$2:$AC$1001,MATCH(ROWS($N$2:N942),$N$2:$N$1001,0),MATCH(COLUMNS($U$1006:AB1006),$U$1006:$AC$1006,0)), HYPERLINK("#",""), HYPERLINK(CONCATENATE("#metadata!", ADDRESS(INDEX($P$2:$P$1001,MATCH(ROWS($N$2:N942),$N$2:$N$1001,0),0), INDEX($U$1004:$AC$1004,1,MATCH(COLUMNS($U$1006:AB1006),$U$1006:$AC$1006,0)))),"Fix")))</f>
        <v>0</v>
      </c>
      <c r="J942" s="3">
        <f>IF(OR(INDEX($O$2:$O$1001,MATCH(ROWS($N$2:N942),$N$2:$N$1001,0),1)&gt;=100000,INDEX($U$1005:$AC$1005,1,MATCH(COLUMNS($U$1006:AC1006),$U$1006:$AC$1006,0))&gt;=100000), " ",IF(INDEX($U$2:$AC$1001,MATCH(ROWS($N$2:N942),$N$2:$N$1001,0),MATCH(COLUMNS($U$1006:AC1006),$U$1006:$AC$1006,0)), HYPERLINK("#",""), HYPERLINK(CONCATENATE("#metadata!", ADDRESS(INDEX($P$2:$P$1001,MATCH(ROWS($N$2:N942),$N$2:$N$1001,0),0), INDEX($U$1004:$AC$1004,1,MATCH(COLUMNS($U$1006:AC1006),$U$1006:$AC$1006,0)))),"Fix")))</f>
        <v>0</v>
      </c>
      <c r="N942">
        <v>0</v>
      </c>
      <c r="O942">
        <v>0</v>
      </c>
      <c r="P942">
        <v>0</v>
      </c>
      <c r="Q942">
        <f>IF(R942,TRUE,AND(U942:AC942))</f>
        <v>0</v>
      </c>
      <c r="R942">
        <f>COUNTBLANK(metadata!B942:J942)=COLUMNS(metadata!B942:J942)</f>
        <v>0</v>
      </c>
      <c r="S942">
        <v>0</v>
      </c>
      <c r="U942">
        <f>AND(IF(metadata!B942="",FALSE,TRUE),COUNTIF(metadata!B:B, metadata!B942) = 1,NOT(ISERROR(SUMPRODUCT(SEARCH(MID(metadata!B942,ROW(INDIRECT("1:"&amp;LEN(metadata!B942))), 1),"0123456789abcdefghijklmnopqrstuvwxyzABCDEFGHIJKLMNOPQRSTUVWXYZ.")))))</f>
        <v>0</v>
      </c>
      <c r="V942">
        <f>AND(IF(metadata!C942="",FALSE,TRUE),exact(metadata!C942,"UBERON:genitourinary"))</f>
        <v>0</v>
      </c>
      <c r="W942">
        <f>AND(IF(metadata!D942="",FALSE,TRUE),exact(metadata!D942,"UBERON:urine"))</f>
        <v>0</v>
      </c>
      <c r="X942">
        <f>AND(IF(metadata!E942="",FALSE,TRUE),exact(metadata!E942,"UBERON:kidney"))</f>
        <v>0</v>
      </c>
      <c r="Y942">
        <f>AND(IF(metadata!F942="",FALSE,TRUE),exact(metadata!F942,"animal corpus"))</f>
        <v>0</v>
      </c>
      <c r="Z942">
        <f>AND(IF(metadata!G942="",FALSE,TRUE),exact(metadata!G942,"urine"))</f>
        <v>0</v>
      </c>
      <c r="AA942">
        <f>AND(IF(metadata!H942="",FALSE,TRUE),exact(metadata!H942,"urine"))</f>
        <v>0</v>
      </c>
      <c r="AB942">
        <f>AND(IF(metadata!I942="",FALSE,TRUE),exact(metadata!I942,"urine metagenome"))</f>
        <v>0</v>
      </c>
      <c r="AC942">
        <f>AND(IF(metadata!J942="",FALSE,TRUE),exact(metadata!J942,"1346744"))</f>
        <v>0</v>
      </c>
    </row>
    <row r="943" spans="1:29">
      <c r="A943" s="4">
        <f>IF(B943=" "," ",HYPERLINK(CONCATENATE("#metadata!",ADDRESS(INDEX($P$2:$P$1001,MATCH(ROWS($N$2:N943),$N$2:$N$1001,0),0),1)),INDEX($S$2:$S$1001,MATCH(ROWS($N$2:N943),$N$2:$N$1001,0),0)))</f>
        <v>0</v>
      </c>
      <c r="B943" s="3">
        <f>IF(OR(INDEX($O$2:$O$1001,MATCH(ROWS($N$2:N943),$N$2:$N$1001,0),1)&gt;=100000,INDEX($U$1005:$AC$1005,1,MATCH(COLUMNS($U$1006:U1006),$U$1006:$AC$1006,0))&gt;=100000), " ",IF(INDEX($U$2:$AC$1001,MATCH(ROWS($N$2:N943),$N$2:$N$1001,0),MATCH(COLUMNS($U$1006:U1006),$U$1006:$AC$1006,0)), HYPERLINK("#",""), HYPERLINK(CONCATENATE("#metadata!", ADDRESS(INDEX($P$2:$P$1001,MATCH(ROWS($N$2:N943),$N$2:$N$1001,0),0), INDEX($U$1004:$AC$1004,1,MATCH(COLUMNS($U$1006:U1006),$U$1006:$AC$1006,0)))),"Fix")))</f>
        <v>0</v>
      </c>
      <c r="C943" s="3">
        <f>IF(OR(INDEX($O$2:$O$1001,MATCH(ROWS($N$2:N943),$N$2:$N$1001,0),1)&gt;=100000,INDEX($U$1005:$AC$1005,1,MATCH(COLUMNS($U$1006:V1006),$U$1006:$AC$1006,0))&gt;=100000), " ",IF(INDEX($U$2:$AC$1001,MATCH(ROWS($N$2:N943),$N$2:$N$1001,0),MATCH(COLUMNS($U$1006:V1006),$U$1006:$AC$1006,0)), HYPERLINK("#",""), HYPERLINK(CONCATENATE("#metadata!", ADDRESS(INDEX($P$2:$P$1001,MATCH(ROWS($N$2:N943),$N$2:$N$1001,0),0), INDEX($U$1004:$AC$1004,1,MATCH(COLUMNS($U$1006:V1006),$U$1006:$AC$1006,0)))),"Fix")))</f>
        <v>0</v>
      </c>
      <c r="D943" s="3">
        <f>IF(OR(INDEX($O$2:$O$1001,MATCH(ROWS($N$2:N943),$N$2:$N$1001,0),1)&gt;=100000,INDEX($U$1005:$AC$1005,1,MATCH(COLUMNS($U$1006:W1006),$U$1006:$AC$1006,0))&gt;=100000), " ",IF(INDEX($U$2:$AC$1001,MATCH(ROWS($N$2:N943),$N$2:$N$1001,0),MATCH(COLUMNS($U$1006:W1006),$U$1006:$AC$1006,0)), HYPERLINK("#",""), HYPERLINK(CONCATENATE("#metadata!", ADDRESS(INDEX($P$2:$P$1001,MATCH(ROWS($N$2:N943),$N$2:$N$1001,0),0), INDEX($U$1004:$AC$1004,1,MATCH(COLUMNS($U$1006:W1006),$U$1006:$AC$1006,0)))),"Fix")))</f>
        <v>0</v>
      </c>
      <c r="E943" s="3">
        <f>IF(OR(INDEX($O$2:$O$1001,MATCH(ROWS($N$2:N943),$N$2:$N$1001,0),1)&gt;=100000,INDEX($U$1005:$AC$1005,1,MATCH(COLUMNS($U$1006:X1006),$U$1006:$AC$1006,0))&gt;=100000), " ",IF(INDEX($U$2:$AC$1001,MATCH(ROWS($N$2:N943),$N$2:$N$1001,0),MATCH(COLUMNS($U$1006:X1006),$U$1006:$AC$1006,0)), HYPERLINK("#",""), HYPERLINK(CONCATENATE("#metadata!", ADDRESS(INDEX($P$2:$P$1001,MATCH(ROWS($N$2:N943),$N$2:$N$1001,0),0), INDEX($U$1004:$AC$1004,1,MATCH(COLUMNS($U$1006:X1006),$U$1006:$AC$1006,0)))),"Fix")))</f>
        <v>0</v>
      </c>
      <c r="F943" s="3">
        <f>IF(OR(INDEX($O$2:$O$1001,MATCH(ROWS($N$2:N943),$N$2:$N$1001,0),1)&gt;=100000,INDEX($U$1005:$AC$1005,1,MATCH(COLUMNS($U$1006:Y1006),$U$1006:$AC$1006,0))&gt;=100000), " ",IF(INDEX($U$2:$AC$1001,MATCH(ROWS($N$2:N943),$N$2:$N$1001,0),MATCH(COLUMNS($U$1006:Y1006),$U$1006:$AC$1006,0)), HYPERLINK("#",""), HYPERLINK(CONCATENATE("#metadata!", ADDRESS(INDEX($P$2:$P$1001,MATCH(ROWS($N$2:N943),$N$2:$N$1001,0),0), INDEX($U$1004:$AC$1004,1,MATCH(COLUMNS($U$1006:Y1006),$U$1006:$AC$1006,0)))),"Fix")))</f>
        <v>0</v>
      </c>
      <c r="G943" s="3">
        <f>IF(OR(INDEX($O$2:$O$1001,MATCH(ROWS($N$2:N943),$N$2:$N$1001,0),1)&gt;=100000,INDEX($U$1005:$AC$1005,1,MATCH(COLUMNS($U$1006:Z1006),$U$1006:$AC$1006,0))&gt;=100000), " ",IF(INDEX($U$2:$AC$1001,MATCH(ROWS($N$2:N943),$N$2:$N$1001,0),MATCH(COLUMNS($U$1006:Z1006),$U$1006:$AC$1006,0)), HYPERLINK("#",""), HYPERLINK(CONCATENATE("#metadata!", ADDRESS(INDEX($P$2:$P$1001,MATCH(ROWS($N$2:N943),$N$2:$N$1001,0),0), INDEX($U$1004:$AC$1004,1,MATCH(COLUMNS($U$1006:Z1006),$U$1006:$AC$1006,0)))),"Fix")))</f>
        <v>0</v>
      </c>
      <c r="H943" s="3">
        <f>IF(OR(INDEX($O$2:$O$1001,MATCH(ROWS($N$2:N943),$N$2:$N$1001,0),1)&gt;=100000,INDEX($U$1005:$AC$1005,1,MATCH(COLUMNS($U$1006:AA1006),$U$1006:$AC$1006,0))&gt;=100000), " ",IF(INDEX($U$2:$AC$1001,MATCH(ROWS($N$2:N943),$N$2:$N$1001,0),MATCH(COLUMNS($U$1006:AA1006),$U$1006:$AC$1006,0)), HYPERLINK("#",""), HYPERLINK(CONCATENATE("#metadata!", ADDRESS(INDEX($P$2:$P$1001,MATCH(ROWS($N$2:N943),$N$2:$N$1001,0),0), INDEX($U$1004:$AC$1004,1,MATCH(COLUMNS($U$1006:AA1006),$U$1006:$AC$1006,0)))),"Fix")))</f>
        <v>0</v>
      </c>
      <c r="I943" s="3">
        <f>IF(OR(INDEX($O$2:$O$1001,MATCH(ROWS($N$2:N943),$N$2:$N$1001,0),1)&gt;=100000,INDEX($U$1005:$AC$1005,1,MATCH(COLUMNS($U$1006:AB1006),$U$1006:$AC$1006,0))&gt;=100000), " ",IF(INDEX($U$2:$AC$1001,MATCH(ROWS($N$2:N943),$N$2:$N$1001,0),MATCH(COLUMNS($U$1006:AB1006),$U$1006:$AC$1006,0)), HYPERLINK("#",""), HYPERLINK(CONCATENATE("#metadata!", ADDRESS(INDEX($P$2:$P$1001,MATCH(ROWS($N$2:N943),$N$2:$N$1001,0),0), INDEX($U$1004:$AC$1004,1,MATCH(COLUMNS($U$1006:AB1006),$U$1006:$AC$1006,0)))),"Fix")))</f>
        <v>0</v>
      </c>
      <c r="J943" s="3">
        <f>IF(OR(INDEX($O$2:$O$1001,MATCH(ROWS($N$2:N943),$N$2:$N$1001,0),1)&gt;=100000,INDEX($U$1005:$AC$1005,1,MATCH(COLUMNS($U$1006:AC1006),$U$1006:$AC$1006,0))&gt;=100000), " ",IF(INDEX($U$2:$AC$1001,MATCH(ROWS($N$2:N943),$N$2:$N$1001,0),MATCH(COLUMNS($U$1006:AC1006),$U$1006:$AC$1006,0)), HYPERLINK("#",""), HYPERLINK(CONCATENATE("#metadata!", ADDRESS(INDEX($P$2:$P$1001,MATCH(ROWS($N$2:N943),$N$2:$N$1001,0),0), INDEX($U$1004:$AC$1004,1,MATCH(COLUMNS($U$1006:AC1006),$U$1006:$AC$1006,0)))),"Fix")))</f>
        <v>0</v>
      </c>
      <c r="N943">
        <v>0</v>
      </c>
      <c r="O943">
        <v>0</v>
      </c>
      <c r="P943">
        <v>0</v>
      </c>
      <c r="Q943">
        <f>IF(R943,TRUE,AND(U943:AC943))</f>
        <v>0</v>
      </c>
      <c r="R943">
        <f>COUNTBLANK(metadata!B943:J943)=COLUMNS(metadata!B943:J943)</f>
        <v>0</v>
      </c>
      <c r="S943">
        <v>0</v>
      </c>
      <c r="U943">
        <f>AND(IF(metadata!B943="",FALSE,TRUE),COUNTIF(metadata!B:B, metadata!B943) = 1,NOT(ISERROR(SUMPRODUCT(SEARCH(MID(metadata!B943,ROW(INDIRECT("1:"&amp;LEN(metadata!B943))), 1),"0123456789abcdefghijklmnopqrstuvwxyzABCDEFGHIJKLMNOPQRSTUVWXYZ.")))))</f>
        <v>0</v>
      </c>
      <c r="V943">
        <f>AND(IF(metadata!C943="",FALSE,TRUE),exact(metadata!C943,"UBERON:genitourinary"))</f>
        <v>0</v>
      </c>
      <c r="W943">
        <f>AND(IF(metadata!D943="",FALSE,TRUE),exact(metadata!D943,"UBERON:urine"))</f>
        <v>0</v>
      </c>
      <c r="X943">
        <f>AND(IF(metadata!E943="",FALSE,TRUE),exact(metadata!E943,"UBERON:kidney"))</f>
        <v>0</v>
      </c>
      <c r="Y943">
        <f>AND(IF(metadata!F943="",FALSE,TRUE),exact(metadata!F943,"animal corpus"))</f>
        <v>0</v>
      </c>
      <c r="Z943">
        <f>AND(IF(metadata!G943="",FALSE,TRUE),exact(metadata!G943,"urine"))</f>
        <v>0</v>
      </c>
      <c r="AA943">
        <f>AND(IF(metadata!H943="",FALSE,TRUE),exact(metadata!H943,"urine"))</f>
        <v>0</v>
      </c>
      <c r="AB943">
        <f>AND(IF(metadata!I943="",FALSE,TRUE),exact(metadata!I943,"urine metagenome"))</f>
        <v>0</v>
      </c>
      <c r="AC943">
        <f>AND(IF(metadata!J943="",FALSE,TRUE),exact(metadata!J943,"1346744"))</f>
        <v>0</v>
      </c>
    </row>
    <row r="944" spans="1:29">
      <c r="A944" s="4">
        <f>IF(B944=" "," ",HYPERLINK(CONCATENATE("#metadata!",ADDRESS(INDEX($P$2:$P$1001,MATCH(ROWS($N$2:N944),$N$2:$N$1001,0),0),1)),INDEX($S$2:$S$1001,MATCH(ROWS($N$2:N944),$N$2:$N$1001,0),0)))</f>
        <v>0</v>
      </c>
      <c r="B944" s="3">
        <f>IF(OR(INDEX($O$2:$O$1001,MATCH(ROWS($N$2:N944),$N$2:$N$1001,0),1)&gt;=100000,INDEX($U$1005:$AC$1005,1,MATCH(COLUMNS($U$1006:U1006),$U$1006:$AC$1006,0))&gt;=100000), " ",IF(INDEX($U$2:$AC$1001,MATCH(ROWS($N$2:N944),$N$2:$N$1001,0),MATCH(COLUMNS($U$1006:U1006),$U$1006:$AC$1006,0)), HYPERLINK("#",""), HYPERLINK(CONCATENATE("#metadata!", ADDRESS(INDEX($P$2:$P$1001,MATCH(ROWS($N$2:N944),$N$2:$N$1001,0),0), INDEX($U$1004:$AC$1004,1,MATCH(COLUMNS($U$1006:U1006),$U$1006:$AC$1006,0)))),"Fix")))</f>
        <v>0</v>
      </c>
      <c r="C944" s="3">
        <f>IF(OR(INDEX($O$2:$O$1001,MATCH(ROWS($N$2:N944),$N$2:$N$1001,0),1)&gt;=100000,INDEX($U$1005:$AC$1005,1,MATCH(COLUMNS($U$1006:V1006),$U$1006:$AC$1006,0))&gt;=100000), " ",IF(INDEX($U$2:$AC$1001,MATCH(ROWS($N$2:N944),$N$2:$N$1001,0),MATCH(COLUMNS($U$1006:V1006),$U$1006:$AC$1006,0)), HYPERLINK("#",""), HYPERLINK(CONCATENATE("#metadata!", ADDRESS(INDEX($P$2:$P$1001,MATCH(ROWS($N$2:N944),$N$2:$N$1001,0),0), INDEX($U$1004:$AC$1004,1,MATCH(COLUMNS($U$1006:V1006),$U$1006:$AC$1006,0)))),"Fix")))</f>
        <v>0</v>
      </c>
      <c r="D944" s="3">
        <f>IF(OR(INDEX($O$2:$O$1001,MATCH(ROWS($N$2:N944),$N$2:$N$1001,0),1)&gt;=100000,INDEX($U$1005:$AC$1005,1,MATCH(COLUMNS($U$1006:W1006),$U$1006:$AC$1006,0))&gt;=100000), " ",IF(INDEX($U$2:$AC$1001,MATCH(ROWS($N$2:N944),$N$2:$N$1001,0),MATCH(COLUMNS($U$1006:W1006),$U$1006:$AC$1006,0)), HYPERLINK("#",""), HYPERLINK(CONCATENATE("#metadata!", ADDRESS(INDEX($P$2:$P$1001,MATCH(ROWS($N$2:N944),$N$2:$N$1001,0),0), INDEX($U$1004:$AC$1004,1,MATCH(COLUMNS($U$1006:W1006),$U$1006:$AC$1006,0)))),"Fix")))</f>
        <v>0</v>
      </c>
      <c r="E944" s="3">
        <f>IF(OR(INDEX($O$2:$O$1001,MATCH(ROWS($N$2:N944),$N$2:$N$1001,0),1)&gt;=100000,INDEX($U$1005:$AC$1005,1,MATCH(COLUMNS($U$1006:X1006),$U$1006:$AC$1006,0))&gt;=100000), " ",IF(INDEX($U$2:$AC$1001,MATCH(ROWS($N$2:N944),$N$2:$N$1001,0),MATCH(COLUMNS($U$1006:X1006),$U$1006:$AC$1006,0)), HYPERLINK("#",""), HYPERLINK(CONCATENATE("#metadata!", ADDRESS(INDEX($P$2:$P$1001,MATCH(ROWS($N$2:N944),$N$2:$N$1001,0),0), INDEX($U$1004:$AC$1004,1,MATCH(COLUMNS($U$1006:X1006),$U$1006:$AC$1006,0)))),"Fix")))</f>
        <v>0</v>
      </c>
      <c r="F944" s="3">
        <f>IF(OR(INDEX($O$2:$O$1001,MATCH(ROWS($N$2:N944),$N$2:$N$1001,0),1)&gt;=100000,INDEX($U$1005:$AC$1005,1,MATCH(COLUMNS($U$1006:Y1006),$U$1006:$AC$1006,0))&gt;=100000), " ",IF(INDEX($U$2:$AC$1001,MATCH(ROWS($N$2:N944),$N$2:$N$1001,0),MATCH(COLUMNS($U$1006:Y1006),$U$1006:$AC$1006,0)), HYPERLINK("#",""), HYPERLINK(CONCATENATE("#metadata!", ADDRESS(INDEX($P$2:$P$1001,MATCH(ROWS($N$2:N944),$N$2:$N$1001,0),0), INDEX($U$1004:$AC$1004,1,MATCH(COLUMNS($U$1006:Y1006),$U$1006:$AC$1006,0)))),"Fix")))</f>
        <v>0</v>
      </c>
      <c r="G944" s="3">
        <f>IF(OR(INDEX($O$2:$O$1001,MATCH(ROWS($N$2:N944),$N$2:$N$1001,0),1)&gt;=100000,INDEX($U$1005:$AC$1005,1,MATCH(COLUMNS($U$1006:Z1006),$U$1006:$AC$1006,0))&gt;=100000), " ",IF(INDEX($U$2:$AC$1001,MATCH(ROWS($N$2:N944),$N$2:$N$1001,0),MATCH(COLUMNS($U$1006:Z1006),$U$1006:$AC$1006,0)), HYPERLINK("#",""), HYPERLINK(CONCATENATE("#metadata!", ADDRESS(INDEX($P$2:$P$1001,MATCH(ROWS($N$2:N944),$N$2:$N$1001,0),0), INDEX($U$1004:$AC$1004,1,MATCH(COLUMNS($U$1006:Z1006),$U$1006:$AC$1006,0)))),"Fix")))</f>
        <v>0</v>
      </c>
      <c r="H944" s="3">
        <f>IF(OR(INDEX($O$2:$O$1001,MATCH(ROWS($N$2:N944),$N$2:$N$1001,0),1)&gt;=100000,INDEX($U$1005:$AC$1005,1,MATCH(COLUMNS($U$1006:AA1006),$U$1006:$AC$1006,0))&gt;=100000), " ",IF(INDEX($U$2:$AC$1001,MATCH(ROWS($N$2:N944),$N$2:$N$1001,0),MATCH(COLUMNS($U$1006:AA1006),$U$1006:$AC$1006,0)), HYPERLINK("#",""), HYPERLINK(CONCATENATE("#metadata!", ADDRESS(INDEX($P$2:$P$1001,MATCH(ROWS($N$2:N944),$N$2:$N$1001,0),0), INDEX($U$1004:$AC$1004,1,MATCH(COLUMNS($U$1006:AA1006),$U$1006:$AC$1006,0)))),"Fix")))</f>
        <v>0</v>
      </c>
      <c r="I944" s="3">
        <f>IF(OR(INDEX($O$2:$O$1001,MATCH(ROWS($N$2:N944),$N$2:$N$1001,0),1)&gt;=100000,INDEX($U$1005:$AC$1005,1,MATCH(COLUMNS($U$1006:AB1006),$U$1006:$AC$1006,0))&gt;=100000), " ",IF(INDEX($U$2:$AC$1001,MATCH(ROWS($N$2:N944),$N$2:$N$1001,0),MATCH(COLUMNS($U$1006:AB1006),$U$1006:$AC$1006,0)), HYPERLINK("#",""), HYPERLINK(CONCATENATE("#metadata!", ADDRESS(INDEX($P$2:$P$1001,MATCH(ROWS($N$2:N944),$N$2:$N$1001,0),0), INDEX($U$1004:$AC$1004,1,MATCH(COLUMNS($U$1006:AB1006),$U$1006:$AC$1006,0)))),"Fix")))</f>
        <v>0</v>
      </c>
      <c r="J944" s="3">
        <f>IF(OR(INDEX($O$2:$O$1001,MATCH(ROWS($N$2:N944),$N$2:$N$1001,0),1)&gt;=100000,INDEX($U$1005:$AC$1005,1,MATCH(COLUMNS($U$1006:AC1006),$U$1006:$AC$1006,0))&gt;=100000), " ",IF(INDEX($U$2:$AC$1001,MATCH(ROWS($N$2:N944),$N$2:$N$1001,0),MATCH(COLUMNS($U$1006:AC1006),$U$1006:$AC$1006,0)), HYPERLINK("#",""), HYPERLINK(CONCATENATE("#metadata!", ADDRESS(INDEX($P$2:$P$1001,MATCH(ROWS($N$2:N944),$N$2:$N$1001,0),0), INDEX($U$1004:$AC$1004,1,MATCH(COLUMNS($U$1006:AC1006),$U$1006:$AC$1006,0)))),"Fix")))</f>
        <v>0</v>
      </c>
      <c r="N944">
        <v>0</v>
      </c>
      <c r="O944">
        <v>0</v>
      </c>
      <c r="P944">
        <v>0</v>
      </c>
      <c r="Q944">
        <f>IF(R944,TRUE,AND(U944:AC944))</f>
        <v>0</v>
      </c>
      <c r="R944">
        <f>COUNTBLANK(metadata!B944:J944)=COLUMNS(metadata!B944:J944)</f>
        <v>0</v>
      </c>
      <c r="S944">
        <v>0</v>
      </c>
      <c r="U944">
        <f>AND(IF(metadata!B944="",FALSE,TRUE),COUNTIF(metadata!B:B, metadata!B944) = 1,NOT(ISERROR(SUMPRODUCT(SEARCH(MID(metadata!B944,ROW(INDIRECT("1:"&amp;LEN(metadata!B944))), 1),"0123456789abcdefghijklmnopqrstuvwxyzABCDEFGHIJKLMNOPQRSTUVWXYZ.")))))</f>
        <v>0</v>
      </c>
      <c r="V944">
        <f>AND(IF(metadata!C944="",FALSE,TRUE),exact(metadata!C944,"UBERON:genitourinary"))</f>
        <v>0</v>
      </c>
      <c r="W944">
        <f>AND(IF(metadata!D944="",FALSE,TRUE),exact(metadata!D944,"UBERON:urine"))</f>
        <v>0</v>
      </c>
      <c r="X944">
        <f>AND(IF(metadata!E944="",FALSE,TRUE),exact(metadata!E944,"UBERON:kidney"))</f>
        <v>0</v>
      </c>
      <c r="Y944">
        <f>AND(IF(metadata!F944="",FALSE,TRUE),exact(metadata!F944,"animal corpus"))</f>
        <v>0</v>
      </c>
      <c r="Z944">
        <f>AND(IF(metadata!G944="",FALSE,TRUE),exact(metadata!G944,"urine"))</f>
        <v>0</v>
      </c>
      <c r="AA944">
        <f>AND(IF(metadata!H944="",FALSE,TRUE),exact(metadata!H944,"urine"))</f>
        <v>0</v>
      </c>
      <c r="AB944">
        <f>AND(IF(metadata!I944="",FALSE,TRUE),exact(metadata!I944,"urine metagenome"))</f>
        <v>0</v>
      </c>
      <c r="AC944">
        <f>AND(IF(metadata!J944="",FALSE,TRUE),exact(metadata!J944,"1346744"))</f>
        <v>0</v>
      </c>
    </row>
    <row r="945" spans="1:29">
      <c r="A945" s="4">
        <f>IF(B945=" "," ",HYPERLINK(CONCATENATE("#metadata!",ADDRESS(INDEX($P$2:$P$1001,MATCH(ROWS($N$2:N945),$N$2:$N$1001,0),0),1)),INDEX($S$2:$S$1001,MATCH(ROWS($N$2:N945),$N$2:$N$1001,0),0)))</f>
        <v>0</v>
      </c>
      <c r="B945" s="3">
        <f>IF(OR(INDEX($O$2:$O$1001,MATCH(ROWS($N$2:N945),$N$2:$N$1001,0),1)&gt;=100000,INDEX($U$1005:$AC$1005,1,MATCH(COLUMNS($U$1006:U1006),$U$1006:$AC$1006,0))&gt;=100000), " ",IF(INDEX($U$2:$AC$1001,MATCH(ROWS($N$2:N945),$N$2:$N$1001,0),MATCH(COLUMNS($U$1006:U1006),$U$1006:$AC$1006,0)), HYPERLINK("#",""), HYPERLINK(CONCATENATE("#metadata!", ADDRESS(INDEX($P$2:$P$1001,MATCH(ROWS($N$2:N945),$N$2:$N$1001,0),0), INDEX($U$1004:$AC$1004,1,MATCH(COLUMNS($U$1006:U1006),$U$1006:$AC$1006,0)))),"Fix")))</f>
        <v>0</v>
      </c>
      <c r="C945" s="3">
        <f>IF(OR(INDEX($O$2:$O$1001,MATCH(ROWS($N$2:N945),$N$2:$N$1001,0),1)&gt;=100000,INDEX($U$1005:$AC$1005,1,MATCH(COLUMNS($U$1006:V1006),$U$1006:$AC$1006,0))&gt;=100000), " ",IF(INDEX($U$2:$AC$1001,MATCH(ROWS($N$2:N945),$N$2:$N$1001,0),MATCH(COLUMNS($U$1006:V1006),$U$1006:$AC$1006,0)), HYPERLINK("#",""), HYPERLINK(CONCATENATE("#metadata!", ADDRESS(INDEX($P$2:$P$1001,MATCH(ROWS($N$2:N945),$N$2:$N$1001,0),0), INDEX($U$1004:$AC$1004,1,MATCH(COLUMNS($U$1006:V1006),$U$1006:$AC$1006,0)))),"Fix")))</f>
        <v>0</v>
      </c>
      <c r="D945" s="3">
        <f>IF(OR(INDEX($O$2:$O$1001,MATCH(ROWS($N$2:N945),$N$2:$N$1001,0),1)&gt;=100000,INDEX($U$1005:$AC$1005,1,MATCH(COLUMNS($U$1006:W1006),$U$1006:$AC$1006,0))&gt;=100000), " ",IF(INDEX($U$2:$AC$1001,MATCH(ROWS($N$2:N945),$N$2:$N$1001,0),MATCH(COLUMNS($U$1006:W1006),$U$1006:$AC$1006,0)), HYPERLINK("#",""), HYPERLINK(CONCATENATE("#metadata!", ADDRESS(INDEX($P$2:$P$1001,MATCH(ROWS($N$2:N945),$N$2:$N$1001,0),0), INDEX($U$1004:$AC$1004,1,MATCH(COLUMNS($U$1006:W1006),$U$1006:$AC$1006,0)))),"Fix")))</f>
        <v>0</v>
      </c>
      <c r="E945" s="3">
        <f>IF(OR(INDEX($O$2:$O$1001,MATCH(ROWS($N$2:N945),$N$2:$N$1001,0),1)&gt;=100000,INDEX($U$1005:$AC$1005,1,MATCH(COLUMNS($U$1006:X1006),$U$1006:$AC$1006,0))&gt;=100000), " ",IF(INDEX($U$2:$AC$1001,MATCH(ROWS($N$2:N945),$N$2:$N$1001,0),MATCH(COLUMNS($U$1006:X1006),$U$1006:$AC$1006,0)), HYPERLINK("#",""), HYPERLINK(CONCATENATE("#metadata!", ADDRESS(INDEX($P$2:$P$1001,MATCH(ROWS($N$2:N945),$N$2:$N$1001,0),0), INDEX($U$1004:$AC$1004,1,MATCH(COLUMNS($U$1006:X1006),$U$1006:$AC$1006,0)))),"Fix")))</f>
        <v>0</v>
      </c>
      <c r="F945" s="3">
        <f>IF(OR(INDEX($O$2:$O$1001,MATCH(ROWS($N$2:N945),$N$2:$N$1001,0),1)&gt;=100000,INDEX($U$1005:$AC$1005,1,MATCH(COLUMNS($U$1006:Y1006),$U$1006:$AC$1006,0))&gt;=100000), " ",IF(INDEX($U$2:$AC$1001,MATCH(ROWS($N$2:N945),$N$2:$N$1001,0),MATCH(COLUMNS($U$1006:Y1006),$U$1006:$AC$1006,0)), HYPERLINK("#",""), HYPERLINK(CONCATENATE("#metadata!", ADDRESS(INDEX($P$2:$P$1001,MATCH(ROWS($N$2:N945),$N$2:$N$1001,0),0), INDEX($U$1004:$AC$1004,1,MATCH(COLUMNS($U$1006:Y1006),$U$1006:$AC$1006,0)))),"Fix")))</f>
        <v>0</v>
      </c>
      <c r="G945" s="3">
        <f>IF(OR(INDEX($O$2:$O$1001,MATCH(ROWS($N$2:N945),$N$2:$N$1001,0),1)&gt;=100000,INDEX($U$1005:$AC$1005,1,MATCH(COLUMNS($U$1006:Z1006),$U$1006:$AC$1006,0))&gt;=100000), " ",IF(INDEX($U$2:$AC$1001,MATCH(ROWS($N$2:N945),$N$2:$N$1001,0),MATCH(COLUMNS($U$1006:Z1006),$U$1006:$AC$1006,0)), HYPERLINK("#",""), HYPERLINK(CONCATENATE("#metadata!", ADDRESS(INDEX($P$2:$P$1001,MATCH(ROWS($N$2:N945),$N$2:$N$1001,0),0), INDEX($U$1004:$AC$1004,1,MATCH(COLUMNS($U$1006:Z1006),$U$1006:$AC$1006,0)))),"Fix")))</f>
        <v>0</v>
      </c>
      <c r="H945" s="3">
        <f>IF(OR(INDEX($O$2:$O$1001,MATCH(ROWS($N$2:N945),$N$2:$N$1001,0),1)&gt;=100000,INDEX($U$1005:$AC$1005,1,MATCH(COLUMNS($U$1006:AA1006),$U$1006:$AC$1006,0))&gt;=100000), " ",IF(INDEX($U$2:$AC$1001,MATCH(ROWS($N$2:N945),$N$2:$N$1001,0),MATCH(COLUMNS($U$1006:AA1006),$U$1006:$AC$1006,0)), HYPERLINK("#",""), HYPERLINK(CONCATENATE("#metadata!", ADDRESS(INDEX($P$2:$P$1001,MATCH(ROWS($N$2:N945),$N$2:$N$1001,0),0), INDEX($U$1004:$AC$1004,1,MATCH(COLUMNS($U$1006:AA1006),$U$1006:$AC$1006,0)))),"Fix")))</f>
        <v>0</v>
      </c>
      <c r="I945" s="3">
        <f>IF(OR(INDEX($O$2:$O$1001,MATCH(ROWS($N$2:N945),$N$2:$N$1001,0),1)&gt;=100000,INDEX($U$1005:$AC$1005,1,MATCH(COLUMNS($U$1006:AB1006),$U$1006:$AC$1006,0))&gt;=100000), " ",IF(INDEX($U$2:$AC$1001,MATCH(ROWS($N$2:N945),$N$2:$N$1001,0),MATCH(COLUMNS($U$1006:AB1006),$U$1006:$AC$1006,0)), HYPERLINK("#",""), HYPERLINK(CONCATENATE("#metadata!", ADDRESS(INDEX($P$2:$P$1001,MATCH(ROWS($N$2:N945),$N$2:$N$1001,0),0), INDEX($U$1004:$AC$1004,1,MATCH(COLUMNS($U$1006:AB1006),$U$1006:$AC$1006,0)))),"Fix")))</f>
        <v>0</v>
      </c>
      <c r="J945" s="3">
        <f>IF(OR(INDEX($O$2:$O$1001,MATCH(ROWS($N$2:N945),$N$2:$N$1001,0),1)&gt;=100000,INDEX($U$1005:$AC$1005,1,MATCH(COLUMNS($U$1006:AC1006),$U$1006:$AC$1006,0))&gt;=100000), " ",IF(INDEX($U$2:$AC$1001,MATCH(ROWS($N$2:N945),$N$2:$N$1001,0),MATCH(COLUMNS($U$1006:AC1006),$U$1006:$AC$1006,0)), HYPERLINK("#",""), HYPERLINK(CONCATENATE("#metadata!", ADDRESS(INDEX($P$2:$P$1001,MATCH(ROWS($N$2:N945),$N$2:$N$1001,0),0), INDEX($U$1004:$AC$1004,1,MATCH(COLUMNS($U$1006:AC1006),$U$1006:$AC$1006,0)))),"Fix")))</f>
        <v>0</v>
      </c>
      <c r="N945">
        <v>0</v>
      </c>
      <c r="O945">
        <v>0</v>
      </c>
      <c r="P945">
        <v>0</v>
      </c>
      <c r="Q945">
        <f>IF(R945,TRUE,AND(U945:AC945))</f>
        <v>0</v>
      </c>
      <c r="R945">
        <f>COUNTBLANK(metadata!B945:J945)=COLUMNS(metadata!B945:J945)</f>
        <v>0</v>
      </c>
      <c r="S945">
        <v>0</v>
      </c>
      <c r="U945">
        <f>AND(IF(metadata!B945="",FALSE,TRUE),COUNTIF(metadata!B:B, metadata!B945) = 1,NOT(ISERROR(SUMPRODUCT(SEARCH(MID(metadata!B945,ROW(INDIRECT("1:"&amp;LEN(metadata!B945))), 1),"0123456789abcdefghijklmnopqrstuvwxyzABCDEFGHIJKLMNOPQRSTUVWXYZ.")))))</f>
        <v>0</v>
      </c>
      <c r="V945">
        <f>AND(IF(metadata!C945="",FALSE,TRUE),exact(metadata!C945,"UBERON:genitourinary"))</f>
        <v>0</v>
      </c>
      <c r="W945">
        <f>AND(IF(metadata!D945="",FALSE,TRUE),exact(metadata!D945,"UBERON:urine"))</f>
        <v>0</v>
      </c>
      <c r="X945">
        <f>AND(IF(metadata!E945="",FALSE,TRUE),exact(metadata!E945,"UBERON:kidney"))</f>
        <v>0</v>
      </c>
      <c r="Y945">
        <f>AND(IF(metadata!F945="",FALSE,TRUE),exact(metadata!F945,"animal corpus"))</f>
        <v>0</v>
      </c>
      <c r="Z945">
        <f>AND(IF(metadata!G945="",FALSE,TRUE),exact(metadata!G945,"urine"))</f>
        <v>0</v>
      </c>
      <c r="AA945">
        <f>AND(IF(metadata!H945="",FALSE,TRUE),exact(metadata!H945,"urine"))</f>
        <v>0</v>
      </c>
      <c r="AB945">
        <f>AND(IF(metadata!I945="",FALSE,TRUE),exact(metadata!I945,"urine metagenome"))</f>
        <v>0</v>
      </c>
      <c r="AC945">
        <f>AND(IF(metadata!J945="",FALSE,TRUE),exact(metadata!J945,"1346744"))</f>
        <v>0</v>
      </c>
    </row>
    <row r="946" spans="1:29">
      <c r="A946" s="4">
        <f>IF(B946=" "," ",HYPERLINK(CONCATENATE("#metadata!",ADDRESS(INDEX($P$2:$P$1001,MATCH(ROWS($N$2:N946),$N$2:$N$1001,0),0),1)),INDEX($S$2:$S$1001,MATCH(ROWS($N$2:N946),$N$2:$N$1001,0),0)))</f>
        <v>0</v>
      </c>
      <c r="B946" s="3">
        <f>IF(OR(INDEX($O$2:$O$1001,MATCH(ROWS($N$2:N946),$N$2:$N$1001,0),1)&gt;=100000,INDEX($U$1005:$AC$1005,1,MATCH(COLUMNS($U$1006:U1006),$U$1006:$AC$1006,0))&gt;=100000), " ",IF(INDEX($U$2:$AC$1001,MATCH(ROWS($N$2:N946),$N$2:$N$1001,0),MATCH(COLUMNS($U$1006:U1006),$U$1006:$AC$1006,0)), HYPERLINK("#",""), HYPERLINK(CONCATENATE("#metadata!", ADDRESS(INDEX($P$2:$P$1001,MATCH(ROWS($N$2:N946),$N$2:$N$1001,0),0), INDEX($U$1004:$AC$1004,1,MATCH(COLUMNS($U$1006:U1006),$U$1006:$AC$1006,0)))),"Fix")))</f>
        <v>0</v>
      </c>
      <c r="C946" s="3">
        <f>IF(OR(INDEX($O$2:$O$1001,MATCH(ROWS($N$2:N946),$N$2:$N$1001,0),1)&gt;=100000,INDEX($U$1005:$AC$1005,1,MATCH(COLUMNS($U$1006:V1006),$U$1006:$AC$1006,0))&gt;=100000), " ",IF(INDEX($U$2:$AC$1001,MATCH(ROWS($N$2:N946),$N$2:$N$1001,0),MATCH(COLUMNS($U$1006:V1006),$U$1006:$AC$1006,0)), HYPERLINK("#",""), HYPERLINK(CONCATENATE("#metadata!", ADDRESS(INDEX($P$2:$P$1001,MATCH(ROWS($N$2:N946),$N$2:$N$1001,0),0), INDEX($U$1004:$AC$1004,1,MATCH(COLUMNS($U$1006:V1006),$U$1006:$AC$1006,0)))),"Fix")))</f>
        <v>0</v>
      </c>
      <c r="D946" s="3">
        <f>IF(OR(INDEX($O$2:$O$1001,MATCH(ROWS($N$2:N946),$N$2:$N$1001,0),1)&gt;=100000,INDEX($U$1005:$AC$1005,1,MATCH(COLUMNS($U$1006:W1006),$U$1006:$AC$1006,0))&gt;=100000), " ",IF(INDEX($U$2:$AC$1001,MATCH(ROWS($N$2:N946),$N$2:$N$1001,0),MATCH(COLUMNS($U$1006:W1006),$U$1006:$AC$1006,0)), HYPERLINK("#",""), HYPERLINK(CONCATENATE("#metadata!", ADDRESS(INDEX($P$2:$P$1001,MATCH(ROWS($N$2:N946),$N$2:$N$1001,0),0), INDEX($U$1004:$AC$1004,1,MATCH(COLUMNS($U$1006:W1006),$U$1006:$AC$1006,0)))),"Fix")))</f>
        <v>0</v>
      </c>
      <c r="E946" s="3">
        <f>IF(OR(INDEX($O$2:$O$1001,MATCH(ROWS($N$2:N946),$N$2:$N$1001,0),1)&gt;=100000,INDEX($U$1005:$AC$1005,1,MATCH(COLUMNS($U$1006:X1006),$U$1006:$AC$1006,0))&gt;=100000), " ",IF(INDEX($U$2:$AC$1001,MATCH(ROWS($N$2:N946),$N$2:$N$1001,0),MATCH(COLUMNS($U$1006:X1006),$U$1006:$AC$1006,0)), HYPERLINK("#",""), HYPERLINK(CONCATENATE("#metadata!", ADDRESS(INDEX($P$2:$P$1001,MATCH(ROWS($N$2:N946),$N$2:$N$1001,0),0), INDEX($U$1004:$AC$1004,1,MATCH(COLUMNS($U$1006:X1006),$U$1006:$AC$1006,0)))),"Fix")))</f>
        <v>0</v>
      </c>
      <c r="F946" s="3">
        <f>IF(OR(INDEX($O$2:$O$1001,MATCH(ROWS($N$2:N946),$N$2:$N$1001,0),1)&gt;=100000,INDEX($U$1005:$AC$1005,1,MATCH(COLUMNS($U$1006:Y1006),$U$1006:$AC$1006,0))&gt;=100000), " ",IF(INDEX($U$2:$AC$1001,MATCH(ROWS($N$2:N946),$N$2:$N$1001,0),MATCH(COLUMNS($U$1006:Y1006),$U$1006:$AC$1006,0)), HYPERLINK("#",""), HYPERLINK(CONCATENATE("#metadata!", ADDRESS(INDEX($P$2:$P$1001,MATCH(ROWS($N$2:N946),$N$2:$N$1001,0),0), INDEX($U$1004:$AC$1004,1,MATCH(COLUMNS($U$1006:Y1006),$U$1006:$AC$1006,0)))),"Fix")))</f>
        <v>0</v>
      </c>
      <c r="G946" s="3">
        <f>IF(OR(INDEX($O$2:$O$1001,MATCH(ROWS($N$2:N946),$N$2:$N$1001,0),1)&gt;=100000,INDEX($U$1005:$AC$1005,1,MATCH(COLUMNS($U$1006:Z1006),$U$1006:$AC$1006,0))&gt;=100000), " ",IF(INDEX($U$2:$AC$1001,MATCH(ROWS($N$2:N946),$N$2:$N$1001,0),MATCH(COLUMNS($U$1006:Z1006),$U$1006:$AC$1006,0)), HYPERLINK("#",""), HYPERLINK(CONCATENATE("#metadata!", ADDRESS(INDEX($P$2:$P$1001,MATCH(ROWS($N$2:N946),$N$2:$N$1001,0),0), INDEX($U$1004:$AC$1004,1,MATCH(COLUMNS($U$1006:Z1006),$U$1006:$AC$1006,0)))),"Fix")))</f>
        <v>0</v>
      </c>
      <c r="H946" s="3">
        <f>IF(OR(INDEX($O$2:$O$1001,MATCH(ROWS($N$2:N946),$N$2:$N$1001,0),1)&gt;=100000,INDEX($U$1005:$AC$1005,1,MATCH(COLUMNS($U$1006:AA1006),$U$1006:$AC$1006,0))&gt;=100000), " ",IF(INDEX($U$2:$AC$1001,MATCH(ROWS($N$2:N946),$N$2:$N$1001,0),MATCH(COLUMNS($U$1006:AA1006),$U$1006:$AC$1006,0)), HYPERLINK("#",""), HYPERLINK(CONCATENATE("#metadata!", ADDRESS(INDEX($P$2:$P$1001,MATCH(ROWS($N$2:N946),$N$2:$N$1001,0),0), INDEX($U$1004:$AC$1004,1,MATCH(COLUMNS($U$1006:AA1006),$U$1006:$AC$1006,0)))),"Fix")))</f>
        <v>0</v>
      </c>
      <c r="I946" s="3">
        <f>IF(OR(INDEX($O$2:$O$1001,MATCH(ROWS($N$2:N946),$N$2:$N$1001,0),1)&gt;=100000,INDEX($U$1005:$AC$1005,1,MATCH(COLUMNS($U$1006:AB1006),$U$1006:$AC$1006,0))&gt;=100000), " ",IF(INDEX($U$2:$AC$1001,MATCH(ROWS($N$2:N946),$N$2:$N$1001,0),MATCH(COLUMNS($U$1006:AB1006),$U$1006:$AC$1006,0)), HYPERLINK("#",""), HYPERLINK(CONCATENATE("#metadata!", ADDRESS(INDEX($P$2:$P$1001,MATCH(ROWS($N$2:N946),$N$2:$N$1001,0),0), INDEX($U$1004:$AC$1004,1,MATCH(COLUMNS($U$1006:AB1006),$U$1006:$AC$1006,0)))),"Fix")))</f>
        <v>0</v>
      </c>
      <c r="J946" s="3">
        <f>IF(OR(INDEX($O$2:$O$1001,MATCH(ROWS($N$2:N946),$N$2:$N$1001,0),1)&gt;=100000,INDEX($U$1005:$AC$1005,1,MATCH(COLUMNS($U$1006:AC1006),$U$1006:$AC$1006,0))&gt;=100000), " ",IF(INDEX($U$2:$AC$1001,MATCH(ROWS($N$2:N946),$N$2:$N$1001,0),MATCH(COLUMNS($U$1006:AC1006),$U$1006:$AC$1006,0)), HYPERLINK("#",""), HYPERLINK(CONCATENATE("#metadata!", ADDRESS(INDEX($P$2:$P$1001,MATCH(ROWS($N$2:N946),$N$2:$N$1001,0),0), INDEX($U$1004:$AC$1004,1,MATCH(COLUMNS($U$1006:AC1006),$U$1006:$AC$1006,0)))),"Fix")))</f>
        <v>0</v>
      </c>
      <c r="N946">
        <v>0</v>
      </c>
      <c r="O946">
        <v>0</v>
      </c>
      <c r="P946">
        <v>0</v>
      </c>
      <c r="Q946">
        <f>IF(R946,TRUE,AND(U946:AC946))</f>
        <v>0</v>
      </c>
      <c r="R946">
        <f>COUNTBLANK(metadata!B946:J946)=COLUMNS(metadata!B946:J946)</f>
        <v>0</v>
      </c>
      <c r="S946">
        <v>0</v>
      </c>
      <c r="U946">
        <f>AND(IF(metadata!B946="",FALSE,TRUE),COUNTIF(metadata!B:B, metadata!B946) = 1,NOT(ISERROR(SUMPRODUCT(SEARCH(MID(metadata!B946,ROW(INDIRECT("1:"&amp;LEN(metadata!B946))), 1),"0123456789abcdefghijklmnopqrstuvwxyzABCDEFGHIJKLMNOPQRSTUVWXYZ.")))))</f>
        <v>0</v>
      </c>
      <c r="V946">
        <f>AND(IF(metadata!C946="",FALSE,TRUE),exact(metadata!C946,"UBERON:genitourinary"))</f>
        <v>0</v>
      </c>
      <c r="W946">
        <f>AND(IF(metadata!D946="",FALSE,TRUE),exact(metadata!D946,"UBERON:urine"))</f>
        <v>0</v>
      </c>
      <c r="X946">
        <f>AND(IF(metadata!E946="",FALSE,TRUE),exact(metadata!E946,"UBERON:kidney"))</f>
        <v>0</v>
      </c>
      <c r="Y946">
        <f>AND(IF(metadata!F946="",FALSE,TRUE),exact(metadata!F946,"animal corpus"))</f>
        <v>0</v>
      </c>
      <c r="Z946">
        <f>AND(IF(metadata!G946="",FALSE,TRUE),exact(metadata!G946,"urine"))</f>
        <v>0</v>
      </c>
      <c r="AA946">
        <f>AND(IF(metadata!H946="",FALSE,TRUE),exact(metadata!H946,"urine"))</f>
        <v>0</v>
      </c>
      <c r="AB946">
        <f>AND(IF(metadata!I946="",FALSE,TRUE),exact(metadata!I946,"urine metagenome"))</f>
        <v>0</v>
      </c>
      <c r="AC946">
        <f>AND(IF(metadata!J946="",FALSE,TRUE),exact(metadata!J946,"1346744"))</f>
        <v>0</v>
      </c>
    </row>
    <row r="947" spans="1:29">
      <c r="A947" s="4">
        <f>IF(B947=" "," ",HYPERLINK(CONCATENATE("#metadata!",ADDRESS(INDEX($P$2:$P$1001,MATCH(ROWS($N$2:N947),$N$2:$N$1001,0),0),1)),INDEX($S$2:$S$1001,MATCH(ROWS($N$2:N947),$N$2:$N$1001,0),0)))</f>
        <v>0</v>
      </c>
      <c r="B947" s="3">
        <f>IF(OR(INDEX($O$2:$O$1001,MATCH(ROWS($N$2:N947),$N$2:$N$1001,0),1)&gt;=100000,INDEX($U$1005:$AC$1005,1,MATCH(COLUMNS($U$1006:U1006),$U$1006:$AC$1006,0))&gt;=100000), " ",IF(INDEX($U$2:$AC$1001,MATCH(ROWS($N$2:N947),$N$2:$N$1001,0),MATCH(COLUMNS($U$1006:U1006),$U$1006:$AC$1006,0)), HYPERLINK("#",""), HYPERLINK(CONCATENATE("#metadata!", ADDRESS(INDEX($P$2:$P$1001,MATCH(ROWS($N$2:N947),$N$2:$N$1001,0),0), INDEX($U$1004:$AC$1004,1,MATCH(COLUMNS($U$1006:U1006),$U$1006:$AC$1006,0)))),"Fix")))</f>
        <v>0</v>
      </c>
      <c r="C947" s="3">
        <f>IF(OR(INDEX($O$2:$O$1001,MATCH(ROWS($N$2:N947),$N$2:$N$1001,0),1)&gt;=100000,INDEX($U$1005:$AC$1005,1,MATCH(COLUMNS($U$1006:V1006),$U$1006:$AC$1006,0))&gt;=100000), " ",IF(INDEX($U$2:$AC$1001,MATCH(ROWS($N$2:N947),$N$2:$N$1001,0),MATCH(COLUMNS($U$1006:V1006),$U$1006:$AC$1006,0)), HYPERLINK("#",""), HYPERLINK(CONCATENATE("#metadata!", ADDRESS(INDEX($P$2:$P$1001,MATCH(ROWS($N$2:N947),$N$2:$N$1001,0),0), INDEX($U$1004:$AC$1004,1,MATCH(COLUMNS($U$1006:V1006),$U$1006:$AC$1006,0)))),"Fix")))</f>
        <v>0</v>
      </c>
      <c r="D947" s="3">
        <f>IF(OR(INDEX($O$2:$O$1001,MATCH(ROWS($N$2:N947),$N$2:$N$1001,0),1)&gt;=100000,INDEX($U$1005:$AC$1005,1,MATCH(COLUMNS($U$1006:W1006),$U$1006:$AC$1006,0))&gt;=100000), " ",IF(INDEX($U$2:$AC$1001,MATCH(ROWS($N$2:N947),$N$2:$N$1001,0),MATCH(COLUMNS($U$1006:W1006),$U$1006:$AC$1006,0)), HYPERLINK("#",""), HYPERLINK(CONCATENATE("#metadata!", ADDRESS(INDEX($P$2:$P$1001,MATCH(ROWS($N$2:N947),$N$2:$N$1001,0),0), INDEX($U$1004:$AC$1004,1,MATCH(COLUMNS($U$1006:W1006),$U$1006:$AC$1006,0)))),"Fix")))</f>
        <v>0</v>
      </c>
      <c r="E947" s="3">
        <f>IF(OR(INDEX($O$2:$O$1001,MATCH(ROWS($N$2:N947),$N$2:$N$1001,0),1)&gt;=100000,INDEX($U$1005:$AC$1005,1,MATCH(COLUMNS($U$1006:X1006),$U$1006:$AC$1006,0))&gt;=100000), " ",IF(INDEX($U$2:$AC$1001,MATCH(ROWS($N$2:N947),$N$2:$N$1001,0),MATCH(COLUMNS($U$1006:X1006),$U$1006:$AC$1006,0)), HYPERLINK("#",""), HYPERLINK(CONCATENATE("#metadata!", ADDRESS(INDEX($P$2:$P$1001,MATCH(ROWS($N$2:N947),$N$2:$N$1001,0),0), INDEX($U$1004:$AC$1004,1,MATCH(COLUMNS($U$1006:X1006),$U$1006:$AC$1006,0)))),"Fix")))</f>
        <v>0</v>
      </c>
      <c r="F947" s="3">
        <f>IF(OR(INDEX($O$2:$O$1001,MATCH(ROWS($N$2:N947),$N$2:$N$1001,0),1)&gt;=100000,INDEX($U$1005:$AC$1005,1,MATCH(COLUMNS($U$1006:Y1006),$U$1006:$AC$1006,0))&gt;=100000), " ",IF(INDEX($U$2:$AC$1001,MATCH(ROWS($N$2:N947),$N$2:$N$1001,0),MATCH(COLUMNS($U$1006:Y1006),$U$1006:$AC$1006,0)), HYPERLINK("#",""), HYPERLINK(CONCATENATE("#metadata!", ADDRESS(INDEX($P$2:$P$1001,MATCH(ROWS($N$2:N947),$N$2:$N$1001,0),0), INDEX($U$1004:$AC$1004,1,MATCH(COLUMNS($U$1006:Y1006),$U$1006:$AC$1006,0)))),"Fix")))</f>
        <v>0</v>
      </c>
      <c r="G947" s="3">
        <f>IF(OR(INDEX($O$2:$O$1001,MATCH(ROWS($N$2:N947),$N$2:$N$1001,0),1)&gt;=100000,INDEX($U$1005:$AC$1005,1,MATCH(COLUMNS($U$1006:Z1006),$U$1006:$AC$1006,0))&gt;=100000), " ",IF(INDEX($U$2:$AC$1001,MATCH(ROWS($N$2:N947),$N$2:$N$1001,0),MATCH(COLUMNS($U$1006:Z1006),$U$1006:$AC$1006,0)), HYPERLINK("#",""), HYPERLINK(CONCATENATE("#metadata!", ADDRESS(INDEX($P$2:$P$1001,MATCH(ROWS($N$2:N947),$N$2:$N$1001,0),0), INDEX($U$1004:$AC$1004,1,MATCH(COLUMNS($U$1006:Z1006),$U$1006:$AC$1006,0)))),"Fix")))</f>
        <v>0</v>
      </c>
      <c r="H947" s="3">
        <f>IF(OR(INDEX($O$2:$O$1001,MATCH(ROWS($N$2:N947),$N$2:$N$1001,0),1)&gt;=100000,INDEX($U$1005:$AC$1005,1,MATCH(COLUMNS($U$1006:AA1006),$U$1006:$AC$1006,0))&gt;=100000), " ",IF(INDEX($U$2:$AC$1001,MATCH(ROWS($N$2:N947),$N$2:$N$1001,0),MATCH(COLUMNS($U$1006:AA1006),$U$1006:$AC$1006,0)), HYPERLINK("#",""), HYPERLINK(CONCATENATE("#metadata!", ADDRESS(INDEX($P$2:$P$1001,MATCH(ROWS($N$2:N947),$N$2:$N$1001,0),0), INDEX($U$1004:$AC$1004,1,MATCH(COLUMNS($U$1006:AA1006),$U$1006:$AC$1006,0)))),"Fix")))</f>
        <v>0</v>
      </c>
      <c r="I947" s="3">
        <f>IF(OR(INDEX($O$2:$O$1001,MATCH(ROWS($N$2:N947),$N$2:$N$1001,0),1)&gt;=100000,INDEX($U$1005:$AC$1005,1,MATCH(COLUMNS($U$1006:AB1006),$U$1006:$AC$1006,0))&gt;=100000), " ",IF(INDEX($U$2:$AC$1001,MATCH(ROWS($N$2:N947),$N$2:$N$1001,0),MATCH(COLUMNS($U$1006:AB1006),$U$1006:$AC$1006,0)), HYPERLINK("#",""), HYPERLINK(CONCATENATE("#metadata!", ADDRESS(INDEX($P$2:$P$1001,MATCH(ROWS($N$2:N947),$N$2:$N$1001,0),0), INDEX($U$1004:$AC$1004,1,MATCH(COLUMNS($U$1006:AB1006),$U$1006:$AC$1006,0)))),"Fix")))</f>
        <v>0</v>
      </c>
      <c r="J947" s="3">
        <f>IF(OR(INDEX($O$2:$O$1001,MATCH(ROWS($N$2:N947),$N$2:$N$1001,0),1)&gt;=100000,INDEX($U$1005:$AC$1005,1,MATCH(COLUMNS($U$1006:AC1006),$U$1006:$AC$1006,0))&gt;=100000), " ",IF(INDEX($U$2:$AC$1001,MATCH(ROWS($N$2:N947),$N$2:$N$1001,0),MATCH(COLUMNS($U$1006:AC1006),$U$1006:$AC$1006,0)), HYPERLINK("#",""), HYPERLINK(CONCATENATE("#metadata!", ADDRESS(INDEX($P$2:$P$1001,MATCH(ROWS($N$2:N947),$N$2:$N$1001,0),0), INDEX($U$1004:$AC$1004,1,MATCH(COLUMNS($U$1006:AC1006),$U$1006:$AC$1006,0)))),"Fix")))</f>
        <v>0</v>
      </c>
      <c r="N947">
        <v>0</v>
      </c>
      <c r="O947">
        <v>0</v>
      </c>
      <c r="P947">
        <v>0</v>
      </c>
      <c r="Q947">
        <f>IF(R947,TRUE,AND(U947:AC947))</f>
        <v>0</v>
      </c>
      <c r="R947">
        <f>COUNTBLANK(metadata!B947:J947)=COLUMNS(metadata!B947:J947)</f>
        <v>0</v>
      </c>
      <c r="S947">
        <v>0</v>
      </c>
      <c r="U947">
        <f>AND(IF(metadata!B947="",FALSE,TRUE),COUNTIF(metadata!B:B, metadata!B947) = 1,NOT(ISERROR(SUMPRODUCT(SEARCH(MID(metadata!B947,ROW(INDIRECT("1:"&amp;LEN(metadata!B947))), 1),"0123456789abcdefghijklmnopqrstuvwxyzABCDEFGHIJKLMNOPQRSTUVWXYZ.")))))</f>
        <v>0</v>
      </c>
      <c r="V947">
        <f>AND(IF(metadata!C947="",FALSE,TRUE),exact(metadata!C947,"UBERON:genitourinary"))</f>
        <v>0</v>
      </c>
      <c r="W947">
        <f>AND(IF(metadata!D947="",FALSE,TRUE),exact(metadata!D947,"UBERON:urine"))</f>
        <v>0</v>
      </c>
      <c r="X947">
        <f>AND(IF(metadata!E947="",FALSE,TRUE),exact(metadata!E947,"UBERON:kidney"))</f>
        <v>0</v>
      </c>
      <c r="Y947">
        <f>AND(IF(metadata!F947="",FALSE,TRUE),exact(metadata!F947,"animal corpus"))</f>
        <v>0</v>
      </c>
      <c r="Z947">
        <f>AND(IF(metadata!G947="",FALSE,TRUE),exact(metadata!G947,"urine"))</f>
        <v>0</v>
      </c>
      <c r="AA947">
        <f>AND(IF(metadata!H947="",FALSE,TRUE),exact(metadata!H947,"urine"))</f>
        <v>0</v>
      </c>
      <c r="AB947">
        <f>AND(IF(metadata!I947="",FALSE,TRUE),exact(metadata!I947,"urine metagenome"))</f>
        <v>0</v>
      </c>
      <c r="AC947">
        <f>AND(IF(metadata!J947="",FALSE,TRUE),exact(metadata!J947,"1346744"))</f>
        <v>0</v>
      </c>
    </row>
    <row r="948" spans="1:29">
      <c r="A948" s="4">
        <f>IF(B948=" "," ",HYPERLINK(CONCATENATE("#metadata!",ADDRESS(INDEX($P$2:$P$1001,MATCH(ROWS($N$2:N948),$N$2:$N$1001,0),0),1)),INDEX($S$2:$S$1001,MATCH(ROWS($N$2:N948),$N$2:$N$1001,0),0)))</f>
        <v>0</v>
      </c>
      <c r="B948" s="3">
        <f>IF(OR(INDEX($O$2:$O$1001,MATCH(ROWS($N$2:N948),$N$2:$N$1001,0),1)&gt;=100000,INDEX($U$1005:$AC$1005,1,MATCH(COLUMNS($U$1006:U1006),$U$1006:$AC$1006,0))&gt;=100000), " ",IF(INDEX($U$2:$AC$1001,MATCH(ROWS($N$2:N948),$N$2:$N$1001,0),MATCH(COLUMNS($U$1006:U1006),$U$1006:$AC$1006,0)), HYPERLINK("#",""), HYPERLINK(CONCATENATE("#metadata!", ADDRESS(INDEX($P$2:$P$1001,MATCH(ROWS($N$2:N948),$N$2:$N$1001,0),0), INDEX($U$1004:$AC$1004,1,MATCH(COLUMNS($U$1006:U1006),$U$1006:$AC$1006,0)))),"Fix")))</f>
        <v>0</v>
      </c>
      <c r="C948" s="3">
        <f>IF(OR(INDEX($O$2:$O$1001,MATCH(ROWS($N$2:N948),$N$2:$N$1001,0),1)&gt;=100000,INDEX($U$1005:$AC$1005,1,MATCH(COLUMNS($U$1006:V1006),$U$1006:$AC$1006,0))&gt;=100000), " ",IF(INDEX($U$2:$AC$1001,MATCH(ROWS($N$2:N948),$N$2:$N$1001,0),MATCH(COLUMNS($U$1006:V1006),$U$1006:$AC$1006,0)), HYPERLINK("#",""), HYPERLINK(CONCATENATE("#metadata!", ADDRESS(INDEX($P$2:$P$1001,MATCH(ROWS($N$2:N948),$N$2:$N$1001,0),0), INDEX($U$1004:$AC$1004,1,MATCH(COLUMNS($U$1006:V1006),$U$1006:$AC$1006,0)))),"Fix")))</f>
        <v>0</v>
      </c>
      <c r="D948" s="3">
        <f>IF(OR(INDEX($O$2:$O$1001,MATCH(ROWS($N$2:N948),$N$2:$N$1001,0),1)&gt;=100000,INDEX($U$1005:$AC$1005,1,MATCH(COLUMNS($U$1006:W1006),$U$1006:$AC$1006,0))&gt;=100000), " ",IF(INDEX($U$2:$AC$1001,MATCH(ROWS($N$2:N948),$N$2:$N$1001,0),MATCH(COLUMNS($U$1006:W1006),$U$1006:$AC$1006,0)), HYPERLINK("#",""), HYPERLINK(CONCATENATE("#metadata!", ADDRESS(INDEX($P$2:$P$1001,MATCH(ROWS($N$2:N948),$N$2:$N$1001,0),0), INDEX($U$1004:$AC$1004,1,MATCH(COLUMNS($U$1006:W1006),$U$1006:$AC$1006,0)))),"Fix")))</f>
        <v>0</v>
      </c>
      <c r="E948" s="3">
        <f>IF(OR(INDEX($O$2:$O$1001,MATCH(ROWS($N$2:N948),$N$2:$N$1001,0),1)&gt;=100000,INDEX($U$1005:$AC$1005,1,MATCH(COLUMNS($U$1006:X1006),$U$1006:$AC$1006,0))&gt;=100000), " ",IF(INDEX($U$2:$AC$1001,MATCH(ROWS($N$2:N948),$N$2:$N$1001,0),MATCH(COLUMNS($U$1006:X1006),$U$1006:$AC$1006,0)), HYPERLINK("#",""), HYPERLINK(CONCATENATE("#metadata!", ADDRESS(INDEX($P$2:$P$1001,MATCH(ROWS($N$2:N948),$N$2:$N$1001,0),0), INDEX($U$1004:$AC$1004,1,MATCH(COLUMNS($U$1006:X1006),$U$1006:$AC$1006,0)))),"Fix")))</f>
        <v>0</v>
      </c>
      <c r="F948" s="3">
        <f>IF(OR(INDEX($O$2:$O$1001,MATCH(ROWS($N$2:N948),$N$2:$N$1001,0),1)&gt;=100000,INDEX($U$1005:$AC$1005,1,MATCH(COLUMNS($U$1006:Y1006),$U$1006:$AC$1006,0))&gt;=100000), " ",IF(INDEX($U$2:$AC$1001,MATCH(ROWS($N$2:N948),$N$2:$N$1001,0),MATCH(COLUMNS($U$1006:Y1006),$U$1006:$AC$1006,0)), HYPERLINK("#",""), HYPERLINK(CONCATENATE("#metadata!", ADDRESS(INDEX($P$2:$P$1001,MATCH(ROWS($N$2:N948),$N$2:$N$1001,0),0), INDEX($U$1004:$AC$1004,1,MATCH(COLUMNS($U$1006:Y1006),$U$1006:$AC$1006,0)))),"Fix")))</f>
        <v>0</v>
      </c>
      <c r="G948" s="3">
        <f>IF(OR(INDEX($O$2:$O$1001,MATCH(ROWS($N$2:N948),$N$2:$N$1001,0),1)&gt;=100000,INDEX($U$1005:$AC$1005,1,MATCH(COLUMNS($U$1006:Z1006),$U$1006:$AC$1006,0))&gt;=100000), " ",IF(INDEX($U$2:$AC$1001,MATCH(ROWS($N$2:N948),$N$2:$N$1001,0),MATCH(COLUMNS($U$1006:Z1006),$U$1006:$AC$1006,0)), HYPERLINK("#",""), HYPERLINK(CONCATENATE("#metadata!", ADDRESS(INDEX($P$2:$P$1001,MATCH(ROWS($N$2:N948),$N$2:$N$1001,0),0), INDEX($U$1004:$AC$1004,1,MATCH(COLUMNS($U$1006:Z1006),$U$1006:$AC$1006,0)))),"Fix")))</f>
        <v>0</v>
      </c>
      <c r="H948" s="3">
        <f>IF(OR(INDEX($O$2:$O$1001,MATCH(ROWS($N$2:N948),$N$2:$N$1001,0),1)&gt;=100000,INDEX($U$1005:$AC$1005,1,MATCH(COLUMNS($U$1006:AA1006),$U$1006:$AC$1006,0))&gt;=100000), " ",IF(INDEX($U$2:$AC$1001,MATCH(ROWS($N$2:N948),$N$2:$N$1001,0),MATCH(COLUMNS($U$1006:AA1006),$U$1006:$AC$1006,0)), HYPERLINK("#",""), HYPERLINK(CONCATENATE("#metadata!", ADDRESS(INDEX($P$2:$P$1001,MATCH(ROWS($N$2:N948),$N$2:$N$1001,0),0), INDEX($U$1004:$AC$1004,1,MATCH(COLUMNS($U$1006:AA1006),$U$1006:$AC$1006,0)))),"Fix")))</f>
        <v>0</v>
      </c>
      <c r="I948" s="3">
        <f>IF(OR(INDEX($O$2:$O$1001,MATCH(ROWS($N$2:N948),$N$2:$N$1001,0),1)&gt;=100000,INDEX($U$1005:$AC$1005,1,MATCH(COLUMNS($U$1006:AB1006),$U$1006:$AC$1006,0))&gt;=100000), " ",IF(INDEX($U$2:$AC$1001,MATCH(ROWS($N$2:N948),$N$2:$N$1001,0),MATCH(COLUMNS($U$1006:AB1006),$U$1006:$AC$1006,0)), HYPERLINK("#",""), HYPERLINK(CONCATENATE("#metadata!", ADDRESS(INDEX($P$2:$P$1001,MATCH(ROWS($N$2:N948),$N$2:$N$1001,0),0), INDEX($U$1004:$AC$1004,1,MATCH(COLUMNS($U$1006:AB1006),$U$1006:$AC$1006,0)))),"Fix")))</f>
        <v>0</v>
      </c>
      <c r="J948" s="3">
        <f>IF(OR(INDEX($O$2:$O$1001,MATCH(ROWS($N$2:N948),$N$2:$N$1001,0),1)&gt;=100000,INDEX($U$1005:$AC$1005,1,MATCH(COLUMNS($U$1006:AC1006),$U$1006:$AC$1006,0))&gt;=100000), " ",IF(INDEX($U$2:$AC$1001,MATCH(ROWS($N$2:N948),$N$2:$N$1001,0),MATCH(COLUMNS($U$1006:AC1006),$U$1006:$AC$1006,0)), HYPERLINK("#",""), HYPERLINK(CONCATENATE("#metadata!", ADDRESS(INDEX($P$2:$P$1001,MATCH(ROWS($N$2:N948),$N$2:$N$1001,0),0), INDEX($U$1004:$AC$1004,1,MATCH(COLUMNS($U$1006:AC1006),$U$1006:$AC$1006,0)))),"Fix")))</f>
        <v>0</v>
      </c>
      <c r="N948">
        <v>0</v>
      </c>
      <c r="O948">
        <v>0</v>
      </c>
      <c r="P948">
        <v>0</v>
      </c>
      <c r="Q948">
        <f>IF(R948,TRUE,AND(U948:AC948))</f>
        <v>0</v>
      </c>
      <c r="R948">
        <f>COUNTBLANK(metadata!B948:J948)=COLUMNS(metadata!B948:J948)</f>
        <v>0</v>
      </c>
      <c r="S948">
        <v>0</v>
      </c>
      <c r="U948">
        <f>AND(IF(metadata!B948="",FALSE,TRUE),COUNTIF(metadata!B:B, metadata!B948) = 1,NOT(ISERROR(SUMPRODUCT(SEARCH(MID(metadata!B948,ROW(INDIRECT("1:"&amp;LEN(metadata!B948))), 1),"0123456789abcdefghijklmnopqrstuvwxyzABCDEFGHIJKLMNOPQRSTUVWXYZ.")))))</f>
        <v>0</v>
      </c>
      <c r="V948">
        <f>AND(IF(metadata!C948="",FALSE,TRUE),exact(metadata!C948,"UBERON:genitourinary"))</f>
        <v>0</v>
      </c>
      <c r="W948">
        <f>AND(IF(metadata!D948="",FALSE,TRUE),exact(metadata!D948,"UBERON:urine"))</f>
        <v>0</v>
      </c>
      <c r="X948">
        <f>AND(IF(metadata!E948="",FALSE,TRUE),exact(metadata!E948,"UBERON:kidney"))</f>
        <v>0</v>
      </c>
      <c r="Y948">
        <f>AND(IF(metadata!F948="",FALSE,TRUE),exact(metadata!F948,"animal corpus"))</f>
        <v>0</v>
      </c>
      <c r="Z948">
        <f>AND(IF(metadata!G948="",FALSE,TRUE),exact(metadata!G948,"urine"))</f>
        <v>0</v>
      </c>
      <c r="AA948">
        <f>AND(IF(metadata!H948="",FALSE,TRUE),exact(metadata!H948,"urine"))</f>
        <v>0</v>
      </c>
      <c r="AB948">
        <f>AND(IF(metadata!I948="",FALSE,TRUE),exact(metadata!I948,"urine metagenome"))</f>
        <v>0</v>
      </c>
      <c r="AC948">
        <f>AND(IF(metadata!J948="",FALSE,TRUE),exact(metadata!J948,"1346744"))</f>
        <v>0</v>
      </c>
    </row>
    <row r="949" spans="1:29">
      <c r="A949" s="4">
        <f>IF(B949=" "," ",HYPERLINK(CONCATENATE("#metadata!",ADDRESS(INDEX($P$2:$P$1001,MATCH(ROWS($N$2:N949),$N$2:$N$1001,0),0),1)),INDEX($S$2:$S$1001,MATCH(ROWS($N$2:N949),$N$2:$N$1001,0),0)))</f>
        <v>0</v>
      </c>
      <c r="B949" s="3">
        <f>IF(OR(INDEX($O$2:$O$1001,MATCH(ROWS($N$2:N949),$N$2:$N$1001,0),1)&gt;=100000,INDEX($U$1005:$AC$1005,1,MATCH(COLUMNS($U$1006:U1006),$U$1006:$AC$1006,0))&gt;=100000), " ",IF(INDEX($U$2:$AC$1001,MATCH(ROWS($N$2:N949),$N$2:$N$1001,0),MATCH(COLUMNS($U$1006:U1006),$U$1006:$AC$1006,0)), HYPERLINK("#",""), HYPERLINK(CONCATENATE("#metadata!", ADDRESS(INDEX($P$2:$P$1001,MATCH(ROWS($N$2:N949),$N$2:$N$1001,0),0), INDEX($U$1004:$AC$1004,1,MATCH(COLUMNS($U$1006:U1006),$U$1006:$AC$1006,0)))),"Fix")))</f>
        <v>0</v>
      </c>
      <c r="C949" s="3">
        <f>IF(OR(INDEX($O$2:$O$1001,MATCH(ROWS($N$2:N949),$N$2:$N$1001,0),1)&gt;=100000,INDEX($U$1005:$AC$1005,1,MATCH(COLUMNS($U$1006:V1006),$U$1006:$AC$1006,0))&gt;=100000), " ",IF(INDEX($U$2:$AC$1001,MATCH(ROWS($N$2:N949),$N$2:$N$1001,0),MATCH(COLUMNS($U$1006:V1006),$U$1006:$AC$1006,0)), HYPERLINK("#",""), HYPERLINK(CONCATENATE("#metadata!", ADDRESS(INDEX($P$2:$P$1001,MATCH(ROWS($N$2:N949),$N$2:$N$1001,0),0), INDEX($U$1004:$AC$1004,1,MATCH(COLUMNS($U$1006:V1006),$U$1006:$AC$1006,0)))),"Fix")))</f>
        <v>0</v>
      </c>
      <c r="D949" s="3">
        <f>IF(OR(INDEX($O$2:$O$1001,MATCH(ROWS($N$2:N949),$N$2:$N$1001,0),1)&gt;=100000,INDEX($U$1005:$AC$1005,1,MATCH(COLUMNS($U$1006:W1006),$U$1006:$AC$1006,0))&gt;=100000), " ",IF(INDEX($U$2:$AC$1001,MATCH(ROWS($N$2:N949),$N$2:$N$1001,0),MATCH(COLUMNS($U$1006:W1006),$U$1006:$AC$1006,0)), HYPERLINK("#",""), HYPERLINK(CONCATENATE("#metadata!", ADDRESS(INDEX($P$2:$P$1001,MATCH(ROWS($N$2:N949),$N$2:$N$1001,0),0), INDEX($U$1004:$AC$1004,1,MATCH(COLUMNS($U$1006:W1006),$U$1006:$AC$1006,0)))),"Fix")))</f>
        <v>0</v>
      </c>
      <c r="E949" s="3">
        <f>IF(OR(INDEX($O$2:$O$1001,MATCH(ROWS($N$2:N949),$N$2:$N$1001,0),1)&gt;=100000,INDEX($U$1005:$AC$1005,1,MATCH(COLUMNS($U$1006:X1006),$U$1006:$AC$1006,0))&gt;=100000), " ",IF(INDEX($U$2:$AC$1001,MATCH(ROWS($N$2:N949),$N$2:$N$1001,0),MATCH(COLUMNS($U$1006:X1006),$U$1006:$AC$1006,0)), HYPERLINK("#",""), HYPERLINK(CONCATENATE("#metadata!", ADDRESS(INDEX($P$2:$P$1001,MATCH(ROWS($N$2:N949),$N$2:$N$1001,0),0), INDEX($U$1004:$AC$1004,1,MATCH(COLUMNS($U$1006:X1006),$U$1006:$AC$1006,0)))),"Fix")))</f>
        <v>0</v>
      </c>
      <c r="F949" s="3">
        <f>IF(OR(INDEX($O$2:$O$1001,MATCH(ROWS($N$2:N949),$N$2:$N$1001,0),1)&gt;=100000,INDEX($U$1005:$AC$1005,1,MATCH(COLUMNS($U$1006:Y1006),$U$1006:$AC$1006,0))&gt;=100000), " ",IF(INDEX($U$2:$AC$1001,MATCH(ROWS($N$2:N949),$N$2:$N$1001,0),MATCH(COLUMNS($U$1006:Y1006),$U$1006:$AC$1006,0)), HYPERLINK("#",""), HYPERLINK(CONCATENATE("#metadata!", ADDRESS(INDEX($P$2:$P$1001,MATCH(ROWS($N$2:N949),$N$2:$N$1001,0),0), INDEX($U$1004:$AC$1004,1,MATCH(COLUMNS($U$1006:Y1006),$U$1006:$AC$1006,0)))),"Fix")))</f>
        <v>0</v>
      </c>
      <c r="G949" s="3">
        <f>IF(OR(INDEX($O$2:$O$1001,MATCH(ROWS($N$2:N949),$N$2:$N$1001,0),1)&gt;=100000,INDEX($U$1005:$AC$1005,1,MATCH(COLUMNS($U$1006:Z1006),$U$1006:$AC$1006,0))&gt;=100000), " ",IF(INDEX($U$2:$AC$1001,MATCH(ROWS($N$2:N949),$N$2:$N$1001,0),MATCH(COLUMNS($U$1006:Z1006),$U$1006:$AC$1006,0)), HYPERLINK("#",""), HYPERLINK(CONCATENATE("#metadata!", ADDRESS(INDEX($P$2:$P$1001,MATCH(ROWS($N$2:N949),$N$2:$N$1001,0),0), INDEX($U$1004:$AC$1004,1,MATCH(COLUMNS($U$1006:Z1006),$U$1006:$AC$1006,0)))),"Fix")))</f>
        <v>0</v>
      </c>
      <c r="H949" s="3">
        <f>IF(OR(INDEX($O$2:$O$1001,MATCH(ROWS($N$2:N949),$N$2:$N$1001,0),1)&gt;=100000,INDEX($U$1005:$AC$1005,1,MATCH(COLUMNS($U$1006:AA1006),$U$1006:$AC$1006,0))&gt;=100000), " ",IF(INDEX($U$2:$AC$1001,MATCH(ROWS($N$2:N949),$N$2:$N$1001,0),MATCH(COLUMNS($U$1006:AA1006),$U$1006:$AC$1006,0)), HYPERLINK("#",""), HYPERLINK(CONCATENATE("#metadata!", ADDRESS(INDEX($P$2:$P$1001,MATCH(ROWS($N$2:N949),$N$2:$N$1001,0),0), INDEX($U$1004:$AC$1004,1,MATCH(COLUMNS($U$1006:AA1006),$U$1006:$AC$1006,0)))),"Fix")))</f>
        <v>0</v>
      </c>
      <c r="I949" s="3">
        <f>IF(OR(INDEX($O$2:$O$1001,MATCH(ROWS($N$2:N949),$N$2:$N$1001,0),1)&gt;=100000,INDEX($U$1005:$AC$1005,1,MATCH(COLUMNS($U$1006:AB1006),$U$1006:$AC$1006,0))&gt;=100000), " ",IF(INDEX($U$2:$AC$1001,MATCH(ROWS($N$2:N949),$N$2:$N$1001,0),MATCH(COLUMNS($U$1006:AB1006),$U$1006:$AC$1006,0)), HYPERLINK("#",""), HYPERLINK(CONCATENATE("#metadata!", ADDRESS(INDEX($P$2:$P$1001,MATCH(ROWS($N$2:N949),$N$2:$N$1001,0),0), INDEX($U$1004:$AC$1004,1,MATCH(COLUMNS($U$1006:AB1006),$U$1006:$AC$1006,0)))),"Fix")))</f>
        <v>0</v>
      </c>
      <c r="J949" s="3">
        <f>IF(OR(INDEX($O$2:$O$1001,MATCH(ROWS($N$2:N949),$N$2:$N$1001,0),1)&gt;=100000,INDEX($U$1005:$AC$1005,1,MATCH(COLUMNS($U$1006:AC1006),$U$1006:$AC$1006,0))&gt;=100000), " ",IF(INDEX($U$2:$AC$1001,MATCH(ROWS($N$2:N949),$N$2:$N$1001,0),MATCH(COLUMNS($U$1006:AC1006),$U$1006:$AC$1006,0)), HYPERLINK("#",""), HYPERLINK(CONCATENATE("#metadata!", ADDRESS(INDEX($P$2:$P$1001,MATCH(ROWS($N$2:N949),$N$2:$N$1001,0),0), INDEX($U$1004:$AC$1004,1,MATCH(COLUMNS($U$1006:AC1006),$U$1006:$AC$1006,0)))),"Fix")))</f>
        <v>0</v>
      </c>
      <c r="N949">
        <v>0</v>
      </c>
      <c r="O949">
        <v>0</v>
      </c>
      <c r="P949">
        <v>0</v>
      </c>
      <c r="Q949">
        <f>IF(R949,TRUE,AND(U949:AC949))</f>
        <v>0</v>
      </c>
      <c r="R949">
        <f>COUNTBLANK(metadata!B949:J949)=COLUMNS(metadata!B949:J949)</f>
        <v>0</v>
      </c>
      <c r="S949">
        <v>0</v>
      </c>
      <c r="U949">
        <f>AND(IF(metadata!B949="",FALSE,TRUE),COUNTIF(metadata!B:B, metadata!B949) = 1,NOT(ISERROR(SUMPRODUCT(SEARCH(MID(metadata!B949,ROW(INDIRECT("1:"&amp;LEN(metadata!B949))), 1),"0123456789abcdefghijklmnopqrstuvwxyzABCDEFGHIJKLMNOPQRSTUVWXYZ.")))))</f>
        <v>0</v>
      </c>
      <c r="V949">
        <f>AND(IF(metadata!C949="",FALSE,TRUE),exact(metadata!C949,"UBERON:genitourinary"))</f>
        <v>0</v>
      </c>
      <c r="W949">
        <f>AND(IF(metadata!D949="",FALSE,TRUE),exact(metadata!D949,"UBERON:urine"))</f>
        <v>0</v>
      </c>
      <c r="X949">
        <f>AND(IF(metadata!E949="",FALSE,TRUE),exact(metadata!E949,"UBERON:kidney"))</f>
        <v>0</v>
      </c>
      <c r="Y949">
        <f>AND(IF(metadata!F949="",FALSE,TRUE),exact(metadata!F949,"animal corpus"))</f>
        <v>0</v>
      </c>
      <c r="Z949">
        <f>AND(IF(metadata!G949="",FALSE,TRUE),exact(metadata!G949,"urine"))</f>
        <v>0</v>
      </c>
      <c r="AA949">
        <f>AND(IF(metadata!H949="",FALSE,TRUE),exact(metadata!H949,"urine"))</f>
        <v>0</v>
      </c>
      <c r="AB949">
        <f>AND(IF(metadata!I949="",FALSE,TRUE),exact(metadata!I949,"urine metagenome"))</f>
        <v>0</v>
      </c>
      <c r="AC949">
        <f>AND(IF(metadata!J949="",FALSE,TRUE),exact(metadata!J949,"1346744"))</f>
        <v>0</v>
      </c>
    </row>
    <row r="950" spans="1:29">
      <c r="A950" s="4">
        <f>IF(B950=" "," ",HYPERLINK(CONCATENATE("#metadata!",ADDRESS(INDEX($P$2:$P$1001,MATCH(ROWS($N$2:N950),$N$2:$N$1001,0),0),1)),INDEX($S$2:$S$1001,MATCH(ROWS($N$2:N950),$N$2:$N$1001,0),0)))</f>
        <v>0</v>
      </c>
      <c r="B950" s="3">
        <f>IF(OR(INDEX($O$2:$O$1001,MATCH(ROWS($N$2:N950),$N$2:$N$1001,0),1)&gt;=100000,INDEX($U$1005:$AC$1005,1,MATCH(COLUMNS($U$1006:U1006),$U$1006:$AC$1006,0))&gt;=100000), " ",IF(INDEX($U$2:$AC$1001,MATCH(ROWS($N$2:N950),$N$2:$N$1001,0),MATCH(COLUMNS($U$1006:U1006),$U$1006:$AC$1006,0)), HYPERLINK("#",""), HYPERLINK(CONCATENATE("#metadata!", ADDRESS(INDEX($P$2:$P$1001,MATCH(ROWS($N$2:N950),$N$2:$N$1001,0),0), INDEX($U$1004:$AC$1004,1,MATCH(COLUMNS($U$1006:U1006),$U$1006:$AC$1006,0)))),"Fix")))</f>
        <v>0</v>
      </c>
      <c r="C950" s="3">
        <f>IF(OR(INDEX($O$2:$O$1001,MATCH(ROWS($N$2:N950),$N$2:$N$1001,0),1)&gt;=100000,INDEX($U$1005:$AC$1005,1,MATCH(COLUMNS($U$1006:V1006),$U$1006:$AC$1006,0))&gt;=100000), " ",IF(INDEX($U$2:$AC$1001,MATCH(ROWS($N$2:N950),$N$2:$N$1001,0),MATCH(COLUMNS($U$1006:V1006),$U$1006:$AC$1006,0)), HYPERLINK("#",""), HYPERLINK(CONCATENATE("#metadata!", ADDRESS(INDEX($P$2:$P$1001,MATCH(ROWS($N$2:N950),$N$2:$N$1001,0),0), INDEX($U$1004:$AC$1004,1,MATCH(COLUMNS($U$1006:V1006),$U$1006:$AC$1006,0)))),"Fix")))</f>
        <v>0</v>
      </c>
      <c r="D950" s="3">
        <f>IF(OR(INDEX($O$2:$O$1001,MATCH(ROWS($N$2:N950),$N$2:$N$1001,0),1)&gt;=100000,INDEX($U$1005:$AC$1005,1,MATCH(COLUMNS($U$1006:W1006),$U$1006:$AC$1006,0))&gt;=100000), " ",IF(INDEX($U$2:$AC$1001,MATCH(ROWS($N$2:N950),$N$2:$N$1001,0),MATCH(COLUMNS($U$1006:W1006),$U$1006:$AC$1006,0)), HYPERLINK("#",""), HYPERLINK(CONCATENATE("#metadata!", ADDRESS(INDEX($P$2:$P$1001,MATCH(ROWS($N$2:N950),$N$2:$N$1001,0),0), INDEX($U$1004:$AC$1004,1,MATCH(COLUMNS($U$1006:W1006),$U$1006:$AC$1006,0)))),"Fix")))</f>
        <v>0</v>
      </c>
      <c r="E950" s="3">
        <f>IF(OR(INDEX($O$2:$O$1001,MATCH(ROWS($N$2:N950),$N$2:$N$1001,0),1)&gt;=100000,INDEX($U$1005:$AC$1005,1,MATCH(COLUMNS($U$1006:X1006),$U$1006:$AC$1006,0))&gt;=100000), " ",IF(INDEX($U$2:$AC$1001,MATCH(ROWS($N$2:N950),$N$2:$N$1001,0),MATCH(COLUMNS($U$1006:X1006),$U$1006:$AC$1006,0)), HYPERLINK("#",""), HYPERLINK(CONCATENATE("#metadata!", ADDRESS(INDEX($P$2:$P$1001,MATCH(ROWS($N$2:N950),$N$2:$N$1001,0),0), INDEX($U$1004:$AC$1004,1,MATCH(COLUMNS($U$1006:X1006),$U$1006:$AC$1006,0)))),"Fix")))</f>
        <v>0</v>
      </c>
      <c r="F950" s="3">
        <f>IF(OR(INDEX($O$2:$O$1001,MATCH(ROWS($N$2:N950),$N$2:$N$1001,0),1)&gt;=100000,INDEX($U$1005:$AC$1005,1,MATCH(COLUMNS($U$1006:Y1006),$U$1006:$AC$1006,0))&gt;=100000), " ",IF(INDEX($U$2:$AC$1001,MATCH(ROWS($N$2:N950),$N$2:$N$1001,0),MATCH(COLUMNS($U$1006:Y1006),$U$1006:$AC$1006,0)), HYPERLINK("#",""), HYPERLINK(CONCATENATE("#metadata!", ADDRESS(INDEX($P$2:$P$1001,MATCH(ROWS($N$2:N950),$N$2:$N$1001,0),0), INDEX($U$1004:$AC$1004,1,MATCH(COLUMNS($U$1006:Y1006),$U$1006:$AC$1006,0)))),"Fix")))</f>
        <v>0</v>
      </c>
      <c r="G950" s="3">
        <f>IF(OR(INDEX($O$2:$O$1001,MATCH(ROWS($N$2:N950),$N$2:$N$1001,0),1)&gt;=100000,INDEX($U$1005:$AC$1005,1,MATCH(COLUMNS($U$1006:Z1006),$U$1006:$AC$1006,0))&gt;=100000), " ",IF(INDEX($U$2:$AC$1001,MATCH(ROWS($N$2:N950),$N$2:$N$1001,0),MATCH(COLUMNS($U$1006:Z1006),$U$1006:$AC$1006,0)), HYPERLINK("#",""), HYPERLINK(CONCATENATE("#metadata!", ADDRESS(INDEX($P$2:$P$1001,MATCH(ROWS($N$2:N950),$N$2:$N$1001,0),0), INDEX($U$1004:$AC$1004,1,MATCH(COLUMNS($U$1006:Z1006),$U$1006:$AC$1006,0)))),"Fix")))</f>
        <v>0</v>
      </c>
      <c r="H950" s="3">
        <f>IF(OR(INDEX($O$2:$O$1001,MATCH(ROWS($N$2:N950),$N$2:$N$1001,0),1)&gt;=100000,INDEX($U$1005:$AC$1005,1,MATCH(COLUMNS($U$1006:AA1006),$U$1006:$AC$1006,0))&gt;=100000), " ",IF(INDEX($U$2:$AC$1001,MATCH(ROWS($N$2:N950),$N$2:$N$1001,0),MATCH(COLUMNS($U$1006:AA1006),$U$1006:$AC$1006,0)), HYPERLINK("#",""), HYPERLINK(CONCATENATE("#metadata!", ADDRESS(INDEX($P$2:$P$1001,MATCH(ROWS($N$2:N950),$N$2:$N$1001,0),0), INDEX($U$1004:$AC$1004,1,MATCH(COLUMNS($U$1006:AA1006),$U$1006:$AC$1006,0)))),"Fix")))</f>
        <v>0</v>
      </c>
      <c r="I950" s="3">
        <f>IF(OR(INDEX($O$2:$O$1001,MATCH(ROWS($N$2:N950),$N$2:$N$1001,0),1)&gt;=100000,INDEX($U$1005:$AC$1005,1,MATCH(COLUMNS($U$1006:AB1006),$U$1006:$AC$1006,0))&gt;=100000), " ",IF(INDEX($U$2:$AC$1001,MATCH(ROWS($N$2:N950),$N$2:$N$1001,0),MATCH(COLUMNS($U$1006:AB1006),$U$1006:$AC$1006,0)), HYPERLINK("#",""), HYPERLINK(CONCATENATE("#metadata!", ADDRESS(INDEX($P$2:$P$1001,MATCH(ROWS($N$2:N950),$N$2:$N$1001,0),0), INDEX($U$1004:$AC$1004,1,MATCH(COLUMNS($U$1006:AB1006),$U$1006:$AC$1006,0)))),"Fix")))</f>
        <v>0</v>
      </c>
      <c r="J950" s="3">
        <f>IF(OR(INDEX($O$2:$O$1001,MATCH(ROWS($N$2:N950),$N$2:$N$1001,0),1)&gt;=100000,INDEX($U$1005:$AC$1005,1,MATCH(COLUMNS($U$1006:AC1006),$U$1006:$AC$1006,0))&gt;=100000), " ",IF(INDEX($U$2:$AC$1001,MATCH(ROWS($N$2:N950),$N$2:$N$1001,0),MATCH(COLUMNS($U$1006:AC1006),$U$1006:$AC$1006,0)), HYPERLINK("#",""), HYPERLINK(CONCATENATE("#metadata!", ADDRESS(INDEX($P$2:$P$1001,MATCH(ROWS($N$2:N950),$N$2:$N$1001,0),0), INDEX($U$1004:$AC$1004,1,MATCH(COLUMNS($U$1006:AC1006),$U$1006:$AC$1006,0)))),"Fix")))</f>
        <v>0</v>
      </c>
      <c r="N950">
        <v>0</v>
      </c>
      <c r="O950">
        <v>0</v>
      </c>
      <c r="P950">
        <v>0</v>
      </c>
      <c r="Q950">
        <f>IF(R950,TRUE,AND(U950:AC950))</f>
        <v>0</v>
      </c>
      <c r="R950">
        <f>COUNTBLANK(metadata!B950:J950)=COLUMNS(metadata!B950:J950)</f>
        <v>0</v>
      </c>
      <c r="S950">
        <v>0</v>
      </c>
      <c r="U950">
        <f>AND(IF(metadata!B950="",FALSE,TRUE),COUNTIF(metadata!B:B, metadata!B950) = 1,NOT(ISERROR(SUMPRODUCT(SEARCH(MID(metadata!B950,ROW(INDIRECT("1:"&amp;LEN(metadata!B950))), 1),"0123456789abcdefghijklmnopqrstuvwxyzABCDEFGHIJKLMNOPQRSTUVWXYZ.")))))</f>
        <v>0</v>
      </c>
      <c r="V950">
        <f>AND(IF(metadata!C950="",FALSE,TRUE),exact(metadata!C950,"UBERON:genitourinary"))</f>
        <v>0</v>
      </c>
      <c r="W950">
        <f>AND(IF(metadata!D950="",FALSE,TRUE),exact(metadata!D950,"UBERON:urine"))</f>
        <v>0</v>
      </c>
      <c r="X950">
        <f>AND(IF(metadata!E950="",FALSE,TRUE),exact(metadata!E950,"UBERON:kidney"))</f>
        <v>0</v>
      </c>
      <c r="Y950">
        <f>AND(IF(metadata!F950="",FALSE,TRUE),exact(metadata!F950,"animal corpus"))</f>
        <v>0</v>
      </c>
      <c r="Z950">
        <f>AND(IF(metadata!G950="",FALSE,TRUE),exact(metadata!G950,"urine"))</f>
        <v>0</v>
      </c>
      <c r="AA950">
        <f>AND(IF(metadata!H950="",FALSE,TRUE),exact(metadata!H950,"urine"))</f>
        <v>0</v>
      </c>
      <c r="AB950">
        <f>AND(IF(metadata!I950="",FALSE,TRUE),exact(metadata!I950,"urine metagenome"))</f>
        <v>0</v>
      </c>
      <c r="AC950">
        <f>AND(IF(metadata!J950="",FALSE,TRUE),exact(metadata!J950,"1346744"))</f>
        <v>0</v>
      </c>
    </row>
    <row r="951" spans="1:29">
      <c r="A951" s="4">
        <f>IF(B951=" "," ",HYPERLINK(CONCATENATE("#metadata!",ADDRESS(INDEX($P$2:$P$1001,MATCH(ROWS($N$2:N951),$N$2:$N$1001,0),0),1)),INDEX($S$2:$S$1001,MATCH(ROWS($N$2:N951),$N$2:$N$1001,0),0)))</f>
        <v>0</v>
      </c>
      <c r="B951" s="3">
        <f>IF(OR(INDEX($O$2:$O$1001,MATCH(ROWS($N$2:N951),$N$2:$N$1001,0),1)&gt;=100000,INDEX($U$1005:$AC$1005,1,MATCH(COLUMNS($U$1006:U1006),$U$1006:$AC$1006,0))&gt;=100000), " ",IF(INDEX($U$2:$AC$1001,MATCH(ROWS($N$2:N951),$N$2:$N$1001,0),MATCH(COLUMNS($U$1006:U1006),$U$1006:$AC$1006,0)), HYPERLINK("#",""), HYPERLINK(CONCATENATE("#metadata!", ADDRESS(INDEX($P$2:$P$1001,MATCH(ROWS($N$2:N951),$N$2:$N$1001,0),0), INDEX($U$1004:$AC$1004,1,MATCH(COLUMNS($U$1006:U1006),$U$1006:$AC$1006,0)))),"Fix")))</f>
        <v>0</v>
      </c>
      <c r="C951" s="3">
        <f>IF(OR(INDEX($O$2:$O$1001,MATCH(ROWS($N$2:N951),$N$2:$N$1001,0),1)&gt;=100000,INDEX($U$1005:$AC$1005,1,MATCH(COLUMNS($U$1006:V1006),$U$1006:$AC$1006,0))&gt;=100000), " ",IF(INDEX($U$2:$AC$1001,MATCH(ROWS($N$2:N951),$N$2:$N$1001,0),MATCH(COLUMNS($U$1006:V1006),$U$1006:$AC$1006,0)), HYPERLINK("#",""), HYPERLINK(CONCATENATE("#metadata!", ADDRESS(INDEX($P$2:$P$1001,MATCH(ROWS($N$2:N951),$N$2:$N$1001,0),0), INDEX($U$1004:$AC$1004,1,MATCH(COLUMNS($U$1006:V1006),$U$1006:$AC$1006,0)))),"Fix")))</f>
        <v>0</v>
      </c>
      <c r="D951" s="3">
        <f>IF(OR(INDEX($O$2:$O$1001,MATCH(ROWS($N$2:N951),$N$2:$N$1001,0),1)&gt;=100000,INDEX($U$1005:$AC$1005,1,MATCH(COLUMNS($U$1006:W1006),$U$1006:$AC$1006,0))&gt;=100000), " ",IF(INDEX($U$2:$AC$1001,MATCH(ROWS($N$2:N951),$N$2:$N$1001,0),MATCH(COLUMNS($U$1006:W1006),$U$1006:$AC$1006,0)), HYPERLINK("#",""), HYPERLINK(CONCATENATE("#metadata!", ADDRESS(INDEX($P$2:$P$1001,MATCH(ROWS($N$2:N951),$N$2:$N$1001,0),0), INDEX($U$1004:$AC$1004,1,MATCH(COLUMNS($U$1006:W1006),$U$1006:$AC$1006,0)))),"Fix")))</f>
        <v>0</v>
      </c>
      <c r="E951" s="3">
        <f>IF(OR(INDEX($O$2:$O$1001,MATCH(ROWS($N$2:N951),$N$2:$N$1001,0),1)&gt;=100000,INDEX($U$1005:$AC$1005,1,MATCH(COLUMNS($U$1006:X1006),$U$1006:$AC$1006,0))&gt;=100000), " ",IF(INDEX($U$2:$AC$1001,MATCH(ROWS($N$2:N951),$N$2:$N$1001,0),MATCH(COLUMNS($U$1006:X1006),$U$1006:$AC$1006,0)), HYPERLINK("#",""), HYPERLINK(CONCATENATE("#metadata!", ADDRESS(INDEX($P$2:$P$1001,MATCH(ROWS($N$2:N951),$N$2:$N$1001,0),0), INDEX($U$1004:$AC$1004,1,MATCH(COLUMNS($U$1006:X1006),$U$1006:$AC$1006,0)))),"Fix")))</f>
        <v>0</v>
      </c>
      <c r="F951" s="3">
        <f>IF(OR(INDEX($O$2:$O$1001,MATCH(ROWS($N$2:N951),$N$2:$N$1001,0),1)&gt;=100000,INDEX($U$1005:$AC$1005,1,MATCH(COLUMNS($U$1006:Y1006),$U$1006:$AC$1006,0))&gt;=100000), " ",IF(INDEX($U$2:$AC$1001,MATCH(ROWS($N$2:N951),$N$2:$N$1001,0),MATCH(COLUMNS($U$1006:Y1006),$U$1006:$AC$1006,0)), HYPERLINK("#",""), HYPERLINK(CONCATENATE("#metadata!", ADDRESS(INDEX($P$2:$P$1001,MATCH(ROWS($N$2:N951),$N$2:$N$1001,0),0), INDEX($U$1004:$AC$1004,1,MATCH(COLUMNS($U$1006:Y1006),$U$1006:$AC$1006,0)))),"Fix")))</f>
        <v>0</v>
      </c>
      <c r="G951" s="3">
        <f>IF(OR(INDEX($O$2:$O$1001,MATCH(ROWS($N$2:N951),$N$2:$N$1001,0),1)&gt;=100000,INDEX($U$1005:$AC$1005,1,MATCH(COLUMNS($U$1006:Z1006),$U$1006:$AC$1006,0))&gt;=100000), " ",IF(INDEX($U$2:$AC$1001,MATCH(ROWS($N$2:N951),$N$2:$N$1001,0),MATCH(COLUMNS($U$1006:Z1006),$U$1006:$AC$1006,0)), HYPERLINK("#",""), HYPERLINK(CONCATENATE("#metadata!", ADDRESS(INDEX($P$2:$P$1001,MATCH(ROWS($N$2:N951),$N$2:$N$1001,0),0), INDEX($U$1004:$AC$1004,1,MATCH(COLUMNS($U$1006:Z1006),$U$1006:$AC$1006,0)))),"Fix")))</f>
        <v>0</v>
      </c>
      <c r="H951" s="3">
        <f>IF(OR(INDEX($O$2:$O$1001,MATCH(ROWS($N$2:N951),$N$2:$N$1001,0),1)&gt;=100000,INDEX($U$1005:$AC$1005,1,MATCH(COLUMNS($U$1006:AA1006),$U$1006:$AC$1006,0))&gt;=100000), " ",IF(INDEX($U$2:$AC$1001,MATCH(ROWS($N$2:N951),$N$2:$N$1001,0),MATCH(COLUMNS($U$1006:AA1006),$U$1006:$AC$1006,0)), HYPERLINK("#",""), HYPERLINK(CONCATENATE("#metadata!", ADDRESS(INDEX($P$2:$P$1001,MATCH(ROWS($N$2:N951),$N$2:$N$1001,0),0), INDEX($U$1004:$AC$1004,1,MATCH(COLUMNS($U$1006:AA1006),$U$1006:$AC$1006,0)))),"Fix")))</f>
        <v>0</v>
      </c>
      <c r="I951" s="3">
        <f>IF(OR(INDEX($O$2:$O$1001,MATCH(ROWS($N$2:N951),$N$2:$N$1001,0),1)&gt;=100000,INDEX($U$1005:$AC$1005,1,MATCH(COLUMNS($U$1006:AB1006),$U$1006:$AC$1006,0))&gt;=100000), " ",IF(INDEX($U$2:$AC$1001,MATCH(ROWS($N$2:N951),$N$2:$N$1001,0),MATCH(COLUMNS($U$1006:AB1006),$U$1006:$AC$1006,0)), HYPERLINK("#",""), HYPERLINK(CONCATENATE("#metadata!", ADDRESS(INDEX($P$2:$P$1001,MATCH(ROWS($N$2:N951),$N$2:$N$1001,0),0), INDEX($U$1004:$AC$1004,1,MATCH(COLUMNS($U$1006:AB1006),$U$1006:$AC$1006,0)))),"Fix")))</f>
        <v>0</v>
      </c>
      <c r="J951" s="3">
        <f>IF(OR(INDEX($O$2:$O$1001,MATCH(ROWS($N$2:N951),$N$2:$N$1001,0),1)&gt;=100000,INDEX($U$1005:$AC$1005,1,MATCH(COLUMNS($U$1006:AC1006),$U$1006:$AC$1006,0))&gt;=100000), " ",IF(INDEX($U$2:$AC$1001,MATCH(ROWS($N$2:N951),$N$2:$N$1001,0),MATCH(COLUMNS($U$1006:AC1006),$U$1006:$AC$1006,0)), HYPERLINK("#",""), HYPERLINK(CONCATENATE("#metadata!", ADDRESS(INDEX($P$2:$P$1001,MATCH(ROWS($N$2:N951),$N$2:$N$1001,0),0), INDEX($U$1004:$AC$1004,1,MATCH(COLUMNS($U$1006:AC1006),$U$1006:$AC$1006,0)))),"Fix")))</f>
        <v>0</v>
      </c>
      <c r="N951">
        <v>0</v>
      </c>
      <c r="O951">
        <v>0</v>
      </c>
      <c r="P951">
        <v>0</v>
      </c>
      <c r="Q951">
        <f>IF(R951,TRUE,AND(U951:AC951))</f>
        <v>0</v>
      </c>
      <c r="R951">
        <f>COUNTBLANK(metadata!B951:J951)=COLUMNS(metadata!B951:J951)</f>
        <v>0</v>
      </c>
      <c r="S951">
        <v>0</v>
      </c>
      <c r="U951">
        <f>AND(IF(metadata!B951="",FALSE,TRUE),COUNTIF(metadata!B:B, metadata!B951) = 1,NOT(ISERROR(SUMPRODUCT(SEARCH(MID(metadata!B951,ROW(INDIRECT("1:"&amp;LEN(metadata!B951))), 1),"0123456789abcdefghijklmnopqrstuvwxyzABCDEFGHIJKLMNOPQRSTUVWXYZ.")))))</f>
        <v>0</v>
      </c>
      <c r="V951">
        <f>AND(IF(metadata!C951="",FALSE,TRUE),exact(metadata!C951,"UBERON:genitourinary"))</f>
        <v>0</v>
      </c>
      <c r="W951">
        <f>AND(IF(metadata!D951="",FALSE,TRUE),exact(metadata!D951,"UBERON:urine"))</f>
        <v>0</v>
      </c>
      <c r="X951">
        <f>AND(IF(metadata!E951="",FALSE,TRUE),exact(metadata!E951,"UBERON:kidney"))</f>
        <v>0</v>
      </c>
      <c r="Y951">
        <f>AND(IF(metadata!F951="",FALSE,TRUE),exact(metadata!F951,"animal corpus"))</f>
        <v>0</v>
      </c>
      <c r="Z951">
        <f>AND(IF(metadata!G951="",FALSE,TRUE),exact(metadata!G951,"urine"))</f>
        <v>0</v>
      </c>
      <c r="AA951">
        <f>AND(IF(metadata!H951="",FALSE,TRUE),exact(metadata!H951,"urine"))</f>
        <v>0</v>
      </c>
      <c r="AB951">
        <f>AND(IF(metadata!I951="",FALSE,TRUE),exact(metadata!I951,"urine metagenome"))</f>
        <v>0</v>
      </c>
      <c r="AC951">
        <f>AND(IF(metadata!J951="",FALSE,TRUE),exact(metadata!J951,"1346744"))</f>
        <v>0</v>
      </c>
    </row>
    <row r="952" spans="1:29">
      <c r="A952" s="4">
        <f>IF(B952=" "," ",HYPERLINK(CONCATENATE("#metadata!",ADDRESS(INDEX($P$2:$P$1001,MATCH(ROWS($N$2:N952),$N$2:$N$1001,0),0),1)),INDEX($S$2:$S$1001,MATCH(ROWS($N$2:N952),$N$2:$N$1001,0),0)))</f>
        <v>0</v>
      </c>
      <c r="B952" s="3">
        <f>IF(OR(INDEX($O$2:$O$1001,MATCH(ROWS($N$2:N952),$N$2:$N$1001,0),1)&gt;=100000,INDEX($U$1005:$AC$1005,1,MATCH(COLUMNS($U$1006:U1006),$U$1006:$AC$1006,0))&gt;=100000), " ",IF(INDEX($U$2:$AC$1001,MATCH(ROWS($N$2:N952),$N$2:$N$1001,0),MATCH(COLUMNS($U$1006:U1006),$U$1006:$AC$1006,0)), HYPERLINK("#",""), HYPERLINK(CONCATENATE("#metadata!", ADDRESS(INDEX($P$2:$P$1001,MATCH(ROWS($N$2:N952),$N$2:$N$1001,0),0), INDEX($U$1004:$AC$1004,1,MATCH(COLUMNS($U$1006:U1006),$U$1006:$AC$1006,0)))),"Fix")))</f>
        <v>0</v>
      </c>
      <c r="C952" s="3">
        <f>IF(OR(INDEX($O$2:$O$1001,MATCH(ROWS($N$2:N952),$N$2:$N$1001,0),1)&gt;=100000,INDEX($U$1005:$AC$1005,1,MATCH(COLUMNS($U$1006:V1006),$U$1006:$AC$1006,0))&gt;=100000), " ",IF(INDEX($U$2:$AC$1001,MATCH(ROWS($N$2:N952),$N$2:$N$1001,0),MATCH(COLUMNS($U$1006:V1006),$U$1006:$AC$1006,0)), HYPERLINK("#",""), HYPERLINK(CONCATENATE("#metadata!", ADDRESS(INDEX($P$2:$P$1001,MATCH(ROWS($N$2:N952),$N$2:$N$1001,0),0), INDEX($U$1004:$AC$1004,1,MATCH(COLUMNS($U$1006:V1006),$U$1006:$AC$1006,0)))),"Fix")))</f>
        <v>0</v>
      </c>
      <c r="D952" s="3">
        <f>IF(OR(INDEX($O$2:$O$1001,MATCH(ROWS($N$2:N952),$N$2:$N$1001,0),1)&gt;=100000,INDEX($U$1005:$AC$1005,1,MATCH(COLUMNS($U$1006:W1006),$U$1006:$AC$1006,0))&gt;=100000), " ",IF(INDEX($U$2:$AC$1001,MATCH(ROWS($N$2:N952),$N$2:$N$1001,0),MATCH(COLUMNS($U$1006:W1006),$U$1006:$AC$1006,0)), HYPERLINK("#",""), HYPERLINK(CONCATENATE("#metadata!", ADDRESS(INDEX($P$2:$P$1001,MATCH(ROWS($N$2:N952),$N$2:$N$1001,0),0), INDEX($U$1004:$AC$1004,1,MATCH(COLUMNS($U$1006:W1006),$U$1006:$AC$1006,0)))),"Fix")))</f>
        <v>0</v>
      </c>
      <c r="E952" s="3">
        <f>IF(OR(INDEX($O$2:$O$1001,MATCH(ROWS($N$2:N952),$N$2:$N$1001,0),1)&gt;=100000,INDEX($U$1005:$AC$1005,1,MATCH(COLUMNS($U$1006:X1006),$U$1006:$AC$1006,0))&gt;=100000), " ",IF(INDEX($U$2:$AC$1001,MATCH(ROWS($N$2:N952),$N$2:$N$1001,0),MATCH(COLUMNS($U$1006:X1006),$U$1006:$AC$1006,0)), HYPERLINK("#",""), HYPERLINK(CONCATENATE("#metadata!", ADDRESS(INDEX($P$2:$P$1001,MATCH(ROWS($N$2:N952),$N$2:$N$1001,0),0), INDEX($U$1004:$AC$1004,1,MATCH(COLUMNS($U$1006:X1006),$U$1006:$AC$1006,0)))),"Fix")))</f>
        <v>0</v>
      </c>
      <c r="F952" s="3">
        <f>IF(OR(INDEX($O$2:$O$1001,MATCH(ROWS($N$2:N952),$N$2:$N$1001,0),1)&gt;=100000,INDEX($U$1005:$AC$1005,1,MATCH(COLUMNS($U$1006:Y1006),$U$1006:$AC$1006,0))&gt;=100000), " ",IF(INDEX($U$2:$AC$1001,MATCH(ROWS($N$2:N952),$N$2:$N$1001,0),MATCH(COLUMNS($U$1006:Y1006),$U$1006:$AC$1006,0)), HYPERLINK("#",""), HYPERLINK(CONCATENATE("#metadata!", ADDRESS(INDEX($P$2:$P$1001,MATCH(ROWS($N$2:N952),$N$2:$N$1001,0),0), INDEX($U$1004:$AC$1004,1,MATCH(COLUMNS($U$1006:Y1006),$U$1006:$AC$1006,0)))),"Fix")))</f>
        <v>0</v>
      </c>
      <c r="G952" s="3">
        <f>IF(OR(INDEX($O$2:$O$1001,MATCH(ROWS($N$2:N952),$N$2:$N$1001,0),1)&gt;=100000,INDEX($U$1005:$AC$1005,1,MATCH(COLUMNS($U$1006:Z1006),$U$1006:$AC$1006,0))&gt;=100000), " ",IF(INDEX($U$2:$AC$1001,MATCH(ROWS($N$2:N952),$N$2:$N$1001,0),MATCH(COLUMNS($U$1006:Z1006),$U$1006:$AC$1006,0)), HYPERLINK("#",""), HYPERLINK(CONCATENATE("#metadata!", ADDRESS(INDEX($P$2:$P$1001,MATCH(ROWS($N$2:N952),$N$2:$N$1001,0),0), INDEX($U$1004:$AC$1004,1,MATCH(COLUMNS($U$1006:Z1006),$U$1006:$AC$1006,0)))),"Fix")))</f>
        <v>0</v>
      </c>
      <c r="H952" s="3">
        <f>IF(OR(INDEX($O$2:$O$1001,MATCH(ROWS($N$2:N952),$N$2:$N$1001,0),1)&gt;=100000,INDEX($U$1005:$AC$1005,1,MATCH(COLUMNS($U$1006:AA1006),$U$1006:$AC$1006,0))&gt;=100000), " ",IF(INDEX($U$2:$AC$1001,MATCH(ROWS($N$2:N952),$N$2:$N$1001,0),MATCH(COLUMNS($U$1006:AA1006),$U$1006:$AC$1006,0)), HYPERLINK("#",""), HYPERLINK(CONCATENATE("#metadata!", ADDRESS(INDEX($P$2:$P$1001,MATCH(ROWS($N$2:N952),$N$2:$N$1001,0),0), INDEX($U$1004:$AC$1004,1,MATCH(COLUMNS($U$1006:AA1006),$U$1006:$AC$1006,0)))),"Fix")))</f>
        <v>0</v>
      </c>
      <c r="I952" s="3">
        <f>IF(OR(INDEX($O$2:$O$1001,MATCH(ROWS($N$2:N952),$N$2:$N$1001,0),1)&gt;=100000,INDEX($U$1005:$AC$1005,1,MATCH(COLUMNS($U$1006:AB1006),$U$1006:$AC$1006,0))&gt;=100000), " ",IF(INDEX($U$2:$AC$1001,MATCH(ROWS($N$2:N952),$N$2:$N$1001,0),MATCH(COLUMNS($U$1006:AB1006),$U$1006:$AC$1006,0)), HYPERLINK("#",""), HYPERLINK(CONCATENATE("#metadata!", ADDRESS(INDEX($P$2:$P$1001,MATCH(ROWS($N$2:N952),$N$2:$N$1001,0),0), INDEX($U$1004:$AC$1004,1,MATCH(COLUMNS($U$1006:AB1006),$U$1006:$AC$1006,0)))),"Fix")))</f>
        <v>0</v>
      </c>
      <c r="J952" s="3">
        <f>IF(OR(INDEX($O$2:$O$1001,MATCH(ROWS($N$2:N952),$N$2:$N$1001,0),1)&gt;=100000,INDEX($U$1005:$AC$1005,1,MATCH(COLUMNS($U$1006:AC1006),$U$1006:$AC$1006,0))&gt;=100000), " ",IF(INDEX($U$2:$AC$1001,MATCH(ROWS($N$2:N952),$N$2:$N$1001,0),MATCH(COLUMNS($U$1006:AC1006),$U$1006:$AC$1006,0)), HYPERLINK("#",""), HYPERLINK(CONCATENATE("#metadata!", ADDRESS(INDEX($P$2:$P$1001,MATCH(ROWS($N$2:N952),$N$2:$N$1001,0),0), INDEX($U$1004:$AC$1004,1,MATCH(COLUMNS($U$1006:AC1006),$U$1006:$AC$1006,0)))),"Fix")))</f>
        <v>0</v>
      </c>
      <c r="N952">
        <v>0</v>
      </c>
      <c r="O952">
        <v>0</v>
      </c>
      <c r="P952">
        <v>0</v>
      </c>
      <c r="Q952">
        <f>IF(R952,TRUE,AND(U952:AC952))</f>
        <v>0</v>
      </c>
      <c r="R952">
        <f>COUNTBLANK(metadata!B952:J952)=COLUMNS(metadata!B952:J952)</f>
        <v>0</v>
      </c>
      <c r="S952">
        <v>0</v>
      </c>
      <c r="U952">
        <f>AND(IF(metadata!B952="",FALSE,TRUE),COUNTIF(metadata!B:B, metadata!B952) = 1,NOT(ISERROR(SUMPRODUCT(SEARCH(MID(metadata!B952,ROW(INDIRECT("1:"&amp;LEN(metadata!B952))), 1),"0123456789abcdefghijklmnopqrstuvwxyzABCDEFGHIJKLMNOPQRSTUVWXYZ.")))))</f>
        <v>0</v>
      </c>
      <c r="V952">
        <f>AND(IF(metadata!C952="",FALSE,TRUE),exact(metadata!C952,"UBERON:genitourinary"))</f>
        <v>0</v>
      </c>
      <c r="W952">
        <f>AND(IF(metadata!D952="",FALSE,TRUE),exact(metadata!D952,"UBERON:urine"))</f>
        <v>0</v>
      </c>
      <c r="X952">
        <f>AND(IF(metadata!E952="",FALSE,TRUE),exact(metadata!E952,"UBERON:kidney"))</f>
        <v>0</v>
      </c>
      <c r="Y952">
        <f>AND(IF(metadata!F952="",FALSE,TRUE),exact(metadata!F952,"animal corpus"))</f>
        <v>0</v>
      </c>
      <c r="Z952">
        <f>AND(IF(metadata!G952="",FALSE,TRUE),exact(metadata!G952,"urine"))</f>
        <v>0</v>
      </c>
      <c r="AA952">
        <f>AND(IF(metadata!H952="",FALSE,TRUE),exact(metadata!H952,"urine"))</f>
        <v>0</v>
      </c>
      <c r="AB952">
        <f>AND(IF(metadata!I952="",FALSE,TRUE),exact(metadata!I952,"urine metagenome"))</f>
        <v>0</v>
      </c>
      <c r="AC952">
        <f>AND(IF(metadata!J952="",FALSE,TRUE),exact(metadata!J952,"1346744"))</f>
        <v>0</v>
      </c>
    </row>
    <row r="953" spans="1:29">
      <c r="A953" s="4">
        <f>IF(B953=" "," ",HYPERLINK(CONCATENATE("#metadata!",ADDRESS(INDEX($P$2:$P$1001,MATCH(ROWS($N$2:N953),$N$2:$N$1001,0),0),1)),INDEX($S$2:$S$1001,MATCH(ROWS($N$2:N953),$N$2:$N$1001,0),0)))</f>
        <v>0</v>
      </c>
      <c r="B953" s="3">
        <f>IF(OR(INDEX($O$2:$O$1001,MATCH(ROWS($N$2:N953),$N$2:$N$1001,0),1)&gt;=100000,INDEX($U$1005:$AC$1005,1,MATCH(COLUMNS($U$1006:U1006),$U$1006:$AC$1006,0))&gt;=100000), " ",IF(INDEX($U$2:$AC$1001,MATCH(ROWS($N$2:N953),$N$2:$N$1001,0),MATCH(COLUMNS($U$1006:U1006),$U$1006:$AC$1006,0)), HYPERLINK("#",""), HYPERLINK(CONCATENATE("#metadata!", ADDRESS(INDEX($P$2:$P$1001,MATCH(ROWS($N$2:N953),$N$2:$N$1001,0),0), INDEX($U$1004:$AC$1004,1,MATCH(COLUMNS($U$1006:U1006),$U$1006:$AC$1006,0)))),"Fix")))</f>
        <v>0</v>
      </c>
      <c r="C953" s="3">
        <f>IF(OR(INDEX($O$2:$O$1001,MATCH(ROWS($N$2:N953),$N$2:$N$1001,0),1)&gt;=100000,INDEX($U$1005:$AC$1005,1,MATCH(COLUMNS($U$1006:V1006),$U$1006:$AC$1006,0))&gt;=100000), " ",IF(INDEX($U$2:$AC$1001,MATCH(ROWS($N$2:N953),$N$2:$N$1001,0),MATCH(COLUMNS($U$1006:V1006),$U$1006:$AC$1006,0)), HYPERLINK("#",""), HYPERLINK(CONCATENATE("#metadata!", ADDRESS(INDEX($P$2:$P$1001,MATCH(ROWS($N$2:N953),$N$2:$N$1001,0),0), INDEX($U$1004:$AC$1004,1,MATCH(COLUMNS($U$1006:V1006),$U$1006:$AC$1006,0)))),"Fix")))</f>
        <v>0</v>
      </c>
      <c r="D953" s="3">
        <f>IF(OR(INDEX($O$2:$O$1001,MATCH(ROWS($N$2:N953),$N$2:$N$1001,0),1)&gt;=100000,INDEX($U$1005:$AC$1005,1,MATCH(COLUMNS($U$1006:W1006),$U$1006:$AC$1006,0))&gt;=100000), " ",IF(INDEX($U$2:$AC$1001,MATCH(ROWS($N$2:N953),$N$2:$N$1001,0),MATCH(COLUMNS($U$1006:W1006),$U$1006:$AC$1006,0)), HYPERLINK("#",""), HYPERLINK(CONCATENATE("#metadata!", ADDRESS(INDEX($P$2:$P$1001,MATCH(ROWS($N$2:N953),$N$2:$N$1001,0),0), INDEX($U$1004:$AC$1004,1,MATCH(COLUMNS($U$1006:W1006),$U$1006:$AC$1006,0)))),"Fix")))</f>
        <v>0</v>
      </c>
      <c r="E953" s="3">
        <f>IF(OR(INDEX($O$2:$O$1001,MATCH(ROWS($N$2:N953),$N$2:$N$1001,0),1)&gt;=100000,INDEX($U$1005:$AC$1005,1,MATCH(COLUMNS($U$1006:X1006),$U$1006:$AC$1006,0))&gt;=100000), " ",IF(INDEX($U$2:$AC$1001,MATCH(ROWS($N$2:N953),$N$2:$N$1001,0),MATCH(COLUMNS($U$1006:X1006),$U$1006:$AC$1006,0)), HYPERLINK("#",""), HYPERLINK(CONCATENATE("#metadata!", ADDRESS(INDEX($P$2:$P$1001,MATCH(ROWS($N$2:N953),$N$2:$N$1001,0),0), INDEX($U$1004:$AC$1004,1,MATCH(COLUMNS($U$1006:X1006),$U$1006:$AC$1006,0)))),"Fix")))</f>
        <v>0</v>
      </c>
      <c r="F953" s="3">
        <f>IF(OR(INDEX($O$2:$O$1001,MATCH(ROWS($N$2:N953),$N$2:$N$1001,0),1)&gt;=100000,INDEX($U$1005:$AC$1005,1,MATCH(COLUMNS($U$1006:Y1006),$U$1006:$AC$1006,0))&gt;=100000), " ",IF(INDEX($U$2:$AC$1001,MATCH(ROWS($N$2:N953),$N$2:$N$1001,0),MATCH(COLUMNS($U$1006:Y1006),$U$1006:$AC$1006,0)), HYPERLINK("#",""), HYPERLINK(CONCATENATE("#metadata!", ADDRESS(INDEX($P$2:$P$1001,MATCH(ROWS($N$2:N953),$N$2:$N$1001,0),0), INDEX($U$1004:$AC$1004,1,MATCH(COLUMNS($U$1006:Y1006),$U$1006:$AC$1006,0)))),"Fix")))</f>
        <v>0</v>
      </c>
      <c r="G953" s="3">
        <f>IF(OR(INDEX($O$2:$O$1001,MATCH(ROWS($N$2:N953),$N$2:$N$1001,0),1)&gt;=100000,INDEX($U$1005:$AC$1005,1,MATCH(COLUMNS($U$1006:Z1006),$U$1006:$AC$1006,0))&gt;=100000), " ",IF(INDEX($U$2:$AC$1001,MATCH(ROWS($N$2:N953),$N$2:$N$1001,0),MATCH(COLUMNS($U$1006:Z1006),$U$1006:$AC$1006,0)), HYPERLINK("#",""), HYPERLINK(CONCATENATE("#metadata!", ADDRESS(INDEX($P$2:$P$1001,MATCH(ROWS($N$2:N953),$N$2:$N$1001,0),0), INDEX($U$1004:$AC$1004,1,MATCH(COLUMNS($U$1006:Z1006),$U$1006:$AC$1006,0)))),"Fix")))</f>
        <v>0</v>
      </c>
      <c r="H953" s="3">
        <f>IF(OR(INDEX($O$2:$O$1001,MATCH(ROWS($N$2:N953),$N$2:$N$1001,0),1)&gt;=100000,INDEX($U$1005:$AC$1005,1,MATCH(COLUMNS($U$1006:AA1006),$U$1006:$AC$1006,0))&gt;=100000), " ",IF(INDEX($U$2:$AC$1001,MATCH(ROWS($N$2:N953),$N$2:$N$1001,0),MATCH(COLUMNS($U$1006:AA1006),$U$1006:$AC$1006,0)), HYPERLINK("#",""), HYPERLINK(CONCATENATE("#metadata!", ADDRESS(INDEX($P$2:$P$1001,MATCH(ROWS($N$2:N953),$N$2:$N$1001,0),0), INDEX($U$1004:$AC$1004,1,MATCH(COLUMNS($U$1006:AA1006),$U$1006:$AC$1006,0)))),"Fix")))</f>
        <v>0</v>
      </c>
      <c r="I953" s="3">
        <f>IF(OR(INDEX($O$2:$O$1001,MATCH(ROWS($N$2:N953),$N$2:$N$1001,0),1)&gt;=100000,INDEX($U$1005:$AC$1005,1,MATCH(COLUMNS($U$1006:AB1006),$U$1006:$AC$1006,0))&gt;=100000), " ",IF(INDEX($U$2:$AC$1001,MATCH(ROWS($N$2:N953),$N$2:$N$1001,0),MATCH(COLUMNS($U$1006:AB1006),$U$1006:$AC$1006,0)), HYPERLINK("#",""), HYPERLINK(CONCATENATE("#metadata!", ADDRESS(INDEX($P$2:$P$1001,MATCH(ROWS($N$2:N953),$N$2:$N$1001,0),0), INDEX($U$1004:$AC$1004,1,MATCH(COLUMNS($U$1006:AB1006),$U$1006:$AC$1006,0)))),"Fix")))</f>
        <v>0</v>
      </c>
      <c r="J953" s="3">
        <f>IF(OR(INDEX($O$2:$O$1001,MATCH(ROWS($N$2:N953),$N$2:$N$1001,0),1)&gt;=100000,INDEX($U$1005:$AC$1005,1,MATCH(COLUMNS($U$1006:AC1006),$U$1006:$AC$1006,0))&gt;=100000), " ",IF(INDEX($U$2:$AC$1001,MATCH(ROWS($N$2:N953),$N$2:$N$1001,0),MATCH(COLUMNS($U$1006:AC1006),$U$1006:$AC$1006,0)), HYPERLINK("#",""), HYPERLINK(CONCATENATE("#metadata!", ADDRESS(INDEX($P$2:$P$1001,MATCH(ROWS($N$2:N953),$N$2:$N$1001,0),0), INDEX($U$1004:$AC$1004,1,MATCH(COLUMNS($U$1006:AC1006),$U$1006:$AC$1006,0)))),"Fix")))</f>
        <v>0</v>
      </c>
      <c r="N953">
        <v>0</v>
      </c>
      <c r="O953">
        <v>0</v>
      </c>
      <c r="P953">
        <v>0</v>
      </c>
      <c r="Q953">
        <f>IF(R953,TRUE,AND(U953:AC953))</f>
        <v>0</v>
      </c>
      <c r="R953">
        <f>COUNTBLANK(metadata!B953:J953)=COLUMNS(metadata!B953:J953)</f>
        <v>0</v>
      </c>
      <c r="S953">
        <v>0</v>
      </c>
      <c r="U953">
        <f>AND(IF(metadata!B953="",FALSE,TRUE),COUNTIF(metadata!B:B, metadata!B953) = 1,NOT(ISERROR(SUMPRODUCT(SEARCH(MID(metadata!B953,ROW(INDIRECT("1:"&amp;LEN(metadata!B953))), 1),"0123456789abcdefghijklmnopqrstuvwxyzABCDEFGHIJKLMNOPQRSTUVWXYZ.")))))</f>
        <v>0</v>
      </c>
      <c r="V953">
        <f>AND(IF(metadata!C953="",FALSE,TRUE),exact(metadata!C953,"UBERON:genitourinary"))</f>
        <v>0</v>
      </c>
      <c r="W953">
        <f>AND(IF(metadata!D953="",FALSE,TRUE),exact(metadata!D953,"UBERON:urine"))</f>
        <v>0</v>
      </c>
      <c r="X953">
        <f>AND(IF(metadata!E953="",FALSE,TRUE),exact(metadata!E953,"UBERON:kidney"))</f>
        <v>0</v>
      </c>
      <c r="Y953">
        <f>AND(IF(metadata!F953="",FALSE,TRUE),exact(metadata!F953,"animal corpus"))</f>
        <v>0</v>
      </c>
      <c r="Z953">
        <f>AND(IF(metadata!G953="",FALSE,TRUE),exact(metadata!G953,"urine"))</f>
        <v>0</v>
      </c>
      <c r="AA953">
        <f>AND(IF(metadata!H953="",FALSE,TRUE),exact(metadata!H953,"urine"))</f>
        <v>0</v>
      </c>
      <c r="AB953">
        <f>AND(IF(metadata!I953="",FALSE,TRUE),exact(metadata!I953,"urine metagenome"))</f>
        <v>0</v>
      </c>
      <c r="AC953">
        <f>AND(IF(metadata!J953="",FALSE,TRUE),exact(metadata!J953,"1346744"))</f>
        <v>0</v>
      </c>
    </row>
    <row r="954" spans="1:29">
      <c r="A954" s="4">
        <f>IF(B954=" "," ",HYPERLINK(CONCATENATE("#metadata!",ADDRESS(INDEX($P$2:$P$1001,MATCH(ROWS($N$2:N954),$N$2:$N$1001,0),0),1)),INDEX($S$2:$S$1001,MATCH(ROWS($N$2:N954),$N$2:$N$1001,0),0)))</f>
        <v>0</v>
      </c>
      <c r="B954" s="3">
        <f>IF(OR(INDEX($O$2:$O$1001,MATCH(ROWS($N$2:N954),$N$2:$N$1001,0),1)&gt;=100000,INDEX($U$1005:$AC$1005,1,MATCH(COLUMNS($U$1006:U1006),$U$1006:$AC$1006,0))&gt;=100000), " ",IF(INDEX($U$2:$AC$1001,MATCH(ROWS($N$2:N954),$N$2:$N$1001,0),MATCH(COLUMNS($U$1006:U1006),$U$1006:$AC$1006,0)), HYPERLINK("#",""), HYPERLINK(CONCATENATE("#metadata!", ADDRESS(INDEX($P$2:$P$1001,MATCH(ROWS($N$2:N954),$N$2:$N$1001,0),0), INDEX($U$1004:$AC$1004,1,MATCH(COLUMNS($U$1006:U1006),$U$1006:$AC$1006,0)))),"Fix")))</f>
        <v>0</v>
      </c>
      <c r="C954" s="3">
        <f>IF(OR(INDEX($O$2:$O$1001,MATCH(ROWS($N$2:N954),$N$2:$N$1001,0),1)&gt;=100000,INDEX($U$1005:$AC$1005,1,MATCH(COLUMNS($U$1006:V1006),$U$1006:$AC$1006,0))&gt;=100000), " ",IF(INDEX($U$2:$AC$1001,MATCH(ROWS($N$2:N954),$N$2:$N$1001,0),MATCH(COLUMNS($U$1006:V1006),$U$1006:$AC$1006,0)), HYPERLINK("#",""), HYPERLINK(CONCATENATE("#metadata!", ADDRESS(INDEX($P$2:$P$1001,MATCH(ROWS($N$2:N954),$N$2:$N$1001,0),0), INDEX($U$1004:$AC$1004,1,MATCH(COLUMNS($U$1006:V1006),$U$1006:$AC$1006,0)))),"Fix")))</f>
        <v>0</v>
      </c>
      <c r="D954" s="3">
        <f>IF(OR(INDEX($O$2:$O$1001,MATCH(ROWS($N$2:N954),$N$2:$N$1001,0),1)&gt;=100000,INDEX($U$1005:$AC$1005,1,MATCH(COLUMNS($U$1006:W1006),$U$1006:$AC$1006,0))&gt;=100000), " ",IF(INDEX($U$2:$AC$1001,MATCH(ROWS($N$2:N954),$N$2:$N$1001,0),MATCH(COLUMNS($U$1006:W1006),$U$1006:$AC$1006,0)), HYPERLINK("#",""), HYPERLINK(CONCATENATE("#metadata!", ADDRESS(INDEX($P$2:$P$1001,MATCH(ROWS($N$2:N954),$N$2:$N$1001,0),0), INDEX($U$1004:$AC$1004,1,MATCH(COLUMNS($U$1006:W1006),$U$1006:$AC$1006,0)))),"Fix")))</f>
        <v>0</v>
      </c>
      <c r="E954" s="3">
        <f>IF(OR(INDEX($O$2:$O$1001,MATCH(ROWS($N$2:N954),$N$2:$N$1001,0),1)&gt;=100000,INDEX($U$1005:$AC$1005,1,MATCH(COLUMNS($U$1006:X1006),$U$1006:$AC$1006,0))&gt;=100000), " ",IF(INDEX($U$2:$AC$1001,MATCH(ROWS($N$2:N954),$N$2:$N$1001,0),MATCH(COLUMNS($U$1006:X1006),$U$1006:$AC$1006,0)), HYPERLINK("#",""), HYPERLINK(CONCATENATE("#metadata!", ADDRESS(INDEX($P$2:$P$1001,MATCH(ROWS($N$2:N954),$N$2:$N$1001,0),0), INDEX($U$1004:$AC$1004,1,MATCH(COLUMNS($U$1006:X1006),$U$1006:$AC$1006,0)))),"Fix")))</f>
        <v>0</v>
      </c>
      <c r="F954" s="3">
        <f>IF(OR(INDEX($O$2:$O$1001,MATCH(ROWS($N$2:N954),$N$2:$N$1001,0),1)&gt;=100000,INDEX($U$1005:$AC$1005,1,MATCH(COLUMNS($U$1006:Y1006),$U$1006:$AC$1006,0))&gt;=100000), " ",IF(INDEX($U$2:$AC$1001,MATCH(ROWS($N$2:N954),$N$2:$N$1001,0),MATCH(COLUMNS($U$1006:Y1006),$U$1006:$AC$1006,0)), HYPERLINK("#",""), HYPERLINK(CONCATENATE("#metadata!", ADDRESS(INDEX($P$2:$P$1001,MATCH(ROWS($N$2:N954),$N$2:$N$1001,0),0), INDEX($U$1004:$AC$1004,1,MATCH(COLUMNS($U$1006:Y1006),$U$1006:$AC$1006,0)))),"Fix")))</f>
        <v>0</v>
      </c>
      <c r="G954" s="3">
        <f>IF(OR(INDEX($O$2:$O$1001,MATCH(ROWS($N$2:N954),$N$2:$N$1001,0),1)&gt;=100000,INDEX($U$1005:$AC$1005,1,MATCH(COLUMNS($U$1006:Z1006),$U$1006:$AC$1006,0))&gt;=100000), " ",IF(INDEX($U$2:$AC$1001,MATCH(ROWS($N$2:N954),$N$2:$N$1001,0),MATCH(COLUMNS($U$1006:Z1006),$U$1006:$AC$1006,0)), HYPERLINK("#",""), HYPERLINK(CONCATENATE("#metadata!", ADDRESS(INDEX($P$2:$P$1001,MATCH(ROWS($N$2:N954),$N$2:$N$1001,0),0), INDEX($U$1004:$AC$1004,1,MATCH(COLUMNS($U$1006:Z1006),$U$1006:$AC$1006,0)))),"Fix")))</f>
        <v>0</v>
      </c>
      <c r="H954" s="3">
        <f>IF(OR(INDEX($O$2:$O$1001,MATCH(ROWS($N$2:N954),$N$2:$N$1001,0),1)&gt;=100000,INDEX($U$1005:$AC$1005,1,MATCH(COLUMNS($U$1006:AA1006),$U$1006:$AC$1006,0))&gt;=100000), " ",IF(INDEX($U$2:$AC$1001,MATCH(ROWS($N$2:N954),$N$2:$N$1001,0),MATCH(COLUMNS($U$1006:AA1006),$U$1006:$AC$1006,0)), HYPERLINK("#",""), HYPERLINK(CONCATENATE("#metadata!", ADDRESS(INDEX($P$2:$P$1001,MATCH(ROWS($N$2:N954),$N$2:$N$1001,0),0), INDEX($U$1004:$AC$1004,1,MATCH(COLUMNS($U$1006:AA1006),$U$1006:$AC$1006,0)))),"Fix")))</f>
        <v>0</v>
      </c>
      <c r="I954" s="3">
        <f>IF(OR(INDEX($O$2:$O$1001,MATCH(ROWS($N$2:N954),$N$2:$N$1001,0),1)&gt;=100000,INDEX($U$1005:$AC$1005,1,MATCH(COLUMNS($U$1006:AB1006),$U$1006:$AC$1006,0))&gt;=100000), " ",IF(INDEX($U$2:$AC$1001,MATCH(ROWS($N$2:N954),$N$2:$N$1001,0),MATCH(COLUMNS($U$1006:AB1006),$U$1006:$AC$1006,0)), HYPERLINK("#",""), HYPERLINK(CONCATENATE("#metadata!", ADDRESS(INDEX($P$2:$P$1001,MATCH(ROWS($N$2:N954),$N$2:$N$1001,0),0), INDEX($U$1004:$AC$1004,1,MATCH(COLUMNS($U$1006:AB1006),$U$1006:$AC$1006,0)))),"Fix")))</f>
        <v>0</v>
      </c>
      <c r="J954" s="3">
        <f>IF(OR(INDEX($O$2:$O$1001,MATCH(ROWS($N$2:N954),$N$2:$N$1001,0),1)&gt;=100000,INDEX($U$1005:$AC$1005,1,MATCH(COLUMNS($U$1006:AC1006),$U$1006:$AC$1006,0))&gt;=100000), " ",IF(INDEX($U$2:$AC$1001,MATCH(ROWS($N$2:N954),$N$2:$N$1001,0),MATCH(COLUMNS($U$1006:AC1006),$U$1006:$AC$1006,0)), HYPERLINK("#",""), HYPERLINK(CONCATENATE("#metadata!", ADDRESS(INDEX($P$2:$P$1001,MATCH(ROWS($N$2:N954),$N$2:$N$1001,0),0), INDEX($U$1004:$AC$1004,1,MATCH(COLUMNS($U$1006:AC1006),$U$1006:$AC$1006,0)))),"Fix")))</f>
        <v>0</v>
      </c>
      <c r="N954">
        <v>0</v>
      </c>
      <c r="O954">
        <v>0</v>
      </c>
      <c r="P954">
        <v>0</v>
      </c>
      <c r="Q954">
        <f>IF(R954,TRUE,AND(U954:AC954))</f>
        <v>0</v>
      </c>
      <c r="R954">
        <f>COUNTBLANK(metadata!B954:J954)=COLUMNS(metadata!B954:J954)</f>
        <v>0</v>
      </c>
      <c r="S954">
        <v>0</v>
      </c>
      <c r="U954">
        <f>AND(IF(metadata!B954="",FALSE,TRUE),COUNTIF(metadata!B:B, metadata!B954) = 1,NOT(ISERROR(SUMPRODUCT(SEARCH(MID(metadata!B954,ROW(INDIRECT("1:"&amp;LEN(metadata!B954))), 1),"0123456789abcdefghijklmnopqrstuvwxyzABCDEFGHIJKLMNOPQRSTUVWXYZ.")))))</f>
        <v>0</v>
      </c>
      <c r="V954">
        <f>AND(IF(metadata!C954="",FALSE,TRUE),exact(metadata!C954,"UBERON:genitourinary"))</f>
        <v>0</v>
      </c>
      <c r="W954">
        <f>AND(IF(metadata!D954="",FALSE,TRUE),exact(metadata!D954,"UBERON:urine"))</f>
        <v>0</v>
      </c>
      <c r="X954">
        <f>AND(IF(metadata!E954="",FALSE,TRUE),exact(metadata!E954,"UBERON:kidney"))</f>
        <v>0</v>
      </c>
      <c r="Y954">
        <f>AND(IF(metadata!F954="",FALSE,TRUE),exact(metadata!F954,"animal corpus"))</f>
        <v>0</v>
      </c>
      <c r="Z954">
        <f>AND(IF(metadata!G954="",FALSE,TRUE),exact(metadata!G954,"urine"))</f>
        <v>0</v>
      </c>
      <c r="AA954">
        <f>AND(IF(metadata!H954="",FALSE,TRUE),exact(metadata!H954,"urine"))</f>
        <v>0</v>
      </c>
      <c r="AB954">
        <f>AND(IF(metadata!I954="",FALSE,TRUE),exact(metadata!I954,"urine metagenome"))</f>
        <v>0</v>
      </c>
      <c r="AC954">
        <f>AND(IF(metadata!J954="",FALSE,TRUE),exact(metadata!J954,"1346744"))</f>
        <v>0</v>
      </c>
    </row>
    <row r="955" spans="1:29">
      <c r="A955" s="4">
        <f>IF(B955=" "," ",HYPERLINK(CONCATENATE("#metadata!",ADDRESS(INDEX($P$2:$P$1001,MATCH(ROWS($N$2:N955),$N$2:$N$1001,0),0),1)),INDEX($S$2:$S$1001,MATCH(ROWS($N$2:N955),$N$2:$N$1001,0),0)))</f>
        <v>0</v>
      </c>
      <c r="B955" s="3">
        <f>IF(OR(INDEX($O$2:$O$1001,MATCH(ROWS($N$2:N955),$N$2:$N$1001,0),1)&gt;=100000,INDEX($U$1005:$AC$1005,1,MATCH(COLUMNS($U$1006:U1006),$U$1006:$AC$1006,0))&gt;=100000), " ",IF(INDEX($U$2:$AC$1001,MATCH(ROWS($N$2:N955),$N$2:$N$1001,0),MATCH(COLUMNS($U$1006:U1006),$U$1006:$AC$1006,0)), HYPERLINK("#",""), HYPERLINK(CONCATENATE("#metadata!", ADDRESS(INDEX($P$2:$P$1001,MATCH(ROWS($N$2:N955),$N$2:$N$1001,0),0), INDEX($U$1004:$AC$1004,1,MATCH(COLUMNS($U$1006:U1006),$U$1006:$AC$1006,0)))),"Fix")))</f>
        <v>0</v>
      </c>
      <c r="C955" s="3">
        <f>IF(OR(INDEX($O$2:$O$1001,MATCH(ROWS($N$2:N955),$N$2:$N$1001,0),1)&gt;=100000,INDEX($U$1005:$AC$1005,1,MATCH(COLUMNS($U$1006:V1006),$U$1006:$AC$1006,0))&gt;=100000), " ",IF(INDEX($U$2:$AC$1001,MATCH(ROWS($N$2:N955),$N$2:$N$1001,0),MATCH(COLUMNS($U$1006:V1006),$U$1006:$AC$1006,0)), HYPERLINK("#",""), HYPERLINK(CONCATENATE("#metadata!", ADDRESS(INDEX($P$2:$P$1001,MATCH(ROWS($N$2:N955),$N$2:$N$1001,0),0), INDEX($U$1004:$AC$1004,1,MATCH(COLUMNS($U$1006:V1006),$U$1006:$AC$1006,0)))),"Fix")))</f>
        <v>0</v>
      </c>
      <c r="D955" s="3">
        <f>IF(OR(INDEX($O$2:$O$1001,MATCH(ROWS($N$2:N955),$N$2:$N$1001,0),1)&gt;=100000,INDEX($U$1005:$AC$1005,1,MATCH(COLUMNS($U$1006:W1006),$U$1006:$AC$1006,0))&gt;=100000), " ",IF(INDEX($U$2:$AC$1001,MATCH(ROWS($N$2:N955),$N$2:$N$1001,0),MATCH(COLUMNS($U$1006:W1006),$U$1006:$AC$1006,0)), HYPERLINK("#",""), HYPERLINK(CONCATENATE("#metadata!", ADDRESS(INDEX($P$2:$P$1001,MATCH(ROWS($N$2:N955),$N$2:$N$1001,0),0), INDEX($U$1004:$AC$1004,1,MATCH(COLUMNS($U$1006:W1006),$U$1006:$AC$1006,0)))),"Fix")))</f>
        <v>0</v>
      </c>
      <c r="E955" s="3">
        <f>IF(OR(INDEX($O$2:$O$1001,MATCH(ROWS($N$2:N955),$N$2:$N$1001,0),1)&gt;=100000,INDEX($U$1005:$AC$1005,1,MATCH(COLUMNS($U$1006:X1006),$U$1006:$AC$1006,0))&gt;=100000), " ",IF(INDEX($U$2:$AC$1001,MATCH(ROWS($N$2:N955),$N$2:$N$1001,0),MATCH(COLUMNS($U$1006:X1006),$U$1006:$AC$1006,0)), HYPERLINK("#",""), HYPERLINK(CONCATENATE("#metadata!", ADDRESS(INDEX($P$2:$P$1001,MATCH(ROWS($N$2:N955),$N$2:$N$1001,0),0), INDEX($U$1004:$AC$1004,1,MATCH(COLUMNS($U$1006:X1006),$U$1006:$AC$1006,0)))),"Fix")))</f>
        <v>0</v>
      </c>
      <c r="F955" s="3">
        <f>IF(OR(INDEX($O$2:$O$1001,MATCH(ROWS($N$2:N955),$N$2:$N$1001,0),1)&gt;=100000,INDEX($U$1005:$AC$1005,1,MATCH(COLUMNS($U$1006:Y1006),$U$1006:$AC$1006,0))&gt;=100000), " ",IF(INDEX($U$2:$AC$1001,MATCH(ROWS($N$2:N955),$N$2:$N$1001,0),MATCH(COLUMNS($U$1006:Y1006),$U$1006:$AC$1006,0)), HYPERLINK("#",""), HYPERLINK(CONCATENATE("#metadata!", ADDRESS(INDEX($P$2:$P$1001,MATCH(ROWS($N$2:N955),$N$2:$N$1001,0),0), INDEX($U$1004:$AC$1004,1,MATCH(COLUMNS($U$1006:Y1006),$U$1006:$AC$1006,0)))),"Fix")))</f>
        <v>0</v>
      </c>
      <c r="G955" s="3">
        <f>IF(OR(INDEX($O$2:$O$1001,MATCH(ROWS($N$2:N955),$N$2:$N$1001,0),1)&gt;=100000,INDEX($U$1005:$AC$1005,1,MATCH(COLUMNS($U$1006:Z1006),$U$1006:$AC$1006,0))&gt;=100000), " ",IF(INDEX($U$2:$AC$1001,MATCH(ROWS($N$2:N955),$N$2:$N$1001,0),MATCH(COLUMNS($U$1006:Z1006),$U$1006:$AC$1006,0)), HYPERLINK("#",""), HYPERLINK(CONCATENATE("#metadata!", ADDRESS(INDEX($P$2:$P$1001,MATCH(ROWS($N$2:N955),$N$2:$N$1001,0),0), INDEX($U$1004:$AC$1004,1,MATCH(COLUMNS($U$1006:Z1006),$U$1006:$AC$1006,0)))),"Fix")))</f>
        <v>0</v>
      </c>
      <c r="H955" s="3">
        <f>IF(OR(INDEX($O$2:$O$1001,MATCH(ROWS($N$2:N955),$N$2:$N$1001,0),1)&gt;=100000,INDEX($U$1005:$AC$1005,1,MATCH(COLUMNS($U$1006:AA1006),$U$1006:$AC$1006,0))&gt;=100000), " ",IF(INDEX($U$2:$AC$1001,MATCH(ROWS($N$2:N955),$N$2:$N$1001,0),MATCH(COLUMNS($U$1006:AA1006),$U$1006:$AC$1006,0)), HYPERLINK("#",""), HYPERLINK(CONCATENATE("#metadata!", ADDRESS(INDEX($P$2:$P$1001,MATCH(ROWS($N$2:N955),$N$2:$N$1001,0),0), INDEX($U$1004:$AC$1004,1,MATCH(COLUMNS($U$1006:AA1006),$U$1006:$AC$1006,0)))),"Fix")))</f>
        <v>0</v>
      </c>
      <c r="I955" s="3">
        <f>IF(OR(INDEX($O$2:$O$1001,MATCH(ROWS($N$2:N955),$N$2:$N$1001,0),1)&gt;=100000,INDEX($U$1005:$AC$1005,1,MATCH(COLUMNS($U$1006:AB1006),$U$1006:$AC$1006,0))&gt;=100000), " ",IF(INDEX($U$2:$AC$1001,MATCH(ROWS($N$2:N955),$N$2:$N$1001,0),MATCH(COLUMNS($U$1006:AB1006),$U$1006:$AC$1006,0)), HYPERLINK("#",""), HYPERLINK(CONCATENATE("#metadata!", ADDRESS(INDEX($P$2:$P$1001,MATCH(ROWS($N$2:N955),$N$2:$N$1001,0),0), INDEX($U$1004:$AC$1004,1,MATCH(COLUMNS($U$1006:AB1006),$U$1006:$AC$1006,0)))),"Fix")))</f>
        <v>0</v>
      </c>
      <c r="J955" s="3">
        <f>IF(OR(INDEX($O$2:$O$1001,MATCH(ROWS($N$2:N955),$N$2:$N$1001,0),1)&gt;=100000,INDEX($U$1005:$AC$1005,1,MATCH(COLUMNS($U$1006:AC1006),$U$1006:$AC$1006,0))&gt;=100000), " ",IF(INDEX($U$2:$AC$1001,MATCH(ROWS($N$2:N955),$N$2:$N$1001,0),MATCH(COLUMNS($U$1006:AC1006),$U$1006:$AC$1006,0)), HYPERLINK("#",""), HYPERLINK(CONCATENATE("#metadata!", ADDRESS(INDEX($P$2:$P$1001,MATCH(ROWS($N$2:N955),$N$2:$N$1001,0),0), INDEX($U$1004:$AC$1004,1,MATCH(COLUMNS($U$1006:AC1006),$U$1006:$AC$1006,0)))),"Fix")))</f>
        <v>0</v>
      </c>
      <c r="N955">
        <v>0</v>
      </c>
      <c r="O955">
        <v>0</v>
      </c>
      <c r="P955">
        <v>0</v>
      </c>
      <c r="Q955">
        <f>IF(R955,TRUE,AND(U955:AC955))</f>
        <v>0</v>
      </c>
      <c r="R955">
        <f>COUNTBLANK(metadata!B955:J955)=COLUMNS(metadata!B955:J955)</f>
        <v>0</v>
      </c>
      <c r="S955">
        <v>0</v>
      </c>
      <c r="U955">
        <f>AND(IF(metadata!B955="",FALSE,TRUE),COUNTIF(metadata!B:B, metadata!B955) = 1,NOT(ISERROR(SUMPRODUCT(SEARCH(MID(metadata!B955,ROW(INDIRECT("1:"&amp;LEN(metadata!B955))), 1),"0123456789abcdefghijklmnopqrstuvwxyzABCDEFGHIJKLMNOPQRSTUVWXYZ.")))))</f>
        <v>0</v>
      </c>
      <c r="V955">
        <f>AND(IF(metadata!C955="",FALSE,TRUE),exact(metadata!C955,"UBERON:genitourinary"))</f>
        <v>0</v>
      </c>
      <c r="W955">
        <f>AND(IF(metadata!D955="",FALSE,TRUE),exact(metadata!D955,"UBERON:urine"))</f>
        <v>0</v>
      </c>
      <c r="X955">
        <f>AND(IF(metadata!E955="",FALSE,TRUE),exact(metadata!E955,"UBERON:kidney"))</f>
        <v>0</v>
      </c>
      <c r="Y955">
        <f>AND(IF(metadata!F955="",FALSE,TRUE),exact(metadata!F955,"animal corpus"))</f>
        <v>0</v>
      </c>
      <c r="Z955">
        <f>AND(IF(metadata!G955="",FALSE,TRUE),exact(metadata!G955,"urine"))</f>
        <v>0</v>
      </c>
      <c r="AA955">
        <f>AND(IF(metadata!H955="",FALSE,TRUE),exact(metadata!H955,"urine"))</f>
        <v>0</v>
      </c>
      <c r="AB955">
        <f>AND(IF(metadata!I955="",FALSE,TRUE),exact(metadata!I955,"urine metagenome"))</f>
        <v>0</v>
      </c>
      <c r="AC955">
        <f>AND(IF(metadata!J955="",FALSE,TRUE),exact(metadata!J955,"1346744"))</f>
        <v>0</v>
      </c>
    </row>
    <row r="956" spans="1:29">
      <c r="A956" s="4">
        <f>IF(B956=" "," ",HYPERLINK(CONCATENATE("#metadata!",ADDRESS(INDEX($P$2:$P$1001,MATCH(ROWS($N$2:N956),$N$2:$N$1001,0),0),1)),INDEX($S$2:$S$1001,MATCH(ROWS($N$2:N956),$N$2:$N$1001,0),0)))</f>
        <v>0</v>
      </c>
      <c r="B956" s="3">
        <f>IF(OR(INDEX($O$2:$O$1001,MATCH(ROWS($N$2:N956),$N$2:$N$1001,0),1)&gt;=100000,INDEX($U$1005:$AC$1005,1,MATCH(COLUMNS($U$1006:U1006),$U$1006:$AC$1006,0))&gt;=100000), " ",IF(INDEX($U$2:$AC$1001,MATCH(ROWS($N$2:N956),$N$2:$N$1001,0),MATCH(COLUMNS($U$1006:U1006),$U$1006:$AC$1006,0)), HYPERLINK("#",""), HYPERLINK(CONCATENATE("#metadata!", ADDRESS(INDEX($P$2:$P$1001,MATCH(ROWS($N$2:N956),$N$2:$N$1001,0),0), INDEX($U$1004:$AC$1004,1,MATCH(COLUMNS($U$1006:U1006),$U$1006:$AC$1006,0)))),"Fix")))</f>
        <v>0</v>
      </c>
      <c r="C956" s="3">
        <f>IF(OR(INDEX($O$2:$O$1001,MATCH(ROWS($N$2:N956),$N$2:$N$1001,0),1)&gt;=100000,INDEX($U$1005:$AC$1005,1,MATCH(COLUMNS($U$1006:V1006),$U$1006:$AC$1006,0))&gt;=100000), " ",IF(INDEX($U$2:$AC$1001,MATCH(ROWS($N$2:N956),$N$2:$N$1001,0),MATCH(COLUMNS($U$1006:V1006),$U$1006:$AC$1006,0)), HYPERLINK("#",""), HYPERLINK(CONCATENATE("#metadata!", ADDRESS(INDEX($P$2:$P$1001,MATCH(ROWS($N$2:N956),$N$2:$N$1001,0),0), INDEX($U$1004:$AC$1004,1,MATCH(COLUMNS($U$1006:V1006),$U$1006:$AC$1006,0)))),"Fix")))</f>
        <v>0</v>
      </c>
      <c r="D956" s="3">
        <f>IF(OR(INDEX($O$2:$O$1001,MATCH(ROWS($N$2:N956),$N$2:$N$1001,0),1)&gt;=100000,INDEX($U$1005:$AC$1005,1,MATCH(COLUMNS($U$1006:W1006),$U$1006:$AC$1006,0))&gt;=100000), " ",IF(INDEX($U$2:$AC$1001,MATCH(ROWS($N$2:N956),$N$2:$N$1001,0),MATCH(COLUMNS($U$1006:W1006),$U$1006:$AC$1006,0)), HYPERLINK("#",""), HYPERLINK(CONCATENATE("#metadata!", ADDRESS(INDEX($P$2:$P$1001,MATCH(ROWS($N$2:N956),$N$2:$N$1001,0),0), INDEX($U$1004:$AC$1004,1,MATCH(COLUMNS($U$1006:W1006),$U$1006:$AC$1006,0)))),"Fix")))</f>
        <v>0</v>
      </c>
      <c r="E956" s="3">
        <f>IF(OR(INDEX($O$2:$O$1001,MATCH(ROWS($N$2:N956),$N$2:$N$1001,0),1)&gt;=100000,INDEX($U$1005:$AC$1005,1,MATCH(COLUMNS($U$1006:X1006),$U$1006:$AC$1006,0))&gt;=100000), " ",IF(INDEX($U$2:$AC$1001,MATCH(ROWS($N$2:N956),$N$2:$N$1001,0),MATCH(COLUMNS($U$1006:X1006),$U$1006:$AC$1006,0)), HYPERLINK("#",""), HYPERLINK(CONCATENATE("#metadata!", ADDRESS(INDEX($P$2:$P$1001,MATCH(ROWS($N$2:N956),$N$2:$N$1001,0),0), INDEX($U$1004:$AC$1004,1,MATCH(COLUMNS($U$1006:X1006),$U$1006:$AC$1006,0)))),"Fix")))</f>
        <v>0</v>
      </c>
      <c r="F956" s="3">
        <f>IF(OR(INDEX($O$2:$O$1001,MATCH(ROWS($N$2:N956),$N$2:$N$1001,0),1)&gt;=100000,INDEX($U$1005:$AC$1005,1,MATCH(COLUMNS($U$1006:Y1006),$U$1006:$AC$1006,0))&gt;=100000), " ",IF(INDEX($U$2:$AC$1001,MATCH(ROWS($N$2:N956),$N$2:$N$1001,0),MATCH(COLUMNS($U$1006:Y1006),$U$1006:$AC$1006,0)), HYPERLINK("#",""), HYPERLINK(CONCATENATE("#metadata!", ADDRESS(INDEX($P$2:$P$1001,MATCH(ROWS($N$2:N956),$N$2:$N$1001,0),0), INDEX($U$1004:$AC$1004,1,MATCH(COLUMNS($U$1006:Y1006),$U$1006:$AC$1006,0)))),"Fix")))</f>
        <v>0</v>
      </c>
      <c r="G956" s="3">
        <f>IF(OR(INDEX($O$2:$O$1001,MATCH(ROWS($N$2:N956),$N$2:$N$1001,0),1)&gt;=100000,INDEX($U$1005:$AC$1005,1,MATCH(COLUMNS($U$1006:Z1006),$U$1006:$AC$1006,0))&gt;=100000), " ",IF(INDEX($U$2:$AC$1001,MATCH(ROWS($N$2:N956),$N$2:$N$1001,0),MATCH(COLUMNS($U$1006:Z1006),$U$1006:$AC$1006,0)), HYPERLINK("#",""), HYPERLINK(CONCATENATE("#metadata!", ADDRESS(INDEX($P$2:$P$1001,MATCH(ROWS($N$2:N956),$N$2:$N$1001,0),0), INDEX($U$1004:$AC$1004,1,MATCH(COLUMNS($U$1006:Z1006),$U$1006:$AC$1006,0)))),"Fix")))</f>
        <v>0</v>
      </c>
      <c r="H956" s="3">
        <f>IF(OR(INDEX($O$2:$O$1001,MATCH(ROWS($N$2:N956),$N$2:$N$1001,0),1)&gt;=100000,INDEX($U$1005:$AC$1005,1,MATCH(COLUMNS($U$1006:AA1006),$U$1006:$AC$1006,0))&gt;=100000), " ",IF(INDEX($U$2:$AC$1001,MATCH(ROWS($N$2:N956),$N$2:$N$1001,0),MATCH(COLUMNS($U$1006:AA1006),$U$1006:$AC$1006,0)), HYPERLINK("#",""), HYPERLINK(CONCATENATE("#metadata!", ADDRESS(INDEX($P$2:$P$1001,MATCH(ROWS($N$2:N956),$N$2:$N$1001,0),0), INDEX($U$1004:$AC$1004,1,MATCH(COLUMNS($U$1006:AA1006),$U$1006:$AC$1006,0)))),"Fix")))</f>
        <v>0</v>
      </c>
      <c r="I956" s="3">
        <f>IF(OR(INDEX($O$2:$O$1001,MATCH(ROWS($N$2:N956),$N$2:$N$1001,0),1)&gt;=100000,INDEX($U$1005:$AC$1005,1,MATCH(COLUMNS($U$1006:AB1006),$U$1006:$AC$1006,0))&gt;=100000), " ",IF(INDEX($U$2:$AC$1001,MATCH(ROWS($N$2:N956),$N$2:$N$1001,0),MATCH(COLUMNS($U$1006:AB1006),$U$1006:$AC$1006,0)), HYPERLINK("#",""), HYPERLINK(CONCATENATE("#metadata!", ADDRESS(INDEX($P$2:$P$1001,MATCH(ROWS($N$2:N956),$N$2:$N$1001,0),0), INDEX($U$1004:$AC$1004,1,MATCH(COLUMNS($U$1006:AB1006),$U$1006:$AC$1006,0)))),"Fix")))</f>
        <v>0</v>
      </c>
      <c r="J956" s="3">
        <f>IF(OR(INDEX($O$2:$O$1001,MATCH(ROWS($N$2:N956),$N$2:$N$1001,0),1)&gt;=100000,INDEX($U$1005:$AC$1005,1,MATCH(COLUMNS($U$1006:AC1006),$U$1006:$AC$1006,0))&gt;=100000), " ",IF(INDEX($U$2:$AC$1001,MATCH(ROWS($N$2:N956),$N$2:$N$1001,0),MATCH(COLUMNS($U$1006:AC1006),$U$1006:$AC$1006,0)), HYPERLINK("#",""), HYPERLINK(CONCATENATE("#metadata!", ADDRESS(INDEX($P$2:$P$1001,MATCH(ROWS($N$2:N956),$N$2:$N$1001,0),0), INDEX($U$1004:$AC$1004,1,MATCH(COLUMNS($U$1006:AC1006),$U$1006:$AC$1006,0)))),"Fix")))</f>
        <v>0</v>
      </c>
      <c r="N956">
        <v>0</v>
      </c>
      <c r="O956">
        <v>0</v>
      </c>
      <c r="P956">
        <v>0</v>
      </c>
      <c r="Q956">
        <f>IF(R956,TRUE,AND(U956:AC956))</f>
        <v>0</v>
      </c>
      <c r="R956">
        <f>COUNTBLANK(metadata!B956:J956)=COLUMNS(metadata!B956:J956)</f>
        <v>0</v>
      </c>
      <c r="S956">
        <v>0</v>
      </c>
      <c r="U956">
        <f>AND(IF(metadata!B956="",FALSE,TRUE),COUNTIF(metadata!B:B, metadata!B956) = 1,NOT(ISERROR(SUMPRODUCT(SEARCH(MID(metadata!B956,ROW(INDIRECT("1:"&amp;LEN(metadata!B956))), 1),"0123456789abcdefghijklmnopqrstuvwxyzABCDEFGHIJKLMNOPQRSTUVWXYZ.")))))</f>
        <v>0</v>
      </c>
      <c r="V956">
        <f>AND(IF(metadata!C956="",FALSE,TRUE),exact(metadata!C956,"UBERON:genitourinary"))</f>
        <v>0</v>
      </c>
      <c r="W956">
        <f>AND(IF(metadata!D956="",FALSE,TRUE),exact(metadata!D956,"UBERON:urine"))</f>
        <v>0</v>
      </c>
      <c r="X956">
        <f>AND(IF(metadata!E956="",FALSE,TRUE),exact(metadata!E956,"UBERON:kidney"))</f>
        <v>0</v>
      </c>
      <c r="Y956">
        <f>AND(IF(metadata!F956="",FALSE,TRUE),exact(metadata!F956,"animal corpus"))</f>
        <v>0</v>
      </c>
      <c r="Z956">
        <f>AND(IF(metadata!G956="",FALSE,TRUE),exact(metadata!G956,"urine"))</f>
        <v>0</v>
      </c>
      <c r="AA956">
        <f>AND(IF(metadata!H956="",FALSE,TRUE),exact(metadata!H956,"urine"))</f>
        <v>0</v>
      </c>
      <c r="AB956">
        <f>AND(IF(metadata!I956="",FALSE,TRUE),exact(metadata!I956,"urine metagenome"))</f>
        <v>0</v>
      </c>
      <c r="AC956">
        <f>AND(IF(metadata!J956="",FALSE,TRUE),exact(metadata!J956,"1346744"))</f>
        <v>0</v>
      </c>
    </row>
    <row r="957" spans="1:29">
      <c r="A957" s="4">
        <f>IF(B957=" "," ",HYPERLINK(CONCATENATE("#metadata!",ADDRESS(INDEX($P$2:$P$1001,MATCH(ROWS($N$2:N957),$N$2:$N$1001,0),0),1)),INDEX($S$2:$S$1001,MATCH(ROWS($N$2:N957),$N$2:$N$1001,0),0)))</f>
        <v>0</v>
      </c>
      <c r="B957" s="3">
        <f>IF(OR(INDEX($O$2:$O$1001,MATCH(ROWS($N$2:N957),$N$2:$N$1001,0),1)&gt;=100000,INDEX($U$1005:$AC$1005,1,MATCH(COLUMNS($U$1006:U1006),$U$1006:$AC$1006,0))&gt;=100000), " ",IF(INDEX($U$2:$AC$1001,MATCH(ROWS($N$2:N957),$N$2:$N$1001,0),MATCH(COLUMNS($U$1006:U1006),$U$1006:$AC$1006,0)), HYPERLINK("#",""), HYPERLINK(CONCATENATE("#metadata!", ADDRESS(INDEX($P$2:$P$1001,MATCH(ROWS($N$2:N957),$N$2:$N$1001,0),0), INDEX($U$1004:$AC$1004,1,MATCH(COLUMNS($U$1006:U1006),$U$1006:$AC$1006,0)))),"Fix")))</f>
        <v>0</v>
      </c>
      <c r="C957" s="3">
        <f>IF(OR(INDEX($O$2:$O$1001,MATCH(ROWS($N$2:N957),$N$2:$N$1001,0),1)&gt;=100000,INDEX($U$1005:$AC$1005,1,MATCH(COLUMNS($U$1006:V1006),$U$1006:$AC$1006,0))&gt;=100000), " ",IF(INDEX($U$2:$AC$1001,MATCH(ROWS($N$2:N957),$N$2:$N$1001,0),MATCH(COLUMNS($U$1006:V1006),$U$1006:$AC$1006,0)), HYPERLINK("#",""), HYPERLINK(CONCATENATE("#metadata!", ADDRESS(INDEX($P$2:$P$1001,MATCH(ROWS($N$2:N957),$N$2:$N$1001,0),0), INDEX($U$1004:$AC$1004,1,MATCH(COLUMNS($U$1006:V1006),$U$1006:$AC$1006,0)))),"Fix")))</f>
        <v>0</v>
      </c>
      <c r="D957" s="3">
        <f>IF(OR(INDEX($O$2:$O$1001,MATCH(ROWS($N$2:N957),$N$2:$N$1001,0),1)&gt;=100000,INDEX($U$1005:$AC$1005,1,MATCH(COLUMNS($U$1006:W1006),$U$1006:$AC$1006,0))&gt;=100000), " ",IF(INDEX($U$2:$AC$1001,MATCH(ROWS($N$2:N957),$N$2:$N$1001,0),MATCH(COLUMNS($U$1006:W1006),$U$1006:$AC$1006,0)), HYPERLINK("#",""), HYPERLINK(CONCATENATE("#metadata!", ADDRESS(INDEX($P$2:$P$1001,MATCH(ROWS($N$2:N957),$N$2:$N$1001,0),0), INDEX($U$1004:$AC$1004,1,MATCH(COLUMNS($U$1006:W1006),$U$1006:$AC$1006,0)))),"Fix")))</f>
        <v>0</v>
      </c>
      <c r="E957" s="3">
        <f>IF(OR(INDEX($O$2:$O$1001,MATCH(ROWS($N$2:N957),$N$2:$N$1001,0),1)&gt;=100000,INDEX($U$1005:$AC$1005,1,MATCH(COLUMNS($U$1006:X1006),$U$1006:$AC$1006,0))&gt;=100000), " ",IF(INDEX($U$2:$AC$1001,MATCH(ROWS($N$2:N957),$N$2:$N$1001,0),MATCH(COLUMNS($U$1006:X1006),$U$1006:$AC$1006,0)), HYPERLINK("#",""), HYPERLINK(CONCATENATE("#metadata!", ADDRESS(INDEX($P$2:$P$1001,MATCH(ROWS($N$2:N957),$N$2:$N$1001,0),0), INDEX($U$1004:$AC$1004,1,MATCH(COLUMNS($U$1006:X1006),$U$1006:$AC$1006,0)))),"Fix")))</f>
        <v>0</v>
      </c>
      <c r="F957" s="3">
        <f>IF(OR(INDEX($O$2:$O$1001,MATCH(ROWS($N$2:N957),$N$2:$N$1001,0),1)&gt;=100000,INDEX($U$1005:$AC$1005,1,MATCH(COLUMNS($U$1006:Y1006),$U$1006:$AC$1006,0))&gt;=100000), " ",IF(INDEX($U$2:$AC$1001,MATCH(ROWS($N$2:N957),$N$2:$N$1001,0),MATCH(COLUMNS($U$1006:Y1006),$U$1006:$AC$1006,0)), HYPERLINK("#",""), HYPERLINK(CONCATENATE("#metadata!", ADDRESS(INDEX($P$2:$P$1001,MATCH(ROWS($N$2:N957),$N$2:$N$1001,0),0), INDEX($U$1004:$AC$1004,1,MATCH(COLUMNS($U$1006:Y1006),$U$1006:$AC$1006,0)))),"Fix")))</f>
        <v>0</v>
      </c>
      <c r="G957" s="3">
        <f>IF(OR(INDEX($O$2:$O$1001,MATCH(ROWS($N$2:N957),$N$2:$N$1001,0),1)&gt;=100000,INDEX($U$1005:$AC$1005,1,MATCH(COLUMNS($U$1006:Z1006),$U$1006:$AC$1006,0))&gt;=100000), " ",IF(INDEX($U$2:$AC$1001,MATCH(ROWS($N$2:N957),$N$2:$N$1001,0),MATCH(COLUMNS($U$1006:Z1006),$U$1006:$AC$1006,0)), HYPERLINK("#",""), HYPERLINK(CONCATENATE("#metadata!", ADDRESS(INDEX($P$2:$P$1001,MATCH(ROWS($N$2:N957),$N$2:$N$1001,0),0), INDEX($U$1004:$AC$1004,1,MATCH(COLUMNS($U$1006:Z1006),$U$1006:$AC$1006,0)))),"Fix")))</f>
        <v>0</v>
      </c>
      <c r="H957" s="3">
        <f>IF(OR(INDEX($O$2:$O$1001,MATCH(ROWS($N$2:N957),$N$2:$N$1001,0),1)&gt;=100000,INDEX($U$1005:$AC$1005,1,MATCH(COLUMNS($U$1006:AA1006),$U$1006:$AC$1006,0))&gt;=100000), " ",IF(INDEX($U$2:$AC$1001,MATCH(ROWS($N$2:N957),$N$2:$N$1001,0),MATCH(COLUMNS($U$1006:AA1006),$U$1006:$AC$1006,0)), HYPERLINK("#",""), HYPERLINK(CONCATENATE("#metadata!", ADDRESS(INDEX($P$2:$P$1001,MATCH(ROWS($N$2:N957),$N$2:$N$1001,0),0), INDEX($U$1004:$AC$1004,1,MATCH(COLUMNS($U$1006:AA1006),$U$1006:$AC$1006,0)))),"Fix")))</f>
        <v>0</v>
      </c>
      <c r="I957" s="3">
        <f>IF(OR(INDEX($O$2:$O$1001,MATCH(ROWS($N$2:N957),$N$2:$N$1001,0),1)&gt;=100000,INDEX($U$1005:$AC$1005,1,MATCH(COLUMNS($U$1006:AB1006),$U$1006:$AC$1006,0))&gt;=100000), " ",IF(INDEX($U$2:$AC$1001,MATCH(ROWS($N$2:N957),$N$2:$N$1001,0),MATCH(COLUMNS($U$1006:AB1006),$U$1006:$AC$1006,0)), HYPERLINK("#",""), HYPERLINK(CONCATENATE("#metadata!", ADDRESS(INDEX($P$2:$P$1001,MATCH(ROWS($N$2:N957),$N$2:$N$1001,0),0), INDEX($U$1004:$AC$1004,1,MATCH(COLUMNS($U$1006:AB1006),$U$1006:$AC$1006,0)))),"Fix")))</f>
        <v>0</v>
      </c>
      <c r="J957" s="3">
        <f>IF(OR(INDEX($O$2:$O$1001,MATCH(ROWS($N$2:N957),$N$2:$N$1001,0),1)&gt;=100000,INDEX($U$1005:$AC$1005,1,MATCH(COLUMNS($U$1006:AC1006),$U$1006:$AC$1006,0))&gt;=100000), " ",IF(INDEX($U$2:$AC$1001,MATCH(ROWS($N$2:N957),$N$2:$N$1001,0),MATCH(COLUMNS($U$1006:AC1006),$U$1006:$AC$1006,0)), HYPERLINK("#",""), HYPERLINK(CONCATENATE("#metadata!", ADDRESS(INDEX($P$2:$P$1001,MATCH(ROWS($N$2:N957),$N$2:$N$1001,0),0), INDEX($U$1004:$AC$1004,1,MATCH(COLUMNS($U$1006:AC1006),$U$1006:$AC$1006,0)))),"Fix")))</f>
        <v>0</v>
      </c>
      <c r="N957">
        <v>0</v>
      </c>
      <c r="O957">
        <v>0</v>
      </c>
      <c r="P957">
        <v>0</v>
      </c>
      <c r="Q957">
        <f>IF(R957,TRUE,AND(U957:AC957))</f>
        <v>0</v>
      </c>
      <c r="R957">
        <f>COUNTBLANK(metadata!B957:J957)=COLUMNS(metadata!B957:J957)</f>
        <v>0</v>
      </c>
      <c r="S957">
        <v>0</v>
      </c>
      <c r="U957">
        <f>AND(IF(metadata!B957="",FALSE,TRUE),COUNTIF(metadata!B:B, metadata!B957) = 1,NOT(ISERROR(SUMPRODUCT(SEARCH(MID(metadata!B957,ROW(INDIRECT("1:"&amp;LEN(metadata!B957))), 1),"0123456789abcdefghijklmnopqrstuvwxyzABCDEFGHIJKLMNOPQRSTUVWXYZ.")))))</f>
        <v>0</v>
      </c>
      <c r="V957">
        <f>AND(IF(metadata!C957="",FALSE,TRUE),exact(metadata!C957,"UBERON:genitourinary"))</f>
        <v>0</v>
      </c>
      <c r="W957">
        <f>AND(IF(metadata!D957="",FALSE,TRUE),exact(metadata!D957,"UBERON:urine"))</f>
        <v>0</v>
      </c>
      <c r="X957">
        <f>AND(IF(metadata!E957="",FALSE,TRUE),exact(metadata!E957,"UBERON:kidney"))</f>
        <v>0</v>
      </c>
      <c r="Y957">
        <f>AND(IF(metadata!F957="",FALSE,TRUE),exact(metadata!F957,"animal corpus"))</f>
        <v>0</v>
      </c>
      <c r="Z957">
        <f>AND(IF(metadata!G957="",FALSE,TRUE),exact(metadata!G957,"urine"))</f>
        <v>0</v>
      </c>
      <c r="AA957">
        <f>AND(IF(metadata!H957="",FALSE,TRUE),exact(metadata!H957,"urine"))</f>
        <v>0</v>
      </c>
      <c r="AB957">
        <f>AND(IF(metadata!I957="",FALSE,TRUE),exact(metadata!I957,"urine metagenome"))</f>
        <v>0</v>
      </c>
      <c r="AC957">
        <f>AND(IF(metadata!J957="",FALSE,TRUE),exact(metadata!J957,"1346744"))</f>
        <v>0</v>
      </c>
    </row>
    <row r="958" spans="1:29">
      <c r="A958" s="4">
        <f>IF(B958=" "," ",HYPERLINK(CONCATENATE("#metadata!",ADDRESS(INDEX($P$2:$P$1001,MATCH(ROWS($N$2:N958),$N$2:$N$1001,0),0),1)),INDEX($S$2:$S$1001,MATCH(ROWS($N$2:N958),$N$2:$N$1001,0),0)))</f>
        <v>0</v>
      </c>
      <c r="B958" s="3">
        <f>IF(OR(INDEX($O$2:$O$1001,MATCH(ROWS($N$2:N958),$N$2:$N$1001,0),1)&gt;=100000,INDEX($U$1005:$AC$1005,1,MATCH(COLUMNS($U$1006:U1006),$U$1006:$AC$1006,0))&gt;=100000), " ",IF(INDEX($U$2:$AC$1001,MATCH(ROWS($N$2:N958),$N$2:$N$1001,0),MATCH(COLUMNS($U$1006:U1006),$U$1006:$AC$1006,0)), HYPERLINK("#",""), HYPERLINK(CONCATENATE("#metadata!", ADDRESS(INDEX($P$2:$P$1001,MATCH(ROWS($N$2:N958),$N$2:$N$1001,0),0), INDEX($U$1004:$AC$1004,1,MATCH(COLUMNS($U$1006:U1006),$U$1006:$AC$1006,0)))),"Fix")))</f>
        <v>0</v>
      </c>
      <c r="C958" s="3">
        <f>IF(OR(INDEX($O$2:$O$1001,MATCH(ROWS($N$2:N958),$N$2:$N$1001,0),1)&gt;=100000,INDEX($U$1005:$AC$1005,1,MATCH(COLUMNS($U$1006:V1006),$U$1006:$AC$1006,0))&gt;=100000), " ",IF(INDEX($U$2:$AC$1001,MATCH(ROWS($N$2:N958),$N$2:$N$1001,0),MATCH(COLUMNS($U$1006:V1006),$U$1006:$AC$1006,0)), HYPERLINK("#",""), HYPERLINK(CONCATENATE("#metadata!", ADDRESS(INDEX($P$2:$P$1001,MATCH(ROWS($N$2:N958),$N$2:$N$1001,0),0), INDEX($U$1004:$AC$1004,1,MATCH(COLUMNS($U$1006:V1006),$U$1006:$AC$1006,0)))),"Fix")))</f>
        <v>0</v>
      </c>
      <c r="D958" s="3">
        <f>IF(OR(INDEX($O$2:$O$1001,MATCH(ROWS($N$2:N958),$N$2:$N$1001,0),1)&gt;=100000,INDEX($U$1005:$AC$1005,1,MATCH(COLUMNS($U$1006:W1006),$U$1006:$AC$1006,0))&gt;=100000), " ",IF(INDEX($U$2:$AC$1001,MATCH(ROWS($N$2:N958),$N$2:$N$1001,0),MATCH(COLUMNS($U$1006:W1006),$U$1006:$AC$1006,0)), HYPERLINK("#",""), HYPERLINK(CONCATENATE("#metadata!", ADDRESS(INDEX($P$2:$P$1001,MATCH(ROWS($N$2:N958),$N$2:$N$1001,0),0), INDEX($U$1004:$AC$1004,1,MATCH(COLUMNS($U$1006:W1006),$U$1006:$AC$1006,0)))),"Fix")))</f>
        <v>0</v>
      </c>
      <c r="E958" s="3">
        <f>IF(OR(INDEX($O$2:$O$1001,MATCH(ROWS($N$2:N958),$N$2:$N$1001,0),1)&gt;=100000,INDEX($U$1005:$AC$1005,1,MATCH(COLUMNS($U$1006:X1006),$U$1006:$AC$1006,0))&gt;=100000), " ",IF(INDEX($U$2:$AC$1001,MATCH(ROWS($N$2:N958),$N$2:$N$1001,0),MATCH(COLUMNS($U$1006:X1006),$U$1006:$AC$1006,0)), HYPERLINK("#",""), HYPERLINK(CONCATENATE("#metadata!", ADDRESS(INDEX($P$2:$P$1001,MATCH(ROWS($N$2:N958),$N$2:$N$1001,0),0), INDEX($U$1004:$AC$1004,1,MATCH(COLUMNS($U$1006:X1006),$U$1006:$AC$1006,0)))),"Fix")))</f>
        <v>0</v>
      </c>
      <c r="F958" s="3">
        <f>IF(OR(INDEX($O$2:$O$1001,MATCH(ROWS($N$2:N958),$N$2:$N$1001,0),1)&gt;=100000,INDEX($U$1005:$AC$1005,1,MATCH(COLUMNS($U$1006:Y1006),$U$1006:$AC$1006,0))&gt;=100000), " ",IF(INDEX($U$2:$AC$1001,MATCH(ROWS($N$2:N958),$N$2:$N$1001,0),MATCH(COLUMNS($U$1006:Y1006),$U$1006:$AC$1006,0)), HYPERLINK("#",""), HYPERLINK(CONCATENATE("#metadata!", ADDRESS(INDEX($P$2:$P$1001,MATCH(ROWS($N$2:N958),$N$2:$N$1001,0),0), INDEX($U$1004:$AC$1004,1,MATCH(COLUMNS($U$1006:Y1006),$U$1006:$AC$1006,0)))),"Fix")))</f>
        <v>0</v>
      </c>
      <c r="G958" s="3">
        <f>IF(OR(INDEX($O$2:$O$1001,MATCH(ROWS($N$2:N958),$N$2:$N$1001,0),1)&gt;=100000,INDEX($U$1005:$AC$1005,1,MATCH(COLUMNS($U$1006:Z1006),$U$1006:$AC$1006,0))&gt;=100000), " ",IF(INDEX($U$2:$AC$1001,MATCH(ROWS($N$2:N958),$N$2:$N$1001,0),MATCH(COLUMNS($U$1006:Z1006),$U$1006:$AC$1006,0)), HYPERLINK("#",""), HYPERLINK(CONCATENATE("#metadata!", ADDRESS(INDEX($P$2:$P$1001,MATCH(ROWS($N$2:N958),$N$2:$N$1001,0),0), INDEX($U$1004:$AC$1004,1,MATCH(COLUMNS($U$1006:Z1006),$U$1006:$AC$1006,0)))),"Fix")))</f>
        <v>0</v>
      </c>
      <c r="H958" s="3">
        <f>IF(OR(INDEX($O$2:$O$1001,MATCH(ROWS($N$2:N958),$N$2:$N$1001,0),1)&gt;=100000,INDEX($U$1005:$AC$1005,1,MATCH(COLUMNS($U$1006:AA1006),$U$1006:$AC$1006,0))&gt;=100000), " ",IF(INDEX($U$2:$AC$1001,MATCH(ROWS($N$2:N958),$N$2:$N$1001,0),MATCH(COLUMNS($U$1006:AA1006),$U$1006:$AC$1006,0)), HYPERLINK("#",""), HYPERLINK(CONCATENATE("#metadata!", ADDRESS(INDEX($P$2:$P$1001,MATCH(ROWS($N$2:N958),$N$2:$N$1001,0),0), INDEX($U$1004:$AC$1004,1,MATCH(COLUMNS($U$1006:AA1006),$U$1006:$AC$1006,0)))),"Fix")))</f>
        <v>0</v>
      </c>
      <c r="I958" s="3">
        <f>IF(OR(INDEX($O$2:$O$1001,MATCH(ROWS($N$2:N958),$N$2:$N$1001,0),1)&gt;=100000,INDEX($U$1005:$AC$1005,1,MATCH(COLUMNS($U$1006:AB1006),$U$1006:$AC$1006,0))&gt;=100000), " ",IF(INDEX($U$2:$AC$1001,MATCH(ROWS($N$2:N958),$N$2:$N$1001,0),MATCH(COLUMNS($U$1006:AB1006),$U$1006:$AC$1006,0)), HYPERLINK("#",""), HYPERLINK(CONCATENATE("#metadata!", ADDRESS(INDEX($P$2:$P$1001,MATCH(ROWS($N$2:N958),$N$2:$N$1001,0),0), INDEX($U$1004:$AC$1004,1,MATCH(COLUMNS($U$1006:AB1006),$U$1006:$AC$1006,0)))),"Fix")))</f>
        <v>0</v>
      </c>
      <c r="J958" s="3">
        <f>IF(OR(INDEX($O$2:$O$1001,MATCH(ROWS($N$2:N958),$N$2:$N$1001,0),1)&gt;=100000,INDEX($U$1005:$AC$1005,1,MATCH(COLUMNS($U$1006:AC1006),$U$1006:$AC$1006,0))&gt;=100000), " ",IF(INDEX($U$2:$AC$1001,MATCH(ROWS($N$2:N958),$N$2:$N$1001,0),MATCH(COLUMNS($U$1006:AC1006),$U$1006:$AC$1006,0)), HYPERLINK("#",""), HYPERLINK(CONCATENATE("#metadata!", ADDRESS(INDEX($P$2:$P$1001,MATCH(ROWS($N$2:N958),$N$2:$N$1001,0),0), INDEX($U$1004:$AC$1004,1,MATCH(COLUMNS($U$1006:AC1006),$U$1006:$AC$1006,0)))),"Fix")))</f>
        <v>0</v>
      </c>
      <c r="N958">
        <v>0</v>
      </c>
      <c r="O958">
        <v>0</v>
      </c>
      <c r="P958">
        <v>0</v>
      </c>
      <c r="Q958">
        <f>IF(R958,TRUE,AND(U958:AC958))</f>
        <v>0</v>
      </c>
      <c r="R958">
        <f>COUNTBLANK(metadata!B958:J958)=COLUMNS(metadata!B958:J958)</f>
        <v>0</v>
      </c>
      <c r="S958">
        <v>0</v>
      </c>
      <c r="U958">
        <f>AND(IF(metadata!B958="",FALSE,TRUE),COUNTIF(metadata!B:B, metadata!B958) = 1,NOT(ISERROR(SUMPRODUCT(SEARCH(MID(metadata!B958,ROW(INDIRECT("1:"&amp;LEN(metadata!B958))), 1),"0123456789abcdefghijklmnopqrstuvwxyzABCDEFGHIJKLMNOPQRSTUVWXYZ.")))))</f>
        <v>0</v>
      </c>
      <c r="V958">
        <f>AND(IF(metadata!C958="",FALSE,TRUE),exact(metadata!C958,"UBERON:genitourinary"))</f>
        <v>0</v>
      </c>
      <c r="W958">
        <f>AND(IF(metadata!D958="",FALSE,TRUE),exact(metadata!D958,"UBERON:urine"))</f>
        <v>0</v>
      </c>
      <c r="X958">
        <f>AND(IF(metadata!E958="",FALSE,TRUE),exact(metadata!E958,"UBERON:kidney"))</f>
        <v>0</v>
      </c>
      <c r="Y958">
        <f>AND(IF(metadata!F958="",FALSE,TRUE),exact(metadata!F958,"animal corpus"))</f>
        <v>0</v>
      </c>
      <c r="Z958">
        <f>AND(IF(metadata!G958="",FALSE,TRUE),exact(metadata!G958,"urine"))</f>
        <v>0</v>
      </c>
      <c r="AA958">
        <f>AND(IF(metadata!H958="",FALSE,TRUE),exact(metadata!H958,"urine"))</f>
        <v>0</v>
      </c>
      <c r="AB958">
        <f>AND(IF(metadata!I958="",FALSE,TRUE),exact(metadata!I958,"urine metagenome"))</f>
        <v>0</v>
      </c>
      <c r="AC958">
        <f>AND(IF(metadata!J958="",FALSE,TRUE),exact(metadata!J958,"1346744"))</f>
        <v>0</v>
      </c>
    </row>
    <row r="959" spans="1:29">
      <c r="A959" s="4">
        <f>IF(B959=" "," ",HYPERLINK(CONCATENATE("#metadata!",ADDRESS(INDEX($P$2:$P$1001,MATCH(ROWS($N$2:N959),$N$2:$N$1001,0),0),1)),INDEX($S$2:$S$1001,MATCH(ROWS($N$2:N959),$N$2:$N$1001,0),0)))</f>
        <v>0</v>
      </c>
      <c r="B959" s="3">
        <f>IF(OR(INDEX($O$2:$O$1001,MATCH(ROWS($N$2:N959),$N$2:$N$1001,0),1)&gt;=100000,INDEX($U$1005:$AC$1005,1,MATCH(COLUMNS($U$1006:U1006),$U$1006:$AC$1006,0))&gt;=100000), " ",IF(INDEX($U$2:$AC$1001,MATCH(ROWS($N$2:N959),$N$2:$N$1001,0),MATCH(COLUMNS($U$1006:U1006),$U$1006:$AC$1006,0)), HYPERLINK("#",""), HYPERLINK(CONCATENATE("#metadata!", ADDRESS(INDEX($P$2:$P$1001,MATCH(ROWS($N$2:N959),$N$2:$N$1001,0),0), INDEX($U$1004:$AC$1004,1,MATCH(COLUMNS($U$1006:U1006),$U$1006:$AC$1006,0)))),"Fix")))</f>
        <v>0</v>
      </c>
      <c r="C959" s="3">
        <f>IF(OR(INDEX($O$2:$O$1001,MATCH(ROWS($N$2:N959),$N$2:$N$1001,0),1)&gt;=100000,INDEX($U$1005:$AC$1005,1,MATCH(COLUMNS($U$1006:V1006),$U$1006:$AC$1006,0))&gt;=100000), " ",IF(INDEX($U$2:$AC$1001,MATCH(ROWS($N$2:N959),$N$2:$N$1001,0),MATCH(COLUMNS($U$1006:V1006),$U$1006:$AC$1006,0)), HYPERLINK("#",""), HYPERLINK(CONCATENATE("#metadata!", ADDRESS(INDEX($P$2:$P$1001,MATCH(ROWS($N$2:N959),$N$2:$N$1001,0),0), INDEX($U$1004:$AC$1004,1,MATCH(COLUMNS($U$1006:V1006),$U$1006:$AC$1006,0)))),"Fix")))</f>
        <v>0</v>
      </c>
      <c r="D959" s="3">
        <f>IF(OR(INDEX($O$2:$O$1001,MATCH(ROWS($N$2:N959),$N$2:$N$1001,0),1)&gt;=100000,INDEX($U$1005:$AC$1005,1,MATCH(COLUMNS($U$1006:W1006),$U$1006:$AC$1006,0))&gt;=100000), " ",IF(INDEX($U$2:$AC$1001,MATCH(ROWS($N$2:N959),$N$2:$N$1001,0),MATCH(COLUMNS($U$1006:W1006),$U$1006:$AC$1006,0)), HYPERLINK("#",""), HYPERLINK(CONCATENATE("#metadata!", ADDRESS(INDEX($P$2:$P$1001,MATCH(ROWS($N$2:N959),$N$2:$N$1001,0),0), INDEX($U$1004:$AC$1004,1,MATCH(COLUMNS($U$1006:W1006),$U$1006:$AC$1006,0)))),"Fix")))</f>
        <v>0</v>
      </c>
      <c r="E959" s="3">
        <f>IF(OR(INDEX($O$2:$O$1001,MATCH(ROWS($N$2:N959),$N$2:$N$1001,0),1)&gt;=100000,INDEX($U$1005:$AC$1005,1,MATCH(COLUMNS($U$1006:X1006),$U$1006:$AC$1006,0))&gt;=100000), " ",IF(INDEX($U$2:$AC$1001,MATCH(ROWS($N$2:N959),$N$2:$N$1001,0),MATCH(COLUMNS($U$1006:X1006),$U$1006:$AC$1006,0)), HYPERLINK("#",""), HYPERLINK(CONCATENATE("#metadata!", ADDRESS(INDEX($P$2:$P$1001,MATCH(ROWS($N$2:N959),$N$2:$N$1001,0),0), INDEX($U$1004:$AC$1004,1,MATCH(COLUMNS($U$1006:X1006),$U$1006:$AC$1006,0)))),"Fix")))</f>
        <v>0</v>
      </c>
      <c r="F959" s="3">
        <f>IF(OR(INDEX($O$2:$O$1001,MATCH(ROWS($N$2:N959),$N$2:$N$1001,0),1)&gt;=100000,INDEX($U$1005:$AC$1005,1,MATCH(COLUMNS($U$1006:Y1006),$U$1006:$AC$1006,0))&gt;=100000), " ",IF(INDEX($U$2:$AC$1001,MATCH(ROWS($N$2:N959),$N$2:$N$1001,0),MATCH(COLUMNS($U$1006:Y1006),$U$1006:$AC$1006,0)), HYPERLINK("#",""), HYPERLINK(CONCATENATE("#metadata!", ADDRESS(INDEX($P$2:$P$1001,MATCH(ROWS($N$2:N959),$N$2:$N$1001,0),0), INDEX($U$1004:$AC$1004,1,MATCH(COLUMNS($U$1006:Y1006),$U$1006:$AC$1006,0)))),"Fix")))</f>
        <v>0</v>
      </c>
      <c r="G959" s="3">
        <f>IF(OR(INDEX($O$2:$O$1001,MATCH(ROWS($N$2:N959),$N$2:$N$1001,0),1)&gt;=100000,INDEX($U$1005:$AC$1005,1,MATCH(COLUMNS($U$1006:Z1006),$U$1006:$AC$1006,0))&gt;=100000), " ",IF(INDEX($U$2:$AC$1001,MATCH(ROWS($N$2:N959),$N$2:$N$1001,0),MATCH(COLUMNS($U$1006:Z1006),$U$1006:$AC$1006,0)), HYPERLINK("#",""), HYPERLINK(CONCATENATE("#metadata!", ADDRESS(INDEX($P$2:$P$1001,MATCH(ROWS($N$2:N959),$N$2:$N$1001,0),0), INDEX($U$1004:$AC$1004,1,MATCH(COLUMNS($U$1006:Z1006),$U$1006:$AC$1006,0)))),"Fix")))</f>
        <v>0</v>
      </c>
      <c r="H959" s="3">
        <f>IF(OR(INDEX($O$2:$O$1001,MATCH(ROWS($N$2:N959),$N$2:$N$1001,0),1)&gt;=100000,INDEX($U$1005:$AC$1005,1,MATCH(COLUMNS($U$1006:AA1006),$U$1006:$AC$1006,0))&gt;=100000), " ",IF(INDEX($U$2:$AC$1001,MATCH(ROWS($N$2:N959),$N$2:$N$1001,0),MATCH(COLUMNS($U$1006:AA1006),$U$1006:$AC$1006,0)), HYPERLINK("#",""), HYPERLINK(CONCATENATE("#metadata!", ADDRESS(INDEX($P$2:$P$1001,MATCH(ROWS($N$2:N959),$N$2:$N$1001,0),0), INDEX($U$1004:$AC$1004,1,MATCH(COLUMNS($U$1006:AA1006),$U$1006:$AC$1006,0)))),"Fix")))</f>
        <v>0</v>
      </c>
      <c r="I959" s="3">
        <f>IF(OR(INDEX($O$2:$O$1001,MATCH(ROWS($N$2:N959),$N$2:$N$1001,0),1)&gt;=100000,INDEX($U$1005:$AC$1005,1,MATCH(COLUMNS($U$1006:AB1006),$U$1006:$AC$1006,0))&gt;=100000), " ",IF(INDEX($U$2:$AC$1001,MATCH(ROWS($N$2:N959),$N$2:$N$1001,0),MATCH(COLUMNS($U$1006:AB1006),$U$1006:$AC$1006,0)), HYPERLINK("#",""), HYPERLINK(CONCATENATE("#metadata!", ADDRESS(INDEX($P$2:$P$1001,MATCH(ROWS($N$2:N959),$N$2:$N$1001,0),0), INDEX($U$1004:$AC$1004,1,MATCH(COLUMNS($U$1006:AB1006),$U$1006:$AC$1006,0)))),"Fix")))</f>
        <v>0</v>
      </c>
      <c r="J959" s="3">
        <f>IF(OR(INDEX($O$2:$O$1001,MATCH(ROWS($N$2:N959),$N$2:$N$1001,0),1)&gt;=100000,INDEX($U$1005:$AC$1005,1,MATCH(COLUMNS($U$1006:AC1006),$U$1006:$AC$1006,0))&gt;=100000), " ",IF(INDEX($U$2:$AC$1001,MATCH(ROWS($N$2:N959),$N$2:$N$1001,0),MATCH(COLUMNS($U$1006:AC1006),$U$1006:$AC$1006,0)), HYPERLINK("#",""), HYPERLINK(CONCATENATE("#metadata!", ADDRESS(INDEX($P$2:$P$1001,MATCH(ROWS($N$2:N959),$N$2:$N$1001,0),0), INDEX($U$1004:$AC$1004,1,MATCH(COLUMNS($U$1006:AC1006),$U$1006:$AC$1006,0)))),"Fix")))</f>
        <v>0</v>
      </c>
      <c r="N959">
        <v>0</v>
      </c>
      <c r="O959">
        <v>0</v>
      </c>
      <c r="P959">
        <v>0</v>
      </c>
      <c r="Q959">
        <f>IF(R959,TRUE,AND(U959:AC959))</f>
        <v>0</v>
      </c>
      <c r="R959">
        <f>COUNTBLANK(metadata!B959:J959)=COLUMNS(metadata!B959:J959)</f>
        <v>0</v>
      </c>
      <c r="S959">
        <v>0</v>
      </c>
      <c r="U959">
        <f>AND(IF(metadata!B959="",FALSE,TRUE),COUNTIF(metadata!B:B, metadata!B959) = 1,NOT(ISERROR(SUMPRODUCT(SEARCH(MID(metadata!B959,ROW(INDIRECT("1:"&amp;LEN(metadata!B959))), 1),"0123456789abcdefghijklmnopqrstuvwxyzABCDEFGHIJKLMNOPQRSTUVWXYZ.")))))</f>
        <v>0</v>
      </c>
      <c r="V959">
        <f>AND(IF(metadata!C959="",FALSE,TRUE),exact(metadata!C959,"UBERON:genitourinary"))</f>
        <v>0</v>
      </c>
      <c r="W959">
        <f>AND(IF(metadata!D959="",FALSE,TRUE),exact(metadata!D959,"UBERON:urine"))</f>
        <v>0</v>
      </c>
      <c r="X959">
        <f>AND(IF(metadata!E959="",FALSE,TRUE),exact(metadata!E959,"UBERON:kidney"))</f>
        <v>0</v>
      </c>
      <c r="Y959">
        <f>AND(IF(metadata!F959="",FALSE,TRUE),exact(metadata!F959,"animal corpus"))</f>
        <v>0</v>
      </c>
      <c r="Z959">
        <f>AND(IF(metadata!G959="",FALSE,TRUE),exact(metadata!G959,"urine"))</f>
        <v>0</v>
      </c>
      <c r="AA959">
        <f>AND(IF(metadata!H959="",FALSE,TRUE),exact(metadata!H959,"urine"))</f>
        <v>0</v>
      </c>
      <c r="AB959">
        <f>AND(IF(metadata!I959="",FALSE,TRUE),exact(metadata!I959,"urine metagenome"))</f>
        <v>0</v>
      </c>
      <c r="AC959">
        <f>AND(IF(metadata!J959="",FALSE,TRUE),exact(metadata!J959,"1346744"))</f>
        <v>0</v>
      </c>
    </row>
    <row r="960" spans="1:29">
      <c r="A960" s="4">
        <f>IF(B960=" "," ",HYPERLINK(CONCATENATE("#metadata!",ADDRESS(INDEX($P$2:$P$1001,MATCH(ROWS($N$2:N960),$N$2:$N$1001,0),0),1)),INDEX($S$2:$S$1001,MATCH(ROWS($N$2:N960),$N$2:$N$1001,0),0)))</f>
        <v>0</v>
      </c>
      <c r="B960" s="3">
        <f>IF(OR(INDEX($O$2:$O$1001,MATCH(ROWS($N$2:N960),$N$2:$N$1001,0),1)&gt;=100000,INDEX($U$1005:$AC$1005,1,MATCH(COLUMNS($U$1006:U1006),$U$1006:$AC$1006,0))&gt;=100000), " ",IF(INDEX($U$2:$AC$1001,MATCH(ROWS($N$2:N960),$N$2:$N$1001,0),MATCH(COLUMNS($U$1006:U1006),$U$1006:$AC$1006,0)), HYPERLINK("#",""), HYPERLINK(CONCATENATE("#metadata!", ADDRESS(INDEX($P$2:$P$1001,MATCH(ROWS($N$2:N960),$N$2:$N$1001,0),0), INDEX($U$1004:$AC$1004,1,MATCH(COLUMNS($U$1006:U1006),$U$1006:$AC$1006,0)))),"Fix")))</f>
        <v>0</v>
      </c>
      <c r="C960" s="3">
        <f>IF(OR(INDEX($O$2:$O$1001,MATCH(ROWS($N$2:N960),$N$2:$N$1001,0),1)&gt;=100000,INDEX($U$1005:$AC$1005,1,MATCH(COLUMNS($U$1006:V1006),$U$1006:$AC$1006,0))&gt;=100000), " ",IF(INDEX($U$2:$AC$1001,MATCH(ROWS($N$2:N960),$N$2:$N$1001,0),MATCH(COLUMNS($U$1006:V1006),$U$1006:$AC$1006,0)), HYPERLINK("#",""), HYPERLINK(CONCATENATE("#metadata!", ADDRESS(INDEX($P$2:$P$1001,MATCH(ROWS($N$2:N960),$N$2:$N$1001,0),0), INDEX($U$1004:$AC$1004,1,MATCH(COLUMNS($U$1006:V1006),$U$1006:$AC$1006,0)))),"Fix")))</f>
        <v>0</v>
      </c>
      <c r="D960" s="3">
        <f>IF(OR(INDEX($O$2:$O$1001,MATCH(ROWS($N$2:N960),$N$2:$N$1001,0),1)&gt;=100000,INDEX($U$1005:$AC$1005,1,MATCH(COLUMNS($U$1006:W1006),$U$1006:$AC$1006,0))&gt;=100000), " ",IF(INDEX($U$2:$AC$1001,MATCH(ROWS($N$2:N960),$N$2:$N$1001,0),MATCH(COLUMNS($U$1006:W1006),$U$1006:$AC$1006,0)), HYPERLINK("#",""), HYPERLINK(CONCATENATE("#metadata!", ADDRESS(INDEX($P$2:$P$1001,MATCH(ROWS($N$2:N960),$N$2:$N$1001,0),0), INDEX($U$1004:$AC$1004,1,MATCH(COLUMNS($U$1006:W1006),$U$1006:$AC$1006,0)))),"Fix")))</f>
        <v>0</v>
      </c>
      <c r="E960" s="3">
        <f>IF(OR(INDEX($O$2:$O$1001,MATCH(ROWS($N$2:N960),$N$2:$N$1001,0),1)&gt;=100000,INDEX($U$1005:$AC$1005,1,MATCH(COLUMNS($U$1006:X1006),$U$1006:$AC$1006,0))&gt;=100000), " ",IF(INDEX($U$2:$AC$1001,MATCH(ROWS($N$2:N960),$N$2:$N$1001,0),MATCH(COLUMNS($U$1006:X1006),$U$1006:$AC$1006,0)), HYPERLINK("#",""), HYPERLINK(CONCATENATE("#metadata!", ADDRESS(INDEX($P$2:$P$1001,MATCH(ROWS($N$2:N960),$N$2:$N$1001,0),0), INDEX($U$1004:$AC$1004,1,MATCH(COLUMNS($U$1006:X1006),$U$1006:$AC$1006,0)))),"Fix")))</f>
        <v>0</v>
      </c>
      <c r="F960" s="3">
        <f>IF(OR(INDEX($O$2:$O$1001,MATCH(ROWS($N$2:N960),$N$2:$N$1001,0),1)&gt;=100000,INDEX($U$1005:$AC$1005,1,MATCH(COLUMNS($U$1006:Y1006),$U$1006:$AC$1006,0))&gt;=100000), " ",IF(INDEX($U$2:$AC$1001,MATCH(ROWS($N$2:N960),$N$2:$N$1001,0),MATCH(COLUMNS($U$1006:Y1006),$U$1006:$AC$1006,0)), HYPERLINK("#",""), HYPERLINK(CONCATENATE("#metadata!", ADDRESS(INDEX($P$2:$P$1001,MATCH(ROWS($N$2:N960),$N$2:$N$1001,0),0), INDEX($U$1004:$AC$1004,1,MATCH(COLUMNS($U$1006:Y1006),$U$1006:$AC$1006,0)))),"Fix")))</f>
        <v>0</v>
      </c>
      <c r="G960" s="3">
        <f>IF(OR(INDEX($O$2:$O$1001,MATCH(ROWS($N$2:N960),$N$2:$N$1001,0),1)&gt;=100000,INDEX($U$1005:$AC$1005,1,MATCH(COLUMNS($U$1006:Z1006),$U$1006:$AC$1006,0))&gt;=100000), " ",IF(INDEX($U$2:$AC$1001,MATCH(ROWS($N$2:N960),$N$2:$N$1001,0),MATCH(COLUMNS($U$1006:Z1006),$U$1006:$AC$1006,0)), HYPERLINK("#",""), HYPERLINK(CONCATENATE("#metadata!", ADDRESS(INDEX($P$2:$P$1001,MATCH(ROWS($N$2:N960),$N$2:$N$1001,0),0), INDEX($U$1004:$AC$1004,1,MATCH(COLUMNS($U$1006:Z1006),$U$1006:$AC$1006,0)))),"Fix")))</f>
        <v>0</v>
      </c>
      <c r="H960" s="3">
        <f>IF(OR(INDEX($O$2:$O$1001,MATCH(ROWS($N$2:N960),$N$2:$N$1001,0),1)&gt;=100000,INDEX($U$1005:$AC$1005,1,MATCH(COLUMNS($U$1006:AA1006),$U$1006:$AC$1006,0))&gt;=100000), " ",IF(INDEX($U$2:$AC$1001,MATCH(ROWS($N$2:N960),$N$2:$N$1001,0),MATCH(COLUMNS($U$1006:AA1006),$U$1006:$AC$1006,0)), HYPERLINK("#",""), HYPERLINK(CONCATENATE("#metadata!", ADDRESS(INDEX($P$2:$P$1001,MATCH(ROWS($N$2:N960),$N$2:$N$1001,0),0), INDEX($U$1004:$AC$1004,1,MATCH(COLUMNS($U$1006:AA1006),$U$1006:$AC$1006,0)))),"Fix")))</f>
        <v>0</v>
      </c>
      <c r="I960" s="3">
        <f>IF(OR(INDEX($O$2:$O$1001,MATCH(ROWS($N$2:N960),$N$2:$N$1001,0),1)&gt;=100000,INDEX($U$1005:$AC$1005,1,MATCH(COLUMNS($U$1006:AB1006),$U$1006:$AC$1006,0))&gt;=100000), " ",IF(INDEX($U$2:$AC$1001,MATCH(ROWS($N$2:N960),$N$2:$N$1001,0),MATCH(COLUMNS($U$1006:AB1006),$U$1006:$AC$1006,0)), HYPERLINK("#",""), HYPERLINK(CONCATENATE("#metadata!", ADDRESS(INDEX($P$2:$P$1001,MATCH(ROWS($N$2:N960),$N$2:$N$1001,0),0), INDEX($U$1004:$AC$1004,1,MATCH(COLUMNS($U$1006:AB1006),$U$1006:$AC$1006,0)))),"Fix")))</f>
        <v>0</v>
      </c>
      <c r="J960" s="3">
        <f>IF(OR(INDEX($O$2:$O$1001,MATCH(ROWS($N$2:N960),$N$2:$N$1001,0),1)&gt;=100000,INDEX($U$1005:$AC$1005,1,MATCH(COLUMNS($U$1006:AC1006),$U$1006:$AC$1006,0))&gt;=100000), " ",IF(INDEX($U$2:$AC$1001,MATCH(ROWS($N$2:N960),$N$2:$N$1001,0),MATCH(COLUMNS($U$1006:AC1006),$U$1006:$AC$1006,0)), HYPERLINK("#",""), HYPERLINK(CONCATENATE("#metadata!", ADDRESS(INDEX($P$2:$P$1001,MATCH(ROWS($N$2:N960),$N$2:$N$1001,0),0), INDEX($U$1004:$AC$1004,1,MATCH(COLUMNS($U$1006:AC1006),$U$1006:$AC$1006,0)))),"Fix")))</f>
        <v>0</v>
      </c>
      <c r="N960">
        <v>0</v>
      </c>
      <c r="O960">
        <v>0</v>
      </c>
      <c r="P960">
        <v>0</v>
      </c>
      <c r="Q960">
        <f>IF(R960,TRUE,AND(U960:AC960))</f>
        <v>0</v>
      </c>
      <c r="R960">
        <f>COUNTBLANK(metadata!B960:J960)=COLUMNS(metadata!B960:J960)</f>
        <v>0</v>
      </c>
      <c r="S960">
        <v>0</v>
      </c>
      <c r="U960">
        <f>AND(IF(metadata!B960="",FALSE,TRUE),COUNTIF(metadata!B:B, metadata!B960) = 1,NOT(ISERROR(SUMPRODUCT(SEARCH(MID(metadata!B960,ROW(INDIRECT("1:"&amp;LEN(metadata!B960))), 1),"0123456789abcdefghijklmnopqrstuvwxyzABCDEFGHIJKLMNOPQRSTUVWXYZ.")))))</f>
        <v>0</v>
      </c>
      <c r="V960">
        <f>AND(IF(metadata!C960="",FALSE,TRUE),exact(metadata!C960,"UBERON:genitourinary"))</f>
        <v>0</v>
      </c>
      <c r="W960">
        <f>AND(IF(metadata!D960="",FALSE,TRUE),exact(metadata!D960,"UBERON:urine"))</f>
        <v>0</v>
      </c>
      <c r="X960">
        <f>AND(IF(metadata!E960="",FALSE,TRUE),exact(metadata!E960,"UBERON:kidney"))</f>
        <v>0</v>
      </c>
      <c r="Y960">
        <f>AND(IF(metadata!F960="",FALSE,TRUE),exact(metadata!F960,"animal corpus"))</f>
        <v>0</v>
      </c>
      <c r="Z960">
        <f>AND(IF(metadata!G960="",FALSE,TRUE),exact(metadata!G960,"urine"))</f>
        <v>0</v>
      </c>
      <c r="AA960">
        <f>AND(IF(metadata!H960="",FALSE,TRUE),exact(metadata!H960,"urine"))</f>
        <v>0</v>
      </c>
      <c r="AB960">
        <f>AND(IF(metadata!I960="",FALSE,TRUE),exact(metadata!I960,"urine metagenome"))</f>
        <v>0</v>
      </c>
      <c r="AC960">
        <f>AND(IF(metadata!J960="",FALSE,TRUE),exact(metadata!J960,"1346744"))</f>
        <v>0</v>
      </c>
    </row>
    <row r="961" spans="1:29">
      <c r="A961" s="4">
        <f>IF(B961=" "," ",HYPERLINK(CONCATENATE("#metadata!",ADDRESS(INDEX($P$2:$P$1001,MATCH(ROWS($N$2:N961),$N$2:$N$1001,0),0),1)),INDEX($S$2:$S$1001,MATCH(ROWS($N$2:N961),$N$2:$N$1001,0),0)))</f>
        <v>0</v>
      </c>
      <c r="B961" s="3">
        <f>IF(OR(INDEX($O$2:$O$1001,MATCH(ROWS($N$2:N961),$N$2:$N$1001,0),1)&gt;=100000,INDEX($U$1005:$AC$1005,1,MATCH(COLUMNS($U$1006:U1006),$U$1006:$AC$1006,0))&gt;=100000), " ",IF(INDEX($U$2:$AC$1001,MATCH(ROWS($N$2:N961),$N$2:$N$1001,0),MATCH(COLUMNS($U$1006:U1006),$U$1006:$AC$1006,0)), HYPERLINK("#",""), HYPERLINK(CONCATENATE("#metadata!", ADDRESS(INDEX($P$2:$P$1001,MATCH(ROWS($N$2:N961),$N$2:$N$1001,0),0), INDEX($U$1004:$AC$1004,1,MATCH(COLUMNS($U$1006:U1006),$U$1006:$AC$1006,0)))),"Fix")))</f>
        <v>0</v>
      </c>
      <c r="C961" s="3">
        <f>IF(OR(INDEX($O$2:$O$1001,MATCH(ROWS($N$2:N961),$N$2:$N$1001,0),1)&gt;=100000,INDEX($U$1005:$AC$1005,1,MATCH(COLUMNS($U$1006:V1006),$U$1006:$AC$1006,0))&gt;=100000), " ",IF(INDEX($U$2:$AC$1001,MATCH(ROWS($N$2:N961),$N$2:$N$1001,0),MATCH(COLUMNS($U$1006:V1006),$U$1006:$AC$1006,0)), HYPERLINK("#",""), HYPERLINK(CONCATENATE("#metadata!", ADDRESS(INDEX($P$2:$P$1001,MATCH(ROWS($N$2:N961),$N$2:$N$1001,0),0), INDEX($U$1004:$AC$1004,1,MATCH(COLUMNS($U$1006:V1006),$U$1006:$AC$1006,0)))),"Fix")))</f>
        <v>0</v>
      </c>
      <c r="D961" s="3">
        <f>IF(OR(INDEX($O$2:$O$1001,MATCH(ROWS($N$2:N961),$N$2:$N$1001,0),1)&gt;=100000,INDEX($U$1005:$AC$1005,1,MATCH(COLUMNS($U$1006:W1006),$U$1006:$AC$1006,0))&gt;=100000), " ",IF(INDEX($U$2:$AC$1001,MATCH(ROWS($N$2:N961),$N$2:$N$1001,0),MATCH(COLUMNS($U$1006:W1006),$U$1006:$AC$1006,0)), HYPERLINK("#",""), HYPERLINK(CONCATENATE("#metadata!", ADDRESS(INDEX($P$2:$P$1001,MATCH(ROWS($N$2:N961),$N$2:$N$1001,0),0), INDEX($U$1004:$AC$1004,1,MATCH(COLUMNS($U$1006:W1006),$U$1006:$AC$1006,0)))),"Fix")))</f>
        <v>0</v>
      </c>
      <c r="E961" s="3">
        <f>IF(OR(INDEX($O$2:$O$1001,MATCH(ROWS($N$2:N961),$N$2:$N$1001,0),1)&gt;=100000,INDEX($U$1005:$AC$1005,1,MATCH(COLUMNS($U$1006:X1006),$U$1006:$AC$1006,0))&gt;=100000), " ",IF(INDEX($U$2:$AC$1001,MATCH(ROWS($N$2:N961),$N$2:$N$1001,0),MATCH(COLUMNS($U$1006:X1006),$U$1006:$AC$1006,0)), HYPERLINK("#",""), HYPERLINK(CONCATENATE("#metadata!", ADDRESS(INDEX($P$2:$P$1001,MATCH(ROWS($N$2:N961),$N$2:$N$1001,0),0), INDEX($U$1004:$AC$1004,1,MATCH(COLUMNS($U$1006:X1006),$U$1006:$AC$1006,0)))),"Fix")))</f>
        <v>0</v>
      </c>
      <c r="F961" s="3">
        <f>IF(OR(INDEX($O$2:$O$1001,MATCH(ROWS($N$2:N961),$N$2:$N$1001,0),1)&gt;=100000,INDEX($U$1005:$AC$1005,1,MATCH(COLUMNS($U$1006:Y1006),$U$1006:$AC$1006,0))&gt;=100000), " ",IF(INDEX($U$2:$AC$1001,MATCH(ROWS($N$2:N961),$N$2:$N$1001,0),MATCH(COLUMNS($U$1006:Y1006),$U$1006:$AC$1006,0)), HYPERLINK("#",""), HYPERLINK(CONCATENATE("#metadata!", ADDRESS(INDEX($P$2:$P$1001,MATCH(ROWS($N$2:N961),$N$2:$N$1001,0),0), INDEX($U$1004:$AC$1004,1,MATCH(COLUMNS($U$1006:Y1006),$U$1006:$AC$1006,0)))),"Fix")))</f>
        <v>0</v>
      </c>
      <c r="G961" s="3">
        <f>IF(OR(INDEX($O$2:$O$1001,MATCH(ROWS($N$2:N961),$N$2:$N$1001,0),1)&gt;=100000,INDEX($U$1005:$AC$1005,1,MATCH(COLUMNS($U$1006:Z1006),$U$1006:$AC$1006,0))&gt;=100000), " ",IF(INDEX($U$2:$AC$1001,MATCH(ROWS($N$2:N961),$N$2:$N$1001,0),MATCH(COLUMNS($U$1006:Z1006),$U$1006:$AC$1006,0)), HYPERLINK("#",""), HYPERLINK(CONCATENATE("#metadata!", ADDRESS(INDEX($P$2:$P$1001,MATCH(ROWS($N$2:N961),$N$2:$N$1001,0),0), INDEX($U$1004:$AC$1004,1,MATCH(COLUMNS($U$1006:Z1006),$U$1006:$AC$1006,0)))),"Fix")))</f>
        <v>0</v>
      </c>
      <c r="H961" s="3">
        <f>IF(OR(INDEX($O$2:$O$1001,MATCH(ROWS($N$2:N961),$N$2:$N$1001,0),1)&gt;=100000,INDEX($U$1005:$AC$1005,1,MATCH(COLUMNS($U$1006:AA1006),$U$1006:$AC$1006,0))&gt;=100000), " ",IF(INDEX($U$2:$AC$1001,MATCH(ROWS($N$2:N961),$N$2:$N$1001,0),MATCH(COLUMNS($U$1006:AA1006),$U$1006:$AC$1006,0)), HYPERLINK("#",""), HYPERLINK(CONCATENATE("#metadata!", ADDRESS(INDEX($P$2:$P$1001,MATCH(ROWS($N$2:N961),$N$2:$N$1001,0),0), INDEX($U$1004:$AC$1004,1,MATCH(COLUMNS($U$1006:AA1006),$U$1006:$AC$1006,0)))),"Fix")))</f>
        <v>0</v>
      </c>
      <c r="I961" s="3">
        <f>IF(OR(INDEX($O$2:$O$1001,MATCH(ROWS($N$2:N961),$N$2:$N$1001,0),1)&gt;=100000,INDEX($U$1005:$AC$1005,1,MATCH(COLUMNS($U$1006:AB1006),$U$1006:$AC$1006,0))&gt;=100000), " ",IF(INDEX($U$2:$AC$1001,MATCH(ROWS($N$2:N961),$N$2:$N$1001,0),MATCH(COLUMNS($U$1006:AB1006),$U$1006:$AC$1006,0)), HYPERLINK("#",""), HYPERLINK(CONCATENATE("#metadata!", ADDRESS(INDEX($P$2:$P$1001,MATCH(ROWS($N$2:N961),$N$2:$N$1001,0),0), INDEX($U$1004:$AC$1004,1,MATCH(COLUMNS($U$1006:AB1006),$U$1006:$AC$1006,0)))),"Fix")))</f>
        <v>0</v>
      </c>
      <c r="J961" s="3">
        <f>IF(OR(INDEX($O$2:$O$1001,MATCH(ROWS($N$2:N961),$N$2:$N$1001,0),1)&gt;=100000,INDEX($U$1005:$AC$1005,1,MATCH(COLUMNS($U$1006:AC1006),$U$1006:$AC$1006,0))&gt;=100000), " ",IF(INDEX($U$2:$AC$1001,MATCH(ROWS($N$2:N961),$N$2:$N$1001,0),MATCH(COLUMNS($U$1006:AC1006),$U$1006:$AC$1006,0)), HYPERLINK("#",""), HYPERLINK(CONCATENATE("#metadata!", ADDRESS(INDEX($P$2:$P$1001,MATCH(ROWS($N$2:N961),$N$2:$N$1001,0),0), INDEX($U$1004:$AC$1004,1,MATCH(COLUMNS($U$1006:AC1006),$U$1006:$AC$1006,0)))),"Fix")))</f>
        <v>0</v>
      </c>
      <c r="N961">
        <v>0</v>
      </c>
      <c r="O961">
        <v>0</v>
      </c>
      <c r="P961">
        <v>0</v>
      </c>
      <c r="Q961">
        <f>IF(R961,TRUE,AND(U961:AC961))</f>
        <v>0</v>
      </c>
      <c r="R961">
        <f>COUNTBLANK(metadata!B961:J961)=COLUMNS(metadata!B961:J961)</f>
        <v>0</v>
      </c>
      <c r="S961">
        <v>0</v>
      </c>
      <c r="U961">
        <f>AND(IF(metadata!B961="",FALSE,TRUE),COUNTIF(metadata!B:B, metadata!B961) = 1,NOT(ISERROR(SUMPRODUCT(SEARCH(MID(metadata!B961,ROW(INDIRECT("1:"&amp;LEN(metadata!B961))), 1),"0123456789abcdefghijklmnopqrstuvwxyzABCDEFGHIJKLMNOPQRSTUVWXYZ.")))))</f>
        <v>0</v>
      </c>
      <c r="V961">
        <f>AND(IF(metadata!C961="",FALSE,TRUE),exact(metadata!C961,"UBERON:genitourinary"))</f>
        <v>0</v>
      </c>
      <c r="W961">
        <f>AND(IF(metadata!D961="",FALSE,TRUE),exact(metadata!D961,"UBERON:urine"))</f>
        <v>0</v>
      </c>
      <c r="X961">
        <f>AND(IF(metadata!E961="",FALSE,TRUE),exact(metadata!E961,"UBERON:kidney"))</f>
        <v>0</v>
      </c>
      <c r="Y961">
        <f>AND(IF(metadata!F961="",FALSE,TRUE),exact(metadata!F961,"animal corpus"))</f>
        <v>0</v>
      </c>
      <c r="Z961">
        <f>AND(IF(metadata!G961="",FALSE,TRUE),exact(metadata!G961,"urine"))</f>
        <v>0</v>
      </c>
      <c r="AA961">
        <f>AND(IF(metadata!H961="",FALSE,TRUE),exact(metadata!H961,"urine"))</f>
        <v>0</v>
      </c>
      <c r="AB961">
        <f>AND(IF(metadata!I961="",FALSE,TRUE),exact(metadata!I961,"urine metagenome"))</f>
        <v>0</v>
      </c>
      <c r="AC961">
        <f>AND(IF(metadata!J961="",FALSE,TRUE),exact(metadata!J961,"1346744"))</f>
        <v>0</v>
      </c>
    </row>
    <row r="962" spans="1:29">
      <c r="A962" s="4">
        <f>IF(B962=" "," ",HYPERLINK(CONCATENATE("#metadata!",ADDRESS(INDEX($P$2:$P$1001,MATCH(ROWS($N$2:N962),$N$2:$N$1001,0),0),1)),INDEX($S$2:$S$1001,MATCH(ROWS($N$2:N962),$N$2:$N$1001,0),0)))</f>
        <v>0</v>
      </c>
      <c r="B962" s="3">
        <f>IF(OR(INDEX($O$2:$O$1001,MATCH(ROWS($N$2:N962),$N$2:$N$1001,0),1)&gt;=100000,INDEX($U$1005:$AC$1005,1,MATCH(COLUMNS($U$1006:U1006),$U$1006:$AC$1006,0))&gt;=100000), " ",IF(INDEX($U$2:$AC$1001,MATCH(ROWS($N$2:N962),$N$2:$N$1001,0),MATCH(COLUMNS($U$1006:U1006),$U$1006:$AC$1006,0)), HYPERLINK("#",""), HYPERLINK(CONCATENATE("#metadata!", ADDRESS(INDEX($P$2:$P$1001,MATCH(ROWS($N$2:N962),$N$2:$N$1001,0),0), INDEX($U$1004:$AC$1004,1,MATCH(COLUMNS($U$1006:U1006),$U$1006:$AC$1006,0)))),"Fix")))</f>
        <v>0</v>
      </c>
      <c r="C962" s="3">
        <f>IF(OR(INDEX($O$2:$O$1001,MATCH(ROWS($N$2:N962),$N$2:$N$1001,0),1)&gt;=100000,INDEX($U$1005:$AC$1005,1,MATCH(COLUMNS($U$1006:V1006),$U$1006:$AC$1006,0))&gt;=100000), " ",IF(INDEX($U$2:$AC$1001,MATCH(ROWS($N$2:N962),$N$2:$N$1001,0),MATCH(COLUMNS($U$1006:V1006),$U$1006:$AC$1006,0)), HYPERLINK("#",""), HYPERLINK(CONCATENATE("#metadata!", ADDRESS(INDEX($P$2:$P$1001,MATCH(ROWS($N$2:N962),$N$2:$N$1001,0),0), INDEX($U$1004:$AC$1004,1,MATCH(COLUMNS($U$1006:V1006),$U$1006:$AC$1006,0)))),"Fix")))</f>
        <v>0</v>
      </c>
      <c r="D962" s="3">
        <f>IF(OR(INDEX($O$2:$O$1001,MATCH(ROWS($N$2:N962),$N$2:$N$1001,0),1)&gt;=100000,INDEX($U$1005:$AC$1005,1,MATCH(COLUMNS($U$1006:W1006),$U$1006:$AC$1006,0))&gt;=100000), " ",IF(INDEX($U$2:$AC$1001,MATCH(ROWS($N$2:N962),$N$2:$N$1001,0),MATCH(COLUMNS($U$1006:W1006),$U$1006:$AC$1006,0)), HYPERLINK("#",""), HYPERLINK(CONCATENATE("#metadata!", ADDRESS(INDEX($P$2:$P$1001,MATCH(ROWS($N$2:N962),$N$2:$N$1001,0),0), INDEX($U$1004:$AC$1004,1,MATCH(COLUMNS($U$1006:W1006),$U$1006:$AC$1006,0)))),"Fix")))</f>
        <v>0</v>
      </c>
      <c r="E962" s="3">
        <f>IF(OR(INDEX($O$2:$O$1001,MATCH(ROWS($N$2:N962),$N$2:$N$1001,0),1)&gt;=100000,INDEX($U$1005:$AC$1005,1,MATCH(COLUMNS($U$1006:X1006),$U$1006:$AC$1006,0))&gt;=100000), " ",IF(INDEX($U$2:$AC$1001,MATCH(ROWS($N$2:N962),$N$2:$N$1001,0),MATCH(COLUMNS($U$1006:X1006),$U$1006:$AC$1006,0)), HYPERLINK("#",""), HYPERLINK(CONCATENATE("#metadata!", ADDRESS(INDEX($P$2:$P$1001,MATCH(ROWS($N$2:N962),$N$2:$N$1001,0),0), INDEX($U$1004:$AC$1004,1,MATCH(COLUMNS($U$1006:X1006),$U$1006:$AC$1006,0)))),"Fix")))</f>
        <v>0</v>
      </c>
      <c r="F962" s="3">
        <f>IF(OR(INDEX($O$2:$O$1001,MATCH(ROWS($N$2:N962),$N$2:$N$1001,0),1)&gt;=100000,INDEX($U$1005:$AC$1005,1,MATCH(COLUMNS($U$1006:Y1006),$U$1006:$AC$1006,0))&gt;=100000), " ",IF(INDEX($U$2:$AC$1001,MATCH(ROWS($N$2:N962),$N$2:$N$1001,0),MATCH(COLUMNS($U$1006:Y1006),$U$1006:$AC$1006,0)), HYPERLINK("#",""), HYPERLINK(CONCATENATE("#metadata!", ADDRESS(INDEX($P$2:$P$1001,MATCH(ROWS($N$2:N962),$N$2:$N$1001,0),0), INDEX($U$1004:$AC$1004,1,MATCH(COLUMNS($U$1006:Y1006),$U$1006:$AC$1006,0)))),"Fix")))</f>
        <v>0</v>
      </c>
      <c r="G962" s="3">
        <f>IF(OR(INDEX($O$2:$O$1001,MATCH(ROWS($N$2:N962),$N$2:$N$1001,0),1)&gt;=100000,INDEX($U$1005:$AC$1005,1,MATCH(COLUMNS($U$1006:Z1006),$U$1006:$AC$1006,0))&gt;=100000), " ",IF(INDEX($U$2:$AC$1001,MATCH(ROWS($N$2:N962),$N$2:$N$1001,0),MATCH(COLUMNS($U$1006:Z1006),$U$1006:$AC$1006,0)), HYPERLINK("#",""), HYPERLINK(CONCATENATE("#metadata!", ADDRESS(INDEX($P$2:$P$1001,MATCH(ROWS($N$2:N962),$N$2:$N$1001,0),0), INDEX($U$1004:$AC$1004,1,MATCH(COLUMNS($U$1006:Z1006),$U$1006:$AC$1006,0)))),"Fix")))</f>
        <v>0</v>
      </c>
      <c r="H962" s="3">
        <f>IF(OR(INDEX($O$2:$O$1001,MATCH(ROWS($N$2:N962),$N$2:$N$1001,0),1)&gt;=100000,INDEX($U$1005:$AC$1005,1,MATCH(COLUMNS($U$1006:AA1006),$U$1006:$AC$1006,0))&gt;=100000), " ",IF(INDEX($U$2:$AC$1001,MATCH(ROWS($N$2:N962),$N$2:$N$1001,0),MATCH(COLUMNS($U$1006:AA1006),$U$1006:$AC$1006,0)), HYPERLINK("#",""), HYPERLINK(CONCATENATE("#metadata!", ADDRESS(INDEX($P$2:$P$1001,MATCH(ROWS($N$2:N962),$N$2:$N$1001,0),0), INDEX($U$1004:$AC$1004,1,MATCH(COLUMNS($U$1006:AA1006),$U$1006:$AC$1006,0)))),"Fix")))</f>
        <v>0</v>
      </c>
      <c r="I962" s="3">
        <f>IF(OR(INDEX($O$2:$O$1001,MATCH(ROWS($N$2:N962),$N$2:$N$1001,0),1)&gt;=100000,INDEX($U$1005:$AC$1005,1,MATCH(COLUMNS($U$1006:AB1006),$U$1006:$AC$1006,0))&gt;=100000), " ",IF(INDEX($U$2:$AC$1001,MATCH(ROWS($N$2:N962),$N$2:$N$1001,0),MATCH(COLUMNS($U$1006:AB1006),$U$1006:$AC$1006,0)), HYPERLINK("#",""), HYPERLINK(CONCATENATE("#metadata!", ADDRESS(INDEX($P$2:$P$1001,MATCH(ROWS($N$2:N962),$N$2:$N$1001,0),0), INDEX($U$1004:$AC$1004,1,MATCH(COLUMNS($U$1006:AB1006),$U$1006:$AC$1006,0)))),"Fix")))</f>
        <v>0</v>
      </c>
      <c r="J962" s="3">
        <f>IF(OR(INDEX($O$2:$O$1001,MATCH(ROWS($N$2:N962),$N$2:$N$1001,0),1)&gt;=100000,INDEX($U$1005:$AC$1005,1,MATCH(COLUMNS($U$1006:AC1006),$U$1006:$AC$1006,0))&gt;=100000), " ",IF(INDEX($U$2:$AC$1001,MATCH(ROWS($N$2:N962),$N$2:$N$1001,0),MATCH(COLUMNS($U$1006:AC1006),$U$1006:$AC$1006,0)), HYPERLINK("#",""), HYPERLINK(CONCATENATE("#metadata!", ADDRESS(INDEX($P$2:$P$1001,MATCH(ROWS($N$2:N962),$N$2:$N$1001,0),0), INDEX($U$1004:$AC$1004,1,MATCH(COLUMNS($U$1006:AC1006),$U$1006:$AC$1006,0)))),"Fix")))</f>
        <v>0</v>
      </c>
      <c r="N962">
        <v>0</v>
      </c>
      <c r="O962">
        <v>0</v>
      </c>
      <c r="P962">
        <v>0</v>
      </c>
      <c r="Q962">
        <f>IF(R962,TRUE,AND(U962:AC962))</f>
        <v>0</v>
      </c>
      <c r="R962">
        <f>COUNTBLANK(metadata!B962:J962)=COLUMNS(metadata!B962:J962)</f>
        <v>0</v>
      </c>
      <c r="S962">
        <v>0</v>
      </c>
      <c r="U962">
        <f>AND(IF(metadata!B962="",FALSE,TRUE),COUNTIF(metadata!B:B, metadata!B962) = 1,NOT(ISERROR(SUMPRODUCT(SEARCH(MID(metadata!B962,ROW(INDIRECT("1:"&amp;LEN(metadata!B962))), 1),"0123456789abcdefghijklmnopqrstuvwxyzABCDEFGHIJKLMNOPQRSTUVWXYZ.")))))</f>
        <v>0</v>
      </c>
      <c r="V962">
        <f>AND(IF(metadata!C962="",FALSE,TRUE),exact(metadata!C962,"UBERON:genitourinary"))</f>
        <v>0</v>
      </c>
      <c r="W962">
        <f>AND(IF(metadata!D962="",FALSE,TRUE),exact(metadata!D962,"UBERON:urine"))</f>
        <v>0</v>
      </c>
      <c r="X962">
        <f>AND(IF(metadata!E962="",FALSE,TRUE),exact(metadata!E962,"UBERON:kidney"))</f>
        <v>0</v>
      </c>
      <c r="Y962">
        <f>AND(IF(metadata!F962="",FALSE,TRUE),exact(metadata!F962,"animal corpus"))</f>
        <v>0</v>
      </c>
      <c r="Z962">
        <f>AND(IF(metadata!G962="",FALSE,TRUE),exact(metadata!G962,"urine"))</f>
        <v>0</v>
      </c>
      <c r="AA962">
        <f>AND(IF(metadata!H962="",FALSE,TRUE),exact(metadata!H962,"urine"))</f>
        <v>0</v>
      </c>
      <c r="AB962">
        <f>AND(IF(metadata!I962="",FALSE,TRUE),exact(metadata!I962,"urine metagenome"))</f>
        <v>0</v>
      </c>
      <c r="AC962">
        <f>AND(IF(metadata!J962="",FALSE,TRUE),exact(metadata!J962,"1346744"))</f>
        <v>0</v>
      </c>
    </row>
    <row r="963" spans="1:29">
      <c r="A963" s="4">
        <f>IF(B963=" "," ",HYPERLINK(CONCATENATE("#metadata!",ADDRESS(INDEX($P$2:$P$1001,MATCH(ROWS($N$2:N963),$N$2:$N$1001,0),0),1)),INDEX($S$2:$S$1001,MATCH(ROWS($N$2:N963),$N$2:$N$1001,0),0)))</f>
        <v>0</v>
      </c>
      <c r="B963" s="3">
        <f>IF(OR(INDEX($O$2:$O$1001,MATCH(ROWS($N$2:N963),$N$2:$N$1001,0),1)&gt;=100000,INDEX($U$1005:$AC$1005,1,MATCH(COLUMNS($U$1006:U1006),$U$1006:$AC$1006,0))&gt;=100000), " ",IF(INDEX($U$2:$AC$1001,MATCH(ROWS($N$2:N963),$N$2:$N$1001,0),MATCH(COLUMNS($U$1006:U1006),$U$1006:$AC$1006,0)), HYPERLINK("#",""), HYPERLINK(CONCATENATE("#metadata!", ADDRESS(INDEX($P$2:$P$1001,MATCH(ROWS($N$2:N963),$N$2:$N$1001,0),0), INDEX($U$1004:$AC$1004,1,MATCH(COLUMNS($U$1006:U1006),$U$1006:$AC$1006,0)))),"Fix")))</f>
        <v>0</v>
      </c>
      <c r="C963" s="3">
        <f>IF(OR(INDEX($O$2:$O$1001,MATCH(ROWS($N$2:N963),$N$2:$N$1001,0),1)&gt;=100000,INDEX($U$1005:$AC$1005,1,MATCH(COLUMNS($U$1006:V1006),$U$1006:$AC$1006,0))&gt;=100000), " ",IF(INDEX($U$2:$AC$1001,MATCH(ROWS($N$2:N963),$N$2:$N$1001,0),MATCH(COLUMNS($U$1006:V1006),$U$1006:$AC$1006,0)), HYPERLINK("#",""), HYPERLINK(CONCATENATE("#metadata!", ADDRESS(INDEX($P$2:$P$1001,MATCH(ROWS($N$2:N963),$N$2:$N$1001,0),0), INDEX($U$1004:$AC$1004,1,MATCH(COLUMNS($U$1006:V1006),$U$1006:$AC$1006,0)))),"Fix")))</f>
        <v>0</v>
      </c>
      <c r="D963" s="3">
        <f>IF(OR(INDEX($O$2:$O$1001,MATCH(ROWS($N$2:N963),$N$2:$N$1001,0),1)&gt;=100000,INDEX($U$1005:$AC$1005,1,MATCH(COLUMNS($U$1006:W1006),$U$1006:$AC$1006,0))&gt;=100000), " ",IF(INDEX($U$2:$AC$1001,MATCH(ROWS($N$2:N963),$N$2:$N$1001,0),MATCH(COLUMNS($U$1006:W1006),$U$1006:$AC$1006,0)), HYPERLINK("#",""), HYPERLINK(CONCATENATE("#metadata!", ADDRESS(INDEX($P$2:$P$1001,MATCH(ROWS($N$2:N963),$N$2:$N$1001,0),0), INDEX($U$1004:$AC$1004,1,MATCH(COLUMNS($U$1006:W1006),$U$1006:$AC$1006,0)))),"Fix")))</f>
        <v>0</v>
      </c>
      <c r="E963" s="3">
        <f>IF(OR(INDEX($O$2:$O$1001,MATCH(ROWS($N$2:N963),$N$2:$N$1001,0),1)&gt;=100000,INDEX($U$1005:$AC$1005,1,MATCH(COLUMNS($U$1006:X1006),$U$1006:$AC$1006,0))&gt;=100000), " ",IF(INDEX($U$2:$AC$1001,MATCH(ROWS($N$2:N963),$N$2:$N$1001,0),MATCH(COLUMNS($U$1006:X1006),$U$1006:$AC$1006,0)), HYPERLINK("#",""), HYPERLINK(CONCATENATE("#metadata!", ADDRESS(INDEX($P$2:$P$1001,MATCH(ROWS($N$2:N963),$N$2:$N$1001,0),0), INDEX($U$1004:$AC$1004,1,MATCH(COLUMNS($U$1006:X1006),$U$1006:$AC$1006,0)))),"Fix")))</f>
        <v>0</v>
      </c>
      <c r="F963" s="3">
        <f>IF(OR(INDEX($O$2:$O$1001,MATCH(ROWS($N$2:N963),$N$2:$N$1001,0),1)&gt;=100000,INDEX($U$1005:$AC$1005,1,MATCH(COLUMNS($U$1006:Y1006),$U$1006:$AC$1006,0))&gt;=100000), " ",IF(INDEX($U$2:$AC$1001,MATCH(ROWS($N$2:N963),$N$2:$N$1001,0),MATCH(COLUMNS($U$1006:Y1006),$U$1006:$AC$1006,0)), HYPERLINK("#",""), HYPERLINK(CONCATENATE("#metadata!", ADDRESS(INDEX($P$2:$P$1001,MATCH(ROWS($N$2:N963),$N$2:$N$1001,0),0), INDEX($U$1004:$AC$1004,1,MATCH(COLUMNS($U$1006:Y1006),$U$1006:$AC$1006,0)))),"Fix")))</f>
        <v>0</v>
      </c>
      <c r="G963" s="3">
        <f>IF(OR(INDEX($O$2:$O$1001,MATCH(ROWS($N$2:N963),$N$2:$N$1001,0),1)&gt;=100000,INDEX($U$1005:$AC$1005,1,MATCH(COLUMNS($U$1006:Z1006),$U$1006:$AC$1006,0))&gt;=100000), " ",IF(INDEX($U$2:$AC$1001,MATCH(ROWS($N$2:N963),$N$2:$N$1001,0),MATCH(COLUMNS($U$1006:Z1006),$U$1006:$AC$1006,0)), HYPERLINK("#",""), HYPERLINK(CONCATENATE("#metadata!", ADDRESS(INDEX($P$2:$P$1001,MATCH(ROWS($N$2:N963),$N$2:$N$1001,0),0), INDEX($U$1004:$AC$1004,1,MATCH(COLUMNS($U$1006:Z1006),$U$1006:$AC$1006,0)))),"Fix")))</f>
        <v>0</v>
      </c>
      <c r="H963" s="3">
        <f>IF(OR(INDEX($O$2:$O$1001,MATCH(ROWS($N$2:N963),$N$2:$N$1001,0),1)&gt;=100000,INDEX($U$1005:$AC$1005,1,MATCH(COLUMNS($U$1006:AA1006),$U$1006:$AC$1006,0))&gt;=100000), " ",IF(INDEX($U$2:$AC$1001,MATCH(ROWS($N$2:N963),$N$2:$N$1001,0),MATCH(COLUMNS($U$1006:AA1006),$U$1006:$AC$1006,0)), HYPERLINK("#",""), HYPERLINK(CONCATENATE("#metadata!", ADDRESS(INDEX($P$2:$P$1001,MATCH(ROWS($N$2:N963),$N$2:$N$1001,0),0), INDEX($U$1004:$AC$1004,1,MATCH(COLUMNS($U$1006:AA1006),$U$1006:$AC$1006,0)))),"Fix")))</f>
        <v>0</v>
      </c>
      <c r="I963" s="3">
        <f>IF(OR(INDEX($O$2:$O$1001,MATCH(ROWS($N$2:N963),$N$2:$N$1001,0),1)&gt;=100000,INDEX($U$1005:$AC$1005,1,MATCH(COLUMNS($U$1006:AB1006),$U$1006:$AC$1006,0))&gt;=100000), " ",IF(INDEX($U$2:$AC$1001,MATCH(ROWS($N$2:N963),$N$2:$N$1001,0),MATCH(COLUMNS($U$1006:AB1006),$U$1006:$AC$1006,0)), HYPERLINK("#",""), HYPERLINK(CONCATENATE("#metadata!", ADDRESS(INDEX($P$2:$P$1001,MATCH(ROWS($N$2:N963),$N$2:$N$1001,0),0), INDEX($U$1004:$AC$1004,1,MATCH(COLUMNS($U$1006:AB1006),$U$1006:$AC$1006,0)))),"Fix")))</f>
        <v>0</v>
      </c>
      <c r="J963" s="3">
        <f>IF(OR(INDEX($O$2:$O$1001,MATCH(ROWS($N$2:N963),$N$2:$N$1001,0),1)&gt;=100000,INDEX($U$1005:$AC$1005,1,MATCH(COLUMNS($U$1006:AC1006),$U$1006:$AC$1006,0))&gt;=100000), " ",IF(INDEX($U$2:$AC$1001,MATCH(ROWS($N$2:N963),$N$2:$N$1001,0),MATCH(COLUMNS($U$1006:AC1006),$U$1006:$AC$1006,0)), HYPERLINK("#",""), HYPERLINK(CONCATENATE("#metadata!", ADDRESS(INDEX($P$2:$P$1001,MATCH(ROWS($N$2:N963),$N$2:$N$1001,0),0), INDEX($U$1004:$AC$1004,1,MATCH(COLUMNS($U$1006:AC1006),$U$1006:$AC$1006,0)))),"Fix")))</f>
        <v>0</v>
      </c>
      <c r="N963">
        <v>0</v>
      </c>
      <c r="O963">
        <v>0</v>
      </c>
      <c r="P963">
        <v>0</v>
      </c>
      <c r="Q963">
        <f>IF(R963,TRUE,AND(U963:AC963))</f>
        <v>0</v>
      </c>
      <c r="R963">
        <f>COUNTBLANK(metadata!B963:J963)=COLUMNS(metadata!B963:J963)</f>
        <v>0</v>
      </c>
      <c r="S963">
        <v>0</v>
      </c>
      <c r="U963">
        <f>AND(IF(metadata!B963="",FALSE,TRUE),COUNTIF(metadata!B:B, metadata!B963) = 1,NOT(ISERROR(SUMPRODUCT(SEARCH(MID(metadata!B963,ROW(INDIRECT("1:"&amp;LEN(metadata!B963))), 1),"0123456789abcdefghijklmnopqrstuvwxyzABCDEFGHIJKLMNOPQRSTUVWXYZ.")))))</f>
        <v>0</v>
      </c>
      <c r="V963">
        <f>AND(IF(metadata!C963="",FALSE,TRUE),exact(metadata!C963,"UBERON:genitourinary"))</f>
        <v>0</v>
      </c>
      <c r="W963">
        <f>AND(IF(metadata!D963="",FALSE,TRUE),exact(metadata!D963,"UBERON:urine"))</f>
        <v>0</v>
      </c>
      <c r="X963">
        <f>AND(IF(metadata!E963="",FALSE,TRUE),exact(metadata!E963,"UBERON:kidney"))</f>
        <v>0</v>
      </c>
      <c r="Y963">
        <f>AND(IF(metadata!F963="",FALSE,TRUE),exact(metadata!F963,"animal corpus"))</f>
        <v>0</v>
      </c>
      <c r="Z963">
        <f>AND(IF(metadata!G963="",FALSE,TRUE),exact(metadata!G963,"urine"))</f>
        <v>0</v>
      </c>
      <c r="AA963">
        <f>AND(IF(metadata!H963="",FALSE,TRUE),exact(metadata!H963,"urine"))</f>
        <v>0</v>
      </c>
      <c r="AB963">
        <f>AND(IF(metadata!I963="",FALSE,TRUE),exact(metadata!I963,"urine metagenome"))</f>
        <v>0</v>
      </c>
      <c r="AC963">
        <f>AND(IF(metadata!J963="",FALSE,TRUE),exact(metadata!J963,"1346744"))</f>
        <v>0</v>
      </c>
    </row>
    <row r="964" spans="1:29">
      <c r="A964" s="4">
        <f>IF(B964=" "," ",HYPERLINK(CONCATENATE("#metadata!",ADDRESS(INDEX($P$2:$P$1001,MATCH(ROWS($N$2:N964),$N$2:$N$1001,0),0),1)),INDEX($S$2:$S$1001,MATCH(ROWS($N$2:N964),$N$2:$N$1001,0),0)))</f>
        <v>0</v>
      </c>
      <c r="B964" s="3">
        <f>IF(OR(INDEX($O$2:$O$1001,MATCH(ROWS($N$2:N964),$N$2:$N$1001,0),1)&gt;=100000,INDEX($U$1005:$AC$1005,1,MATCH(COLUMNS($U$1006:U1006),$U$1006:$AC$1006,0))&gt;=100000), " ",IF(INDEX($U$2:$AC$1001,MATCH(ROWS($N$2:N964),$N$2:$N$1001,0),MATCH(COLUMNS($U$1006:U1006),$U$1006:$AC$1006,0)), HYPERLINK("#",""), HYPERLINK(CONCATENATE("#metadata!", ADDRESS(INDEX($P$2:$P$1001,MATCH(ROWS($N$2:N964),$N$2:$N$1001,0),0), INDEX($U$1004:$AC$1004,1,MATCH(COLUMNS($U$1006:U1006),$U$1006:$AC$1006,0)))),"Fix")))</f>
        <v>0</v>
      </c>
      <c r="C964" s="3">
        <f>IF(OR(INDEX($O$2:$O$1001,MATCH(ROWS($N$2:N964),$N$2:$N$1001,0),1)&gt;=100000,INDEX($U$1005:$AC$1005,1,MATCH(COLUMNS($U$1006:V1006),$U$1006:$AC$1006,0))&gt;=100000), " ",IF(INDEX($U$2:$AC$1001,MATCH(ROWS($N$2:N964),$N$2:$N$1001,0),MATCH(COLUMNS($U$1006:V1006),$U$1006:$AC$1006,0)), HYPERLINK("#",""), HYPERLINK(CONCATENATE("#metadata!", ADDRESS(INDEX($P$2:$P$1001,MATCH(ROWS($N$2:N964),$N$2:$N$1001,0),0), INDEX($U$1004:$AC$1004,1,MATCH(COLUMNS($U$1006:V1006),$U$1006:$AC$1006,0)))),"Fix")))</f>
        <v>0</v>
      </c>
      <c r="D964" s="3">
        <f>IF(OR(INDEX($O$2:$O$1001,MATCH(ROWS($N$2:N964),$N$2:$N$1001,0),1)&gt;=100000,INDEX($U$1005:$AC$1005,1,MATCH(COLUMNS($U$1006:W1006),$U$1006:$AC$1006,0))&gt;=100000), " ",IF(INDEX($U$2:$AC$1001,MATCH(ROWS($N$2:N964),$N$2:$N$1001,0),MATCH(COLUMNS($U$1006:W1006),$U$1006:$AC$1006,0)), HYPERLINK("#",""), HYPERLINK(CONCATENATE("#metadata!", ADDRESS(INDEX($P$2:$P$1001,MATCH(ROWS($N$2:N964),$N$2:$N$1001,0),0), INDEX($U$1004:$AC$1004,1,MATCH(COLUMNS($U$1006:W1006),$U$1006:$AC$1006,0)))),"Fix")))</f>
        <v>0</v>
      </c>
      <c r="E964" s="3">
        <f>IF(OR(INDEX($O$2:$O$1001,MATCH(ROWS($N$2:N964),$N$2:$N$1001,0),1)&gt;=100000,INDEX($U$1005:$AC$1005,1,MATCH(COLUMNS($U$1006:X1006),$U$1006:$AC$1006,0))&gt;=100000), " ",IF(INDEX($U$2:$AC$1001,MATCH(ROWS($N$2:N964),$N$2:$N$1001,0),MATCH(COLUMNS($U$1006:X1006),$U$1006:$AC$1006,0)), HYPERLINK("#",""), HYPERLINK(CONCATENATE("#metadata!", ADDRESS(INDEX($P$2:$P$1001,MATCH(ROWS($N$2:N964),$N$2:$N$1001,0),0), INDEX($U$1004:$AC$1004,1,MATCH(COLUMNS($U$1006:X1006),$U$1006:$AC$1006,0)))),"Fix")))</f>
        <v>0</v>
      </c>
      <c r="F964" s="3">
        <f>IF(OR(INDEX($O$2:$O$1001,MATCH(ROWS($N$2:N964),$N$2:$N$1001,0),1)&gt;=100000,INDEX($U$1005:$AC$1005,1,MATCH(COLUMNS($U$1006:Y1006),$U$1006:$AC$1006,0))&gt;=100000), " ",IF(INDEX($U$2:$AC$1001,MATCH(ROWS($N$2:N964),$N$2:$N$1001,0),MATCH(COLUMNS($U$1006:Y1006),$U$1006:$AC$1006,0)), HYPERLINK("#",""), HYPERLINK(CONCATENATE("#metadata!", ADDRESS(INDEX($P$2:$P$1001,MATCH(ROWS($N$2:N964),$N$2:$N$1001,0),0), INDEX($U$1004:$AC$1004,1,MATCH(COLUMNS($U$1006:Y1006),$U$1006:$AC$1006,0)))),"Fix")))</f>
        <v>0</v>
      </c>
      <c r="G964" s="3">
        <f>IF(OR(INDEX($O$2:$O$1001,MATCH(ROWS($N$2:N964),$N$2:$N$1001,0),1)&gt;=100000,INDEX($U$1005:$AC$1005,1,MATCH(COLUMNS($U$1006:Z1006),$U$1006:$AC$1006,0))&gt;=100000), " ",IF(INDEX($U$2:$AC$1001,MATCH(ROWS($N$2:N964),$N$2:$N$1001,0),MATCH(COLUMNS($U$1006:Z1006),$U$1006:$AC$1006,0)), HYPERLINK("#",""), HYPERLINK(CONCATENATE("#metadata!", ADDRESS(INDEX($P$2:$P$1001,MATCH(ROWS($N$2:N964),$N$2:$N$1001,0),0), INDEX($U$1004:$AC$1004,1,MATCH(COLUMNS($U$1006:Z1006),$U$1006:$AC$1006,0)))),"Fix")))</f>
        <v>0</v>
      </c>
      <c r="H964" s="3">
        <f>IF(OR(INDEX($O$2:$O$1001,MATCH(ROWS($N$2:N964),$N$2:$N$1001,0),1)&gt;=100000,INDEX($U$1005:$AC$1005,1,MATCH(COLUMNS($U$1006:AA1006),$U$1006:$AC$1006,0))&gt;=100000), " ",IF(INDEX($U$2:$AC$1001,MATCH(ROWS($N$2:N964),$N$2:$N$1001,0),MATCH(COLUMNS($U$1006:AA1006),$U$1006:$AC$1006,0)), HYPERLINK("#",""), HYPERLINK(CONCATENATE("#metadata!", ADDRESS(INDEX($P$2:$P$1001,MATCH(ROWS($N$2:N964),$N$2:$N$1001,0),0), INDEX($U$1004:$AC$1004,1,MATCH(COLUMNS($U$1006:AA1006),$U$1006:$AC$1006,0)))),"Fix")))</f>
        <v>0</v>
      </c>
      <c r="I964" s="3">
        <f>IF(OR(INDEX($O$2:$O$1001,MATCH(ROWS($N$2:N964),$N$2:$N$1001,0),1)&gt;=100000,INDEX($U$1005:$AC$1005,1,MATCH(COLUMNS($U$1006:AB1006),$U$1006:$AC$1006,0))&gt;=100000), " ",IF(INDEX($U$2:$AC$1001,MATCH(ROWS($N$2:N964),$N$2:$N$1001,0),MATCH(COLUMNS($U$1006:AB1006),$U$1006:$AC$1006,0)), HYPERLINK("#",""), HYPERLINK(CONCATENATE("#metadata!", ADDRESS(INDEX($P$2:$P$1001,MATCH(ROWS($N$2:N964),$N$2:$N$1001,0),0), INDEX($U$1004:$AC$1004,1,MATCH(COLUMNS($U$1006:AB1006),$U$1006:$AC$1006,0)))),"Fix")))</f>
        <v>0</v>
      </c>
      <c r="J964" s="3">
        <f>IF(OR(INDEX($O$2:$O$1001,MATCH(ROWS($N$2:N964),$N$2:$N$1001,0),1)&gt;=100000,INDEX($U$1005:$AC$1005,1,MATCH(COLUMNS($U$1006:AC1006),$U$1006:$AC$1006,0))&gt;=100000), " ",IF(INDEX($U$2:$AC$1001,MATCH(ROWS($N$2:N964),$N$2:$N$1001,0),MATCH(COLUMNS($U$1006:AC1006),$U$1006:$AC$1006,0)), HYPERLINK("#",""), HYPERLINK(CONCATENATE("#metadata!", ADDRESS(INDEX($P$2:$P$1001,MATCH(ROWS($N$2:N964),$N$2:$N$1001,0),0), INDEX($U$1004:$AC$1004,1,MATCH(COLUMNS($U$1006:AC1006),$U$1006:$AC$1006,0)))),"Fix")))</f>
        <v>0</v>
      </c>
      <c r="N964">
        <v>0</v>
      </c>
      <c r="O964">
        <v>0</v>
      </c>
      <c r="P964">
        <v>0</v>
      </c>
      <c r="Q964">
        <f>IF(R964,TRUE,AND(U964:AC964))</f>
        <v>0</v>
      </c>
      <c r="R964">
        <f>COUNTBLANK(metadata!B964:J964)=COLUMNS(metadata!B964:J964)</f>
        <v>0</v>
      </c>
      <c r="S964">
        <v>0</v>
      </c>
      <c r="U964">
        <f>AND(IF(metadata!B964="",FALSE,TRUE),COUNTIF(metadata!B:B, metadata!B964) = 1,NOT(ISERROR(SUMPRODUCT(SEARCH(MID(metadata!B964,ROW(INDIRECT("1:"&amp;LEN(metadata!B964))), 1),"0123456789abcdefghijklmnopqrstuvwxyzABCDEFGHIJKLMNOPQRSTUVWXYZ.")))))</f>
        <v>0</v>
      </c>
      <c r="V964">
        <f>AND(IF(metadata!C964="",FALSE,TRUE),exact(metadata!C964,"UBERON:genitourinary"))</f>
        <v>0</v>
      </c>
      <c r="W964">
        <f>AND(IF(metadata!D964="",FALSE,TRUE),exact(metadata!D964,"UBERON:urine"))</f>
        <v>0</v>
      </c>
      <c r="X964">
        <f>AND(IF(metadata!E964="",FALSE,TRUE),exact(metadata!E964,"UBERON:kidney"))</f>
        <v>0</v>
      </c>
      <c r="Y964">
        <f>AND(IF(metadata!F964="",FALSE,TRUE),exact(metadata!F964,"animal corpus"))</f>
        <v>0</v>
      </c>
      <c r="Z964">
        <f>AND(IF(metadata!G964="",FALSE,TRUE),exact(metadata!G964,"urine"))</f>
        <v>0</v>
      </c>
      <c r="AA964">
        <f>AND(IF(metadata!H964="",FALSE,TRUE),exact(metadata!H964,"urine"))</f>
        <v>0</v>
      </c>
      <c r="AB964">
        <f>AND(IF(metadata!I964="",FALSE,TRUE),exact(metadata!I964,"urine metagenome"))</f>
        <v>0</v>
      </c>
      <c r="AC964">
        <f>AND(IF(metadata!J964="",FALSE,TRUE),exact(metadata!J964,"1346744"))</f>
        <v>0</v>
      </c>
    </row>
    <row r="965" spans="1:29">
      <c r="A965" s="4">
        <f>IF(B965=" "," ",HYPERLINK(CONCATENATE("#metadata!",ADDRESS(INDEX($P$2:$P$1001,MATCH(ROWS($N$2:N965),$N$2:$N$1001,0),0),1)),INDEX($S$2:$S$1001,MATCH(ROWS($N$2:N965),$N$2:$N$1001,0),0)))</f>
        <v>0</v>
      </c>
      <c r="B965" s="3">
        <f>IF(OR(INDEX($O$2:$O$1001,MATCH(ROWS($N$2:N965),$N$2:$N$1001,0),1)&gt;=100000,INDEX($U$1005:$AC$1005,1,MATCH(COLUMNS($U$1006:U1006),$U$1006:$AC$1006,0))&gt;=100000), " ",IF(INDEX($U$2:$AC$1001,MATCH(ROWS($N$2:N965),$N$2:$N$1001,0),MATCH(COLUMNS($U$1006:U1006),$U$1006:$AC$1006,0)), HYPERLINK("#",""), HYPERLINK(CONCATENATE("#metadata!", ADDRESS(INDEX($P$2:$P$1001,MATCH(ROWS($N$2:N965),$N$2:$N$1001,0),0), INDEX($U$1004:$AC$1004,1,MATCH(COLUMNS($U$1006:U1006),$U$1006:$AC$1006,0)))),"Fix")))</f>
        <v>0</v>
      </c>
      <c r="C965" s="3">
        <f>IF(OR(INDEX($O$2:$O$1001,MATCH(ROWS($N$2:N965),$N$2:$N$1001,0),1)&gt;=100000,INDEX($U$1005:$AC$1005,1,MATCH(COLUMNS($U$1006:V1006),$U$1006:$AC$1006,0))&gt;=100000), " ",IF(INDEX($U$2:$AC$1001,MATCH(ROWS($N$2:N965),$N$2:$N$1001,0),MATCH(COLUMNS($U$1006:V1006),$U$1006:$AC$1006,0)), HYPERLINK("#",""), HYPERLINK(CONCATENATE("#metadata!", ADDRESS(INDEX($P$2:$P$1001,MATCH(ROWS($N$2:N965),$N$2:$N$1001,0),0), INDEX($U$1004:$AC$1004,1,MATCH(COLUMNS($U$1006:V1006),$U$1006:$AC$1006,0)))),"Fix")))</f>
        <v>0</v>
      </c>
      <c r="D965" s="3">
        <f>IF(OR(INDEX($O$2:$O$1001,MATCH(ROWS($N$2:N965),$N$2:$N$1001,0),1)&gt;=100000,INDEX($U$1005:$AC$1005,1,MATCH(COLUMNS($U$1006:W1006),$U$1006:$AC$1006,0))&gt;=100000), " ",IF(INDEX($U$2:$AC$1001,MATCH(ROWS($N$2:N965),$N$2:$N$1001,0),MATCH(COLUMNS($U$1006:W1006),$U$1006:$AC$1006,0)), HYPERLINK("#",""), HYPERLINK(CONCATENATE("#metadata!", ADDRESS(INDEX($P$2:$P$1001,MATCH(ROWS($N$2:N965),$N$2:$N$1001,0),0), INDEX($U$1004:$AC$1004,1,MATCH(COLUMNS($U$1006:W1006),$U$1006:$AC$1006,0)))),"Fix")))</f>
        <v>0</v>
      </c>
      <c r="E965" s="3">
        <f>IF(OR(INDEX($O$2:$O$1001,MATCH(ROWS($N$2:N965),$N$2:$N$1001,0),1)&gt;=100000,INDEX($U$1005:$AC$1005,1,MATCH(COLUMNS($U$1006:X1006),$U$1006:$AC$1006,0))&gt;=100000), " ",IF(INDEX($U$2:$AC$1001,MATCH(ROWS($N$2:N965),$N$2:$N$1001,0),MATCH(COLUMNS($U$1006:X1006),$U$1006:$AC$1006,0)), HYPERLINK("#",""), HYPERLINK(CONCATENATE("#metadata!", ADDRESS(INDEX($P$2:$P$1001,MATCH(ROWS($N$2:N965),$N$2:$N$1001,0),0), INDEX($U$1004:$AC$1004,1,MATCH(COLUMNS($U$1006:X1006),$U$1006:$AC$1006,0)))),"Fix")))</f>
        <v>0</v>
      </c>
      <c r="F965" s="3">
        <f>IF(OR(INDEX($O$2:$O$1001,MATCH(ROWS($N$2:N965),$N$2:$N$1001,0),1)&gt;=100000,INDEX($U$1005:$AC$1005,1,MATCH(COLUMNS($U$1006:Y1006),$U$1006:$AC$1006,0))&gt;=100000), " ",IF(INDEX($U$2:$AC$1001,MATCH(ROWS($N$2:N965),$N$2:$N$1001,0),MATCH(COLUMNS($U$1006:Y1006),$U$1006:$AC$1006,0)), HYPERLINK("#",""), HYPERLINK(CONCATENATE("#metadata!", ADDRESS(INDEX($P$2:$P$1001,MATCH(ROWS($N$2:N965),$N$2:$N$1001,0),0), INDEX($U$1004:$AC$1004,1,MATCH(COLUMNS($U$1006:Y1006),$U$1006:$AC$1006,0)))),"Fix")))</f>
        <v>0</v>
      </c>
      <c r="G965" s="3">
        <f>IF(OR(INDEX($O$2:$O$1001,MATCH(ROWS($N$2:N965),$N$2:$N$1001,0),1)&gt;=100000,INDEX($U$1005:$AC$1005,1,MATCH(COLUMNS($U$1006:Z1006),$U$1006:$AC$1006,0))&gt;=100000), " ",IF(INDEX($U$2:$AC$1001,MATCH(ROWS($N$2:N965),$N$2:$N$1001,0),MATCH(COLUMNS($U$1006:Z1006),$U$1006:$AC$1006,0)), HYPERLINK("#",""), HYPERLINK(CONCATENATE("#metadata!", ADDRESS(INDEX($P$2:$P$1001,MATCH(ROWS($N$2:N965),$N$2:$N$1001,0),0), INDEX($U$1004:$AC$1004,1,MATCH(COLUMNS($U$1006:Z1006),$U$1006:$AC$1006,0)))),"Fix")))</f>
        <v>0</v>
      </c>
      <c r="H965" s="3">
        <f>IF(OR(INDEX($O$2:$O$1001,MATCH(ROWS($N$2:N965),$N$2:$N$1001,0),1)&gt;=100000,INDEX($U$1005:$AC$1005,1,MATCH(COLUMNS($U$1006:AA1006),$U$1006:$AC$1006,0))&gt;=100000), " ",IF(INDEX($U$2:$AC$1001,MATCH(ROWS($N$2:N965),$N$2:$N$1001,0),MATCH(COLUMNS($U$1006:AA1006),$U$1006:$AC$1006,0)), HYPERLINK("#",""), HYPERLINK(CONCATENATE("#metadata!", ADDRESS(INDEX($P$2:$P$1001,MATCH(ROWS($N$2:N965),$N$2:$N$1001,0),0), INDEX($U$1004:$AC$1004,1,MATCH(COLUMNS($U$1006:AA1006),$U$1006:$AC$1006,0)))),"Fix")))</f>
        <v>0</v>
      </c>
      <c r="I965" s="3">
        <f>IF(OR(INDEX($O$2:$O$1001,MATCH(ROWS($N$2:N965),$N$2:$N$1001,0),1)&gt;=100000,INDEX($U$1005:$AC$1005,1,MATCH(COLUMNS($U$1006:AB1006),$U$1006:$AC$1006,0))&gt;=100000), " ",IF(INDEX($U$2:$AC$1001,MATCH(ROWS($N$2:N965),$N$2:$N$1001,0),MATCH(COLUMNS($U$1006:AB1006),$U$1006:$AC$1006,0)), HYPERLINK("#",""), HYPERLINK(CONCATENATE("#metadata!", ADDRESS(INDEX($P$2:$P$1001,MATCH(ROWS($N$2:N965),$N$2:$N$1001,0),0), INDEX($U$1004:$AC$1004,1,MATCH(COLUMNS($U$1006:AB1006),$U$1006:$AC$1006,0)))),"Fix")))</f>
        <v>0</v>
      </c>
      <c r="J965" s="3">
        <f>IF(OR(INDEX($O$2:$O$1001,MATCH(ROWS($N$2:N965),$N$2:$N$1001,0),1)&gt;=100000,INDEX($U$1005:$AC$1005,1,MATCH(COLUMNS($U$1006:AC1006),$U$1006:$AC$1006,0))&gt;=100000), " ",IF(INDEX($U$2:$AC$1001,MATCH(ROWS($N$2:N965),$N$2:$N$1001,0),MATCH(COLUMNS($U$1006:AC1006),$U$1006:$AC$1006,0)), HYPERLINK("#",""), HYPERLINK(CONCATENATE("#metadata!", ADDRESS(INDEX($P$2:$P$1001,MATCH(ROWS($N$2:N965),$N$2:$N$1001,0),0), INDEX($U$1004:$AC$1004,1,MATCH(COLUMNS($U$1006:AC1006),$U$1006:$AC$1006,0)))),"Fix")))</f>
        <v>0</v>
      </c>
      <c r="N965">
        <v>0</v>
      </c>
      <c r="O965">
        <v>0</v>
      </c>
      <c r="P965">
        <v>0</v>
      </c>
      <c r="Q965">
        <f>IF(R965,TRUE,AND(U965:AC965))</f>
        <v>0</v>
      </c>
      <c r="R965">
        <f>COUNTBLANK(metadata!B965:J965)=COLUMNS(metadata!B965:J965)</f>
        <v>0</v>
      </c>
      <c r="S965">
        <v>0</v>
      </c>
      <c r="U965">
        <f>AND(IF(metadata!B965="",FALSE,TRUE),COUNTIF(metadata!B:B, metadata!B965) = 1,NOT(ISERROR(SUMPRODUCT(SEARCH(MID(metadata!B965,ROW(INDIRECT("1:"&amp;LEN(metadata!B965))), 1),"0123456789abcdefghijklmnopqrstuvwxyzABCDEFGHIJKLMNOPQRSTUVWXYZ.")))))</f>
        <v>0</v>
      </c>
      <c r="V965">
        <f>AND(IF(metadata!C965="",FALSE,TRUE),exact(metadata!C965,"UBERON:genitourinary"))</f>
        <v>0</v>
      </c>
      <c r="W965">
        <f>AND(IF(metadata!D965="",FALSE,TRUE),exact(metadata!D965,"UBERON:urine"))</f>
        <v>0</v>
      </c>
      <c r="X965">
        <f>AND(IF(metadata!E965="",FALSE,TRUE),exact(metadata!E965,"UBERON:kidney"))</f>
        <v>0</v>
      </c>
      <c r="Y965">
        <f>AND(IF(metadata!F965="",FALSE,TRUE),exact(metadata!F965,"animal corpus"))</f>
        <v>0</v>
      </c>
      <c r="Z965">
        <f>AND(IF(metadata!G965="",FALSE,TRUE),exact(metadata!G965,"urine"))</f>
        <v>0</v>
      </c>
      <c r="AA965">
        <f>AND(IF(metadata!H965="",FALSE,TRUE),exact(metadata!H965,"urine"))</f>
        <v>0</v>
      </c>
      <c r="AB965">
        <f>AND(IF(metadata!I965="",FALSE,TRUE),exact(metadata!I965,"urine metagenome"))</f>
        <v>0</v>
      </c>
      <c r="AC965">
        <f>AND(IF(metadata!J965="",FALSE,TRUE),exact(metadata!J965,"1346744"))</f>
        <v>0</v>
      </c>
    </row>
    <row r="966" spans="1:29">
      <c r="A966" s="4">
        <f>IF(B966=" "," ",HYPERLINK(CONCATENATE("#metadata!",ADDRESS(INDEX($P$2:$P$1001,MATCH(ROWS($N$2:N966),$N$2:$N$1001,0),0),1)),INDEX($S$2:$S$1001,MATCH(ROWS($N$2:N966),$N$2:$N$1001,0),0)))</f>
        <v>0</v>
      </c>
      <c r="B966" s="3">
        <f>IF(OR(INDEX($O$2:$O$1001,MATCH(ROWS($N$2:N966),$N$2:$N$1001,0),1)&gt;=100000,INDEX($U$1005:$AC$1005,1,MATCH(COLUMNS($U$1006:U1006),$U$1006:$AC$1006,0))&gt;=100000), " ",IF(INDEX($U$2:$AC$1001,MATCH(ROWS($N$2:N966),$N$2:$N$1001,0),MATCH(COLUMNS($U$1006:U1006),$U$1006:$AC$1006,0)), HYPERLINK("#",""), HYPERLINK(CONCATENATE("#metadata!", ADDRESS(INDEX($P$2:$P$1001,MATCH(ROWS($N$2:N966),$N$2:$N$1001,0),0), INDEX($U$1004:$AC$1004,1,MATCH(COLUMNS($U$1006:U1006),$U$1006:$AC$1006,0)))),"Fix")))</f>
        <v>0</v>
      </c>
      <c r="C966" s="3">
        <f>IF(OR(INDEX($O$2:$O$1001,MATCH(ROWS($N$2:N966),$N$2:$N$1001,0),1)&gt;=100000,INDEX($U$1005:$AC$1005,1,MATCH(COLUMNS($U$1006:V1006),$U$1006:$AC$1006,0))&gt;=100000), " ",IF(INDEX($U$2:$AC$1001,MATCH(ROWS($N$2:N966),$N$2:$N$1001,0),MATCH(COLUMNS($U$1006:V1006),$U$1006:$AC$1006,0)), HYPERLINK("#",""), HYPERLINK(CONCATENATE("#metadata!", ADDRESS(INDEX($P$2:$P$1001,MATCH(ROWS($N$2:N966),$N$2:$N$1001,0),0), INDEX($U$1004:$AC$1004,1,MATCH(COLUMNS($U$1006:V1006),$U$1006:$AC$1006,0)))),"Fix")))</f>
        <v>0</v>
      </c>
      <c r="D966" s="3">
        <f>IF(OR(INDEX($O$2:$O$1001,MATCH(ROWS($N$2:N966),$N$2:$N$1001,0),1)&gt;=100000,INDEX($U$1005:$AC$1005,1,MATCH(COLUMNS($U$1006:W1006),$U$1006:$AC$1006,0))&gt;=100000), " ",IF(INDEX($U$2:$AC$1001,MATCH(ROWS($N$2:N966),$N$2:$N$1001,0),MATCH(COLUMNS($U$1006:W1006),$U$1006:$AC$1006,0)), HYPERLINK("#",""), HYPERLINK(CONCATENATE("#metadata!", ADDRESS(INDEX($P$2:$P$1001,MATCH(ROWS($N$2:N966),$N$2:$N$1001,0),0), INDEX($U$1004:$AC$1004,1,MATCH(COLUMNS($U$1006:W1006),$U$1006:$AC$1006,0)))),"Fix")))</f>
        <v>0</v>
      </c>
      <c r="E966" s="3">
        <f>IF(OR(INDEX($O$2:$O$1001,MATCH(ROWS($N$2:N966),$N$2:$N$1001,0),1)&gt;=100000,INDEX($U$1005:$AC$1005,1,MATCH(COLUMNS($U$1006:X1006),$U$1006:$AC$1006,0))&gt;=100000), " ",IF(INDEX($U$2:$AC$1001,MATCH(ROWS($N$2:N966),$N$2:$N$1001,0),MATCH(COLUMNS($U$1006:X1006),$U$1006:$AC$1006,0)), HYPERLINK("#",""), HYPERLINK(CONCATENATE("#metadata!", ADDRESS(INDEX($P$2:$P$1001,MATCH(ROWS($N$2:N966),$N$2:$N$1001,0),0), INDEX($U$1004:$AC$1004,1,MATCH(COLUMNS($U$1006:X1006),$U$1006:$AC$1006,0)))),"Fix")))</f>
        <v>0</v>
      </c>
      <c r="F966" s="3">
        <f>IF(OR(INDEX($O$2:$O$1001,MATCH(ROWS($N$2:N966),$N$2:$N$1001,0),1)&gt;=100000,INDEX($U$1005:$AC$1005,1,MATCH(COLUMNS($U$1006:Y1006),$U$1006:$AC$1006,0))&gt;=100000), " ",IF(INDEX($U$2:$AC$1001,MATCH(ROWS($N$2:N966),$N$2:$N$1001,0),MATCH(COLUMNS($U$1006:Y1006),$U$1006:$AC$1006,0)), HYPERLINK("#",""), HYPERLINK(CONCATENATE("#metadata!", ADDRESS(INDEX($P$2:$P$1001,MATCH(ROWS($N$2:N966),$N$2:$N$1001,0),0), INDEX($U$1004:$AC$1004,1,MATCH(COLUMNS($U$1006:Y1006),$U$1006:$AC$1006,0)))),"Fix")))</f>
        <v>0</v>
      </c>
      <c r="G966" s="3">
        <f>IF(OR(INDEX($O$2:$O$1001,MATCH(ROWS($N$2:N966),$N$2:$N$1001,0),1)&gt;=100000,INDEX($U$1005:$AC$1005,1,MATCH(COLUMNS($U$1006:Z1006),$U$1006:$AC$1006,0))&gt;=100000), " ",IF(INDEX($U$2:$AC$1001,MATCH(ROWS($N$2:N966),$N$2:$N$1001,0),MATCH(COLUMNS($U$1006:Z1006),$U$1006:$AC$1006,0)), HYPERLINK("#",""), HYPERLINK(CONCATENATE("#metadata!", ADDRESS(INDEX($P$2:$P$1001,MATCH(ROWS($N$2:N966),$N$2:$N$1001,0),0), INDEX($U$1004:$AC$1004,1,MATCH(COLUMNS($U$1006:Z1006),$U$1006:$AC$1006,0)))),"Fix")))</f>
        <v>0</v>
      </c>
      <c r="H966" s="3">
        <f>IF(OR(INDEX($O$2:$O$1001,MATCH(ROWS($N$2:N966),$N$2:$N$1001,0),1)&gt;=100000,INDEX($U$1005:$AC$1005,1,MATCH(COLUMNS($U$1006:AA1006),$U$1006:$AC$1006,0))&gt;=100000), " ",IF(INDEX($U$2:$AC$1001,MATCH(ROWS($N$2:N966),$N$2:$N$1001,0),MATCH(COLUMNS($U$1006:AA1006),$U$1006:$AC$1006,0)), HYPERLINK("#",""), HYPERLINK(CONCATENATE("#metadata!", ADDRESS(INDEX($P$2:$P$1001,MATCH(ROWS($N$2:N966),$N$2:$N$1001,0),0), INDEX($U$1004:$AC$1004,1,MATCH(COLUMNS($U$1006:AA1006),$U$1006:$AC$1006,0)))),"Fix")))</f>
        <v>0</v>
      </c>
      <c r="I966" s="3">
        <f>IF(OR(INDEX($O$2:$O$1001,MATCH(ROWS($N$2:N966),$N$2:$N$1001,0),1)&gt;=100000,INDEX($U$1005:$AC$1005,1,MATCH(COLUMNS($U$1006:AB1006),$U$1006:$AC$1006,0))&gt;=100000), " ",IF(INDEX($U$2:$AC$1001,MATCH(ROWS($N$2:N966),$N$2:$N$1001,0),MATCH(COLUMNS($U$1006:AB1006),$U$1006:$AC$1006,0)), HYPERLINK("#",""), HYPERLINK(CONCATENATE("#metadata!", ADDRESS(INDEX($P$2:$P$1001,MATCH(ROWS($N$2:N966),$N$2:$N$1001,0),0), INDEX($U$1004:$AC$1004,1,MATCH(COLUMNS($U$1006:AB1006),$U$1006:$AC$1006,0)))),"Fix")))</f>
        <v>0</v>
      </c>
      <c r="J966" s="3">
        <f>IF(OR(INDEX($O$2:$O$1001,MATCH(ROWS($N$2:N966),$N$2:$N$1001,0),1)&gt;=100000,INDEX($U$1005:$AC$1005,1,MATCH(COLUMNS($U$1006:AC1006),$U$1006:$AC$1006,0))&gt;=100000), " ",IF(INDEX($U$2:$AC$1001,MATCH(ROWS($N$2:N966),$N$2:$N$1001,0),MATCH(COLUMNS($U$1006:AC1006),$U$1006:$AC$1006,0)), HYPERLINK("#",""), HYPERLINK(CONCATENATE("#metadata!", ADDRESS(INDEX($P$2:$P$1001,MATCH(ROWS($N$2:N966),$N$2:$N$1001,0),0), INDEX($U$1004:$AC$1004,1,MATCH(COLUMNS($U$1006:AC1006),$U$1006:$AC$1006,0)))),"Fix")))</f>
        <v>0</v>
      </c>
      <c r="N966">
        <v>0</v>
      </c>
      <c r="O966">
        <v>0</v>
      </c>
      <c r="P966">
        <v>0</v>
      </c>
      <c r="Q966">
        <f>IF(R966,TRUE,AND(U966:AC966))</f>
        <v>0</v>
      </c>
      <c r="R966">
        <f>COUNTBLANK(metadata!B966:J966)=COLUMNS(metadata!B966:J966)</f>
        <v>0</v>
      </c>
      <c r="S966">
        <v>0</v>
      </c>
      <c r="U966">
        <f>AND(IF(metadata!B966="",FALSE,TRUE),COUNTIF(metadata!B:B, metadata!B966) = 1,NOT(ISERROR(SUMPRODUCT(SEARCH(MID(metadata!B966,ROW(INDIRECT("1:"&amp;LEN(metadata!B966))), 1),"0123456789abcdefghijklmnopqrstuvwxyzABCDEFGHIJKLMNOPQRSTUVWXYZ.")))))</f>
        <v>0</v>
      </c>
      <c r="V966">
        <f>AND(IF(metadata!C966="",FALSE,TRUE),exact(metadata!C966,"UBERON:genitourinary"))</f>
        <v>0</v>
      </c>
      <c r="W966">
        <f>AND(IF(metadata!D966="",FALSE,TRUE),exact(metadata!D966,"UBERON:urine"))</f>
        <v>0</v>
      </c>
      <c r="X966">
        <f>AND(IF(metadata!E966="",FALSE,TRUE),exact(metadata!E966,"UBERON:kidney"))</f>
        <v>0</v>
      </c>
      <c r="Y966">
        <f>AND(IF(metadata!F966="",FALSE,TRUE),exact(metadata!F966,"animal corpus"))</f>
        <v>0</v>
      </c>
      <c r="Z966">
        <f>AND(IF(metadata!G966="",FALSE,TRUE),exact(metadata!G966,"urine"))</f>
        <v>0</v>
      </c>
      <c r="AA966">
        <f>AND(IF(metadata!H966="",FALSE,TRUE),exact(metadata!H966,"urine"))</f>
        <v>0</v>
      </c>
      <c r="AB966">
        <f>AND(IF(metadata!I966="",FALSE,TRUE),exact(metadata!I966,"urine metagenome"))</f>
        <v>0</v>
      </c>
      <c r="AC966">
        <f>AND(IF(metadata!J966="",FALSE,TRUE),exact(metadata!J966,"1346744"))</f>
        <v>0</v>
      </c>
    </row>
    <row r="967" spans="1:29">
      <c r="A967" s="4">
        <f>IF(B967=" "," ",HYPERLINK(CONCATENATE("#metadata!",ADDRESS(INDEX($P$2:$P$1001,MATCH(ROWS($N$2:N967),$N$2:$N$1001,0),0),1)),INDEX($S$2:$S$1001,MATCH(ROWS($N$2:N967),$N$2:$N$1001,0),0)))</f>
        <v>0</v>
      </c>
      <c r="B967" s="3">
        <f>IF(OR(INDEX($O$2:$O$1001,MATCH(ROWS($N$2:N967),$N$2:$N$1001,0),1)&gt;=100000,INDEX($U$1005:$AC$1005,1,MATCH(COLUMNS($U$1006:U1006),$U$1006:$AC$1006,0))&gt;=100000), " ",IF(INDEX($U$2:$AC$1001,MATCH(ROWS($N$2:N967),$N$2:$N$1001,0),MATCH(COLUMNS($U$1006:U1006),$U$1006:$AC$1006,0)), HYPERLINK("#",""), HYPERLINK(CONCATENATE("#metadata!", ADDRESS(INDEX($P$2:$P$1001,MATCH(ROWS($N$2:N967),$N$2:$N$1001,0),0), INDEX($U$1004:$AC$1004,1,MATCH(COLUMNS($U$1006:U1006),$U$1006:$AC$1006,0)))),"Fix")))</f>
        <v>0</v>
      </c>
      <c r="C967" s="3">
        <f>IF(OR(INDEX($O$2:$O$1001,MATCH(ROWS($N$2:N967),$N$2:$N$1001,0),1)&gt;=100000,INDEX($U$1005:$AC$1005,1,MATCH(COLUMNS($U$1006:V1006),$U$1006:$AC$1006,0))&gt;=100000), " ",IF(INDEX($U$2:$AC$1001,MATCH(ROWS($N$2:N967),$N$2:$N$1001,0),MATCH(COLUMNS($U$1006:V1006),$U$1006:$AC$1006,0)), HYPERLINK("#",""), HYPERLINK(CONCATENATE("#metadata!", ADDRESS(INDEX($P$2:$P$1001,MATCH(ROWS($N$2:N967),$N$2:$N$1001,0),0), INDEX($U$1004:$AC$1004,1,MATCH(COLUMNS($U$1006:V1006),$U$1006:$AC$1006,0)))),"Fix")))</f>
        <v>0</v>
      </c>
      <c r="D967" s="3">
        <f>IF(OR(INDEX($O$2:$O$1001,MATCH(ROWS($N$2:N967),$N$2:$N$1001,0),1)&gt;=100000,INDEX($U$1005:$AC$1005,1,MATCH(COLUMNS($U$1006:W1006),$U$1006:$AC$1006,0))&gt;=100000), " ",IF(INDEX($U$2:$AC$1001,MATCH(ROWS($N$2:N967),$N$2:$N$1001,0),MATCH(COLUMNS($U$1006:W1006),$U$1006:$AC$1006,0)), HYPERLINK("#",""), HYPERLINK(CONCATENATE("#metadata!", ADDRESS(INDEX($P$2:$P$1001,MATCH(ROWS($N$2:N967),$N$2:$N$1001,0),0), INDEX($U$1004:$AC$1004,1,MATCH(COLUMNS($U$1006:W1006),$U$1006:$AC$1006,0)))),"Fix")))</f>
        <v>0</v>
      </c>
      <c r="E967" s="3">
        <f>IF(OR(INDEX($O$2:$O$1001,MATCH(ROWS($N$2:N967),$N$2:$N$1001,0),1)&gt;=100000,INDEX($U$1005:$AC$1005,1,MATCH(COLUMNS($U$1006:X1006),$U$1006:$AC$1006,0))&gt;=100000), " ",IF(INDEX($U$2:$AC$1001,MATCH(ROWS($N$2:N967),$N$2:$N$1001,0),MATCH(COLUMNS($U$1006:X1006),$U$1006:$AC$1006,0)), HYPERLINK("#",""), HYPERLINK(CONCATENATE("#metadata!", ADDRESS(INDEX($P$2:$P$1001,MATCH(ROWS($N$2:N967),$N$2:$N$1001,0),0), INDEX($U$1004:$AC$1004,1,MATCH(COLUMNS($U$1006:X1006),$U$1006:$AC$1006,0)))),"Fix")))</f>
        <v>0</v>
      </c>
      <c r="F967" s="3">
        <f>IF(OR(INDEX($O$2:$O$1001,MATCH(ROWS($N$2:N967),$N$2:$N$1001,0),1)&gt;=100000,INDEX($U$1005:$AC$1005,1,MATCH(COLUMNS($U$1006:Y1006),$U$1006:$AC$1006,0))&gt;=100000), " ",IF(INDEX($U$2:$AC$1001,MATCH(ROWS($N$2:N967),$N$2:$N$1001,0),MATCH(COLUMNS($U$1006:Y1006),$U$1006:$AC$1006,0)), HYPERLINK("#",""), HYPERLINK(CONCATENATE("#metadata!", ADDRESS(INDEX($P$2:$P$1001,MATCH(ROWS($N$2:N967),$N$2:$N$1001,0),0), INDEX($U$1004:$AC$1004,1,MATCH(COLUMNS($U$1006:Y1006),$U$1006:$AC$1006,0)))),"Fix")))</f>
        <v>0</v>
      </c>
      <c r="G967" s="3">
        <f>IF(OR(INDEX($O$2:$O$1001,MATCH(ROWS($N$2:N967),$N$2:$N$1001,0),1)&gt;=100000,INDEX($U$1005:$AC$1005,1,MATCH(COLUMNS($U$1006:Z1006),$U$1006:$AC$1006,0))&gt;=100000), " ",IF(INDEX($U$2:$AC$1001,MATCH(ROWS($N$2:N967),$N$2:$N$1001,0),MATCH(COLUMNS($U$1006:Z1006),$U$1006:$AC$1006,0)), HYPERLINK("#",""), HYPERLINK(CONCATENATE("#metadata!", ADDRESS(INDEX($P$2:$P$1001,MATCH(ROWS($N$2:N967),$N$2:$N$1001,0),0), INDEX($U$1004:$AC$1004,1,MATCH(COLUMNS($U$1006:Z1006),$U$1006:$AC$1006,0)))),"Fix")))</f>
        <v>0</v>
      </c>
      <c r="H967" s="3">
        <f>IF(OR(INDEX($O$2:$O$1001,MATCH(ROWS($N$2:N967),$N$2:$N$1001,0),1)&gt;=100000,INDEX($U$1005:$AC$1005,1,MATCH(COLUMNS($U$1006:AA1006),$U$1006:$AC$1006,0))&gt;=100000), " ",IF(INDEX($U$2:$AC$1001,MATCH(ROWS($N$2:N967),$N$2:$N$1001,0),MATCH(COLUMNS($U$1006:AA1006),$U$1006:$AC$1006,0)), HYPERLINK("#",""), HYPERLINK(CONCATENATE("#metadata!", ADDRESS(INDEX($P$2:$P$1001,MATCH(ROWS($N$2:N967),$N$2:$N$1001,0),0), INDEX($U$1004:$AC$1004,1,MATCH(COLUMNS($U$1006:AA1006),$U$1006:$AC$1006,0)))),"Fix")))</f>
        <v>0</v>
      </c>
      <c r="I967" s="3">
        <f>IF(OR(INDEX($O$2:$O$1001,MATCH(ROWS($N$2:N967),$N$2:$N$1001,0),1)&gt;=100000,INDEX($U$1005:$AC$1005,1,MATCH(COLUMNS($U$1006:AB1006),$U$1006:$AC$1006,0))&gt;=100000), " ",IF(INDEX($U$2:$AC$1001,MATCH(ROWS($N$2:N967),$N$2:$N$1001,0),MATCH(COLUMNS($U$1006:AB1006),$U$1006:$AC$1006,0)), HYPERLINK("#",""), HYPERLINK(CONCATENATE("#metadata!", ADDRESS(INDEX($P$2:$P$1001,MATCH(ROWS($N$2:N967),$N$2:$N$1001,0),0), INDEX($U$1004:$AC$1004,1,MATCH(COLUMNS($U$1006:AB1006),$U$1006:$AC$1006,0)))),"Fix")))</f>
        <v>0</v>
      </c>
      <c r="J967" s="3">
        <f>IF(OR(INDEX($O$2:$O$1001,MATCH(ROWS($N$2:N967),$N$2:$N$1001,0),1)&gt;=100000,INDEX($U$1005:$AC$1005,1,MATCH(COLUMNS($U$1006:AC1006),$U$1006:$AC$1006,0))&gt;=100000), " ",IF(INDEX($U$2:$AC$1001,MATCH(ROWS($N$2:N967),$N$2:$N$1001,0),MATCH(COLUMNS($U$1006:AC1006),$U$1006:$AC$1006,0)), HYPERLINK("#",""), HYPERLINK(CONCATENATE("#metadata!", ADDRESS(INDEX($P$2:$P$1001,MATCH(ROWS($N$2:N967),$N$2:$N$1001,0),0), INDEX($U$1004:$AC$1004,1,MATCH(COLUMNS($U$1006:AC1006),$U$1006:$AC$1006,0)))),"Fix")))</f>
        <v>0</v>
      </c>
      <c r="N967">
        <v>0</v>
      </c>
      <c r="O967">
        <v>0</v>
      </c>
      <c r="P967">
        <v>0</v>
      </c>
      <c r="Q967">
        <f>IF(R967,TRUE,AND(U967:AC967))</f>
        <v>0</v>
      </c>
      <c r="R967">
        <f>COUNTBLANK(metadata!B967:J967)=COLUMNS(metadata!B967:J967)</f>
        <v>0</v>
      </c>
      <c r="S967">
        <v>0</v>
      </c>
      <c r="U967">
        <f>AND(IF(metadata!B967="",FALSE,TRUE),COUNTIF(metadata!B:B, metadata!B967) = 1,NOT(ISERROR(SUMPRODUCT(SEARCH(MID(metadata!B967,ROW(INDIRECT("1:"&amp;LEN(metadata!B967))), 1),"0123456789abcdefghijklmnopqrstuvwxyzABCDEFGHIJKLMNOPQRSTUVWXYZ.")))))</f>
        <v>0</v>
      </c>
      <c r="V967">
        <f>AND(IF(metadata!C967="",FALSE,TRUE),exact(metadata!C967,"UBERON:genitourinary"))</f>
        <v>0</v>
      </c>
      <c r="W967">
        <f>AND(IF(metadata!D967="",FALSE,TRUE),exact(metadata!D967,"UBERON:urine"))</f>
        <v>0</v>
      </c>
      <c r="X967">
        <f>AND(IF(metadata!E967="",FALSE,TRUE),exact(metadata!E967,"UBERON:kidney"))</f>
        <v>0</v>
      </c>
      <c r="Y967">
        <f>AND(IF(metadata!F967="",FALSE,TRUE),exact(metadata!F967,"animal corpus"))</f>
        <v>0</v>
      </c>
      <c r="Z967">
        <f>AND(IF(metadata!G967="",FALSE,TRUE),exact(metadata!G967,"urine"))</f>
        <v>0</v>
      </c>
      <c r="AA967">
        <f>AND(IF(metadata!H967="",FALSE,TRUE),exact(metadata!H967,"urine"))</f>
        <v>0</v>
      </c>
      <c r="AB967">
        <f>AND(IF(metadata!I967="",FALSE,TRUE),exact(metadata!I967,"urine metagenome"))</f>
        <v>0</v>
      </c>
      <c r="AC967">
        <f>AND(IF(metadata!J967="",FALSE,TRUE),exact(metadata!J967,"1346744"))</f>
        <v>0</v>
      </c>
    </row>
    <row r="968" spans="1:29">
      <c r="A968" s="4">
        <f>IF(B968=" "," ",HYPERLINK(CONCATENATE("#metadata!",ADDRESS(INDEX($P$2:$P$1001,MATCH(ROWS($N$2:N968),$N$2:$N$1001,0),0),1)),INDEX($S$2:$S$1001,MATCH(ROWS($N$2:N968),$N$2:$N$1001,0),0)))</f>
        <v>0</v>
      </c>
      <c r="B968" s="3">
        <f>IF(OR(INDEX($O$2:$O$1001,MATCH(ROWS($N$2:N968),$N$2:$N$1001,0),1)&gt;=100000,INDEX($U$1005:$AC$1005,1,MATCH(COLUMNS($U$1006:U1006),$U$1006:$AC$1006,0))&gt;=100000), " ",IF(INDEX($U$2:$AC$1001,MATCH(ROWS($N$2:N968),$N$2:$N$1001,0),MATCH(COLUMNS($U$1006:U1006),$U$1006:$AC$1006,0)), HYPERLINK("#",""), HYPERLINK(CONCATENATE("#metadata!", ADDRESS(INDEX($P$2:$P$1001,MATCH(ROWS($N$2:N968),$N$2:$N$1001,0),0), INDEX($U$1004:$AC$1004,1,MATCH(COLUMNS($U$1006:U1006),$U$1006:$AC$1006,0)))),"Fix")))</f>
        <v>0</v>
      </c>
      <c r="C968" s="3">
        <f>IF(OR(INDEX($O$2:$O$1001,MATCH(ROWS($N$2:N968),$N$2:$N$1001,0),1)&gt;=100000,INDEX($U$1005:$AC$1005,1,MATCH(COLUMNS($U$1006:V1006),$U$1006:$AC$1006,0))&gt;=100000), " ",IF(INDEX($U$2:$AC$1001,MATCH(ROWS($N$2:N968),$N$2:$N$1001,0),MATCH(COLUMNS($U$1006:V1006),$U$1006:$AC$1006,0)), HYPERLINK("#",""), HYPERLINK(CONCATENATE("#metadata!", ADDRESS(INDEX($P$2:$P$1001,MATCH(ROWS($N$2:N968),$N$2:$N$1001,0),0), INDEX($U$1004:$AC$1004,1,MATCH(COLUMNS($U$1006:V1006),$U$1006:$AC$1006,0)))),"Fix")))</f>
        <v>0</v>
      </c>
      <c r="D968" s="3">
        <f>IF(OR(INDEX($O$2:$O$1001,MATCH(ROWS($N$2:N968),$N$2:$N$1001,0),1)&gt;=100000,INDEX($U$1005:$AC$1005,1,MATCH(COLUMNS($U$1006:W1006),$U$1006:$AC$1006,0))&gt;=100000), " ",IF(INDEX($U$2:$AC$1001,MATCH(ROWS($N$2:N968),$N$2:$N$1001,0),MATCH(COLUMNS($U$1006:W1006),$U$1006:$AC$1006,0)), HYPERLINK("#",""), HYPERLINK(CONCATENATE("#metadata!", ADDRESS(INDEX($P$2:$P$1001,MATCH(ROWS($N$2:N968),$N$2:$N$1001,0),0), INDEX($U$1004:$AC$1004,1,MATCH(COLUMNS($U$1006:W1006),$U$1006:$AC$1006,0)))),"Fix")))</f>
        <v>0</v>
      </c>
      <c r="E968" s="3">
        <f>IF(OR(INDEX($O$2:$O$1001,MATCH(ROWS($N$2:N968),$N$2:$N$1001,0),1)&gt;=100000,INDEX($U$1005:$AC$1005,1,MATCH(COLUMNS($U$1006:X1006),$U$1006:$AC$1006,0))&gt;=100000), " ",IF(INDEX($U$2:$AC$1001,MATCH(ROWS($N$2:N968),$N$2:$N$1001,0),MATCH(COLUMNS($U$1006:X1006),$U$1006:$AC$1006,0)), HYPERLINK("#",""), HYPERLINK(CONCATENATE("#metadata!", ADDRESS(INDEX($P$2:$P$1001,MATCH(ROWS($N$2:N968),$N$2:$N$1001,0),0), INDEX($U$1004:$AC$1004,1,MATCH(COLUMNS($U$1006:X1006),$U$1006:$AC$1006,0)))),"Fix")))</f>
        <v>0</v>
      </c>
      <c r="F968" s="3">
        <f>IF(OR(INDEX($O$2:$O$1001,MATCH(ROWS($N$2:N968),$N$2:$N$1001,0),1)&gt;=100000,INDEX($U$1005:$AC$1005,1,MATCH(COLUMNS($U$1006:Y1006),$U$1006:$AC$1006,0))&gt;=100000), " ",IF(INDEX($U$2:$AC$1001,MATCH(ROWS($N$2:N968),$N$2:$N$1001,0),MATCH(COLUMNS($U$1006:Y1006),$U$1006:$AC$1006,0)), HYPERLINK("#",""), HYPERLINK(CONCATENATE("#metadata!", ADDRESS(INDEX($P$2:$P$1001,MATCH(ROWS($N$2:N968),$N$2:$N$1001,0),0), INDEX($U$1004:$AC$1004,1,MATCH(COLUMNS($U$1006:Y1006),$U$1006:$AC$1006,0)))),"Fix")))</f>
        <v>0</v>
      </c>
      <c r="G968" s="3">
        <f>IF(OR(INDEX($O$2:$O$1001,MATCH(ROWS($N$2:N968),$N$2:$N$1001,0),1)&gt;=100000,INDEX($U$1005:$AC$1005,1,MATCH(COLUMNS($U$1006:Z1006),$U$1006:$AC$1006,0))&gt;=100000), " ",IF(INDEX($U$2:$AC$1001,MATCH(ROWS($N$2:N968),$N$2:$N$1001,0),MATCH(COLUMNS($U$1006:Z1006),$U$1006:$AC$1006,0)), HYPERLINK("#",""), HYPERLINK(CONCATENATE("#metadata!", ADDRESS(INDEX($P$2:$P$1001,MATCH(ROWS($N$2:N968),$N$2:$N$1001,0),0), INDEX($U$1004:$AC$1004,1,MATCH(COLUMNS($U$1006:Z1006),$U$1006:$AC$1006,0)))),"Fix")))</f>
        <v>0</v>
      </c>
      <c r="H968" s="3">
        <f>IF(OR(INDEX($O$2:$O$1001,MATCH(ROWS($N$2:N968),$N$2:$N$1001,0),1)&gt;=100000,INDEX($U$1005:$AC$1005,1,MATCH(COLUMNS($U$1006:AA1006),$U$1006:$AC$1006,0))&gt;=100000), " ",IF(INDEX($U$2:$AC$1001,MATCH(ROWS($N$2:N968),$N$2:$N$1001,0),MATCH(COLUMNS($U$1006:AA1006),$U$1006:$AC$1006,0)), HYPERLINK("#",""), HYPERLINK(CONCATENATE("#metadata!", ADDRESS(INDEX($P$2:$P$1001,MATCH(ROWS($N$2:N968),$N$2:$N$1001,0),0), INDEX($U$1004:$AC$1004,1,MATCH(COLUMNS($U$1006:AA1006),$U$1006:$AC$1006,0)))),"Fix")))</f>
        <v>0</v>
      </c>
      <c r="I968" s="3">
        <f>IF(OR(INDEX($O$2:$O$1001,MATCH(ROWS($N$2:N968),$N$2:$N$1001,0),1)&gt;=100000,INDEX($U$1005:$AC$1005,1,MATCH(COLUMNS($U$1006:AB1006),$U$1006:$AC$1006,0))&gt;=100000), " ",IF(INDEX($U$2:$AC$1001,MATCH(ROWS($N$2:N968),$N$2:$N$1001,0),MATCH(COLUMNS($U$1006:AB1006),$U$1006:$AC$1006,0)), HYPERLINK("#",""), HYPERLINK(CONCATENATE("#metadata!", ADDRESS(INDEX($P$2:$P$1001,MATCH(ROWS($N$2:N968),$N$2:$N$1001,0),0), INDEX($U$1004:$AC$1004,1,MATCH(COLUMNS($U$1006:AB1006),$U$1006:$AC$1006,0)))),"Fix")))</f>
        <v>0</v>
      </c>
      <c r="J968" s="3">
        <f>IF(OR(INDEX($O$2:$O$1001,MATCH(ROWS($N$2:N968),$N$2:$N$1001,0),1)&gt;=100000,INDEX($U$1005:$AC$1005,1,MATCH(COLUMNS($U$1006:AC1006),$U$1006:$AC$1006,0))&gt;=100000), " ",IF(INDEX($U$2:$AC$1001,MATCH(ROWS($N$2:N968),$N$2:$N$1001,0),MATCH(COLUMNS($U$1006:AC1006),$U$1006:$AC$1006,0)), HYPERLINK("#",""), HYPERLINK(CONCATENATE("#metadata!", ADDRESS(INDEX($P$2:$P$1001,MATCH(ROWS($N$2:N968),$N$2:$N$1001,0),0), INDEX($U$1004:$AC$1004,1,MATCH(COLUMNS($U$1006:AC1006),$U$1006:$AC$1006,0)))),"Fix")))</f>
        <v>0</v>
      </c>
      <c r="N968">
        <v>0</v>
      </c>
      <c r="O968">
        <v>0</v>
      </c>
      <c r="P968">
        <v>0</v>
      </c>
      <c r="Q968">
        <f>IF(R968,TRUE,AND(U968:AC968))</f>
        <v>0</v>
      </c>
      <c r="R968">
        <f>COUNTBLANK(metadata!B968:J968)=COLUMNS(metadata!B968:J968)</f>
        <v>0</v>
      </c>
      <c r="S968">
        <v>0</v>
      </c>
      <c r="U968">
        <f>AND(IF(metadata!B968="",FALSE,TRUE),COUNTIF(metadata!B:B, metadata!B968) = 1,NOT(ISERROR(SUMPRODUCT(SEARCH(MID(metadata!B968,ROW(INDIRECT("1:"&amp;LEN(metadata!B968))), 1),"0123456789abcdefghijklmnopqrstuvwxyzABCDEFGHIJKLMNOPQRSTUVWXYZ.")))))</f>
        <v>0</v>
      </c>
      <c r="V968">
        <f>AND(IF(metadata!C968="",FALSE,TRUE),exact(metadata!C968,"UBERON:genitourinary"))</f>
        <v>0</v>
      </c>
      <c r="W968">
        <f>AND(IF(metadata!D968="",FALSE,TRUE),exact(metadata!D968,"UBERON:urine"))</f>
        <v>0</v>
      </c>
      <c r="X968">
        <f>AND(IF(metadata!E968="",FALSE,TRUE),exact(metadata!E968,"UBERON:kidney"))</f>
        <v>0</v>
      </c>
      <c r="Y968">
        <f>AND(IF(metadata!F968="",FALSE,TRUE),exact(metadata!F968,"animal corpus"))</f>
        <v>0</v>
      </c>
      <c r="Z968">
        <f>AND(IF(metadata!G968="",FALSE,TRUE),exact(metadata!G968,"urine"))</f>
        <v>0</v>
      </c>
      <c r="AA968">
        <f>AND(IF(metadata!H968="",FALSE,TRUE),exact(metadata!H968,"urine"))</f>
        <v>0</v>
      </c>
      <c r="AB968">
        <f>AND(IF(metadata!I968="",FALSE,TRUE),exact(metadata!I968,"urine metagenome"))</f>
        <v>0</v>
      </c>
      <c r="AC968">
        <f>AND(IF(metadata!J968="",FALSE,TRUE),exact(metadata!J968,"1346744"))</f>
        <v>0</v>
      </c>
    </row>
    <row r="969" spans="1:29">
      <c r="A969" s="4">
        <f>IF(B969=" "," ",HYPERLINK(CONCATENATE("#metadata!",ADDRESS(INDEX($P$2:$P$1001,MATCH(ROWS($N$2:N969),$N$2:$N$1001,0),0),1)),INDEX($S$2:$S$1001,MATCH(ROWS($N$2:N969),$N$2:$N$1001,0),0)))</f>
        <v>0</v>
      </c>
      <c r="B969" s="3">
        <f>IF(OR(INDEX($O$2:$O$1001,MATCH(ROWS($N$2:N969),$N$2:$N$1001,0),1)&gt;=100000,INDEX($U$1005:$AC$1005,1,MATCH(COLUMNS($U$1006:U1006),$U$1006:$AC$1006,0))&gt;=100000), " ",IF(INDEX($U$2:$AC$1001,MATCH(ROWS($N$2:N969),$N$2:$N$1001,0),MATCH(COLUMNS($U$1006:U1006),$U$1006:$AC$1006,0)), HYPERLINK("#",""), HYPERLINK(CONCATENATE("#metadata!", ADDRESS(INDEX($P$2:$P$1001,MATCH(ROWS($N$2:N969),$N$2:$N$1001,0),0), INDEX($U$1004:$AC$1004,1,MATCH(COLUMNS($U$1006:U1006),$U$1006:$AC$1006,0)))),"Fix")))</f>
        <v>0</v>
      </c>
      <c r="C969" s="3">
        <f>IF(OR(INDEX($O$2:$O$1001,MATCH(ROWS($N$2:N969),$N$2:$N$1001,0),1)&gt;=100000,INDEX($U$1005:$AC$1005,1,MATCH(COLUMNS($U$1006:V1006),$U$1006:$AC$1006,0))&gt;=100000), " ",IF(INDEX($U$2:$AC$1001,MATCH(ROWS($N$2:N969),$N$2:$N$1001,0),MATCH(COLUMNS($U$1006:V1006),$U$1006:$AC$1006,0)), HYPERLINK("#",""), HYPERLINK(CONCATENATE("#metadata!", ADDRESS(INDEX($P$2:$P$1001,MATCH(ROWS($N$2:N969),$N$2:$N$1001,0),0), INDEX($U$1004:$AC$1004,1,MATCH(COLUMNS($U$1006:V1006),$U$1006:$AC$1006,0)))),"Fix")))</f>
        <v>0</v>
      </c>
      <c r="D969" s="3">
        <f>IF(OR(INDEX($O$2:$O$1001,MATCH(ROWS($N$2:N969),$N$2:$N$1001,0),1)&gt;=100000,INDEX($U$1005:$AC$1005,1,MATCH(COLUMNS($U$1006:W1006),$U$1006:$AC$1006,0))&gt;=100000), " ",IF(INDEX($U$2:$AC$1001,MATCH(ROWS($N$2:N969),$N$2:$N$1001,0),MATCH(COLUMNS($U$1006:W1006),$U$1006:$AC$1006,0)), HYPERLINK("#",""), HYPERLINK(CONCATENATE("#metadata!", ADDRESS(INDEX($P$2:$P$1001,MATCH(ROWS($N$2:N969),$N$2:$N$1001,0),0), INDEX($U$1004:$AC$1004,1,MATCH(COLUMNS($U$1006:W1006),$U$1006:$AC$1006,0)))),"Fix")))</f>
        <v>0</v>
      </c>
      <c r="E969" s="3">
        <f>IF(OR(INDEX($O$2:$O$1001,MATCH(ROWS($N$2:N969),$N$2:$N$1001,0),1)&gt;=100000,INDEX($U$1005:$AC$1005,1,MATCH(COLUMNS($U$1006:X1006),$U$1006:$AC$1006,0))&gt;=100000), " ",IF(INDEX($U$2:$AC$1001,MATCH(ROWS($N$2:N969),$N$2:$N$1001,0),MATCH(COLUMNS($U$1006:X1006),$U$1006:$AC$1006,0)), HYPERLINK("#",""), HYPERLINK(CONCATENATE("#metadata!", ADDRESS(INDEX($P$2:$P$1001,MATCH(ROWS($N$2:N969),$N$2:$N$1001,0),0), INDEX($U$1004:$AC$1004,1,MATCH(COLUMNS($U$1006:X1006),$U$1006:$AC$1006,0)))),"Fix")))</f>
        <v>0</v>
      </c>
      <c r="F969" s="3">
        <f>IF(OR(INDEX($O$2:$O$1001,MATCH(ROWS($N$2:N969),$N$2:$N$1001,0),1)&gt;=100000,INDEX($U$1005:$AC$1005,1,MATCH(COLUMNS($U$1006:Y1006),$U$1006:$AC$1006,0))&gt;=100000), " ",IF(INDEX($U$2:$AC$1001,MATCH(ROWS($N$2:N969),$N$2:$N$1001,0),MATCH(COLUMNS($U$1006:Y1006),$U$1006:$AC$1006,0)), HYPERLINK("#",""), HYPERLINK(CONCATENATE("#metadata!", ADDRESS(INDEX($P$2:$P$1001,MATCH(ROWS($N$2:N969),$N$2:$N$1001,0),0), INDEX($U$1004:$AC$1004,1,MATCH(COLUMNS($U$1006:Y1006),$U$1006:$AC$1006,0)))),"Fix")))</f>
        <v>0</v>
      </c>
      <c r="G969" s="3">
        <f>IF(OR(INDEX($O$2:$O$1001,MATCH(ROWS($N$2:N969),$N$2:$N$1001,0),1)&gt;=100000,INDEX($U$1005:$AC$1005,1,MATCH(COLUMNS($U$1006:Z1006),$U$1006:$AC$1006,0))&gt;=100000), " ",IF(INDEX($U$2:$AC$1001,MATCH(ROWS($N$2:N969),$N$2:$N$1001,0),MATCH(COLUMNS($U$1006:Z1006),$U$1006:$AC$1006,0)), HYPERLINK("#",""), HYPERLINK(CONCATENATE("#metadata!", ADDRESS(INDEX($P$2:$P$1001,MATCH(ROWS($N$2:N969),$N$2:$N$1001,0),0), INDEX($U$1004:$AC$1004,1,MATCH(COLUMNS($U$1006:Z1006),$U$1006:$AC$1006,0)))),"Fix")))</f>
        <v>0</v>
      </c>
      <c r="H969" s="3">
        <f>IF(OR(INDEX($O$2:$O$1001,MATCH(ROWS($N$2:N969),$N$2:$N$1001,0),1)&gt;=100000,INDEX($U$1005:$AC$1005,1,MATCH(COLUMNS($U$1006:AA1006),$U$1006:$AC$1006,0))&gt;=100000), " ",IF(INDEX($U$2:$AC$1001,MATCH(ROWS($N$2:N969),$N$2:$N$1001,0),MATCH(COLUMNS($U$1006:AA1006),$U$1006:$AC$1006,0)), HYPERLINK("#",""), HYPERLINK(CONCATENATE("#metadata!", ADDRESS(INDEX($P$2:$P$1001,MATCH(ROWS($N$2:N969),$N$2:$N$1001,0),0), INDEX($U$1004:$AC$1004,1,MATCH(COLUMNS($U$1006:AA1006),$U$1006:$AC$1006,0)))),"Fix")))</f>
        <v>0</v>
      </c>
      <c r="I969" s="3">
        <f>IF(OR(INDEX($O$2:$O$1001,MATCH(ROWS($N$2:N969),$N$2:$N$1001,0),1)&gt;=100000,INDEX($U$1005:$AC$1005,1,MATCH(COLUMNS($U$1006:AB1006),$U$1006:$AC$1006,0))&gt;=100000), " ",IF(INDEX($U$2:$AC$1001,MATCH(ROWS($N$2:N969),$N$2:$N$1001,0),MATCH(COLUMNS($U$1006:AB1006),$U$1006:$AC$1006,0)), HYPERLINK("#",""), HYPERLINK(CONCATENATE("#metadata!", ADDRESS(INDEX($P$2:$P$1001,MATCH(ROWS($N$2:N969),$N$2:$N$1001,0),0), INDEX($U$1004:$AC$1004,1,MATCH(COLUMNS($U$1006:AB1006),$U$1006:$AC$1006,0)))),"Fix")))</f>
        <v>0</v>
      </c>
      <c r="J969" s="3">
        <f>IF(OR(INDEX($O$2:$O$1001,MATCH(ROWS($N$2:N969),$N$2:$N$1001,0),1)&gt;=100000,INDEX($U$1005:$AC$1005,1,MATCH(COLUMNS($U$1006:AC1006),$U$1006:$AC$1006,0))&gt;=100000), " ",IF(INDEX($U$2:$AC$1001,MATCH(ROWS($N$2:N969),$N$2:$N$1001,0),MATCH(COLUMNS($U$1006:AC1006),$U$1006:$AC$1006,0)), HYPERLINK("#",""), HYPERLINK(CONCATENATE("#metadata!", ADDRESS(INDEX($P$2:$P$1001,MATCH(ROWS($N$2:N969),$N$2:$N$1001,0),0), INDEX($U$1004:$AC$1004,1,MATCH(COLUMNS($U$1006:AC1006),$U$1006:$AC$1006,0)))),"Fix")))</f>
        <v>0</v>
      </c>
      <c r="N969">
        <v>0</v>
      </c>
      <c r="O969">
        <v>0</v>
      </c>
      <c r="P969">
        <v>0</v>
      </c>
      <c r="Q969">
        <f>IF(R969,TRUE,AND(U969:AC969))</f>
        <v>0</v>
      </c>
      <c r="R969">
        <f>COUNTBLANK(metadata!B969:J969)=COLUMNS(metadata!B969:J969)</f>
        <v>0</v>
      </c>
      <c r="S969">
        <v>0</v>
      </c>
      <c r="U969">
        <f>AND(IF(metadata!B969="",FALSE,TRUE),COUNTIF(metadata!B:B, metadata!B969) = 1,NOT(ISERROR(SUMPRODUCT(SEARCH(MID(metadata!B969,ROW(INDIRECT("1:"&amp;LEN(metadata!B969))), 1),"0123456789abcdefghijklmnopqrstuvwxyzABCDEFGHIJKLMNOPQRSTUVWXYZ.")))))</f>
        <v>0</v>
      </c>
      <c r="V969">
        <f>AND(IF(metadata!C969="",FALSE,TRUE),exact(metadata!C969,"UBERON:genitourinary"))</f>
        <v>0</v>
      </c>
      <c r="W969">
        <f>AND(IF(metadata!D969="",FALSE,TRUE),exact(metadata!D969,"UBERON:urine"))</f>
        <v>0</v>
      </c>
      <c r="X969">
        <f>AND(IF(metadata!E969="",FALSE,TRUE),exact(metadata!E969,"UBERON:kidney"))</f>
        <v>0</v>
      </c>
      <c r="Y969">
        <f>AND(IF(metadata!F969="",FALSE,TRUE),exact(metadata!F969,"animal corpus"))</f>
        <v>0</v>
      </c>
      <c r="Z969">
        <f>AND(IF(metadata!G969="",FALSE,TRUE),exact(metadata!G969,"urine"))</f>
        <v>0</v>
      </c>
      <c r="AA969">
        <f>AND(IF(metadata!H969="",FALSE,TRUE),exact(metadata!H969,"urine"))</f>
        <v>0</v>
      </c>
      <c r="AB969">
        <f>AND(IF(metadata!I969="",FALSE,TRUE),exact(metadata!I969,"urine metagenome"))</f>
        <v>0</v>
      </c>
      <c r="AC969">
        <f>AND(IF(metadata!J969="",FALSE,TRUE),exact(metadata!J969,"1346744"))</f>
        <v>0</v>
      </c>
    </row>
    <row r="970" spans="1:29">
      <c r="A970" s="4">
        <f>IF(B970=" "," ",HYPERLINK(CONCATENATE("#metadata!",ADDRESS(INDEX($P$2:$P$1001,MATCH(ROWS($N$2:N970),$N$2:$N$1001,0),0),1)),INDEX($S$2:$S$1001,MATCH(ROWS($N$2:N970),$N$2:$N$1001,0),0)))</f>
        <v>0</v>
      </c>
      <c r="B970" s="3">
        <f>IF(OR(INDEX($O$2:$O$1001,MATCH(ROWS($N$2:N970),$N$2:$N$1001,0),1)&gt;=100000,INDEX($U$1005:$AC$1005,1,MATCH(COLUMNS($U$1006:U1006),$U$1006:$AC$1006,0))&gt;=100000), " ",IF(INDEX($U$2:$AC$1001,MATCH(ROWS($N$2:N970),$N$2:$N$1001,0),MATCH(COLUMNS($U$1006:U1006),$U$1006:$AC$1006,0)), HYPERLINK("#",""), HYPERLINK(CONCATENATE("#metadata!", ADDRESS(INDEX($P$2:$P$1001,MATCH(ROWS($N$2:N970),$N$2:$N$1001,0),0), INDEX($U$1004:$AC$1004,1,MATCH(COLUMNS($U$1006:U1006),$U$1006:$AC$1006,0)))),"Fix")))</f>
        <v>0</v>
      </c>
      <c r="C970" s="3">
        <f>IF(OR(INDEX($O$2:$O$1001,MATCH(ROWS($N$2:N970),$N$2:$N$1001,0),1)&gt;=100000,INDEX($U$1005:$AC$1005,1,MATCH(COLUMNS($U$1006:V1006),$U$1006:$AC$1006,0))&gt;=100000), " ",IF(INDEX($U$2:$AC$1001,MATCH(ROWS($N$2:N970),$N$2:$N$1001,0),MATCH(COLUMNS($U$1006:V1006),$U$1006:$AC$1006,0)), HYPERLINK("#",""), HYPERLINK(CONCATENATE("#metadata!", ADDRESS(INDEX($P$2:$P$1001,MATCH(ROWS($N$2:N970),$N$2:$N$1001,0),0), INDEX($U$1004:$AC$1004,1,MATCH(COLUMNS($U$1006:V1006),$U$1006:$AC$1006,0)))),"Fix")))</f>
        <v>0</v>
      </c>
      <c r="D970" s="3">
        <f>IF(OR(INDEX($O$2:$O$1001,MATCH(ROWS($N$2:N970),$N$2:$N$1001,0),1)&gt;=100000,INDEX($U$1005:$AC$1005,1,MATCH(COLUMNS($U$1006:W1006),$U$1006:$AC$1006,0))&gt;=100000), " ",IF(INDEX($U$2:$AC$1001,MATCH(ROWS($N$2:N970),$N$2:$N$1001,0),MATCH(COLUMNS($U$1006:W1006),$U$1006:$AC$1006,0)), HYPERLINK("#",""), HYPERLINK(CONCATENATE("#metadata!", ADDRESS(INDEX($P$2:$P$1001,MATCH(ROWS($N$2:N970),$N$2:$N$1001,0),0), INDEX($U$1004:$AC$1004,1,MATCH(COLUMNS($U$1006:W1006),$U$1006:$AC$1006,0)))),"Fix")))</f>
        <v>0</v>
      </c>
      <c r="E970" s="3">
        <f>IF(OR(INDEX($O$2:$O$1001,MATCH(ROWS($N$2:N970),$N$2:$N$1001,0),1)&gt;=100000,INDEX($U$1005:$AC$1005,1,MATCH(COLUMNS($U$1006:X1006),$U$1006:$AC$1006,0))&gt;=100000), " ",IF(INDEX($U$2:$AC$1001,MATCH(ROWS($N$2:N970),$N$2:$N$1001,0),MATCH(COLUMNS($U$1006:X1006),$U$1006:$AC$1006,0)), HYPERLINK("#",""), HYPERLINK(CONCATENATE("#metadata!", ADDRESS(INDEX($P$2:$P$1001,MATCH(ROWS($N$2:N970),$N$2:$N$1001,0),0), INDEX($U$1004:$AC$1004,1,MATCH(COLUMNS($U$1006:X1006),$U$1006:$AC$1006,0)))),"Fix")))</f>
        <v>0</v>
      </c>
      <c r="F970" s="3">
        <f>IF(OR(INDEX($O$2:$O$1001,MATCH(ROWS($N$2:N970),$N$2:$N$1001,0),1)&gt;=100000,INDEX($U$1005:$AC$1005,1,MATCH(COLUMNS($U$1006:Y1006),$U$1006:$AC$1006,0))&gt;=100000), " ",IF(INDEX($U$2:$AC$1001,MATCH(ROWS($N$2:N970),$N$2:$N$1001,0),MATCH(COLUMNS($U$1006:Y1006),$U$1006:$AC$1006,0)), HYPERLINK("#",""), HYPERLINK(CONCATENATE("#metadata!", ADDRESS(INDEX($P$2:$P$1001,MATCH(ROWS($N$2:N970),$N$2:$N$1001,0),0), INDEX($U$1004:$AC$1004,1,MATCH(COLUMNS($U$1006:Y1006),$U$1006:$AC$1006,0)))),"Fix")))</f>
        <v>0</v>
      </c>
      <c r="G970" s="3">
        <f>IF(OR(INDEX($O$2:$O$1001,MATCH(ROWS($N$2:N970),$N$2:$N$1001,0),1)&gt;=100000,INDEX($U$1005:$AC$1005,1,MATCH(COLUMNS($U$1006:Z1006),$U$1006:$AC$1006,0))&gt;=100000), " ",IF(INDEX($U$2:$AC$1001,MATCH(ROWS($N$2:N970),$N$2:$N$1001,0),MATCH(COLUMNS($U$1006:Z1006),$U$1006:$AC$1006,0)), HYPERLINK("#",""), HYPERLINK(CONCATENATE("#metadata!", ADDRESS(INDEX($P$2:$P$1001,MATCH(ROWS($N$2:N970),$N$2:$N$1001,0),0), INDEX($U$1004:$AC$1004,1,MATCH(COLUMNS($U$1006:Z1006),$U$1006:$AC$1006,0)))),"Fix")))</f>
        <v>0</v>
      </c>
      <c r="H970" s="3">
        <f>IF(OR(INDEX($O$2:$O$1001,MATCH(ROWS($N$2:N970),$N$2:$N$1001,0),1)&gt;=100000,INDEX($U$1005:$AC$1005,1,MATCH(COLUMNS($U$1006:AA1006),$U$1006:$AC$1006,0))&gt;=100000), " ",IF(INDEX($U$2:$AC$1001,MATCH(ROWS($N$2:N970),$N$2:$N$1001,0),MATCH(COLUMNS($U$1006:AA1006),$U$1006:$AC$1006,0)), HYPERLINK("#",""), HYPERLINK(CONCATENATE("#metadata!", ADDRESS(INDEX($P$2:$P$1001,MATCH(ROWS($N$2:N970),$N$2:$N$1001,0),0), INDEX($U$1004:$AC$1004,1,MATCH(COLUMNS($U$1006:AA1006),$U$1006:$AC$1006,0)))),"Fix")))</f>
        <v>0</v>
      </c>
      <c r="I970" s="3">
        <f>IF(OR(INDEX($O$2:$O$1001,MATCH(ROWS($N$2:N970),$N$2:$N$1001,0),1)&gt;=100000,INDEX($U$1005:$AC$1005,1,MATCH(COLUMNS($U$1006:AB1006),$U$1006:$AC$1006,0))&gt;=100000), " ",IF(INDEX($U$2:$AC$1001,MATCH(ROWS($N$2:N970),$N$2:$N$1001,0),MATCH(COLUMNS($U$1006:AB1006),$U$1006:$AC$1006,0)), HYPERLINK("#",""), HYPERLINK(CONCATENATE("#metadata!", ADDRESS(INDEX($P$2:$P$1001,MATCH(ROWS($N$2:N970),$N$2:$N$1001,0),0), INDEX($U$1004:$AC$1004,1,MATCH(COLUMNS($U$1006:AB1006),$U$1006:$AC$1006,0)))),"Fix")))</f>
        <v>0</v>
      </c>
      <c r="J970" s="3">
        <f>IF(OR(INDEX($O$2:$O$1001,MATCH(ROWS($N$2:N970),$N$2:$N$1001,0),1)&gt;=100000,INDEX($U$1005:$AC$1005,1,MATCH(COLUMNS($U$1006:AC1006),$U$1006:$AC$1006,0))&gt;=100000), " ",IF(INDEX($U$2:$AC$1001,MATCH(ROWS($N$2:N970),$N$2:$N$1001,0),MATCH(COLUMNS($U$1006:AC1006),$U$1006:$AC$1006,0)), HYPERLINK("#",""), HYPERLINK(CONCATENATE("#metadata!", ADDRESS(INDEX($P$2:$P$1001,MATCH(ROWS($N$2:N970),$N$2:$N$1001,0),0), INDEX($U$1004:$AC$1004,1,MATCH(COLUMNS($U$1006:AC1006),$U$1006:$AC$1006,0)))),"Fix")))</f>
        <v>0</v>
      </c>
      <c r="N970">
        <v>0</v>
      </c>
      <c r="O970">
        <v>0</v>
      </c>
      <c r="P970">
        <v>0</v>
      </c>
      <c r="Q970">
        <f>IF(R970,TRUE,AND(U970:AC970))</f>
        <v>0</v>
      </c>
      <c r="R970">
        <f>COUNTBLANK(metadata!B970:J970)=COLUMNS(metadata!B970:J970)</f>
        <v>0</v>
      </c>
      <c r="S970">
        <v>0</v>
      </c>
      <c r="U970">
        <f>AND(IF(metadata!B970="",FALSE,TRUE),COUNTIF(metadata!B:B, metadata!B970) = 1,NOT(ISERROR(SUMPRODUCT(SEARCH(MID(metadata!B970,ROW(INDIRECT("1:"&amp;LEN(metadata!B970))), 1),"0123456789abcdefghijklmnopqrstuvwxyzABCDEFGHIJKLMNOPQRSTUVWXYZ.")))))</f>
        <v>0</v>
      </c>
      <c r="V970">
        <f>AND(IF(metadata!C970="",FALSE,TRUE),exact(metadata!C970,"UBERON:genitourinary"))</f>
        <v>0</v>
      </c>
      <c r="W970">
        <f>AND(IF(metadata!D970="",FALSE,TRUE),exact(metadata!D970,"UBERON:urine"))</f>
        <v>0</v>
      </c>
      <c r="X970">
        <f>AND(IF(metadata!E970="",FALSE,TRUE),exact(metadata!E970,"UBERON:kidney"))</f>
        <v>0</v>
      </c>
      <c r="Y970">
        <f>AND(IF(metadata!F970="",FALSE,TRUE),exact(metadata!F970,"animal corpus"))</f>
        <v>0</v>
      </c>
      <c r="Z970">
        <f>AND(IF(metadata!G970="",FALSE,TRUE),exact(metadata!G970,"urine"))</f>
        <v>0</v>
      </c>
      <c r="AA970">
        <f>AND(IF(metadata!H970="",FALSE,TRUE),exact(metadata!H970,"urine"))</f>
        <v>0</v>
      </c>
      <c r="AB970">
        <f>AND(IF(metadata!I970="",FALSE,TRUE),exact(metadata!I970,"urine metagenome"))</f>
        <v>0</v>
      </c>
      <c r="AC970">
        <f>AND(IF(metadata!J970="",FALSE,TRUE),exact(metadata!J970,"1346744"))</f>
        <v>0</v>
      </c>
    </row>
    <row r="971" spans="1:29">
      <c r="A971" s="4">
        <f>IF(B971=" "," ",HYPERLINK(CONCATENATE("#metadata!",ADDRESS(INDEX($P$2:$P$1001,MATCH(ROWS($N$2:N971),$N$2:$N$1001,0),0),1)),INDEX($S$2:$S$1001,MATCH(ROWS($N$2:N971),$N$2:$N$1001,0),0)))</f>
        <v>0</v>
      </c>
      <c r="B971" s="3">
        <f>IF(OR(INDEX($O$2:$O$1001,MATCH(ROWS($N$2:N971),$N$2:$N$1001,0),1)&gt;=100000,INDEX($U$1005:$AC$1005,1,MATCH(COLUMNS($U$1006:U1006),$U$1006:$AC$1006,0))&gt;=100000), " ",IF(INDEX($U$2:$AC$1001,MATCH(ROWS($N$2:N971),$N$2:$N$1001,0),MATCH(COLUMNS($U$1006:U1006),$U$1006:$AC$1006,0)), HYPERLINK("#",""), HYPERLINK(CONCATENATE("#metadata!", ADDRESS(INDEX($P$2:$P$1001,MATCH(ROWS($N$2:N971),$N$2:$N$1001,0),0), INDEX($U$1004:$AC$1004,1,MATCH(COLUMNS($U$1006:U1006),$U$1006:$AC$1006,0)))),"Fix")))</f>
        <v>0</v>
      </c>
      <c r="C971" s="3">
        <f>IF(OR(INDEX($O$2:$O$1001,MATCH(ROWS($N$2:N971),$N$2:$N$1001,0),1)&gt;=100000,INDEX($U$1005:$AC$1005,1,MATCH(COLUMNS($U$1006:V1006),$U$1006:$AC$1006,0))&gt;=100000), " ",IF(INDEX($U$2:$AC$1001,MATCH(ROWS($N$2:N971),$N$2:$N$1001,0),MATCH(COLUMNS($U$1006:V1006),$U$1006:$AC$1006,0)), HYPERLINK("#",""), HYPERLINK(CONCATENATE("#metadata!", ADDRESS(INDEX($P$2:$P$1001,MATCH(ROWS($N$2:N971),$N$2:$N$1001,0),0), INDEX($U$1004:$AC$1004,1,MATCH(COLUMNS($U$1006:V1006),$U$1006:$AC$1006,0)))),"Fix")))</f>
        <v>0</v>
      </c>
      <c r="D971" s="3">
        <f>IF(OR(INDEX($O$2:$O$1001,MATCH(ROWS($N$2:N971),$N$2:$N$1001,0),1)&gt;=100000,INDEX($U$1005:$AC$1005,1,MATCH(COLUMNS($U$1006:W1006),$U$1006:$AC$1006,0))&gt;=100000), " ",IF(INDEX($U$2:$AC$1001,MATCH(ROWS($N$2:N971),$N$2:$N$1001,0),MATCH(COLUMNS($U$1006:W1006),$U$1006:$AC$1006,0)), HYPERLINK("#",""), HYPERLINK(CONCATENATE("#metadata!", ADDRESS(INDEX($P$2:$P$1001,MATCH(ROWS($N$2:N971),$N$2:$N$1001,0),0), INDEX($U$1004:$AC$1004,1,MATCH(COLUMNS($U$1006:W1006),$U$1006:$AC$1006,0)))),"Fix")))</f>
        <v>0</v>
      </c>
      <c r="E971" s="3">
        <f>IF(OR(INDEX($O$2:$O$1001,MATCH(ROWS($N$2:N971),$N$2:$N$1001,0),1)&gt;=100000,INDEX($U$1005:$AC$1005,1,MATCH(COLUMNS($U$1006:X1006),$U$1006:$AC$1006,0))&gt;=100000), " ",IF(INDEX($U$2:$AC$1001,MATCH(ROWS($N$2:N971),$N$2:$N$1001,0),MATCH(COLUMNS($U$1006:X1006),$U$1006:$AC$1006,0)), HYPERLINK("#",""), HYPERLINK(CONCATENATE("#metadata!", ADDRESS(INDEX($P$2:$P$1001,MATCH(ROWS($N$2:N971),$N$2:$N$1001,0),0), INDEX($U$1004:$AC$1004,1,MATCH(COLUMNS($U$1006:X1006),$U$1006:$AC$1006,0)))),"Fix")))</f>
        <v>0</v>
      </c>
      <c r="F971" s="3">
        <f>IF(OR(INDEX($O$2:$O$1001,MATCH(ROWS($N$2:N971),$N$2:$N$1001,0),1)&gt;=100000,INDEX($U$1005:$AC$1005,1,MATCH(COLUMNS($U$1006:Y1006),$U$1006:$AC$1006,0))&gt;=100000), " ",IF(INDEX($U$2:$AC$1001,MATCH(ROWS($N$2:N971),$N$2:$N$1001,0),MATCH(COLUMNS($U$1006:Y1006),$U$1006:$AC$1006,0)), HYPERLINK("#",""), HYPERLINK(CONCATENATE("#metadata!", ADDRESS(INDEX($P$2:$P$1001,MATCH(ROWS($N$2:N971),$N$2:$N$1001,0),0), INDEX($U$1004:$AC$1004,1,MATCH(COLUMNS($U$1006:Y1006),$U$1006:$AC$1006,0)))),"Fix")))</f>
        <v>0</v>
      </c>
      <c r="G971" s="3">
        <f>IF(OR(INDEX($O$2:$O$1001,MATCH(ROWS($N$2:N971),$N$2:$N$1001,0),1)&gt;=100000,INDEX($U$1005:$AC$1005,1,MATCH(COLUMNS($U$1006:Z1006),$U$1006:$AC$1006,0))&gt;=100000), " ",IF(INDEX($U$2:$AC$1001,MATCH(ROWS($N$2:N971),$N$2:$N$1001,0),MATCH(COLUMNS($U$1006:Z1006),$U$1006:$AC$1006,0)), HYPERLINK("#",""), HYPERLINK(CONCATENATE("#metadata!", ADDRESS(INDEX($P$2:$P$1001,MATCH(ROWS($N$2:N971),$N$2:$N$1001,0),0), INDEX($U$1004:$AC$1004,1,MATCH(COLUMNS($U$1006:Z1006),$U$1006:$AC$1006,0)))),"Fix")))</f>
        <v>0</v>
      </c>
      <c r="H971" s="3">
        <f>IF(OR(INDEX($O$2:$O$1001,MATCH(ROWS($N$2:N971),$N$2:$N$1001,0),1)&gt;=100000,INDEX($U$1005:$AC$1005,1,MATCH(COLUMNS($U$1006:AA1006),$U$1006:$AC$1006,0))&gt;=100000), " ",IF(INDEX($U$2:$AC$1001,MATCH(ROWS($N$2:N971),$N$2:$N$1001,0),MATCH(COLUMNS($U$1006:AA1006),$U$1006:$AC$1006,0)), HYPERLINK("#",""), HYPERLINK(CONCATENATE("#metadata!", ADDRESS(INDEX($P$2:$P$1001,MATCH(ROWS($N$2:N971),$N$2:$N$1001,0),0), INDEX($U$1004:$AC$1004,1,MATCH(COLUMNS($U$1006:AA1006),$U$1006:$AC$1006,0)))),"Fix")))</f>
        <v>0</v>
      </c>
      <c r="I971" s="3">
        <f>IF(OR(INDEX($O$2:$O$1001,MATCH(ROWS($N$2:N971),$N$2:$N$1001,0),1)&gt;=100000,INDEX($U$1005:$AC$1005,1,MATCH(COLUMNS($U$1006:AB1006),$U$1006:$AC$1006,0))&gt;=100000), " ",IF(INDEX($U$2:$AC$1001,MATCH(ROWS($N$2:N971),$N$2:$N$1001,0),MATCH(COLUMNS($U$1006:AB1006),$U$1006:$AC$1006,0)), HYPERLINK("#",""), HYPERLINK(CONCATENATE("#metadata!", ADDRESS(INDEX($P$2:$P$1001,MATCH(ROWS($N$2:N971),$N$2:$N$1001,0),0), INDEX($U$1004:$AC$1004,1,MATCH(COLUMNS($U$1006:AB1006),$U$1006:$AC$1006,0)))),"Fix")))</f>
        <v>0</v>
      </c>
      <c r="J971" s="3">
        <f>IF(OR(INDEX($O$2:$O$1001,MATCH(ROWS($N$2:N971),$N$2:$N$1001,0),1)&gt;=100000,INDEX($U$1005:$AC$1005,1,MATCH(COLUMNS($U$1006:AC1006),$U$1006:$AC$1006,0))&gt;=100000), " ",IF(INDEX($U$2:$AC$1001,MATCH(ROWS($N$2:N971),$N$2:$N$1001,0),MATCH(COLUMNS($U$1006:AC1006),$U$1006:$AC$1006,0)), HYPERLINK("#",""), HYPERLINK(CONCATENATE("#metadata!", ADDRESS(INDEX($P$2:$P$1001,MATCH(ROWS($N$2:N971),$N$2:$N$1001,0),0), INDEX($U$1004:$AC$1004,1,MATCH(COLUMNS($U$1006:AC1006),$U$1006:$AC$1006,0)))),"Fix")))</f>
        <v>0</v>
      </c>
      <c r="N971">
        <v>0</v>
      </c>
      <c r="O971">
        <v>0</v>
      </c>
      <c r="P971">
        <v>0</v>
      </c>
      <c r="Q971">
        <f>IF(R971,TRUE,AND(U971:AC971))</f>
        <v>0</v>
      </c>
      <c r="R971">
        <f>COUNTBLANK(metadata!B971:J971)=COLUMNS(metadata!B971:J971)</f>
        <v>0</v>
      </c>
      <c r="S971">
        <v>0</v>
      </c>
      <c r="U971">
        <f>AND(IF(metadata!B971="",FALSE,TRUE),COUNTIF(metadata!B:B, metadata!B971) = 1,NOT(ISERROR(SUMPRODUCT(SEARCH(MID(metadata!B971,ROW(INDIRECT("1:"&amp;LEN(metadata!B971))), 1),"0123456789abcdefghijklmnopqrstuvwxyzABCDEFGHIJKLMNOPQRSTUVWXYZ.")))))</f>
        <v>0</v>
      </c>
      <c r="V971">
        <f>AND(IF(metadata!C971="",FALSE,TRUE),exact(metadata!C971,"UBERON:genitourinary"))</f>
        <v>0</v>
      </c>
      <c r="W971">
        <f>AND(IF(metadata!D971="",FALSE,TRUE),exact(metadata!D971,"UBERON:urine"))</f>
        <v>0</v>
      </c>
      <c r="X971">
        <f>AND(IF(metadata!E971="",FALSE,TRUE),exact(metadata!E971,"UBERON:kidney"))</f>
        <v>0</v>
      </c>
      <c r="Y971">
        <f>AND(IF(metadata!F971="",FALSE,TRUE),exact(metadata!F971,"animal corpus"))</f>
        <v>0</v>
      </c>
      <c r="Z971">
        <f>AND(IF(metadata!G971="",FALSE,TRUE),exact(metadata!G971,"urine"))</f>
        <v>0</v>
      </c>
      <c r="AA971">
        <f>AND(IF(metadata!H971="",FALSE,TRUE),exact(metadata!H971,"urine"))</f>
        <v>0</v>
      </c>
      <c r="AB971">
        <f>AND(IF(metadata!I971="",FALSE,TRUE),exact(metadata!I971,"urine metagenome"))</f>
        <v>0</v>
      </c>
      <c r="AC971">
        <f>AND(IF(metadata!J971="",FALSE,TRUE),exact(metadata!J971,"1346744"))</f>
        <v>0</v>
      </c>
    </row>
    <row r="972" spans="1:29">
      <c r="A972" s="4">
        <f>IF(B972=" "," ",HYPERLINK(CONCATENATE("#metadata!",ADDRESS(INDEX($P$2:$P$1001,MATCH(ROWS($N$2:N972),$N$2:$N$1001,0),0),1)),INDEX($S$2:$S$1001,MATCH(ROWS($N$2:N972),$N$2:$N$1001,0),0)))</f>
        <v>0</v>
      </c>
      <c r="B972" s="3">
        <f>IF(OR(INDEX($O$2:$O$1001,MATCH(ROWS($N$2:N972),$N$2:$N$1001,0),1)&gt;=100000,INDEX($U$1005:$AC$1005,1,MATCH(COLUMNS($U$1006:U1006),$U$1006:$AC$1006,0))&gt;=100000), " ",IF(INDEX($U$2:$AC$1001,MATCH(ROWS($N$2:N972),$N$2:$N$1001,0),MATCH(COLUMNS($U$1006:U1006),$U$1006:$AC$1006,0)), HYPERLINK("#",""), HYPERLINK(CONCATENATE("#metadata!", ADDRESS(INDEX($P$2:$P$1001,MATCH(ROWS($N$2:N972),$N$2:$N$1001,0),0), INDEX($U$1004:$AC$1004,1,MATCH(COLUMNS($U$1006:U1006),$U$1006:$AC$1006,0)))),"Fix")))</f>
        <v>0</v>
      </c>
      <c r="C972" s="3">
        <f>IF(OR(INDEX($O$2:$O$1001,MATCH(ROWS($N$2:N972),$N$2:$N$1001,0),1)&gt;=100000,INDEX($U$1005:$AC$1005,1,MATCH(COLUMNS($U$1006:V1006),$U$1006:$AC$1006,0))&gt;=100000), " ",IF(INDEX($U$2:$AC$1001,MATCH(ROWS($N$2:N972),$N$2:$N$1001,0),MATCH(COLUMNS($U$1006:V1006),$U$1006:$AC$1006,0)), HYPERLINK("#",""), HYPERLINK(CONCATENATE("#metadata!", ADDRESS(INDEX($P$2:$P$1001,MATCH(ROWS($N$2:N972),$N$2:$N$1001,0),0), INDEX($U$1004:$AC$1004,1,MATCH(COLUMNS($U$1006:V1006),$U$1006:$AC$1006,0)))),"Fix")))</f>
        <v>0</v>
      </c>
      <c r="D972" s="3">
        <f>IF(OR(INDEX($O$2:$O$1001,MATCH(ROWS($N$2:N972),$N$2:$N$1001,0),1)&gt;=100000,INDEX($U$1005:$AC$1005,1,MATCH(COLUMNS($U$1006:W1006),$U$1006:$AC$1006,0))&gt;=100000), " ",IF(INDEX($U$2:$AC$1001,MATCH(ROWS($N$2:N972),$N$2:$N$1001,0),MATCH(COLUMNS($U$1006:W1006),$U$1006:$AC$1006,0)), HYPERLINK("#",""), HYPERLINK(CONCATENATE("#metadata!", ADDRESS(INDEX($P$2:$P$1001,MATCH(ROWS($N$2:N972),$N$2:$N$1001,0),0), INDEX($U$1004:$AC$1004,1,MATCH(COLUMNS($U$1006:W1006),$U$1006:$AC$1006,0)))),"Fix")))</f>
        <v>0</v>
      </c>
      <c r="E972" s="3">
        <f>IF(OR(INDEX($O$2:$O$1001,MATCH(ROWS($N$2:N972),$N$2:$N$1001,0),1)&gt;=100000,INDEX($U$1005:$AC$1005,1,MATCH(COLUMNS($U$1006:X1006),$U$1006:$AC$1006,0))&gt;=100000), " ",IF(INDEX($U$2:$AC$1001,MATCH(ROWS($N$2:N972),$N$2:$N$1001,0),MATCH(COLUMNS($U$1006:X1006),$U$1006:$AC$1006,0)), HYPERLINK("#",""), HYPERLINK(CONCATENATE("#metadata!", ADDRESS(INDEX($P$2:$P$1001,MATCH(ROWS($N$2:N972),$N$2:$N$1001,0),0), INDEX($U$1004:$AC$1004,1,MATCH(COLUMNS($U$1006:X1006),$U$1006:$AC$1006,0)))),"Fix")))</f>
        <v>0</v>
      </c>
      <c r="F972" s="3">
        <f>IF(OR(INDEX($O$2:$O$1001,MATCH(ROWS($N$2:N972),$N$2:$N$1001,0),1)&gt;=100000,INDEX($U$1005:$AC$1005,1,MATCH(COLUMNS($U$1006:Y1006),$U$1006:$AC$1006,0))&gt;=100000), " ",IF(INDEX($U$2:$AC$1001,MATCH(ROWS($N$2:N972),$N$2:$N$1001,0),MATCH(COLUMNS($U$1006:Y1006),$U$1006:$AC$1006,0)), HYPERLINK("#",""), HYPERLINK(CONCATENATE("#metadata!", ADDRESS(INDEX($P$2:$P$1001,MATCH(ROWS($N$2:N972),$N$2:$N$1001,0),0), INDEX($U$1004:$AC$1004,1,MATCH(COLUMNS($U$1006:Y1006),$U$1006:$AC$1006,0)))),"Fix")))</f>
        <v>0</v>
      </c>
      <c r="G972" s="3">
        <f>IF(OR(INDEX($O$2:$O$1001,MATCH(ROWS($N$2:N972),$N$2:$N$1001,0),1)&gt;=100000,INDEX($U$1005:$AC$1005,1,MATCH(COLUMNS($U$1006:Z1006),$U$1006:$AC$1006,0))&gt;=100000), " ",IF(INDEX($U$2:$AC$1001,MATCH(ROWS($N$2:N972),$N$2:$N$1001,0),MATCH(COLUMNS($U$1006:Z1006),$U$1006:$AC$1006,0)), HYPERLINK("#",""), HYPERLINK(CONCATENATE("#metadata!", ADDRESS(INDEX($P$2:$P$1001,MATCH(ROWS($N$2:N972),$N$2:$N$1001,0),0), INDEX($U$1004:$AC$1004,1,MATCH(COLUMNS($U$1006:Z1006),$U$1006:$AC$1006,0)))),"Fix")))</f>
        <v>0</v>
      </c>
      <c r="H972" s="3">
        <f>IF(OR(INDEX($O$2:$O$1001,MATCH(ROWS($N$2:N972),$N$2:$N$1001,0),1)&gt;=100000,INDEX($U$1005:$AC$1005,1,MATCH(COLUMNS($U$1006:AA1006),$U$1006:$AC$1006,0))&gt;=100000), " ",IF(INDEX($U$2:$AC$1001,MATCH(ROWS($N$2:N972),$N$2:$N$1001,0),MATCH(COLUMNS($U$1006:AA1006),$U$1006:$AC$1006,0)), HYPERLINK("#",""), HYPERLINK(CONCATENATE("#metadata!", ADDRESS(INDEX($P$2:$P$1001,MATCH(ROWS($N$2:N972),$N$2:$N$1001,0),0), INDEX($U$1004:$AC$1004,1,MATCH(COLUMNS($U$1006:AA1006),$U$1006:$AC$1006,0)))),"Fix")))</f>
        <v>0</v>
      </c>
      <c r="I972" s="3">
        <f>IF(OR(INDEX($O$2:$O$1001,MATCH(ROWS($N$2:N972),$N$2:$N$1001,0),1)&gt;=100000,INDEX($U$1005:$AC$1005,1,MATCH(COLUMNS($U$1006:AB1006),$U$1006:$AC$1006,0))&gt;=100000), " ",IF(INDEX($U$2:$AC$1001,MATCH(ROWS($N$2:N972),$N$2:$N$1001,0),MATCH(COLUMNS($U$1006:AB1006),$U$1006:$AC$1006,0)), HYPERLINK("#",""), HYPERLINK(CONCATENATE("#metadata!", ADDRESS(INDEX($P$2:$P$1001,MATCH(ROWS($N$2:N972),$N$2:$N$1001,0),0), INDEX($U$1004:$AC$1004,1,MATCH(COLUMNS($U$1006:AB1006),$U$1006:$AC$1006,0)))),"Fix")))</f>
        <v>0</v>
      </c>
      <c r="J972" s="3">
        <f>IF(OR(INDEX($O$2:$O$1001,MATCH(ROWS($N$2:N972),$N$2:$N$1001,0),1)&gt;=100000,INDEX($U$1005:$AC$1005,1,MATCH(COLUMNS($U$1006:AC1006),$U$1006:$AC$1006,0))&gt;=100000), " ",IF(INDEX($U$2:$AC$1001,MATCH(ROWS($N$2:N972),$N$2:$N$1001,0),MATCH(COLUMNS($U$1006:AC1006),$U$1006:$AC$1006,0)), HYPERLINK("#",""), HYPERLINK(CONCATENATE("#metadata!", ADDRESS(INDEX($P$2:$P$1001,MATCH(ROWS($N$2:N972),$N$2:$N$1001,0),0), INDEX($U$1004:$AC$1004,1,MATCH(COLUMNS($U$1006:AC1006),$U$1006:$AC$1006,0)))),"Fix")))</f>
        <v>0</v>
      </c>
      <c r="N972">
        <v>0</v>
      </c>
      <c r="O972">
        <v>0</v>
      </c>
      <c r="P972">
        <v>0</v>
      </c>
      <c r="Q972">
        <f>IF(R972,TRUE,AND(U972:AC972))</f>
        <v>0</v>
      </c>
      <c r="R972">
        <f>COUNTBLANK(metadata!B972:J972)=COLUMNS(metadata!B972:J972)</f>
        <v>0</v>
      </c>
      <c r="S972">
        <v>0</v>
      </c>
      <c r="U972">
        <f>AND(IF(metadata!B972="",FALSE,TRUE),COUNTIF(metadata!B:B, metadata!B972) = 1,NOT(ISERROR(SUMPRODUCT(SEARCH(MID(metadata!B972,ROW(INDIRECT("1:"&amp;LEN(metadata!B972))), 1),"0123456789abcdefghijklmnopqrstuvwxyzABCDEFGHIJKLMNOPQRSTUVWXYZ.")))))</f>
        <v>0</v>
      </c>
      <c r="V972">
        <f>AND(IF(metadata!C972="",FALSE,TRUE),exact(metadata!C972,"UBERON:genitourinary"))</f>
        <v>0</v>
      </c>
      <c r="W972">
        <f>AND(IF(metadata!D972="",FALSE,TRUE),exact(metadata!D972,"UBERON:urine"))</f>
        <v>0</v>
      </c>
      <c r="X972">
        <f>AND(IF(metadata!E972="",FALSE,TRUE),exact(metadata!E972,"UBERON:kidney"))</f>
        <v>0</v>
      </c>
      <c r="Y972">
        <f>AND(IF(metadata!F972="",FALSE,TRUE),exact(metadata!F972,"animal corpus"))</f>
        <v>0</v>
      </c>
      <c r="Z972">
        <f>AND(IF(metadata!G972="",FALSE,TRUE),exact(metadata!G972,"urine"))</f>
        <v>0</v>
      </c>
      <c r="AA972">
        <f>AND(IF(metadata!H972="",FALSE,TRUE),exact(metadata!H972,"urine"))</f>
        <v>0</v>
      </c>
      <c r="AB972">
        <f>AND(IF(metadata!I972="",FALSE,TRUE),exact(metadata!I972,"urine metagenome"))</f>
        <v>0</v>
      </c>
      <c r="AC972">
        <f>AND(IF(metadata!J972="",FALSE,TRUE),exact(metadata!J972,"1346744"))</f>
        <v>0</v>
      </c>
    </row>
    <row r="973" spans="1:29">
      <c r="A973" s="4">
        <f>IF(B973=" "," ",HYPERLINK(CONCATENATE("#metadata!",ADDRESS(INDEX($P$2:$P$1001,MATCH(ROWS($N$2:N973),$N$2:$N$1001,0),0),1)),INDEX($S$2:$S$1001,MATCH(ROWS($N$2:N973),$N$2:$N$1001,0),0)))</f>
        <v>0</v>
      </c>
      <c r="B973" s="3">
        <f>IF(OR(INDEX($O$2:$O$1001,MATCH(ROWS($N$2:N973),$N$2:$N$1001,0),1)&gt;=100000,INDEX($U$1005:$AC$1005,1,MATCH(COLUMNS($U$1006:U1006),$U$1006:$AC$1006,0))&gt;=100000), " ",IF(INDEX($U$2:$AC$1001,MATCH(ROWS($N$2:N973),$N$2:$N$1001,0),MATCH(COLUMNS($U$1006:U1006),$U$1006:$AC$1006,0)), HYPERLINK("#",""), HYPERLINK(CONCATENATE("#metadata!", ADDRESS(INDEX($P$2:$P$1001,MATCH(ROWS($N$2:N973),$N$2:$N$1001,0),0), INDEX($U$1004:$AC$1004,1,MATCH(COLUMNS($U$1006:U1006),$U$1006:$AC$1006,0)))),"Fix")))</f>
        <v>0</v>
      </c>
      <c r="C973" s="3">
        <f>IF(OR(INDEX($O$2:$O$1001,MATCH(ROWS($N$2:N973),$N$2:$N$1001,0),1)&gt;=100000,INDEX($U$1005:$AC$1005,1,MATCH(COLUMNS($U$1006:V1006),$U$1006:$AC$1006,0))&gt;=100000), " ",IF(INDEX($U$2:$AC$1001,MATCH(ROWS($N$2:N973),$N$2:$N$1001,0),MATCH(COLUMNS($U$1006:V1006),$U$1006:$AC$1006,0)), HYPERLINK("#",""), HYPERLINK(CONCATENATE("#metadata!", ADDRESS(INDEX($P$2:$P$1001,MATCH(ROWS($N$2:N973),$N$2:$N$1001,0),0), INDEX($U$1004:$AC$1004,1,MATCH(COLUMNS($U$1006:V1006),$U$1006:$AC$1006,0)))),"Fix")))</f>
        <v>0</v>
      </c>
      <c r="D973" s="3">
        <f>IF(OR(INDEX($O$2:$O$1001,MATCH(ROWS($N$2:N973),$N$2:$N$1001,0),1)&gt;=100000,INDEX($U$1005:$AC$1005,1,MATCH(COLUMNS($U$1006:W1006),$U$1006:$AC$1006,0))&gt;=100000), " ",IF(INDEX($U$2:$AC$1001,MATCH(ROWS($N$2:N973),$N$2:$N$1001,0),MATCH(COLUMNS($U$1006:W1006),$U$1006:$AC$1006,0)), HYPERLINK("#",""), HYPERLINK(CONCATENATE("#metadata!", ADDRESS(INDEX($P$2:$P$1001,MATCH(ROWS($N$2:N973),$N$2:$N$1001,0),0), INDEX($U$1004:$AC$1004,1,MATCH(COLUMNS($U$1006:W1006),$U$1006:$AC$1006,0)))),"Fix")))</f>
        <v>0</v>
      </c>
      <c r="E973" s="3">
        <f>IF(OR(INDEX($O$2:$O$1001,MATCH(ROWS($N$2:N973),$N$2:$N$1001,0),1)&gt;=100000,INDEX($U$1005:$AC$1005,1,MATCH(COLUMNS($U$1006:X1006),$U$1006:$AC$1006,0))&gt;=100000), " ",IF(INDEX($U$2:$AC$1001,MATCH(ROWS($N$2:N973),$N$2:$N$1001,0),MATCH(COLUMNS($U$1006:X1006),$U$1006:$AC$1006,0)), HYPERLINK("#",""), HYPERLINK(CONCATENATE("#metadata!", ADDRESS(INDEX($P$2:$P$1001,MATCH(ROWS($N$2:N973),$N$2:$N$1001,0),0), INDEX($U$1004:$AC$1004,1,MATCH(COLUMNS($U$1006:X1006),$U$1006:$AC$1006,0)))),"Fix")))</f>
        <v>0</v>
      </c>
      <c r="F973" s="3">
        <f>IF(OR(INDEX($O$2:$O$1001,MATCH(ROWS($N$2:N973),$N$2:$N$1001,0),1)&gt;=100000,INDEX($U$1005:$AC$1005,1,MATCH(COLUMNS($U$1006:Y1006),$U$1006:$AC$1006,0))&gt;=100000), " ",IF(INDEX($U$2:$AC$1001,MATCH(ROWS($N$2:N973),$N$2:$N$1001,0),MATCH(COLUMNS($U$1006:Y1006),$U$1006:$AC$1006,0)), HYPERLINK("#",""), HYPERLINK(CONCATENATE("#metadata!", ADDRESS(INDEX($P$2:$P$1001,MATCH(ROWS($N$2:N973),$N$2:$N$1001,0),0), INDEX($U$1004:$AC$1004,1,MATCH(COLUMNS($U$1006:Y1006),$U$1006:$AC$1006,0)))),"Fix")))</f>
        <v>0</v>
      </c>
      <c r="G973" s="3">
        <f>IF(OR(INDEX($O$2:$O$1001,MATCH(ROWS($N$2:N973),$N$2:$N$1001,0),1)&gt;=100000,INDEX($U$1005:$AC$1005,1,MATCH(COLUMNS($U$1006:Z1006),$U$1006:$AC$1006,0))&gt;=100000), " ",IF(INDEX($U$2:$AC$1001,MATCH(ROWS($N$2:N973),$N$2:$N$1001,0),MATCH(COLUMNS($U$1006:Z1006),$U$1006:$AC$1006,0)), HYPERLINK("#",""), HYPERLINK(CONCATENATE("#metadata!", ADDRESS(INDEX($P$2:$P$1001,MATCH(ROWS($N$2:N973),$N$2:$N$1001,0),0), INDEX($U$1004:$AC$1004,1,MATCH(COLUMNS($U$1006:Z1006),$U$1006:$AC$1006,0)))),"Fix")))</f>
        <v>0</v>
      </c>
      <c r="H973" s="3">
        <f>IF(OR(INDEX($O$2:$O$1001,MATCH(ROWS($N$2:N973),$N$2:$N$1001,0),1)&gt;=100000,INDEX($U$1005:$AC$1005,1,MATCH(COLUMNS($U$1006:AA1006),$U$1006:$AC$1006,0))&gt;=100000), " ",IF(INDEX($U$2:$AC$1001,MATCH(ROWS($N$2:N973),$N$2:$N$1001,0),MATCH(COLUMNS($U$1006:AA1006),$U$1006:$AC$1006,0)), HYPERLINK("#",""), HYPERLINK(CONCATENATE("#metadata!", ADDRESS(INDEX($P$2:$P$1001,MATCH(ROWS($N$2:N973),$N$2:$N$1001,0),0), INDEX($U$1004:$AC$1004,1,MATCH(COLUMNS($U$1006:AA1006),$U$1006:$AC$1006,0)))),"Fix")))</f>
        <v>0</v>
      </c>
      <c r="I973" s="3">
        <f>IF(OR(INDEX($O$2:$O$1001,MATCH(ROWS($N$2:N973),$N$2:$N$1001,0),1)&gt;=100000,INDEX($U$1005:$AC$1005,1,MATCH(COLUMNS($U$1006:AB1006),$U$1006:$AC$1006,0))&gt;=100000), " ",IF(INDEX($U$2:$AC$1001,MATCH(ROWS($N$2:N973),$N$2:$N$1001,0),MATCH(COLUMNS($U$1006:AB1006),$U$1006:$AC$1006,0)), HYPERLINK("#",""), HYPERLINK(CONCATENATE("#metadata!", ADDRESS(INDEX($P$2:$P$1001,MATCH(ROWS($N$2:N973),$N$2:$N$1001,0),0), INDEX($U$1004:$AC$1004,1,MATCH(COLUMNS($U$1006:AB1006),$U$1006:$AC$1006,0)))),"Fix")))</f>
        <v>0</v>
      </c>
      <c r="J973" s="3">
        <f>IF(OR(INDEX($O$2:$O$1001,MATCH(ROWS($N$2:N973),$N$2:$N$1001,0),1)&gt;=100000,INDEX($U$1005:$AC$1005,1,MATCH(COLUMNS($U$1006:AC1006),$U$1006:$AC$1006,0))&gt;=100000), " ",IF(INDEX($U$2:$AC$1001,MATCH(ROWS($N$2:N973),$N$2:$N$1001,0),MATCH(COLUMNS($U$1006:AC1006),$U$1006:$AC$1006,0)), HYPERLINK("#",""), HYPERLINK(CONCATENATE("#metadata!", ADDRESS(INDEX($P$2:$P$1001,MATCH(ROWS($N$2:N973),$N$2:$N$1001,0),0), INDEX($U$1004:$AC$1004,1,MATCH(COLUMNS($U$1006:AC1006),$U$1006:$AC$1006,0)))),"Fix")))</f>
        <v>0</v>
      </c>
      <c r="N973">
        <v>0</v>
      </c>
      <c r="O973">
        <v>0</v>
      </c>
      <c r="P973">
        <v>0</v>
      </c>
      <c r="Q973">
        <f>IF(R973,TRUE,AND(U973:AC973))</f>
        <v>0</v>
      </c>
      <c r="R973">
        <f>COUNTBLANK(metadata!B973:J973)=COLUMNS(metadata!B973:J973)</f>
        <v>0</v>
      </c>
      <c r="S973">
        <v>0</v>
      </c>
      <c r="U973">
        <f>AND(IF(metadata!B973="",FALSE,TRUE),COUNTIF(metadata!B:B, metadata!B973) = 1,NOT(ISERROR(SUMPRODUCT(SEARCH(MID(metadata!B973,ROW(INDIRECT("1:"&amp;LEN(metadata!B973))), 1),"0123456789abcdefghijklmnopqrstuvwxyzABCDEFGHIJKLMNOPQRSTUVWXYZ.")))))</f>
        <v>0</v>
      </c>
      <c r="V973">
        <f>AND(IF(metadata!C973="",FALSE,TRUE),exact(metadata!C973,"UBERON:genitourinary"))</f>
        <v>0</v>
      </c>
      <c r="W973">
        <f>AND(IF(metadata!D973="",FALSE,TRUE),exact(metadata!D973,"UBERON:urine"))</f>
        <v>0</v>
      </c>
      <c r="X973">
        <f>AND(IF(metadata!E973="",FALSE,TRUE),exact(metadata!E973,"UBERON:kidney"))</f>
        <v>0</v>
      </c>
      <c r="Y973">
        <f>AND(IF(metadata!F973="",FALSE,TRUE),exact(metadata!F973,"animal corpus"))</f>
        <v>0</v>
      </c>
      <c r="Z973">
        <f>AND(IF(metadata!G973="",FALSE,TRUE),exact(metadata!G973,"urine"))</f>
        <v>0</v>
      </c>
      <c r="AA973">
        <f>AND(IF(metadata!H973="",FALSE,TRUE),exact(metadata!H973,"urine"))</f>
        <v>0</v>
      </c>
      <c r="AB973">
        <f>AND(IF(metadata!I973="",FALSE,TRUE),exact(metadata!I973,"urine metagenome"))</f>
        <v>0</v>
      </c>
      <c r="AC973">
        <f>AND(IF(metadata!J973="",FALSE,TRUE),exact(metadata!J973,"1346744"))</f>
        <v>0</v>
      </c>
    </row>
    <row r="974" spans="1:29">
      <c r="A974" s="4">
        <f>IF(B974=" "," ",HYPERLINK(CONCATENATE("#metadata!",ADDRESS(INDEX($P$2:$P$1001,MATCH(ROWS($N$2:N974),$N$2:$N$1001,0),0),1)),INDEX($S$2:$S$1001,MATCH(ROWS($N$2:N974),$N$2:$N$1001,0),0)))</f>
        <v>0</v>
      </c>
      <c r="B974" s="3">
        <f>IF(OR(INDEX($O$2:$O$1001,MATCH(ROWS($N$2:N974),$N$2:$N$1001,0),1)&gt;=100000,INDEX($U$1005:$AC$1005,1,MATCH(COLUMNS($U$1006:U1006),$U$1006:$AC$1006,0))&gt;=100000), " ",IF(INDEX($U$2:$AC$1001,MATCH(ROWS($N$2:N974),$N$2:$N$1001,0),MATCH(COLUMNS($U$1006:U1006),$U$1006:$AC$1006,0)), HYPERLINK("#",""), HYPERLINK(CONCATENATE("#metadata!", ADDRESS(INDEX($P$2:$P$1001,MATCH(ROWS($N$2:N974),$N$2:$N$1001,0),0), INDEX($U$1004:$AC$1004,1,MATCH(COLUMNS($U$1006:U1006),$U$1006:$AC$1006,0)))),"Fix")))</f>
        <v>0</v>
      </c>
      <c r="C974" s="3">
        <f>IF(OR(INDEX($O$2:$O$1001,MATCH(ROWS($N$2:N974),$N$2:$N$1001,0),1)&gt;=100000,INDEX($U$1005:$AC$1005,1,MATCH(COLUMNS($U$1006:V1006),$U$1006:$AC$1006,0))&gt;=100000), " ",IF(INDEX($U$2:$AC$1001,MATCH(ROWS($N$2:N974),$N$2:$N$1001,0),MATCH(COLUMNS($U$1006:V1006),$U$1006:$AC$1006,0)), HYPERLINK("#",""), HYPERLINK(CONCATENATE("#metadata!", ADDRESS(INDEX($P$2:$P$1001,MATCH(ROWS($N$2:N974),$N$2:$N$1001,0),0), INDEX($U$1004:$AC$1004,1,MATCH(COLUMNS($U$1006:V1006),$U$1006:$AC$1006,0)))),"Fix")))</f>
        <v>0</v>
      </c>
      <c r="D974" s="3">
        <f>IF(OR(INDEX($O$2:$O$1001,MATCH(ROWS($N$2:N974),$N$2:$N$1001,0),1)&gt;=100000,INDEX($U$1005:$AC$1005,1,MATCH(COLUMNS($U$1006:W1006),$U$1006:$AC$1006,0))&gt;=100000), " ",IF(INDEX($U$2:$AC$1001,MATCH(ROWS($N$2:N974),$N$2:$N$1001,0),MATCH(COLUMNS($U$1006:W1006),$U$1006:$AC$1006,0)), HYPERLINK("#",""), HYPERLINK(CONCATENATE("#metadata!", ADDRESS(INDEX($P$2:$P$1001,MATCH(ROWS($N$2:N974),$N$2:$N$1001,0),0), INDEX($U$1004:$AC$1004,1,MATCH(COLUMNS($U$1006:W1006),$U$1006:$AC$1006,0)))),"Fix")))</f>
        <v>0</v>
      </c>
      <c r="E974" s="3">
        <f>IF(OR(INDEX($O$2:$O$1001,MATCH(ROWS($N$2:N974),$N$2:$N$1001,0),1)&gt;=100000,INDEX($U$1005:$AC$1005,1,MATCH(COLUMNS($U$1006:X1006),$U$1006:$AC$1006,0))&gt;=100000), " ",IF(INDEX($U$2:$AC$1001,MATCH(ROWS($N$2:N974),$N$2:$N$1001,0),MATCH(COLUMNS($U$1006:X1006),$U$1006:$AC$1006,0)), HYPERLINK("#",""), HYPERLINK(CONCATENATE("#metadata!", ADDRESS(INDEX($P$2:$P$1001,MATCH(ROWS($N$2:N974),$N$2:$N$1001,0),0), INDEX($U$1004:$AC$1004,1,MATCH(COLUMNS($U$1006:X1006),$U$1006:$AC$1006,0)))),"Fix")))</f>
        <v>0</v>
      </c>
      <c r="F974" s="3">
        <f>IF(OR(INDEX($O$2:$O$1001,MATCH(ROWS($N$2:N974),$N$2:$N$1001,0),1)&gt;=100000,INDEX($U$1005:$AC$1005,1,MATCH(COLUMNS($U$1006:Y1006),$U$1006:$AC$1006,0))&gt;=100000), " ",IF(INDEX($U$2:$AC$1001,MATCH(ROWS($N$2:N974),$N$2:$N$1001,0),MATCH(COLUMNS($U$1006:Y1006),$U$1006:$AC$1006,0)), HYPERLINK("#",""), HYPERLINK(CONCATENATE("#metadata!", ADDRESS(INDEX($P$2:$P$1001,MATCH(ROWS($N$2:N974),$N$2:$N$1001,0),0), INDEX($U$1004:$AC$1004,1,MATCH(COLUMNS($U$1006:Y1006),$U$1006:$AC$1006,0)))),"Fix")))</f>
        <v>0</v>
      </c>
      <c r="G974" s="3">
        <f>IF(OR(INDEX($O$2:$O$1001,MATCH(ROWS($N$2:N974),$N$2:$N$1001,0),1)&gt;=100000,INDEX($U$1005:$AC$1005,1,MATCH(COLUMNS($U$1006:Z1006),$U$1006:$AC$1006,0))&gt;=100000), " ",IF(INDEX($U$2:$AC$1001,MATCH(ROWS($N$2:N974),$N$2:$N$1001,0),MATCH(COLUMNS($U$1006:Z1006),$U$1006:$AC$1006,0)), HYPERLINK("#",""), HYPERLINK(CONCATENATE("#metadata!", ADDRESS(INDEX($P$2:$P$1001,MATCH(ROWS($N$2:N974),$N$2:$N$1001,0),0), INDEX($U$1004:$AC$1004,1,MATCH(COLUMNS($U$1006:Z1006),$U$1006:$AC$1006,0)))),"Fix")))</f>
        <v>0</v>
      </c>
      <c r="H974" s="3">
        <f>IF(OR(INDEX($O$2:$O$1001,MATCH(ROWS($N$2:N974),$N$2:$N$1001,0),1)&gt;=100000,INDEX($U$1005:$AC$1005,1,MATCH(COLUMNS($U$1006:AA1006),$U$1006:$AC$1006,0))&gt;=100000), " ",IF(INDEX($U$2:$AC$1001,MATCH(ROWS($N$2:N974),$N$2:$N$1001,0),MATCH(COLUMNS($U$1006:AA1006),$U$1006:$AC$1006,0)), HYPERLINK("#",""), HYPERLINK(CONCATENATE("#metadata!", ADDRESS(INDEX($P$2:$P$1001,MATCH(ROWS($N$2:N974),$N$2:$N$1001,0),0), INDEX($U$1004:$AC$1004,1,MATCH(COLUMNS($U$1006:AA1006),$U$1006:$AC$1006,0)))),"Fix")))</f>
        <v>0</v>
      </c>
      <c r="I974" s="3">
        <f>IF(OR(INDEX($O$2:$O$1001,MATCH(ROWS($N$2:N974),$N$2:$N$1001,0),1)&gt;=100000,INDEX($U$1005:$AC$1005,1,MATCH(COLUMNS($U$1006:AB1006),$U$1006:$AC$1006,0))&gt;=100000), " ",IF(INDEX($U$2:$AC$1001,MATCH(ROWS($N$2:N974),$N$2:$N$1001,0),MATCH(COLUMNS($U$1006:AB1006),$U$1006:$AC$1006,0)), HYPERLINK("#",""), HYPERLINK(CONCATENATE("#metadata!", ADDRESS(INDEX($P$2:$P$1001,MATCH(ROWS($N$2:N974),$N$2:$N$1001,0),0), INDEX($U$1004:$AC$1004,1,MATCH(COLUMNS($U$1006:AB1006),$U$1006:$AC$1006,0)))),"Fix")))</f>
        <v>0</v>
      </c>
      <c r="J974" s="3">
        <f>IF(OR(INDEX($O$2:$O$1001,MATCH(ROWS($N$2:N974),$N$2:$N$1001,0),1)&gt;=100000,INDEX($U$1005:$AC$1005,1,MATCH(COLUMNS($U$1006:AC1006),$U$1006:$AC$1006,0))&gt;=100000), " ",IF(INDEX($U$2:$AC$1001,MATCH(ROWS($N$2:N974),$N$2:$N$1001,0),MATCH(COLUMNS($U$1006:AC1006),$U$1006:$AC$1006,0)), HYPERLINK("#",""), HYPERLINK(CONCATENATE("#metadata!", ADDRESS(INDEX($P$2:$P$1001,MATCH(ROWS($N$2:N974),$N$2:$N$1001,0),0), INDEX($U$1004:$AC$1004,1,MATCH(COLUMNS($U$1006:AC1006),$U$1006:$AC$1006,0)))),"Fix")))</f>
        <v>0</v>
      </c>
      <c r="N974">
        <v>0</v>
      </c>
      <c r="O974">
        <v>0</v>
      </c>
      <c r="P974">
        <v>0</v>
      </c>
      <c r="Q974">
        <f>IF(R974,TRUE,AND(U974:AC974))</f>
        <v>0</v>
      </c>
      <c r="R974">
        <f>COUNTBLANK(metadata!B974:J974)=COLUMNS(metadata!B974:J974)</f>
        <v>0</v>
      </c>
      <c r="S974">
        <v>0</v>
      </c>
      <c r="U974">
        <f>AND(IF(metadata!B974="",FALSE,TRUE),COUNTIF(metadata!B:B, metadata!B974) = 1,NOT(ISERROR(SUMPRODUCT(SEARCH(MID(metadata!B974,ROW(INDIRECT("1:"&amp;LEN(metadata!B974))), 1),"0123456789abcdefghijklmnopqrstuvwxyzABCDEFGHIJKLMNOPQRSTUVWXYZ.")))))</f>
        <v>0</v>
      </c>
      <c r="V974">
        <f>AND(IF(metadata!C974="",FALSE,TRUE),exact(metadata!C974,"UBERON:genitourinary"))</f>
        <v>0</v>
      </c>
      <c r="W974">
        <f>AND(IF(metadata!D974="",FALSE,TRUE),exact(metadata!D974,"UBERON:urine"))</f>
        <v>0</v>
      </c>
      <c r="X974">
        <f>AND(IF(metadata!E974="",FALSE,TRUE),exact(metadata!E974,"UBERON:kidney"))</f>
        <v>0</v>
      </c>
      <c r="Y974">
        <f>AND(IF(metadata!F974="",FALSE,TRUE),exact(metadata!F974,"animal corpus"))</f>
        <v>0</v>
      </c>
      <c r="Z974">
        <f>AND(IF(metadata!G974="",FALSE,TRUE),exact(metadata!G974,"urine"))</f>
        <v>0</v>
      </c>
      <c r="AA974">
        <f>AND(IF(metadata!H974="",FALSE,TRUE),exact(metadata!H974,"urine"))</f>
        <v>0</v>
      </c>
      <c r="AB974">
        <f>AND(IF(metadata!I974="",FALSE,TRUE),exact(metadata!I974,"urine metagenome"))</f>
        <v>0</v>
      </c>
      <c r="AC974">
        <f>AND(IF(metadata!J974="",FALSE,TRUE),exact(metadata!J974,"1346744"))</f>
        <v>0</v>
      </c>
    </row>
    <row r="975" spans="1:29">
      <c r="A975" s="4">
        <f>IF(B975=" "," ",HYPERLINK(CONCATENATE("#metadata!",ADDRESS(INDEX($P$2:$P$1001,MATCH(ROWS($N$2:N975),$N$2:$N$1001,0),0),1)),INDEX($S$2:$S$1001,MATCH(ROWS($N$2:N975),$N$2:$N$1001,0),0)))</f>
        <v>0</v>
      </c>
      <c r="B975" s="3">
        <f>IF(OR(INDEX($O$2:$O$1001,MATCH(ROWS($N$2:N975),$N$2:$N$1001,0),1)&gt;=100000,INDEX($U$1005:$AC$1005,1,MATCH(COLUMNS($U$1006:U1006),$U$1006:$AC$1006,0))&gt;=100000), " ",IF(INDEX($U$2:$AC$1001,MATCH(ROWS($N$2:N975),$N$2:$N$1001,0),MATCH(COLUMNS($U$1006:U1006),$U$1006:$AC$1006,0)), HYPERLINK("#",""), HYPERLINK(CONCATENATE("#metadata!", ADDRESS(INDEX($P$2:$P$1001,MATCH(ROWS($N$2:N975),$N$2:$N$1001,0),0), INDEX($U$1004:$AC$1004,1,MATCH(COLUMNS($U$1006:U1006),$U$1006:$AC$1006,0)))),"Fix")))</f>
        <v>0</v>
      </c>
      <c r="C975" s="3">
        <f>IF(OR(INDEX($O$2:$O$1001,MATCH(ROWS($N$2:N975),$N$2:$N$1001,0),1)&gt;=100000,INDEX($U$1005:$AC$1005,1,MATCH(COLUMNS($U$1006:V1006),$U$1006:$AC$1006,0))&gt;=100000), " ",IF(INDEX($U$2:$AC$1001,MATCH(ROWS($N$2:N975),$N$2:$N$1001,0),MATCH(COLUMNS($U$1006:V1006),$U$1006:$AC$1006,0)), HYPERLINK("#",""), HYPERLINK(CONCATENATE("#metadata!", ADDRESS(INDEX($P$2:$P$1001,MATCH(ROWS($N$2:N975),$N$2:$N$1001,0),0), INDEX($U$1004:$AC$1004,1,MATCH(COLUMNS($U$1006:V1006),$U$1006:$AC$1006,0)))),"Fix")))</f>
        <v>0</v>
      </c>
      <c r="D975" s="3">
        <f>IF(OR(INDEX($O$2:$O$1001,MATCH(ROWS($N$2:N975),$N$2:$N$1001,0),1)&gt;=100000,INDEX($U$1005:$AC$1005,1,MATCH(COLUMNS($U$1006:W1006),$U$1006:$AC$1006,0))&gt;=100000), " ",IF(INDEX($U$2:$AC$1001,MATCH(ROWS($N$2:N975),$N$2:$N$1001,0),MATCH(COLUMNS($U$1006:W1006),$U$1006:$AC$1006,0)), HYPERLINK("#",""), HYPERLINK(CONCATENATE("#metadata!", ADDRESS(INDEX($P$2:$P$1001,MATCH(ROWS($N$2:N975),$N$2:$N$1001,0),0), INDEX($U$1004:$AC$1004,1,MATCH(COLUMNS($U$1006:W1006),$U$1006:$AC$1006,0)))),"Fix")))</f>
        <v>0</v>
      </c>
      <c r="E975" s="3">
        <f>IF(OR(INDEX($O$2:$O$1001,MATCH(ROWS($N$2:N975),$N$2:$N$1001,0),1)&gt;=100000,INDEX($U$1005:$AC$1005,1,MATCH(COLUMNS($U$1006:X1006),$U$1006:$AC$1006,0))&gt;=100000), " ",IF(INDEX($U$2:$AC$1001,MATCH(ROWS($N$2:N975),$N$2:$N$1001,0),MATCH(COLUMNS($U$1006:X1006),$U$1006:$AC$1006,0)), HYPERLINK("#",""), HYPERLINK(CONCATENATE("#metadata!", ADDRESS(INDEX($P$2:$P$1001,MATCH(ROWS($N$2:N975),$N$2:$N$1001,0),0), INDEX($U$1004:$AC$1004,1,MATCH(COLUMNS($U$1006:X1006),$U$1006:$AC$1006,0)))),"Fix")))</f>
        <v>0</v>
      </c>
      <c r="F975" s="3">
        <f>IF(OR(INDEX($O$2:$O$1001,MATCH(ROWS($N$2:N975),$N$2:$N$1001,0),1)&gt;=100000,INDEX($U$1005:$AC$1005,1,MATCH(COLUMNS($U$1006:Y1006),$U$1006:$AC$1006,0))&gt;=100000), " ",IF(INDEX($U$2:$AC$1001,MATCH(ROWS($N$2:N975),$N$2:$N$1001,0),MATCH(COLUMNS($U$1006:Y1006),$U$1006:$AC$1006,0)), HYPERLINK("#",""), HYPERLINK(CONCATENATE("#metadata!", ADDRESS(INDEX($P$2:$P$1001,MATCH(ROWS($N$2:N975),$N$2:$N$1001,0),0), INDEX($U$1004:$AC$1004,1,MATCH(COLUMNS($U$1006:Y1006),$U$1006:$AC$1006,0)))),"Fix")))</f>
        <v>0</v>
      </c>
      <c r="G975" s="3">
        <f>IF(OR(INDEX($O$2:$O$1001,MATCH(ROWS($N$2:N975),$N$2:$N$1001,0),1)&gt;=100000,INDEX($U$1005:$AC$1005,1,MATCH(COLUMNS($U$1006:Z1006),$U$1006:$AC$1006,0))&gt;=100000), " ",IF(INDEX($U$2:$AC$1001,MATCH(ROWS($N$2:N975),$N$2:$N$1001,0),MATCH(COLUMNS($U$1006:Z1006),$U$1006:$AC$1006,0)), HYPERLINK("#",""), HYPERLINK(CONCATENATE("#metadata!", ADDRESS(INDEX($P$2:$P$1001,MATCH(ROWS($N$2:N975),$N$2:$N$1001,0),0), INDEX($U$1004:$AC$1004,1,MATCH(COLUMNS($U$1006:Z1006),$U$1006:$AC$1006,0)))),"Fix")))</f>
        <v>0</v>
      </c>
      <c r="H975" s="3">
        <f>IF(OR(INDEX($O$2:$O$1001,MATCH(ROWS($N$2:N975),$N$2:$N$1001,0),1)&gt;=100000,INDEX($U$1005:$AC$1005,1,MATCH(COLUMNS($U$1006:AA1006),$U$1006:$AC$1006,0))&gt;=100000), " ",IF(INDEX($U$2:$AC$1001,MATCH(ROWS($N$2:N975),$N$2:$N$1001,0),MATCH(COLUMNS($U$1006:AA1006),$U$1006:$AC$1006,0)), HYPERLINK("#",""), HYPERLINK(CONCATENATE("#metadata!", ADDRESS(INDEX($P$2:$P$1001,MATCH(ROWS($N$2:N975),$N$2:$N$1001,0),0), INDEX($U$1004:$AC$1004,1,MATCH(COLUMNS($U$1006:AA1006),$U$1006:$AC$1006,0)))),"Fix")))</f>
        <v>0</v>
      </c>
      <c r="I975" s="3">
        <f>IF(OR(INDEX($O$2:$O$1001,MATCH(ROWS($N$2:N975),$N$2:$N$1001,0),1)&gt;=100000,INDEX($U$1005:$AC$1005,1,MATCH(COLUMNS($U$1006:AB1006),$U$1006:$AC$1006,0))&gt;=100000), " ",IF(INDEX($U$2:$AC$1001,MATCH(ROWS($N$2:N975),$N$2:$N$1001,0),MATCH(COLUMNS($U$1006:AB1006),$U$1006:$AC$1006,0)), HYPERLINK("#",""), HYPERLINK(CONCATENATE("#metadata!", ADDRESS(INDEX($P$2:$P$1001,MATCH(ROWS($N$2:N975),$N$2:$N$1001,0),0), INDEX($U$1004:$AC$1004,1,MATCH(COLUMNS($U$1006:AB1006),$U$1006:$AC$1006,0)))),"Fix")))</f>
        <v>0</v>
      </c>
      <c r="J975" s="3">
        <f>IF(OR(INDEX($O$2:$O$1001,MATCH(ROWS($N$2:N975),$N$2:$N$1001,0),1)&gt;=100000,INDEX($U$1005:$AC$1005,1,MATCH(COLUMNS($U$1006:AC1006),$U$1006:$AC$1006,0))&gt;=100000), " ",IF(INDEX($U$2:$AC$1001,MATCH(ROWS($N$2:N975),$N$2:$N$1001,0),MATCH(COLUMNS($U$1006:AC1006),$U$1006:$AC$1006,0)), HYPERLINK("#",""), HYPERLINK(CONCATENATE("#metadata!", ADDRESS(INDEX($P$2:$P$1001,MATCH(ROWS($N$2:N975),$N$2:$N$1001,0),0), INDEX($U$1004:$AC$1004,1,MATCH(COLUMNS($U$1006:AC1006),$U$1006:$AC$1006,0)))),"Fix")))</f>
        <v>0</v>
      </c>
      <c r="N975">
        <v>0</v>
      </c>
      <c r="O975">
        <v>0</v>
      </c>
      <c r="P975">
        <v>0</v>
      </c>
      <c r="Q975">
        <f>IF(R975,TRUE,AND(U975:AC975))</f>
        <v>0</v>
      </c>
      <c r="R975">
        <f>COUNTBLANK(metadata!B975:J975)=COLUMNS(metadata!B975:J975)</f>
        <v>0</v>
      </c>
      <c r="S975">
        <v>0</v>
      </c>
      <c r="U975">
        <f>AND(IF(metadata!B975="",FALSE,TRUE),COUNTIF(metadata!B:B, metadata!B975) = 1,NOT(ISERROR(SUMPRODUCT(SEARCH(MID(metadata!B975,ROW(INDIRECT("1:"&amp;LEN(metadata!B975))), 1),"0123456789abcdefghijklmnopqrstuvwxyzABCDEFGHIJKLMNOPQRSTUVWXYZ.")))))</f>
        <v>0</v>
      </c>
      <c r="V975">
        <f>AND(IF(metadata!C975="",FALSE,TRUE),exact(metadata!C975,"UBERON:genitourinary"))</f>
        <v>0</v>
      </c>
      <c r="W975">
        <f>AND(IF(metadata!D975="",FALSE,TRUE),exact(metadata!D975,"UBERON:urine"))</f>
        <v>0</v>
      </c>
      <c r="X975">
        <f>AND(IF(metadata!E975="",FALSE,TRUE),exact(metadata!E975,"UBERON:kidney"))</f>
        <v>0</v>
      </c>
      <c r="Y975">
        <f>AND(IF(metadata!F975="",FALSE,TRUE),exact(metadata!F975,"animal corpus"))</f>
        <v>0</v>
      </c>
      <c r="Z975">
        <f>AND(IF(metadata!G975="",FALSE,TRUE),exact(metadata!G975,"urine"))</f>
        <v>0</v>
      </c>
      <c r="AA975">
        <f>AND(IF(metadata!H975="",FALSE,TRUE),exact(metadata!H975,"urine"))</f>
        <v>0</v>
      </c>
      <c r="AB975">
        <f>AND(IF(metadata!I975="",FALSE,TRUE),exact(metadata!I975,"urine metagenome"))</f>
        <v>0</v>
      </c>
      <c r="AC975">
        <f>AND(IF(metadata!J975="",FALSE,TRUE),exact(metadata!J975,"1346744"))</f>
        <v>0</v>
      </c>
    </row>
    <row r="976" spans="1:29">
      <c r="A976" s="4">
        <f>IF(B976=" "," ",HYPERLINK(CONCATENATE("#metadata!",ADDRESS(INDEX($P$2:$P$1001,MATCH(ROWS($N$2:N976),$N$2:$N$1001,0),0),1)),INDEX($S$2:$S$1001,MATCH(ROWS($N$2:N976),$N$2:$N$1001,0),0)))</f>
        <v>0</v>
      </c>
      <c r="B976" s="3">
        <f>IF(OR(INDEX($O$2:$O$1001,MATCH(ROWS($N$2:N976),$N$2:$N$1001,0),1)&gt;=100000,INDEX($U$1005:$AC$1005,1,MATCH(COLUMNS($U$1006:U1006),$U$1006:$AC$1006,0))&gt;=100000), " ",IF(INDEX($U$2:$AC$1001,MATCH(ROWS($N$2:N976),$N$2:$N$1001,0),MATCH(COLUMNS($U$1006:U1006),$U$1006:$AC$1006,0)), HYPERLINK("#",""), HYPERLINK(CONCATENATE("#metadata!", ADDRESS(INDEX($P$2:$P$1001,MATCH(ROWS($N$2:N976),$N$2:$N$1001,0),0), INDEX($U$1004:$AC$1004,1,MATCH(COLUMNS($U$1006:U1006),$U$1006:$AC$1006,0)))),"Fix")))</f>
        <v>0</v>
      </c>
      <c r="C976" s="3">
        <f>IF(OR(INDEX($O$2:$O$1001,MATCH(ROWS($N$2:N976),$N$2:$N$1001,0),1)&gt;=100000,INDEX($U$1005:$AC$1005,1,MATCH(COLUMNS($U$1006:V1006),$U$1006:$AC$1006,0))&gt;=100000), " ",IF(INDEX($U$2:$AC$1001,MATCH(ROWS($N$2:N976),$N$2:$N$1001,0),MATCH(COLUMNS($U$1006:V1006),$U$1006:$AC$1006,0)), HYPERLINK("#",""), HYPERLINK(CONCATENATE("#metadata!", ADDRESS(INDEX($P$2:$P$1001,MATCH(ROWS($N$2:N976),$N$2:$N$1001,0),0), INDEX($U$1004:$AC$1004,1,MATCH(COLUMNS($U$1006:V1006),$U$1006:$AC$1006,0)))),"Fix")))</f>
        <v>0</v>
      </c>
      <c r="D976" s="3">
        <f>IF(OR(INDEX($O$2:$O$1001,MATCH(ROWS($N$2:N976),$N$2:$N$1001,0),1)&gt;=100000,INDEX($U$1005:$AC$1005,1,MATCH(COLUMNS($U$1006:W1006),$U$1006:$AC$1006,0))&gt;=100000), " ",IF(INDEX($U$2:$AC$1001,MATCH(ROWS($N$2:N976),$N$2:$N$1001,0),MATCH(COLUMNS($U$1006:W1006),$U$1006:$AC$1006,0)), HYPERLINK("#",""), HYPERLINK(CONCATENATE("#metadata!", ADDRESS(INDEX($P$2:$P$1001,MATCH(ROWS($N$2:N976),$N$2:$N$1001,0),0), INDEX($U$1004:$AC$1004,1,MATCH(COLUMNS($U$1006:W1006),$U$1006:$AC$1006,0)))),"Fix")))</f>
        <v>0</v>
      </c>
      <c r="E976" s="3">
        <f>IF(OR(INDEX($O$2:$O$1001,MATCH(ROWS($N$2:N976),$N$2:$N$1001,0),1)&gt;=100000,INDEX($U$1005:$AC$1005,1,MATCH(COLUMNS($U$1006:X1006),$U$1006:$AC$1006,0))&gt;=100000), " ",IF(INDEX($U$2:$AC$1001,MATCH(ROWS($N$2:N976),$N$2:$N$1001,0),MATCH(COLUMNS($U$1006:X1006),$U$1006:$AC$1006,0)), HYPERLINK("#",""), HYPERLINK(CONCATENATE("#metadata!", ADDRESS(INDEX($P$2:$P$1001,MATCH(ROWS($N$2:N976),$N$2:$N$1001,0),0), INDEX($U$1004:$AC$1004,1,MATCH(COLUMNS($U$1006:X1006),$U$1006:$AC$1006,0)))),"Fix")))</f>
        <v>0</v>
      </c>
      <c r="F976" s="3">
        <f>IF(OR(INDEX($O$2:$O$1001,MATCH(ROWS($N$2:N976),$N$2:$N$1001,0),1)&gt;=100000,INDEX($U$1005:$AC$1005,1,MATCH(COLUMNS($U$1006:Y1006),$U$1006:$AC$1006,0))&gt;=100000), " ",IF(INDEX($U$2:$AC$1001,MATCH(ROWS($N$2:N976),$N$2:$N$1001,0),MATCH(COLUMNS($U$1006:Y1006),$U$1006:$AC$1006,0)), HYPERLINK("#",""), HYPERLINK(CONCATENATE("#metadata!", ADDRESS(INDEX($P$2:$P$1001,MATCH(ROWS($N$2:N976),$N$2:$N$1001,0),0), INDEX($U$1004:$AC$1004,1,MATCH(COLUMNS($U$1006:Y1006),$U$1006:$AC$1006,0)))),"Fix")))</f>
        <v>0</v>
      </c>
      <c r="G976" s="3">
        <f>IF(OR(INDEX($O$2:$O$1001,MATCH(ROWS($N$2:N976),$N$2:$N$1001,0),1)&gt;=100000,INDEX($U$1005:$AC$1005,1,MATCH(COLUMNS($U$1006:Z1006),$U$1006:$AC$1006,0))&gt;=100000), " ",IF(INDEX($U$2:$AC$1001,MATCH(ROWS($N$2:N976),$N$2:$N$1001,0),MATCH(COLUMNS($U$1006:Z1006),$U$1006:$AC$1006,0)), HYPERLINK("#",""), HYPERLINK(CONCATENATE("#metadata!", ADDRESS(INDEX($P$2:$P$1001,MATCH(ROWS($N$2:N976),$N$2:$N$1001,0),0), INDEX($U$1004:$AC$1004,1,MATCH(COLUMNS($U$1006:Z1006),$U$1006:$AC$1006,0)))),"Fix")))</f>
        <v>0</v>
      </c>
      <c r="H976" s="3">
        <f>IF(OR(INDEX($O$2:$O$1001,MATCH(ROWS($N$2:N976),$N$2:$N$1001,0),1)&gt;=100000,INDEX($U$1005:$AC$1005,1,MATCH(COLUMNS($U$1006:AA1006),$U$1006:$AC$1006,0))&gt;=100000), " ",IF(INDEX($U$2:$AC$1001,MATCH(ROWS($N$2:N976),$N$2:$N$1001,0),MATCH(COLUMNS($U$1006:AA1006),$U$1006:$AC$1006,0)), HYPERLINK("#",""), HYPERLINK(CONCATENATE("#metadata!", ADDRESS(INDEX($P$2:$P$1001,MATCH(ROWS($N$2:N976),$N$2:$N$1001,0),0), INDEX($U$1004:$AC$1004,1,MATCH(COLUMNS($U$1006:AA1006),$U$1006:$AC$1006,0)))),"Fix")))</f>
        <v>0</v>
      </c>
      <c r="I976" s="3">
        <f>IF(OR(INDEX($O$2:$O$1001,MATCH(ROWS($N$2:N976),$N$2:$N$1001,0),1)&gt;=100000,INDEX($U$1005:$AC$1005,1,MATCH(COLUMNS($U$1006:AB1006),$U$1006:$AC$1006,0))&gt;=100000), " ",IF(INDEX($U$2:$AC$1001,MATCH(ROWS($N$2:N976),$N$2:$N$1001,0),MATCH(COLUMNS($U$1006:AB1006),$U$1006:$AC$1006,0)), HYPERLINK("#",""), HYPERLINK(CONCATENATE("#metadata!", ADDRESS(INDEX($P$2:$P$1001,MATCH(ROWS($N$2:N976),$N$2:$N$1001,0),0), INDEX($U$1004:$AC$1004,1,MATCH(COLUMNS($U$1006:AB1006),$U$1006:$AC$1006,0)))),"Fix")))</f>
        <v>0</v>
      </c>
      <c r="J976" s="3">
        <f>IF(OR(INDEX($O$2:$O$1001,MATCH(ROWS($N$2:N976),$N$2:$N$1001,0),1)&gt;=100000,INDEX($U$1005:$AC$1005,1,MATCH(COLUMNS($U$1006:AC1006),$U$1006:$AC$1006,0))&gt;=100000), " ",IF(INDEX($U$2:$AC$1001,MATCH(ROWS($N$2:N976),$N$2:$N$1001,0),MATCH(COLUMNS($U$1006:AC1006),$U$1006:$AC$1006,0)), HYPERLINK("#",""), HYPERLINK(CONCATENATE("#metadata!", ADDRESS(INDEX($P$2:$P$1001,MATCH(ROWS($N$2:N976),$N$2:$N$1001,0),0), INDEX($U$1004:$AC$1004,1,MATCH(COLUMNS($U$1006:AC1006),$U$1006:$AC$1006,0)))),"Fix")))</f>
        <v>0</v>
      </c>
      <c r="N976">
        <v>0</v>
      </c>
      <c r="O976">
        <v>0</v>
      </c>
      <c r="P976">
        <v>0</v>
      </c>
      <c r="Q976">
        <f>IF(R976,TRUE,AND(U976:AC976))</f>
        <v>0</v>
      </c>
      <c r="R976">
        <f>COUNTBLANK(metadata!B976:J976)=COLUMNS(metadata!B976:J976)</f>
        <v>0</v>
      </c>
      <c r="S976">
        <v>0</v>
      </c>
      <c r="U976">
        <f>AND(IF(metadata!B976="",FALSE,TRUE),COUNTIF(metadata!B:B, metadata!B976) = 1,NOT(ISERROR(SUMPRODUCT(SEARCH(MID(metadata!B976,ROW(INDIRECT("1:"&amp;LEN(metadata!B976))), 1),"0123456789abcdefghijklmnopqrstuvwxyzABCDEFGHIJKLMNOPQRSTUVWXYZ.")))))</f>
        <v>0</v>
      </c>
      <c r="V976">
        <f>AND(IF(metadata!C976="",FALSE,TRUE),exact(metadata!C976,"UBERON:genitourinary"))</f>
        <v>0</v>
      </c>
      <c r="W976">
        <f>AND(IF(metadata!D976="",FALSE,TRUE),exact(metadata!D976,"UBERON:urine"))</f>
        <v>0</v>
      </c>
      <c r="X976">
        <f>AND(IF(metadata!E976="",FALSE,TRUE),exact(metadata!E976,"UBERON:kidney"))</f>
        <v>0</v>
      </c>
      <c r="Y976">
        <f>AND(IF(metadata!F976="",FALSE,TRUE),exact(metadata!F976,"animal corpus"))</f>
        <v>0</v>
      </c>
      <c r="Z976">
        <f>AND(IF(metadata!G976="",FALSE,TRUE),exact(metadata!G976,"urine"))</f>
        <v>0</v>
      </c>
      <c r="AA976">
        <f>AND(IF(metadata!H976="",FALSE,TRUE),exact(metadata!H976,"urine"))</f>
        <v>0</v>
      </c>
      <c r="AB976">
        <f>AND(IF(metadata!I976="",FALSE,TRUE),exact(metadata!I976,"urine metagenome"))</f>
        <v>0</v>
      </c>
      <c r="AC976">
        <f>AND(IF(metadata!J976="",FALSE,TRUE),exact(metadata!J976,"1346744"))</f>
        <v>0</v>
      </c>
    </row>
    <row r="977" spans="1:29">
      <c r="A977" s="4">
        <f>IF(B977=" "," ",HYPERLINK(CONCATENATE("#metadata!",ADDRESS(INDEX($P$2:$P$1001,MATCH(ROWS($N$2:N977),$N$2:$N$1001,0),0),1)),INDEX($S$2:$S$1001,MATCH(ROWS($N$2:N977),$N$2:$N$1001,0),0)))</f>
        <v>0</v>
      </c>
      <c r="B977" s="3">
        <f>IF(OR(INDEX($O$2:$O$1001,MATCH(ROWS($N$2:N977),$N$2:$N$1001,0),1)&gt;=100000,INDEX($U$1005:$AC$1005,1,MATCH(COLUMNS($U$1006:U1006),$U$1006:$AC$1006,0))&gt;=100000), " ",IF(INDEX($U$2:$AC$1001,MATCH(ROWS($N$2:N977),$N$2:$N$1001,0),MATCH(COLUMNS($U$1006:U1006),$U$1006:$AC$1006,0)), HYPERLINK("#",""), HYPERLINK(CONCATENATE("#metadata!", ADDRESS(INDEX($P$2:$P$1001,MATCH(ROWS($N$2:N977),$N$2:$N$1001,0),0), INDEX($U$1004:$AC$1004,1,MATCH(COLUMNS($U$1006:U1006),$U$1006:$AC$1006,0)))),"Fix")))</f>
        <v>0</v>
      </c>
      <c r="C977" s="3">
        <f>IF(OR(INDEX($O$2:$O$1001,MATCH(ROWS($N$2:N977),$N$2:$N$1001,0),1)&gt;=100000,INDEX($U$1005:$AC$1005,1,MATCH(COLUMNS($U$1006:V1006),$U$1006:$AC$1006,0))&gt;=100000), " ",IF(INDEX($U$2:$AC$1001,MATCH(ROWS($N$2:N977),$N$2:$N$1001,0),MATCH(COLUMNS($U$1006:V1006),$U$1006:$AC$1006,0)), HYPERLINK("#",""), HYPERLINK(CONCATENATE("#metadata!", ADDRESS(INDEX($P$2:$P$1001,MATCH(ROWS($N$2:N977),$N$2:$N$1001,0),0), INDEX($U$1004:$AC$1004,1,MATCH(COLUMNS($U$1006:V1006),$U$1006:$AC$1006,0)))),"Fix")))</f>
        <v>0</v>
      </c>
      <c r="D977" s="3">
        <f>IF(OR(INDEX($O$2:$O$1001,MATCH(ROWS($N$2:N977),$N$2:$N$1001,0),1)&gt;=100000,INDEX($U$1005:$AC$1005,1,MATCH(COLUMNS($U$1006:W1006),$U$1006:$AC$1006,0))&gt;=100000), " ",IF(INDEX($U$2:$AC$1001,MATCH(ROWS($N$2:N977),$N$2:$N$1001,0),MATCH(COLUMNS($U$1006:W1006),$U$1006:$AC$1006,0)), HYPERLINK("#",""), HYPERLINK(CONCATENATE("#metadata!", ADDRESS(INDEX($P$2:$P$1001,MATCH(ROWS($N$2:N977),$N$2:$N$1001,0),0), INDEX($U$1004:$AC$1004,1,MATCH(COLUMNS($U$1006:W1006),$U$1006:$AC$1006,0)))),"Fix")))</f>
        <v>0</v>
      </c>
      <c r="E977" s="3">
        <f>IF(OR(INDEX($O$2:$O$1001,MATCH(ROWS($N$2:N977),$N$2:$N$1001,0),1)&gt;=100000,INDEX($U$1005:$AC$1005,1,MATCH(COLUMNS($U$1006:X1006),$U$1006:$AC$1006,0))&gt;=100000), " ",IF(INDEX($U$2:$AC$1001,MATCH(ROWS($N$2:N977),$N$2:$N$1001,0),MATCH(COLUMNS($U$1006:X1006),$U$1006:$AC$1006,0)), HYPERLINK("#",""), HYPERLINK(CONCATENATE("#metadata!", ADDRESS(INDEX($P$2:$P$1001,MATCH(ROWS($N$2:N977),$N$2:$N$1001,0),0), INDEX($U$1004:$AC$1004,1,MATCH(COLUMNS($U$1006:X1006),$U$1006:$AC$1006,0)))),"Fix")))</f>
        <v>0</v>
      </c>
      <c r="F977" s="3">
        <f>IF(OR(INDEX($O$2:$O$1001,MATCH(ROWS($N$2:N977),$N$2:$N$1001,0),1)&gt;=100000,INDEX($U$1005:$AC$1005,1,MATCH(COLUMNS($U$1006:Y1006),$U$1006:$AC$1006,0))&gt;=100000), " ",IF(INDEX($U$2:$AC$1001,MATCH(ROWS($N$2:N977),$N$2:$N$1001,0),MATCH(COLUMNS($U$1006:Y1006),$U$1006:$AC$1006,0)), HYPERLINK("#",""), HYPERLINK(CONCATENATE("#metadata!", ADDRESS(INDEX($P$2:$P$1001,MATCH(ROWS($N$2:N977),$N$2:$N$1001,0),0), INDEX($U$1004:$AC$1004,1,MATCH(COLUMNS($U$1006:Y1006),$U$1006:$AC$1006,0)))),"Fix")))</f>
        <v>0</v>
      </c>
      <c r="G977" s="3">
        <f>IF(OR(INDEX($O$2:$O$1001,MATCH(ROWS($N$2:N977),$N$2:$N$1001,0),1)&gt;=100000,INDEX($U$1005:$AC$1005,1,MATCH(COLUMNS($U$1006:Z1006),$U$1006:$AC$1006,0))&gt;=100000), " ",IF(INDEX($U$2:$AC$1001,MATCH(ROWS($N$2:N977),$N$2:$N$1001,0),MATCH(COLUMNS($U$1006:Z1006),$U$1006:$AC$1006,0)), HYPERLINK("#",""), HYPERLINK(CONCATENATE("#metadata!", ADDRESS(INDEX($P$2:$P$1001,MATCH(ROWS($N$2:N977),$N$2:$N$1001,0),0), INDEX($U$1004:$AC$1004,1,MATCH(COLUMNS($U$1006:Z1006),$U$1006:$AC$1006,0)))),"Fix")))</f>
        <v>0</v>
      </c>
      <c r="H977" s="3">
        <f>IF(OR(INDEX($O$2:$O$1001,MATCH(ROWS($N$2:N977),$N$2:$N$1001,0),1)&gt;=100000,INDEX($U$1005:$AC$1005,1,MATCH(COLUMNS($U$1006:AA1006),$U$1006:$AC$1006,0))&gt;=100000), " ",IF(INDEX($U$2:$AC$1001,MATCH(ROWS($N$2:N977),$N$2:$N$1001,0),MATCH(COLUMNS($U$1006:AA1006),$U$1006:$AC$1006,0)), HYPERLINK("#",""), HYPERLINK(CONCATENATE("#metadata!", ADDRESS(INDEX($P$2:$P$1001,MATCH(ROWS($N$2:N977),$N$2:$N$1001,0),0), INDEX($U$1004:$AC$1004,1,MATCH(COLUMNS($U$1006:AA1006),$U$1006:$AC$1006,0)))),"Fix")))</f>
        <v>0</v>
      </c>
      <c r="I977" s="3">
        <f>IF(OR(INDEX($O$2:$O$1001,MATCH(ROWS($N$2:N977),$N$2:$N$1001,0),1)&gt;=100000,INDEX($U$1005:$AC$1005,1,MATCH(COLUMNS($U$1006:AB1006),$U$1006:$AC$1006,0))&gt;=100000), " ",IF(INDEX($U$2:$AC$1001,MATCH(ROWS($N$2:N977),$N$2:$N$1001,0),MATCH(COLUMNS($U$1006:AB1006),$U$1006:$AC$1006,0)), HYPERLINK("#",""), HYPERLINK(CONCATENATE("#metadata!", ADDRESS(INDEX($P$2:$P$1001,MATCH(ROWS($N$2:N977),$N$2:$N$1001,0),0), INDEX($U$1004:$AC$1004,1,MATCH(COLUMNS($U$1006:AB1006),$U$1006:$AC$1006,0)))),"Fix")))</f>
        <v>0</v>
      </c>
      <c r="J977" s="3">
        <f>IF(OR(INDEX($O$2:$O$1001,MATCH(ROWS($N$2:N977),$N$2:$N$1001,0),1)&gt;=100000,INDEX($U$1005:$AC$1005,1,MATCH(COLUMNS($U$1006:AC1006),$U$1006:$AC$1006,0))&gt;=100000), " ",IF(INDEX($U$2:$AC$1001,MATCH(ROWS($N$2:N977),$N$2:$N$1001,0),MATCH(COLUMNS($U$1006:AC1006),$U$1006:$AC$1006,0)), HYPERLINK("#",""), HYPERLINK(CONCATENATE("#metadata!", ADDRESS(INDEX($P$2:$P$1001,MATCH(ROWS($N$2:N977),$N$2:$N$1001,0),0), INDEX($U$1004:$AC$1004,1,MATCH(COLUMNS($U$1006:AC1006),$U$1006:$AC$1006,0)))),"Fix")))</f>
        <v>0</v>
      </c>
      <c r="N977">
        <v>0</v>
      </c>
      <c r="O977">
        <v>0</v>
      </c>
      <c r="P977">
        <v>0</v>
      </c>
      <c r="Q977">
        <f>IF(R977,TRUE,AND(U977:AC977))</f>
        <v>0</v>
      </c>
      <c r="R977">
        <f>COUNTBLANK(metadata!B977:J977)=COLUMNS(metadata!B977:J977)</f>
        <v>0</v>
      </c>
      <c r="S977">
        <v>0</v>
      </c>
      <c r="U977">
        <f>AND(IF(metadata!B977="",FALSE,TRUE),COUNTIF(metadata!B:B, metadata!B977) = 1,NOT(ISERROR(SUMPRODUCT(SEARCH(MID(metadata!B977,ROW(INDIRECT("1:"&amp;LEN(metadata!B977))), 1),"0123456789abcdefghijklmnopqrstuvwxyzABCDEFGHIJKLMNOPQRSTUVWXYZ.")))))</f>
        <v>0</v>
      </c>
      <c r="V977">
        <f>AND(IF(metadata!C977="",FALSE,TRUE),exact(metadata!C977,"UBERON:genitourinary"))</f>
        <v>0</v>
      </c>
      <c r="W977">
        <f>AND(IF(metadata!D977="",FALSE,TRUE),exact(metadata!D977,"UBERON:urine"))</f>
        <v>0</v>
      </c>
      <c r="X977">
        <f>AND(IF(metadata!E977="",FALSE,TRUE),exact(metadata!E977,"UBERON:kidney"))</f>
        <v>0</v>
      </c>
      <c r="Y977">
        <f>AND(IF(metadata!F977="",FALSE,TRUE),exact(metadata!F977,"animal corpus"))</f>
        <v>0</v>
      </c>
      <c r="Z977">
        <f>AND(IF(metadata!G977="",FALSE,TRUE),exact(metadata!G977,"urine"))</f>
        <v>0</v>
      </c>
      <c r="AA977">
        <f>AND(IF(metadata!H977="",FALSE,TRUE),exact(metadata!H977,"urine"))</f>
        <v>0</v>
      </c>
      <c r="AB977">
        <f>AND(IF(metadata!I977="",FALSE,TRUE),exact(metadata!I977,"urine metagenome"))</f>
        <v>0</v>
      </c>
      <c r="AC977">
        <f>AND(IF(metadata!J977="",FALSE,TRUE),exact(metadata!J977,"1346744"))</f>
        <v>0</v>
      </c>
    </row>
    <row r="978" spans="1:29">
      <c r="A978" s="4">
        <f>IF(B978=" "," ",HYPERLINK(CONCATENATE("#metadata!",ADDRESS(INDEX($P$2:$P$1001,MATCH(ROWS($N$2:N978),$N$2:$N$1001,0),0),1)),INDEX($S$2:$S$1001,MATCH(ROWS($N$2:N978),$N$2:$N$1001,0),0)))</f>
        <v>0</v>
      </c>
      <c r="B978" s="3">
        <f>IF(OR(INDEX($O$2:$O$1001,MATCH(ROWS($N$2:N978),$N$2:$N$1001,0),1)&gt;=100000,INDEX($U$1005:$AC$1005,1,MATCH(COLUMNS($U$1006:U1006),$U$1006:$AC$1006,0))&gt;=100000), " ",IF(INDEX($U$2:$AC$1001,MATCH(ROWS($N$2:N978),$N$2:$N$1001,0),MATCH(COLUMNS($U$1006:U1006),$U$1006:$AC$1006,0)), HYPERLINK("#",""), HYPERLINK(CONCATENATE("#metadata!", ADDRESS(INDEX($P$2:$P$1001,MATCH(ROWS($N$2:N978),$N$2:$N$1001,0),0), INDEX($U$1004:$AC$1004,1,MATCH(COLUMNS($U$1006:U1006),$U$1006:$AC$1006,0)))),"Fix")))</f>
        <v>0</v>
      </c>
      <c r="C978" s="3">
        <f>IF(OR(INDEX($O$2:$O$1001,MATCH(ROWS($N$2:N978),$N$2:$N$1001,0),1)&gt;=100000,INDEX($U$1005:$AC$1005,1,MATCH(COLUMNS($U$1006:V1006),$U$1006:$AC$1006,0))&gt;=100000), " ",IF(INDEX($U$2:$AC$1001,MATCH(ROWS($N$2:N978),$N$2:$N$1001,0),MATCH(COLUMNS($U$1006:V1006),$U$1006:$AC$1006,0)), HYPERLINK("#",""), HYPERLINK(CONCATENATE("#metadata!", ADDRESS(INDEX($P$2:$P$1001,MATCH(ROWS($N$2:N978),$N$2:$N$1001,0),0), INDEX($U$1004:$AC$1004,1,MATCH(COLUMNS($U$1006:V1006),$U$1006:$AC$1006,0)))),"Fix")))</f>
        <v>0</v>
      </c>
      <c r="D978" s="3">
        <f>IF(OR(INDEX($O$2:$O$1001,MATCH(ROWS($N$2:N978),$N$2:$N$1001,0),1)&gt;=100000,INDEX($U$1005:$AC$1005,1,MATCH(COLUMNS($U$1006:W1006),$U$1006:$AC$1006,0))&gt;=100000), " ",IF(INDEX($U$2:$AC$1001,MATCH(ROWS($N$2:N978),$N$2:$N$1001,0),MATCH(COLUMNS($U$1006:W1006),$U$1006:$AC$1006,0)), HYPERLINK("#",""), HYPERLINK(CONCATENATE("#metadata!", ADDRESS(INDEX($P$2:$P$1001,MATCH(ROWS($N$2:N978),$N$2:$N$1001,0),0), INDEX($U$1004:$AC$1004,1,MATCH(COLUMNS($U$1006:W1006),$U$1006:$AC$1006,0)))),"Fix")))</f>
        <v>0</v>
      </c>
      <c r="E978" s="3">
        <f>IF(OR(INDEX($O$2:$O$1001,MATCH(ROWS($N$2:N978),$N$2:$N$1001,0),1)&gt;=100000,INDEX($U$1005:$AC$1005,1,MATCH(COLUMNS($U$1006:X1006),$U$1006:$AC$1006,0))&gt;=100000), " ",IF(INDEX($U$2:$AC$1001,MATCH(ROWS($N$2:N978),$N$2:$N$1001,0),MATCH(COLUMNS($U$1006:X1006),$U$1006:$AC$1006,0)), HYPERLINK("#",""), HYPERLINK(CONCATENATE("#metadata!", ADDRESS(INDEX($P$2:$P$1001,MATCH(ROWS($N$2:N978),$N$2:$N$1001,0),0), INDEX($U$1004:$AC$1004,1,MATCH(COLUMNS($U$1006:X1006),$U$1006:$AC$1006,0)))),"Fix")))</f>
        <v>0</v>
      </c>
      <c r="F978" s="3">
        <f>IF(OR(INDEX($O$2:$O$1001,MATCH(ROWS($N$2:N978),$N$2:$N$1001,0),1)&gt;=100000,INDEX($U$1005:$AC$1005,1,MATCH(COLUMNS($U$1006:Y1006),$U$1006:$AC$1006,0))&gt;=100000), " ",IF(INDEX($U$2:$AC$1001,MATCH(ROWS($N$2:N978),$N$2:$N$1001,0),MATCH(COLUMNS($U$1006:Y1006),$U$1006:$AC$1006,0)), HYPERLINK("#",""), HYPERLINK(CONCATENATE("#metadata!", ADDRESS(INDEX($P$2:$P$1001,MATCH(ROWS($N$2:N978),$N$2:$N$1001,0),0), INDEX($U$1004:$AC$1004,1,MATCH(COLUMNS($U$1006:Y1006),$U$1006:$AC$1006,0)))),"Fix")))</f>
        <v>0</v>
      </c>
      <c r="G978" s="3">
        <f>IF(OR(INDEX($O$2:$O$1001,MATCH(ROWS($N$2:N978),$N$2:$N$1001,0),1)&gt;=100000,INDEX($U$1005:$AC$1005,1,MATCH(COLUMNS($U$1006:Z1006),$U$1006:$AC$1006,0))&gt;=100000), " ",IF(INDEX($U$2:$AC$1001,MATCH(ROWS($N$2:N978),$N$2:$N$1001,0),MATCH(COLUMNS($U$1006:Z1006),$U$1006:$AC$1006,0)), HYPERLINK("#",""), HYPERLINK(CONCATENATE("#metadata!", ADDRESS(INDEX($P$2:$P$1001,MATCH(ROWS($N$2:N978),$N$2:$N$1001,0),0), INDEX($U$1004:$AC$1004,1,MATCH(COLUMNS($U$1006:Z1006),$U$1006:$AC$1006,0)))),"Fix")))</f>
        <v>0</v>
      </c>
      <c r="H978" s="3">
        <f>IF(OR(INDEX($O$2:$O$1001,MATCH(ROWS($N$2:N978),$N$2:$N$1001,0),1)&gt;=100000,INDEX($U$1005:$AC$1005,1,MATCH(COLUMNS($U$1006:AA1006),$U$1006:$AC$1006,0))&gt;=100000), " ",IF(INDEX($U$2:$AC$1001,MATCH(ROWS($N$2:N978),$N$2:$N$1001,0),MATCH(COLUMNS($U$1006:AA1006),$U$1006:$AC$1006,0)), HYPERLINK("#",""), HYPERLINK(CONCATENATE("#metadata!", ADDRESS(INDEX($P$2:$P$1001,MATCH(ROWS($N$2:N978),$N$2:$N$1001,0),0), INDEX($U$1004:$AC$1004,1,MATCH(COLUMNS($U$1006:AA1006),$U$1006:$AC$1006,0)))),"Fix")))</f>
        <v>0</v>
      </c>
      <c r="I978" s="3">
        <f>IF(OR(INDEX($O$2:$O$1001,MATCH(ROWS($N$2:N978),$N$2:$N$1001,0),1)&gt;=100000,INDEX($U$1005:$AC$1005,1,MATCH(COLUMNS($U$1006:AB1006),$U$1006:$AC$1006,0))&gt;=100000), " ",IF(INDEX($U$2:$AC$1001,MATCH(ROWS($N$2:N978),$N$2:$N$1001,0),MATCH(COLUMNS($U$1006:AB1006),$U$1006:$AC$1006,0)), HYPERLINK("#",""), HYPERLINK(CONCATENATE("#metadata!", ADDRESS(INDEX($P$2:$P$1001,MATCH(ROWS($N$2:N978),$N$2:$N$1001,0),0), INDEX($U$1004:$AC$1004,1,MATCH(COLUMNS($U$1006:AB1006),$U$1006:$AC$1006,0)))),"Fix")))</f>
        <v>0</v>
      </c>
      <c r="J978" s="3">
        <f>IF(OR(INDEX($O$2:$O$1001,MATCH(ROWS($N$2:N978),$N$2:$N$1001,0),1)&gt;=100000,INDEX($U$1005:$AC$1005,1,MATCH(COLUMNS($U$1006:AC1006),$U$1006:$AC$1006,0))&gt;=100000), " ",IF(INDEX($U$2:$AC$1001,MATCH(ROWS($N$2:N978),$N$2:$N$1001,0),MATCH(COLUMNS($U$1006:AC1006),$U$1006:$AC$1006,0)), HYPERLINK("#",""), HYPERLINK(CONCATENATE("#metadata!", ADDRESS(INDEX($P$2:$P$1001,MATCH(ROWS($N$2:N978),$N$2:$N$1001,0),0), INDEX($U$1004:$AC$1004,1,MATCH(COLUMNS($U$1006:AC1006),$U$1006:$AC$1006,0)))),"Fix")))</f>
        <v>0</v>
      </c>
      <c r="N978">
        <v>0</v>
      </c>
      <c r="O978">
        <v>0</v>
      </c>
      <c r="P978">
        <v>0</v>
      </c>
      <c r="Q978">
        <f>IF(R978,TRUE,AND(U978:AC978))</f>
        <v>0</v>
      </c>
      <c r="R978">
        <f>COUNTBLANK(metadata!B978:J978)=COLUMNS(metadata!B978:J978)</f>
        <v>0</v>
      </c>
      <c r="S978">
        <v>0</v>
      </c>
      <c r="U978">
        <f>AND(IF(metadata!B978="",FALSE,TRUE),COUNTIF(metadata!B:B, metadata!B978) = 1,NOT(ISERROR(SUMPRODUCT(SEARCH(MID(metadata!B978,ROW(INDIRECT("1:"&amp;LEN(metadata!B978))), 1),"0123456789abcdefghijklmnopqrstuvwxyzABCDEFGHIJKLMNOPQRSTUVWXYZ.")))))</f>
        <v>0</v>
      </c>
      <c r="V978">
        <f>AND(IF(metadata!C978="",FALSE,TRUE),exact(metadata!C978,"UBERON:genitourinary"))</f>
        <v>0</v>
      </c>
      <c r="W978">
        <f>AND(IF(metadata!D978="",FALSE,TRUE),exact(metadata!D978,"UBERON:urine"))</f>
        <v>0</v>
      </c>
      <c r="X978">
        <f>AND(IF(metadata!E978="",FALSE,TRUE),exact(metadata!E978,"UBERON:kidney"))</f>
        <v>0</v>
      </c>
      <c r="Y978">
        <f>AND(IF(metadata!F978="",FALSE,TRUE),exact(metadata!F978,"animal corpus"))</f>
        <v>0</v>
      </c>
      <c r="Z978">
        <f>AND(IF(metadata!G978="",FALSE,TRUE),exact(metadata!G978,"urine"))</f>
        <v>0</v>
      </c>
      <c r="AA978">
        <f>AND(IF(metadata!H978="",FALSE,TRUE),exact(metadata!H978,"urine"))</f>
        <v>0</v>
      </c>
      <c r="AB978">
        <f>AND(IF(metadata!I978="",FALSE,TRUE),exact(metadata!I978,"urine metagenome"))</f>
        <v>0</v>
      </c>
      <c r="AC978">
        <f>AND(IF(metadata!J978="",FALSE,TRUE),exact(metadata!J978,"1346744"))</f>
        <v>0</v>
      </c>
    </row>
    <row r="979" spans="1:29">
      <c r="A979" s="4">
        <f>IF(B979=" "," ",HYPERLINK(CONCATENATE("#metadata!",ADDRESS(INDEX($P$2:$P$1001,MATCH(ROWS($N$2:N979),$N$2:$N$1001,0),0),1)),INDEX($S$2:$S$1001,MATCH(ROWS($N$2:N979),$N$2:$N$1001,0),0)))</f>
        <v>0</v>
      </c>
      <c r="B979" s="3">
        <f>IF(OR(INDEX($O$2:$O$1001,MATCH(ROWS($N$2:N979),$N$2:$N$1001,0),1)&gt;=100000,INDEX($U$1005:$AC$1005,1,MATCH(COLUMNS($U$1006:U1006),$U$1006:$AC$1006,0))&gt;=100000), " ",IF(INDEX($U$2:$AC$1001,MATCH(ROWS($N$2:N979),$N$2:$N$1001,0),MATCH(COLUMNS($U$1006:U1006),$U$1006:$AC$1006,0)), HYPERLINK("#",""), HYPERLINK(CONCATENATE("#metadata!", ADDRESS(INDEX($P$2:$P$1001,MATCH(ROWS($N$2:N979),$N$2:$N$1001,0),0), INDEX($U$1004:$AC$1004,1,MATCH(COLUMNS($U$1006:U1006),$U$1006:$AC$1006,0)))),"Fix")))</f>
        <v>0</v>
      </c>
      <c r="C979" s="3">
        <f>IF(OR(INDEX($O$2:$O$1001,MATCH(ROWS($N$2:N979),$N$2:$N$1001,0),1)&gt;=100000,INDEX($U$1005:$AC$1005,1,MATCH(COLUMNS($U$1006:V1006),$U$1006:$AC$1006,0))&gt;=100000), " ",IF(INDEX($U$2:$AC$1001,MATCH(ROWS($N$2:N979),$N$2:$N$1001,0),MATCH(COLUMNS($U$1006:V1006),$U$1006:$AC$1006,0)), HYPERLINK("#",""), HYPERLINK(CONCATENATE("#metadata!", ADDRESS(INDEX($P$2:$P$1001,MATCH(ROWS($N$2:N979),$N$2:$N$1001,0),0), INDEX($U$1004:$AC$1004,1,MATCH(COLUMNS($U$1006:V1006),$U$1006:$AC$1006,0)))),"Fix")))</f>
        <v>0</v>
      </c>
      <c r="D979" s="3">
        <f>IF(OR(INDEX($O$2:$O$1001,MATCH(ROWS($N$2:N979),$N$2:$N$1001,0),1)&gt;=100000,INDEX($U$1005:$AC$1005,1,MATCH(COLUMNS($U$1006:W1006),$U$1006:$AC$1006,0))&gt;=100000), " ",IF(INDEX($U$2:$AC$1001,MATCH(ROWS($N$2:N979),$N$2:$N$1001,0),MATCH(COLUMNS($U$1006:W1006),$U$1006:$AC$1006,0)), HYPERLINK("#",""), HYPERLINK(CONCATENATE("#metadata!", ADDRESS(INDEX($P$2:$P$1001,MATCH(ROWS($N$2:N979),$N$2:$N$1001,0),0), INDEX($U$1004:$AC$1004,1,MATCH(COLUMNS($U$1006:W1006),$U$1006:$AC$1006,0)))),"Fix")))</f>
        <v>0</v>
      </c>
      <c r="E979" s="3">
        <f>IF(OR(INDEX($O$2:$O$1001,MATCH(ROWS($N$2:N979),$N$2:$N$1001,0),1)&gt;=100000,INDEX($U$1005:$AC$1005,1,MATCH(COLUMNS($U$1006:X1006),$U$1006:$AC$1006,0))&gt;=100000), " ",IF(INDEX($U$2:$AC$1001,MATCH(ROWS($N$2:N979),$N$2:$N$1001,0),MATCH(COLUMNS($U$1006:X1006),$U$1006:$AC$1006,0)), HYPERLINK("#",""), HYPERLINK(CONCATENATE("#metadata!", ADDRESS(INDEX($P$2:$P$1001,MATCH(ROWS($N$2:N979),$N$2:$N$1001,0),0), INDEX($U$1004:$AC$1004,1,MATCH(COLUMNS($U$1006:X1006),$U$1006:$AC$1006,0)))),"Fix")))</f>
        <v>0</v>
      </c>
      <c r="F979" s="3">
        <f>IF(OR(INDEX($O$2:$O$1001,MATCH(ROWS($N$2:N979),$N$2:$N$1001,0),1)&gt;=100000,INDEX($U$1005:$AC$1005,1,MATCH(COLUMNS($U$1006:Y1006),$U$1006:$AC$1006,0))&gt;=100000), " ",IF(INDEX($U$2:$AC$1001,MATCH(ROWS($N$2:N979),$N$2:$N$1001,0),MATCH(COLUMNS($U$1006:Y1006),$U$1006:$AC$1006,0)), HYPERLINK("#",""), HYPERLINK(CONCATENATE("#metadata!", ADDRESS(INDEX($P$2:$P$1001,MATCH(ROWS($N$2:N979),$N$2:$N$1001,0),0), INDEX($U$1004:$AC$1004,1,MATCH(COLUMNS($U$1006:Y1006),$U$1006:$AC$1006,0)))),"Fix")))</f>
        <v>0</v>
      </c>
      <c r="G979" s="3">
        <f>IF(OR(INDEX($O$2:$O$1001,MATCH(ROWS($N$2:N979),$N$2:$N$1001,0),1)&gt;=100000,INDEX($U$1005:$AC$1005,1,MATCH(COLUMNS($U$1006:Z1006),$U$1006:$AC$1006,0))&gt;=100000), " ",IF(INDEX($U$2:$AC$1001,MATCH(ROWS($N$2:N979),$N$2:$N$1001,0),MATCH(COLUMNS($U$1006:Z1006),$U$1006:$AC$1006,0)), HYPERLINK("#",""), HYPERLINK(CONCATENATE("#metadata!", ADDRESS(INDEX($P$2:$P$1001,MATCH(ROWS($N$2:N979),$N$2:$N$1001,0),0), INDEX($U$1004:$AC$1004,1,MATCH(COLUMNS($U$1006:Z1006),$U$1006:$AC$1006,0)))),"Fix")))</f>
        <v>0</v>
      </c>
      <c r="H979" s="3">
        <f>IF(OR(INDEX($O$2:$O$1001,MATCH(ROWS($N$2:N979),$N$2:$N$1001,0),1)&gt;=100000,INDEX($U$1005:$AC$1005,1,MATCH(COLUMNS($U$1006:AA1006),$U$1006:$AC$1006,0))&gt;=100000), " ",IF(INDEX($U$2:$AC$1001,MATCH(ROWS($N$2:N979),$N$2:$N$1001,0),MATCH(COLUMNS($U$1006:AA1006),$U$1006:$AC$1006,0)), HYPERLINK("#",""), HYPERLINK(CONCATENATE("#metadata!", ADDRESS(INDEX($P$2:$P$1001,MATCH(ROWS($N$2:N979),$N$2:$N$1001,0),0), INDEX($U$1004:$AC$1004,1,MATCH(COLUMNS($U$1006:AA1006),$U$1006:$AC$1006,0)))),"Fix")))</f>
        <v>0</v>
      </c>
      <c r="I979" s="3">
        <f>IF(OR(INDEX($O$2:$O$1001,MATCH(ROWS($N$2:N979),$N$2:$N$1001,0),1)&gt;=100000,INDEX($U$1005:$AC$1005,1,MATCH(COLUMNS($U$1006:AB1006),$U$1006:$AC$1006,0))&gt;=100000), " ",IF(INDEX($U$2:$AC$1001,MATCH(ROWS($N$2:N979),$N$2:$N$1001,0),MATCH(COLUMNS($U$1006:AB1006),$U$1006:$AC$1006,0)), HYPERLINK("#",""), HYPERLINK(CONCATENATE("#metadata!", ADDRESS(INDEX($P$2:$P$1001,MATCH(ROWS($N$2:N979),$N$2:$N$1001,0),0), INDEX($U$1004:$AC$1004,1,MATCH(COLUMNS($U$1006:AB1006),$U$1006:$AC$1006,0)))),"Fix")))</f>
        <v>0</v>
      </c>
      <c r="J979" s="3">
        <f>IF(OR(INDEX($O$2:$O$1001,MATCH(ROWS($N$2:N979),$N$2:$N$1001,0),1)&gt;=100000,INDEX($U$1005:$AC$1005,1,MATCH(COLUMNS($U$1006:AC1006),$U$1006:$AC$1006,0))&gt;=100000), " ",IF(INDEX($U$2:$AC$1001,MATCH(ROWS($N$2:N979),$N$2:$N$1001,0),MATCH(COLUMNS($U$1006:AC1006),$U$1006:$AC$1006,0)), HYPERLINK("#",""), HYPERLINK(CONCATENATE("#metadata!", ADDRESS(INDEX($P$2:$P$1001,MATCH(ROWS($N$2:N979),$N$2:$N$1001,0),0), INDEX($U$1004:$AC$1004,1,MATCH(COLUMNS($U$1006:AC1006),$U$1006:$AC$1006,0)))),"Fix")))</f>
        <v>0</v>
      </c>
      <c r="N979">
        <v>0</v>
      </c>
      <c r="O979">
        <v>0</v>
      </c>
      <c r="P979">
        <v>0</v>
      </c>
      <c r="Q979">
        <f>IF(R979,TRUE,AND(U979:AC979))</f>
        <v>0</v>
      </c>
      <c r="R979">
        <f>COUNTBLANK(metadata!B979:J979)=COLUMNS(metadata!B979:J979)</f>
        <v>0</v>
      </c>
      <c r="S979">
        <v>0</v>
      </c>
      <c r="U979">
        <f>AND(IF(metadata!B979="",FALSE,TRUE),COUNTIF(metadata!B:B, metadata!B979) = 1,NOT(ISERROR(SUMPRODUCT(SEARCH(MID(metadata!B979,ROW(INDIRECT("1:"&amp;LEN(metadata!B979))), 1),"0123456789abcdefghijklmnopqrstuvwxyzABCDEFGHIJKLMNOPQRSTUVWXYZ.")))))</f>
        <v>0</v>
      </c>
      <c r="V979">
        <f>AND(IF(metadata!C979="",FALSE,TRUE),exact(metadata!C979,"UBERON:genitourinary"))</f>
        <v>0</v>
      </c>
      <c r="W979">
        <f>AND(IF(metadata!D979="",FALSE,TRUE),exact(metadata!D979,"UBERON:urine"))</f>
        <v>0</v>
      </c>
      <c r="X979">
        <f>AND(IF(metadata!E979="",FALSE,TRUE),exact(metadata!E979,"UBERON:kidney"))</f>
        <v>0</v>
      </c>
      <c r="Y979">
        <f>AND(IF(metadata!F979="",FALSE,TRUE),exact(metadata!F979,"animal corpus"))</f>
        <v>0</v>
      </c>
      <c r="Z979">
        <f>AND(IF(metadata!G979="",FALSE,TRUE),exact(metadata!G979,"urine"))</f>
        <v>0</v>
      </c>
      <c r="AA979">
        <f>AND(IF(metadata!H979="",FALSE,TRUE),exact(metadata!H979,"urine"))</f>
        <v>0</v>
      </c>
      <c r="AB979">
        <f>AND(IF(metadata!I979="",FALSE,TRUE),exact(metadata!I979,"urine metagenome"))</f>
        <v>0</v>
      </c>
      <c r="AC979">
        <f>AND(IF(metadata!J979="",FALSE,TRUE),exact(metadata!J979,"1346744"))</f>
        <v>0</v>
      </c>
    </row>
    <row r="980" spans="1:29">
      <c r="A980" s="4">
        <f>IF(B980=" "," ",HYPERLINK(CONCATENATE("#metadata!",ADDRESS(INDEX($P$2:$P$1001,MATCH(ROWS($N$2:N980),$N$2:$N$1001,0),0),1)),INDEX($S$2:$S$1001,MATCH(ROWS($N$2:N980),$N$2:$N$1001,0),0)))</f>
        <v>0</v>
      </c>
      <c r="B980" s="3">
        <f>IF(OR(INDEX($O$2:$O$1001,MATCH(ROWS($N$2:N980),$N$2:$N$1001,0),1)&gt;=100000,INDEX($U$1005:$AC$1005,1,MATCH(COLUMNS($U$1006:U1006),$U$1006:$AC$1006,0))&gt;=100000), " ",IF(INDEX($U$2:$AC$1001,MATCH(ROWS($N$2:N980),$N$2:$N$1001,0),MATCH(COLUMNS($U$1006:U1006),$U$1006:$AC$1006,0)), HYPERLINK("#",""), HYPERLINK(CONCATENATE("#metadata!", ADDRESS(INDEX($P$2:$P$1001,MATCH(ROWS($N$2:N980),$N$2:$N$1001,0),0), INDEX($U$1004:$AC$1004,1,MATCH(COLUMNS($U$1006:U1006),$U$1006:$AC$1006,0)))),"Fix")))</f>
        <v>0</v>
      </c>
      <c r="C980" s="3">
        <f>IF(OR(INDEX($O$2:$O$1001,MATCH(ROWS($N$2:N980),$N$2:$N$1001,0),1)&gt;=100000,INDEX($U$1005:$AC$1005,1,MATCH(COLUMNS($U$1006:V1006),$U$1006:$AC$1006,0))&gt;=100000), " ",IF(INDEX($U$2:$AC$1001,MATCH(ROWS($N$2:N980),$N$2:$N$1001,0),MATCH(COLUMNS($U$1006:V1006),$U$1006:$AC$1006,0)), HYPERLINK("#",""), HYPERLINK(CONCATENATE("#metadata!", ADDRESS(INDEX($P$2:$P$1001,MATCH(ROWS($N$2:N980),$N$2:$N$1001,0),0), INDEX($U$1004:$AC$1004,1,MATCH(COLUMNS($U$1006:V1006),$U$1006:$AC$1006,0)))),"Fix")))</f>
        <v>0</v>
      </c>
      <c r="D980" s="3">
        <f>IF(OR(INDEX($O$2:$O$1001,MATCH(ROWS($N$2:N980),$N$2:$N$1001,0),1)&gt;=100000,INDEX($U$1005:$AC$1005,1,MATCH(COLUMNS($U$1006:W1006),$U$1006:$AC$1006,0))&gt;=100000), " ",IF(INDEX($U$2:$AC$1001,MATCH(ROWS($N$2:N980),$N$2:$N$1001,0),MATCH(COLUMNS($U$1006:W1006),$U$1006:$AC$1006,0)), HYPERLINK("#",""), HYPERLINK(CONCATENATE("#metadata!", ADDRESS(INDEX($P$2:$P$1001,MATCH(ROWS($N$2:N980),$N$2:$N$1001,0),0), INDEX($U$1004:$AC$1004,1,MATCH(COLUMNS($U$1006:W1006),$U$1006:$AC$1006,0)))),"Fix")))</f>
        <v>0</v>
      </c>
      <c r="E980" s="3">
        <f>IF(OR(INDEX($O$2:$O$1001,MATCH(ROWS($N$2:N980),$N$2:$N$1001,0),1)&gt;=100000,INDEX($U$1005:$AC$1005,1,MATCH(COLUMNS($U$1006:X1006),$U$1006:$AC$1006,0))&gt;=100000), " ",IF(INDEX($U$2:$AC$1001,MATCH(ROWS($N$2:N980),$N$2:$N$1001,0),MATCH(COLUMNS($U$1006:X1006),$U$1006:$AC$1006,0)), HYPERLINK("#",""), HYPERLINK(CONCATENATE("#metadata!", ADDRESS(INDEX($P$2:$P$1001,MATCH(ROWS($N$2:N980),$N$2:$N$1001,0),0), INDEX($U$1004:$AC$1004,1,MATCH(COLUMNS($U$1006:X1006),$U$1006:$AC$1006,0)))),"Fix")))</f>
        <v>0</v>
      </c>
      <c r="F980" s="3">
        <f>IF(OR(INDEX($O$2:$O$1001,MATCH(ROWS($N$2:N980),$N$2:$N$1001,0),1)&gt;=100000,INDEX($U$1005:$AC$1005,1,MATCH(COLUMNS($U$1006:Y1006),$U$1006:$AC$1006,0))&gt;=100000), " ",IF(INDEX($U$2:$AC$1001,MATCH(ROWS($N$2:N980),$N$2:$N$1001,0),MATCH(COLUMNS($U$1006:Y1006),$U$1006:$AC$1006,0)), HYPERLINK("#",""), HYPERLINK(CONCATENATE("#metadata!", ADDRESS(INDEX($P$2:$P$1001,MATCH(ROWS($N$2:N980),$N$2:$N$1001,0),0), INDEX($U$1004:$AC$1004,1,MATCH(COLUMNS($U$1006:Y1006),$U$1006:$AC$1006,0)))),"Fix")))</f>
        <v>0</v>
      </c>
      <c r="G980" s="3">
        <f>IF(OR(INDEX($O$2:$O$1001,MATCH(ROWS($N$2:N980),$N$2:$N$1001,0),1)&gt;=100000,INDEX($U$1005:$AC$1005,1,MATCH(COLUMNS($U$1006:Z1006),$U$1006:$AC$1006,0))&gt;=100000), " ",IF(INDEX($U$2:$AC$1001,MATCH(ROWS($N$2:N980),$N$2:$N$1001,0),MATCH(COLUMNS($U$1006:Z1006),$U$1006:$AC$1006,0)), HYPERLINK("#",""), HYPERLINK(CONCATENATE("#metadata!", ADDRESS(INDEX($P$2:$P$1001,MATCH(ROWS($N$2:N980),$N$2:$N$1001,0),0), INDEX($U$1004:$AC$1004,1,MATCH(COLUMNS($U$1006:Z1006),$U$1006:$AC$1006,0)))),"Fix")))</f>
        <v>0</v>
      </c>
      <c r="H980" s="3">
        <f>IF(OR(INDEX($O$2:$O$1001,MATCH(ROWS($N$2:N980),$N$2:$N$1001,0),1)&gt;=100000,INDEX($U$1005:$AC$1005,1,MATCH(COLUMNS($U$1006:AA1006),$U$1006:$AC$1006,0))&gt;=100000), " ",IF(INDEX($U$2:$AC$1001,MATCH(ROWS($N$2:N980),$N$2:$N$1001,0),MATCH(COLUMNS($U$1006:AA1006),$U$1006:$AC$1006,0)), HYPERLINK("#",""), HYPERLINK(CONCATENATE("#metadata!", ADDRESS(INDEX($P$2:$P$1001,MATCH(ROWS($N$2:N980),$N$2:$N$1001,0),0), INDEX($U$1004:$AC$1004,1,MATCH(COLUMNS($U$1006:AA1006),$U$1006:$AC$1006,0)))),"Fix")))</f>
        <v>0</v>
      </c>
      <c r="I980" s="3">
        <f>IF(OR(INDEX($O$2:$O$1001,MATCH(ROWS($N$2:N980),$N$2:$N$1001,0),1)&gt;=100000,INDEX($U$1005:$AC$1005,1,MATCH(COLUMNS($U$1006:AB1006),$U$1006:$AC$1006,0))&gt;=100000), " ",IF(INDEX($U$2:$AC$1001,MATCH(ROWS($N$2:N980),$N$2:$N$1001,0),MATCH(COLUMNS($U$1006:AB1006),$U$1006:$AC$1006,0)), HYPERLINK("#",""), HYPERLINK(CONCATENATE("#metadata!", ADDRESS(INDEX($P$2:$P$1001,MATCH(ROWS($N$2:N980),$N$2:$N$1001,0),0), INDEX($U$1004:$AC$1004,1,MATCH(COLUMNS($U$1006:AB1006),$U$1006:$AC$1006,0)))),"Fix")))</f>
        <v>0</v>
      </c>
      <c r="J980" s="3">
        <f>IF(OR(INDEX($O$2:$O$1001,MATCH(ROWS($N$2:N980),$N$2:$N$1001,0),1)&gt;=100000,INDEX($U$1005:$AC$1005,1,MATCH(COLUMNS($U$1006:AC1006),$U$1006:$AC$1006,0))&gt;=100000), " ",IF(INDEX($U$2:$AC$1001,MATCH(ROWS($N$2:N980),$N$2:$N$1001,0),MATCH(COLUMNS($U$1006:AC1006),$U$1006:$AC$1006,0)), HYPERLINK("#",""), HYPERLINK(CONCATENATE("#metadata!", ADDRESS(INDEX($P$2:$P$1001,MATCH(ROWS($N$2:N980),$N$2:$N$1001,0),0), INDEX($U$1004:$AC$1004,1,MATCH(COLUMNS($U$1006:AC1006),$U$1006:$AC$1006,0)))),"Fix")))</f>
        <v>0</v>
      </c>
      <c r="N980">
        <v>0</v>
      </c>
      <c r="O980">
        <v>0</v>
      </c>
      <c r="P980">
        <v>0</v>
      </c>
      <c r="Q980">
        <f>IF(R980,TRUE,AND(U980:AC980))</f>
        <v>0</v>
      </c>
      <c r="R980">
        <f>COUNTBLANK(metadata!B980:J980)=COLUMNS(metadata!B980:J980)</f>
        <v>0</v>
      </c>
      <c r="S980">
        <v>0</v>
      </c>
      <c r="U980">
        <f>AND(IF(metadata!B980="",FALSE,TRUE),COUNTIF(metadata!B:B, metadata!B980) = 1,NOT(ISERROR(SUMPRODUCT(SEARCH(MID(metadata!B980,ROW(INDIRECT("1:"&amp;LEN(metadata!B980))), 1),"0123456789abcdefghijklmnopqrstuvwxyzABCDEFGHIJKLMNOPQRSTUVWXYZ.")))))</f>
        <v>0</v>
      </c>
      <c r="V980">
        <f>AND(IF(metadata!C980="",FALSE,TRUE),exact(metadata!C980,"UBERON:genitourinary"))</f>
        <v>0</v>
      </c>
      <c r="W980">
        <f>AND(IF(metadata!D980="",FALSE,TRUE),exact(metadata!D980,"UBERON:urine"))</f>
        <v>0</v>
      </c>
      <c r="X980">
        <f>AND(IF(metadata!E980="",FALSE,TRUE),exact(metadata!E980,"UBERON:kidney"))</f>
        <v>0</v>
      </c>
      <c r="Y980">
        <f>AND(IF(metadata!F980="",FALSE,TRUE),exact(metadata!F980,"animal corpus"))</f>
        <v>0</v>
      </c>
      <c r="Z980">
        <f>AND(IF(metadata!G980="",FALSE,TRUE),exact(metadata!G980,"urine"))</f>
        <v>0</v>
      </c>
      <c r="AA980">
        <f>AND(IF(metadata!H980="",FALSE,TRUE),exact(metadata!H980,"urine"))</f>
        <v>0</v>
      </c>
      <c r="AB980">
        <f>AND(IF(metadata!I980="",FALSE,TRUE),exact(metadata!I980,"urine metagenome"))</f>
        <v>0</v>
      </c>
      <c r="AC980">
        <f>AND(IF(metadata!J980="",FALSE,TRUE),exact(metadata!J980,"1346744"))</f>
        <v>0</v>
      </c>
    </row>
    <row r="981" spans="1:29">
      <c r="A981" s="4">
        <f>IF(B981=" "," ",HYPERLINK(CONCATENATE("#metadata!",ADDRESS(INDEX($P$2:$P$1001,MATCH(ROWS($N$2:N981),$N$2:$N$1001,0),0),1)),INDEX($S$2:$S$1001,MATCH(ROWS($N$2:N981),$N$2:$N$1001,0),0)))</f>
        <v>0</v>
      </c>
      <c r="B981" s="3">
        <f>IF(OR(INDEX($O$2:$O$1001,MATCH(ROWS($N$2:N981),$N$2:$N$1001,0),1)&gt;=100000,INDEX($U$1005:$AC$1005,1,MATCH(COLUMNS($U$1006:U1006),$U$1006:$AC$1006,0))&gt;=100000), " ",IF(INDEX($U$2:$AC$1001,MATCH(ROWS($N$2:N981),$N$2:$N$1001,0),MATCH(COLUMNS($U$1006:U1006),$U$1006:$AC$1006,0)), HYPERLINK("#",""), HYPERLINK(CONCATENATE("#metadata!", ADDRESS(INDEX($P$2:$P$1001,MATCH(ROWS($N$2:N981),$N$2:$N$1001,0),0), INDEX($U$1004:$AC$1004,1,MATCH(COLUMNS($U$1006:U1006),$U$1006:$AC$1006,0)))),"Fix")))</f>
        <v>0</v>
      </c>
      <c r="C981" s="3">
        <f>IF(OR(INDEX($O$2:$O$1001,MATCH(ROWS($N$2:N981),$N$2:$N$1001,0),1)&gt;=100000,INDEX($U$1005:$AC$1005,1,MATCH(COLUMNS($U$1006:V1006),$U$1006:$AC$1006,0))&gt;=100000), " ",IF(INDEX($U$2:$AC$1001,MATCH(ROWS($N$2:N981),$N$2:$N$1001,0),MATCH(COLUMNS($U$1006:V1006),$U$1006:$AC$1006,0)), HYPERLINK("#",""), HYPERLINK(CONCATENATE("#metadata!", ADDRESS(INDEX($P$2:$P$1001,MATCH(ROWS($N$2:N981),$N$2:$N$1001,0),0), INDEX($U$1004:$AC$1004,1,MATCH(COLUMNS($U$1006:V1006),$U$1006:$AC$1006,0)))),"Fix")))</f>
        <v>0</v>
      </c>
      <c r="D981" s="3">
        <f>IF(OR(INDEX($O$2:$O$1001,MATCH(ROWS($N$2:N981),$N$2:$N$1001,0),1)&gt;=100000,INDEX($U$1005:$AC$1005,1,MATCH(COLUMNS($U$1006:W1006),$U$1006:$AC$1006,0))&gt;=100000), " ",IF(INDEX($U$2:$AC$1001,MATCH(ROWS($N$2:N981),$N$2:$N$1001,0),MATCH(COLUMNS($U$1006:W1006),$U$1006:$AC$1006,0)), HYPERLINK("#",""), HYPERLINK(CONCATENATE("#metadata!", ADDRESS(INDEX($P$2:$P$1001,MATCH(ROWS($N$2:N981),$N$2:$N$1001,0),0), INDEX($U$1004:$AC$1004,1,MATCH(COLUMNS($U$1006:W1006),$U$1006:$AC$1006,0)))),"Fix")))</f>
        <v>0</v>
      </c>
      <c r="E981" s="3">
        <f>IF(OR(INDEX($O$2:$O$1001,MATCH(ROWS($N$2:N981),$N$2:$N$1001,0),1)&gt;=100000,INDEX($U$1005:$AC$1005,1,MATCH(COLUMNS($U$1006:X1006),$U$1006:$AC$1006,0))&gt;=100000), " ",IF(INDEX($U$2:$AC$1001,MATCH(ROWS($N$2:N981),$N$2:$N$1001,0),MATCH(COLUMNS($U$1006:X1006),$U$1006:$AC$1006,0)), HYPERLINK("#",""), HYPERLINK(CONCATENATE("#metadata!", ADDRESS(INDEX($P$2:$P$1001,MATCH(ROWS($N$2:N981),$N$2:$N$1001,0),0), INDEX($U$1004:$AC$1004,1,MATCH(COLUMNS($U$1006:X1006),$U$1006:$AC$1006,0)))),"Fix")))</f>
        <v>0</v>
      </c>
      <c r="F981" s="3">
        <f>IF(OR(INDEX($O$2:$O$1001,MATCH(ROWS($N$2:N981),$N$2:$N$1001,0),1)&gt;=100000,INDEX($U$1005:$AC$1005,1,MATCH(COLUMNS($U$1006:Y1006),$U$1006:$AC$1006,0))&gt;=100000), " ",IF(INDEX($U$2:$AC$1001,MATCH(ROWS($N$2:N981),$N$2:$N$1001,0),MATCH(COLUMNS($U$1006:Y1006),$U$1006:$AC$1006,0)), HYPERLINK("#",""), HYPERLINK(CONCATENATE("#metadata!", ADDRESS(INDEX($P$2:$P$1001,MATCH(ROWS($N$2:N981),$N$2:$N$1001,0),0), INDEX($U$1004:$AC$1004,1,MATCH(COLUMNS($U$1006:Y1006),$U$1006:$AC$1006,0)))),"Fix")))</f>
        <v>0</v>
      </c>
      <c r="G981" s="3">
        <f>IF(OR(INDEX($O$2:$O$1001,MATCH(ROWS($N$2:N981),$N$2:$N$1001,0),1)&gt;=100000,INDEX($U$1005:$AC$1005,1,MATCH(COLUMNS($U$1006:Z1006),$U$1006:$AC$1006,0))&gt;=100000), " ",IF(INDEX($U$2:$AC$1001,MATCH(ROWS($N$2:N981),$N$2:$N$1001,0),MATCH(COLUMNS($U$1006:Z1006),$U$1006:$AC$1006,0)), HYPERLINK("#",""), HYPERLINK(CONCATENATE("#metadata!", ADDRESS(INDEX($P$2:$P$1001,MATCH(ROWS($N$2:N981),$N$2:$N$1001,0),0), INDEX($U$1004:$AC$1004,1,MATCH(COLUMNS($U$1006:Z1006),$U$1006:$AC$1006,0)))),"Fix")))</f>
        <v>0</v>
      </c>
      <c r="H981" s="3">
        <f>IF(OR(INDEX($O$2:$O$1001,MATCH(ROWS($N$2:N981),$N$2:$N$1001,0),1)&gt;=100000,INDEX($U$1005:$AC$1005,1,MATCH(COLUMNS($U$1006:AA1006),$U$1006:$AC$1006,0))&gt;=100000), " ",IF(INDEX($U$2:$AC$1001,MATCH(ROWS($N$2:N981),$N$2:$N$1001,0),MATCH(COLUMNS($U$1006:AA1006),$U$1006:$AC$1006,0)), HYPERLINK("#",""), HYPERLINK(CONCATENATE("#metadata!", ADDRESS(INDEX($P$2:$P$1001,MATCH(ROWS($N$2:N981),$N$2:$N$1001,0),0), INDEX($U$1004:$AC$1004,1,MATCH(COLUMNS($U$1006:AA1006),$U$1006:$AC$1006,0)))),"Fix")))</f>
        <v>0</v>
      </c>
      <c r="I981" s="3">
        <f>IF(OR(INDEX($O$2:$O$1001,MATCH(ROWS($N$2:N981),$N$2:$N$1001,0),1)&gt;=100000,INDEX($U$1005:$AC$1005,1,MATCH(COLUMNS($U$1006:AB1006),$U$1006:$AC$1006,0))&gt;=100000), " ",IF(INDEX($U$2:$AC$1001,MATCH(ROWS($N$2:N981),$N$2:$N$1001,0),MATCH(COLUMNS($U$1006:AB1006),$U$1006:$AC$1006,0)), HYPERLINK("#",""), HYPERLINK(CONCATENATE("#metadata!", ADDRESS(INDEX($P$2:$P$1001,MATCH(ROWS($N$2:N981),$N$2:$N$1001,0),0), INDEX($U$1004:$AC$1004,1,MATCH(COLUMNS($U$1006:AB1006),$U$1006:$AC$1006,0)))),"Fix")))</f>
        <v>0</v>
      </c>
      <c r="J981" s="3">
        <f>IF(OR(INDEX($O$2:$O$1001,MATCH(ROWS($N$2:N981),$N$2:$N$1001,0),1)&gt;=100000,INDEX($U$1005:$AC$1005,1,MATCH(COLUMNS($U$1006:AC1006),$U$1006:$AC$1006,0))&gt;=100000), " ",IF(INDEX($U$2:$AC$1001,MATCH(ROWS($N$2:N981),$N$2:$N$1001,0),MATCH(COLUMNS($U$1006:AC1006),$U$1006:$AC$1006,0)), HYPERLINK("#",""), HYPERLINK(CONCATENATE("#metadata!", ADDRESS(INDEX($P$2:$P$1001,MATCH(ROWS($N$2:N981),$N$2:$N$1001,0),0), INDEX($U$1004:$AC$1004,1,MATCH(COLUMNS($U$1006:AC1006),$U$1006:$AC$1006,0)))),"Fix")))</f>
        <v>0</v>
      </c>
      <c r="N981">
        <v>0</v>
      </c>
      <c r="O981">
        <v>0</v>
      </c>
      <c r="P981">
        <v>0</v>
      </c>
      <c r="Q981">
        <f>IF(R981,TRUE,AND(U981:AC981))</f>
        <v>0</v>
      </c>
      <c r="R981">
        <f>COUNTBLANK(metadata!B981:J981)=COLUMNS(metadata!B981:J981)</f>
        <v>0</v>
      </c>
      <c r="S981">
        <v>0</v>
      </c>
      <c r="U981">
        <f>AND(IF(metadata!B981="",FALSE,TRUE),COUNTIF(metadata!B:B, metadata!B981) = 1,NOT(ISERROR(SUMPRODUCT(SEARCH(MID(metadata!B981,ROW(INDIRECT("1:"&amp;LEN(metadata!B981))), 1),"0123456789abcdefghijklmnopqrstuvwxyzABCDEFGHIJKLMNOPQRSTUVWXYZ.")))))</f>
        <v>0</v>
      </c>
      <c r="V981">
        <f>AND(IF(metadata!C981="",FALSE,TRUE),exact(metadata!C981,"UBERON:genitourinary"))</f>
        <v>0</v>
      </c>
      <c r="W981">
        <f>AND(IF(metadata!D981="",FALSE,TRUE),exact(metadata!D981,"UBERON:urine"))</f>
        <v>0</v>
      </c>
      <c r="X981">
        <f>AND(IF(metadata!E981="",FALSE,TRUE),exact(metadata!E981,"UBERON:kidney"))</f>
        <v>0</v>
      </c>
      <c r="Y981">
        <f>AND(IF(metadata!F981="",FALSE,TRUE),exact(metadata!F981,"animal corpus"))</f>
        <v>0</v>
      </c>
      <c r="Z981">
        <f>AND(IF(metadata!G981="",FALSE,TRUE),exact(metadata!G981,"urine"))</f>
        <v>0</v>
      </c>
      <c r="AA981">
        <f>AND(IF(metadata!H981="",FALSE,TRUE),exact(metadata!H981,"urine"))</f>
        <v>0</v>
      </c>
      <c r="AB981">
        <f>AND(IF(metadata!I981="",FALSE,TRUE),exact(metadata!I981,"urine metagenome"))</f>
        <v>0</v>
      </c>
      <c r="AC981">
        <f>AND(IF(metadata!J981="",FALSE,TRUE),exact(metadata!J981,"1346744"))</f>
        <v>0</v>
      </c>
    </row>
    <row r="982" spans="1:29">
      <c r="A982" s="4">
        <f>IF(B982=" "," ",HYPERLINK(CONCATENATE("#metadata!",ADDRESS(INDEX($P$2:$P$1001,MATCH(ROWS($N$2:N982),$N$2:$N$1001,0),0),1)),INDEX($S$2:$S$1001,MATCH(ROWS($N$2:N982),$N$2:$N$1001,0),0)))</f>
        <v>0</v>
      </c>
      <c r="B982" s="3">
        <f>IF(OR(INDEX($O$2:$O$1001,MATCH(ROWS($N$2:N982),$N$2:$N$1001,0),1)&gt;=100000,INDEX($U$1005:$AC$1005,1,MATCH(COLUMNS($U$1006:U1006),$U$1006:$AC$1006,0))&gt;=100000), " ",IF(INDEX($U$2:$AC$1001,MATCH(ROWS($N$2:N982),$N$2:$N$1001,0),MATCH(COLUMNS($U$1006:U1006),$U$1006:$AC$1006,0)), HYPERLINK("#",""), HYPERLINK(CONCATENATE("#metadata!", ADDRESS(INDEX($P$2:$P$1001,MATCH(ROWS($N$2:N982),$N$2:$N$1001,0),0), INDEX($U$1004:$AC$1004,1,MATCH(COLUMNS($U$1006:U1006),$U$1006:$AC$1006,0)))),"Fix")))</f>
        <v>0</v>
      </c>
      <c r="C982" s="3">
        <f>IF(OR(INDEX($O$2:$O$1001,MATCH(ROWS($N$2:N982),$N$2:$N$1001,0),1)&gt;=100000,INDEX($U$1005:$AC$1005,1,MATCH(COLUMNS($U$1006:V1006),$U$1006:$AC$1006,0))&gt;=100000), " ",IF(INDEX($U$2:$AC$1001,MATCH(ROWS($N$2:N982),$N$2:$N$1001,0),MATCH(COLUMNS($U$1006:V1006),$U$1006:$AC$1006,0)), HYPERLINK("#",""), HYPERLINK(CONCATENATE("#metadata!", ADDRESS(INDEX($P$2:$P$1001,MATCH(ROWS($N$2:N982),$N$2:$N$1001,0),0), INDEX($U$1004:$AC$1004,1,MATCH(COLUMNS($U$1006:V1006),$U$1006:$AC$1006,0)))),"Fix")))</f>
        <v>0</v>
      </c>
      <c r="D982" s="3">
        <f>IF(OR(INDEX($O$2:$O$1001,MATCH(ROWS($N$2:N982),$N$2:$N$1001,0),1)&gt;=100000,INDEX($U$1005:$AC$1005,1,MATCH(COLUMNS($U$1006:W1006),$U$1006:$AC$1006,0))&gt;=100000), " ",IF(INDEX($U$2:$AC$1001,MATCH(ROWS($N$2:N982),$N$2:$N$1001,0),MATCH(COLUMNS($U$1006:W1006),$U$1006:$AC$1006,0)), HYPERLINK("#",""), HYPERLINK(CONCATENATE("#metadata!", ADDRESS(INDEX($P$2:$P$1001,MATCH(ROWS($N$2:N982),$N$2:$N$1001,0),0), INDEX($U$1004:$AC$1004,1,MATCH(COLUMNS($U$1006:W1006),$U$1006:$AC$1006,0)))),"Fix")))</f>
        <v>0</v>
      </c>
      <c r="E982" s="3">
        <f>IF(OR(INDEX($O$2:$O$1001,MATCH(ROWS($N$2:N982),$N$2:$N$1001,0),1)&gt;=100000,INDEX($U$1005:$AC$1005,1,MATCH(COLUMNS($U$1006:X1006),$U$1006:$AC$1006,0))&gt;=100000), " ",IF(INDEX($U$2:$AC$1001,MATCH(ROWS($N$2:N982),$N$2:$N$1001,0),MATCH(COLUMNS($U$1006:X1006),$U$1006:$AC$1006,0)), HYPERLINK("#",""), HYPERLINK(CONCATENATE("#metadata!", ADDRESS(INDEX($P$2:$P$1001,MATCH(ROWS($N$2:N982),$N$2:$N$1001,0),0), INDEX($U$1004:$AC$1004,1,MATCH(COLUMNS($U$1006:X1006),$U$1006:$AC$1006,0)))),"Fix")))</f>
        <v>0</v>
      </c>
      <c r="F982" s="3">
        <f>IF(OR(INDEX($O$2:$O$1001,MATCH(ROWS($N$2:N982),$N$2:$N$1001,0),1)&gt;=100000,INDEX($U$1005:$AC$1005,1,MATCH(COLUMNS($U$1006:Y1006),$U$1006:$AC$1006,0))&gt;=100000), " ",IF(INDEX($U$2:$AC$1001,MATCH(ROWS($N$2:N982),$N$2:$N$1001,0),MATCH(COLUMNS($U$1006:Y1006),$U$1006:$AC$1006,0)), HYPERLINK("#",""), HYPERLINK(CONCATENATE("#metadata!", ADDRESS(INDEX($P$2:$P$1001,MATCH(ROWS($N$2:N982),$N$2:$N$1001,0),0), INDEX($U$1004:$AC$1004,1,MATCH(COLUMNS($U$1006:Y1006),$U$1006:$AC$1006,0)))),"Fix")))</f>
        <v>0</v>
      </c>
      <c r="G982" s="3">
        <f>IF(OR(INDEX($O$2:$O$1001,MATCH(ROWS($N$2:N982),$N$2:$N$1001,0),1)&gt;=100000,INDEX($U$1005:$AC$1005,1,MATCH(COLUMNS($U$1006:Z1006),$U$1006:$AC$1006,0))&gt;=100000), " ",IF(INDEX($U$2:$AC$1001,MATCH(ROWS($N$2:N982),$N$2:$N$1001,0),MATCH(COLUMNS($U$1006:Z1006),$U$1006:$AC$1006,0)), HYPERLINK("#",""), HYPERLINK(CONCATENATE("#metadata!", ADDRESS(INDEX($P$2:$P$1001,MATCH(ROWS($N$2:N982),$N$2:$N$1001,0),0), INDEX($U$1004:$AC$1004,1,MATCH(COLUMNS($U$1006:Z1006),$U$1006:$AC$1006,0)))),"Fix")))</f>
        <v>0</v>
      </c>
      <c r="H982" s="3">
        <f>IF(OR(INDEX($O$2:$O$1001,MATCH(ROWS($N$2:N982),$N$2:$N$1001,0),1)&gt;=100000,INDEX($U$1005:$AC$1005,1,MATCH(COLUMNS($U$1006:AA1006),$U$1006:$AC$1006,0))&gt;=100000), " ",IF(INDEX($U$2:$AC$1001,MATCH(ROWS($N$2:N982),$N$2:$N$1001,0),MATCH(COLUMNS($U$1006:AA1006),$U$1006:$AC$1006,0)), HYPERLINK("#",""), HYPERLINK(CONCATENATE("#metadata!", ADDRESS(INDEX($P$2:$P$1001,MATCH(ROWS($N$2:N982),$N$2:$N$1001,0),0), INDEX($U$1004:$AC$1004,1,MATCH(COLUMNS($U$1006:AA1006),$U$1006:$AC$1006,0)))),"Fix")))</f>
        <v>0</v>
      </c>
      <c r="I982" s="3">
        <f>IF(OR(INDEX($O$2:$O$1001,MATCH(ROWS($N$2:N982),$N$2:$N$1001,0),1)&gt;=100000,INDEX($U$1005:$AC$1005,1,MATCH(COLUMNS($U$1006:AB1006),$U$1006:$AC$1006,0))&gt;=100000), " ",IF(INDEX($U$2:$AC$1001,MATCH(ROWS($N$2:N982),$N$2:$N$1001,0),MATCH(COLUMNS($U$1006:AB1006),$U$1006:$AC$1006,0)), HYPERLINK("#",""), HYPERLINK(CONCATENATE("#metadata!", ADDRESS(INDEX($P$2:$P$1001,MATCH(ROWS($N$2:N982),$N$2:$N$1001,0),0), INDEX($U$1004:$AC$1004,1,MATCH(COLUMNS($U$1006:AB1006),$U$1006:$AC$1006,0)))),"Fix")))</f>
        <v>0</v>
      </c>
      <c r="J982" s="3">
        <f>IF(OR(INDEX($O$2:$O$1001,MATCH(ROWS($N$2:N982),$N$2:$N$1001,0),1)&gt;=100000,INDEX($U$1005:$AC$1005,1,MATCH(COLUMNS($U$1006:AC1006),$U$1006:$AC$1006,0))&gt;=100000), " ",IF(INDEX($U$2:$AC$1001,MATCH(ROWS($N$2:N982),$N$2:$N$1001,0),MATCH(COLUMNS($U$1006:AC1006),$U$1006:$AC$1006,0)), HYPERLINK("#",""), HYPERLINK(CONCATENATE("#metadata!", ADDRESS(INDEX($P$2:$P$1001,MATCH(ROWS($N$2:N982),$N$2:$N$1001,0),0), INDEX($U$1004:$AC$1004,1,MATCH(COLUMNS($U$1006:AC1006),$U$1006:$AC$1006,0)))),"Fix")))</f>
        <v>0</v>
      </c>
      <c r="N982">
        <v>0</v>
      </c>
      <c r="O982">
        <v>0</v>
      </c>
      <c r="P982">
        <v>0</v>
      </c>
      <c r="Q982">
        <f>IF(R982,TRUE,AND(U982:AC982))</f>
        <v>0</v>
      </c>
      <c r="R982">
        <f>COUNTBLANK(metadata!B982:J982)=COLUMNS(metadata!B982:J982)</f>
        <v>0</v>
      </c>
      <c r="S982">
        <v>0</v>
      </c>
      <c r="U982">
        <f>AND(IF(metadata!B982="",FALSE,TRUE),COUNTIF(metadata!B:B, metadata!B982) = 1,NOT(ISERROR(SUMPRODUCT(SEARCH(MID(metadata!B982,ROW(INDIRECT("1:"&amp;LEN(metadata!B982))), 1),"0123456789abcdefghijklmnopqrstuvwxyzABCDEFGHIJKLMNOPQRSTUVWXYZ.")))))</f>
        <v>0</v>
      </c>
      <c r="V982">
        <f>AND(IF(metadata!C982="",FALSE,TRUE),exact(metadata!C982,"UBERON:genitourinary"))</f>
        <v>0</v>
      </c>
      <c r="W982">
        <f>AND(IF(metadata!D982="",FALSE,TRUE),exact(metadata!D982,"UBERON:urine"))</f>
        <v>0</v>
      </c>
      <c r="X982">
        <f>AND(IF(metadata!E982="",FALSE,TRUE),exact(metadata!E982,"UBERON:kidney"))</f>
        <v>0</v>
      </c>
      <c r="Y982">
        <f>AND(IF(metadata!F982="",FALSE,TRUE),exact(metadata!F982,"animal corpus"))</f>
        <v>0</v>
      </c>
      <c r="Z982">
        <f>AND(IF(metadata!G982="",FALSE,TRUE),exact(metadata!G982,"urine"))</f>
        <v>0</v>
      </c>
      <c r="AA982">
        <f>AND(IF(metadata!H982="",FALSE,TRUE),exact(metadata!H982,"urine"))</f>
        <v>0</v>
      </c>
      <c r="AB982">
        <f>AND(IF(metadata!I982="",FALSE,TRUE),exact(metadata!I982,"urine metagenome"))</f>
        <v>0</v>
      </c>
      <c r="AC982">
        <f>AND(IF(metadata!J982="",FALSE,TRUE),exact(metadata!J982,"1346744"))</f>
        <v>0</v>
      </c>
    </row>
    <row r="983" spans="1:29">
      <c r="A983" s="4">
        <f>IF(B983=" "," ",HYPERLINK(CONCATENATE("#metadata!",ADDRESS(INDEX($P$2:$P$1001,MATCH(ROWS($N$2:N983),$N$2:$N$1001,0),0),1)),INDEX($S$2:$S$1001,MATCH(ROWS($N$2:N983),$N$2:$N$1001,0),0)))</f>
        <v>0</v>
      </c>
      <c r="B983" s="3">
        <f>IF(OR(INDEX($O$2:$O$1001,MATCH(ROWS($N$2:N983),$N$2:$N$1001,0),1)&gt;=100000,INDEX($U$1005:$AC$1005,1,MATCH(COLUMNS($U$1006:U1006),$U$1006:$AC$1006,0))&gt;=100000), " ",IF(INDEX($U$2:$AC$1001,MATCH(ROWS($N$2:N983),$N$2:$N$1001,0),MATCH(COLUMNS($U$1006:U1006),$U$1006:$AC$1006,0)), HYPERLINK("#",""), HYPERLINK(CONCATENATE("#metadata!", ADDRESS(INDEX($P$2:$P$1001,MATCH(ROWS($N$2:N983),$N$2:$N$1001,0),0), INDEX($U$1004:$AC$1004,1,MATCH(COLUMNS($U$1006:U1006),$U$1006:$AC$1006,0)))),"Fix")))</f>
        <v>0</v>
      </c>
      <c r="C983" s="3">
        <f>IF(OR(INDEX($O$2:$O$1001,MATCH(ROWS($N$2:N983),$N$2:$N$1001,0),1)&gt;=100000,INDEX($U$1005:$AC$1005,1,MATCH(COLUMNS($U$1006:V1006),$U$1006:$AC$1006,0))&gt;=100000), " ",IF(INDEX($U$2:$AC$1001,MATCH(ROWS($N$2:N983),$N$2:$N$1001,0),MATCH(COLUMNS($U$1006:V1006),$U$1006:$AC$1006,0)), HYPERLINK("#",""), HYPERLINK(CONCATENATE("#metadata!", ADDRESS(INDEX($P$2:$P$1001,MATCH(ROWS($N$2:N983),$N$2:$N$1001,0),0), INDEX($U$1004:$AC$1004,1,MATCH(COLUMNS($U$1006:V1006),$U$1006:$AC$1006,0)))),"Fix")))</f>
        <v>0</v>
      </c>
      <c r="D983" s="3">
        <f>IF(OR(INDEX($O$2:$O$1001,MATCH(ROWS($N$2:N983),$N$2:$N$1001,0),1)&gt;=100000,INDEX($U$1005:$AC$1005,1,MATCH(COLUMNS($U$1006:W1006),$U$1006:$AC$1006,0))&gt;=100000), " ",IF(INDEX($U$2:$AC$1001,MATCH(ROWS($N$2:N983),$N$2:$N$1001,0),MATCH(COLUMNS($U$1006:W1006),$U$1006:$AC$1006,0)), HYPERLINK("#",""), HYPERLINK(CONCATENATE("#metadata!", ADDRESS(INDEX($P$2:$P$1001,MATCH(ROWS($N$2:N983),$N$2:$N$1001,0),0), INDEX($U$1004:$AC$1004,1,MATCH(COLUMNS($U$1006:W1006),$U$1006:$AC$1006,0)))),"Fix")))</f>
        <v>0</v>
      </c>
      <c r="E983" s="3">
        <f>IF(OR(INDEX($O$2:$O$1001,MATCH(ROWS($N$2:N983),$N$2:$N$1001,0),1)&gt;=100000,INDEX($U$1005:$AC$1005,1,MATCH(COLUMNS($U$1006:X1006),$U$1006:$AC$1006,0))&gt;=100000), " ",IF(INDEX($U$2:$AC$1001,MATCH(ROWS($N$2:N983),$N$2:$N$1001,0),MATCH(COLUMNS($U$1006:X1006),$U$1006:$AC$1006,0)), HYPERLINK("#",""), HYPERLINK(CONCATENATE("#metadata!", ADDRESS(INDEX($P$2:$P$1001,MATCH(ROWS($N$2:N983),$N$2:$N$1001,0),0), INDEX($U$1004:$AC$1004,1,MATCH(COLUMNS($U$1006:X1006),$U$1006:$AC$1006,0)))),"Fix")))</f>
        <v>0</v>
      </c>
      <c r="F983" s="3">
        <f>IF(OR(INDEX($O$2:$O$1001,MATCH(ROWS($N$2:N983),$N$2:$N$1001,0),1)&gt;=100000,INDEX($U$1005:$AC$1005,1,MATCH(COLUMNS($U$1006:Y1006),$U$1006:$AC$1006,0))&gt;=100000), " ",IF(INDEX($U$2:$AC$1001,MATCH(ROWS($N$2:N983),$N$2:$N$1001,0),MATCH(COLUMNS($U$1006:Y1006),$U$1006:$AC$1006,0)), HYPERLINK("#",""), HYPERLINK(CONCATENATE("#metadata!", ADDRESS(INDEX($P$2:$P$1001,MATCH(ROWS($N$2:N983),$N$2:$N$1001,0),0), INDEX($U$1004:$AC$1004,1,MATCH(COLUMNS($U$1006:Y1006),$U$1006:$AC$1006,0)))),"Fix")))</f>
        <v>0</v>
      </c>
      <c r="G983" s="3">
        <f>IF(OR(INDEX($O$2:$O$1001,MATCH(ROWS($N$2:N983),$N$2:$N$1001,0),1)&gt;=100000,INDEX($U$1005:$AC$1005,1,MATCH(COLUMNS($U$1006:Z1006),$U$1006:$AC$1006,0))&gt;=100000), " ",IF(INDEX($U$2:$AC$1001,MATCH(ROWS($N$2:N983),$N$2:$N$1001,0),MATCH(COLUMNS($U$1006:Z1006),$U$1006:$AC$1006,0)), HYPERLINK("#",""), HYPERLINK(CONCATENATE("#metadata!", ADDRESS(INDEX($P$2:$P$1001,MATCH(ROWS($N$2:N983),$N$2:$N$1001,0),0), INDEX($U$1004:$AC$1004,1,MATCH(COLUMNS($U$1006:Z1006),$U$1006:$AC$1006,0)))),"Fix")))</f>
        <v>0</v>
      </c>
      <c r="H983" s="3">
        <f>IF(OR(INDEX($O$2:$O$1001,MATCH(ROWS($N$2:N983),$N$2:$N$1001,0),1)&gt;=100000,INDEX($U$1005:$AC$1005,1,MATCH(COLUMNS($U$1006:AA1006),$U$1006:$AC$1006,0))&gt;=100000), " ",IF(INDEX($U$2:$AC$1001,MATCH(ROWS($N$2:N983),$N$2:$N$1001,0),MATCH(COLUMNS($U$1006:AA1006),$U$1006:$AC$1006,0)), HYPERLINK("#",""), HYPERLINK(CONCATENATE("#metadata!", ADDRESS(INDEX($P$2:$P$1001,MATCH(ROWS($N$2:N983),$N$2:$N$1001,0),0), INDEX($U$1004:$AC$1004,1,MATCH(COLUMNS($U$1006:AA1006),$U$1006:$AC$1006,0)))),"Fix")))</f>
        <v>0</v>
      </c>
      <c r="I983" s="3">
        <f>IF(OR(INDEX($O$2:$O$1001,MATCH(ROWS($N$2:N983),$N$2:$N$1001,0),1)&gt;=100000,INDEX($U$1005:$AC$1005,1,MATCH(COLUMNS($U$1006:AB1006),$U$1006:$AC$1006,0))&gt;=100000), " ",IF(INDEX($U$2:$AC$1001,MATCH(ROWS($N$2:N983),$N$2:$N$1001,0),MATCH(COLUMNS($U$1006:AB1006),$U$1006:$AC$1006,0)), HYPERLINK("#",""), HYPERLINK(CONCATENATE("#metadata!", ADDRESS(INDEX($P$2:$P$1001,MATCH(ROWS($N$2:N983),$N$2:$N$1001,0),0), INDEX($U$1004:$AC$1004,1,MATCH(COLUMNS($U$1006:AB1006),$U$1006:$AC$1006,0)))),"Fix")))</f>
        <v>0</v>
      </c>
      <c r="J983" s="3">
        <f>IF(OR(INDEX($O$2:$O$1001,MATCH(ROWS($N$2:N983),$N$2:$N$1001,0),1)&gt;=100000,INDEX($U$1005:$AC$1005,1,MATCH(COLUMNS($U$1006:AC1006),$U$1006:$AC$1006,0))&gt;=100000), " ",IF(INDEX($U$2:$AC$1001,MATCH(ROWS($N$2:N983),$N$2:$N$1001,0),MATCH(COLUMNS($U$1006:AC1006),$U$1006:$AC$1006,0)), HYPERLINK("#",""), HYPERLINK(CONCATENATE("#metadata!", ADDRESS(INDEX($P$2:$P$1001,MATCH(ROWS($N$2:N983),$N$2:$N$1001,0),0), INDEX($U$1004:$AC$1004,1,MATCH(COLUMNS($U$1006:AC1006),$U$1006:$AC$1006,0)))),"Fix")))</f>
        <v>0</v>
      </c>
      <c r="N983">
        <v>0</v>
      </c>
      <c r="O983">
        <v>0</v>
      </c>
      <c r="P983">
        <v>0</v>
      </c>
      <c r="Q983">
        <f>IF(R983,TRUE,AND(U983:AC983))</f>
        <v>0</v>
      </c>
      <c r="R983">
        <f>COUNTBLANK(metadata!B983:J983)=COLUMNS(metadata!B983:J983)</f>
        <v>0</v>
      </c>
      <c r="S983">
        <v>0</v>
      </c>
      <c r="U983">
        <f>AND(IF(metadata!B983="",FALSE,TRUE),COUNTIF(metadata!B:B, metadata!B983) = 1,NOT(ISERROR(SUMPRODUCT(SEARCH(MID(metadata!B983,ROW(INDIRECT("1:"&amp;LEN(metadata!B983))), 1),"0123456789abcdefghijklmnopqrstuvwxyzABCDEFGHIJKLMNOPQRSTUVWXYZ.")))))</f>
        <v>0</v>
      </c>
      <c r="V983">
        <f>AND(IF(metadata!C983="",FALSE,TRUE),exact(metadata!C983,"UBERON:genitourinary"))</f>
        <v>0</v>
      </c>
      <c r="W983">
        <f>AND(IF(metadata!D983="",FALSE,TRUE),exact(metadata!D983,"UBERON:urine"))</f>
        <v>0</v>
      </c>
      <c r="X983">
        <f>AND(IF(metadata!E983="",FALSE,TRUE),exact(metadata!E983,"UBERON:kidney"))</f>
        <v>0</v>
      </c>
      <c r="Y983">
        <f>AND(IF(metadata!F983="",FALSE,TRUE),exact(metadata!F983,"animal corpus"))</f>
        <v>0</v>
      </c>
      <c r="Z983">
        <f>AND(IF(metadata!G983="",FALSE,TRUE),exact(metadata!G983,"urine"))</f>
        <v>0</v>
      </c>
      <c r="AA983">
        <f>AND(IF(metadata!H983="",FALSE,TRUE),exact(metadata!H983,"urine"))</f>
        <v>0</v>
      </c>
      <c r="AB983">
        <f>AND(IF(metadata!I983="",FALSE,TRUE),exact(metadata!I983,"urine metagenome"))</f>
        <v>0</v>
      </c>
      <c r="AC983">
        <f>AND(IF(metadata!J983="",FALSE,TRUE),exact(metadata!J983,"1346744"))</f>
        <v>0</v>
      </c>
    </row>
    <row r="984" spans="1:29">
      <c r="A984" s="4">
        <f>IF(B984=" "," ",HYPERLINK(CONCATENATE("#metadata!",ADDRESS(INDEX($P$2:$P$1001,MATCH(ROWS($N$2:N984),$N$2:$N$1001,0),0),1)),INDEX($S$2:$S$1001,MATCH(ROWS($N$2:N984),$N$2:$N$1001,0),0)))</f>
        <v>0</v>
      </c>
      <c r="B984" s="3">
        <f>IF(OR(INDEX($O$2:$O$1001,MATCH(ROWS($N$2:N984),$N$2:$N$1001,0),1)&gt;=100000,INDEX($U$1005:$AC$1005,1,MATCH(COLUMNS($U$1006:U1006),$U$1006:$AC$1006,0))&gt;=100000), " ",IF(INDEX($U$2:$AC$1001,MATCH(ROWS($N$2:N984),$N$2:$N$1001,0),MATCH(COLUMNS($U$1006:U1006),$U$1006:$AC$1006,0)), HYPERLINK("#",""), HYPERLINK(CONCATENATE("#metadata!", ADDRESS(INDEX($P$2:$P$1001,MATCH(ROWS($N$2:N984),$N$2:$N$1001,0),0), INDEX($U$1004:$AC$1004,1,MATCH(COLUMNS($U$1006:U1006),$U$1006:$AC$1006,0)))),"Fix")))</f>
        <v>0</v>
      </c>
      <c r="C984" s="3">
        <f>IF(OR(INDEX($O$2:$O$1001,MATCH(ROWS($N$2:N984),$N$2:$N$1001,0),1)&gt;=100000,INDEX($U$1005:$AC$1005,1,MATCH(COLUMNS($U$1006:V1006),$U$1006:$AC$1006,0))&gt;=100000), " ",IF(INDEX($U$2:$AC$1001,MATCH(ROWS($N$2:N984),$N$2:$N$1001,0),MATCH(COLUMNS($U$1006:V1006),$U$1006:$AC$1006,0)), HYPERLINK("#",""), HYPERLINK(CONCATENATE("#metadata!", ADDRESS(INDEX($P$2:$P$1001,MATCH(ROWS($N$2:N984),$N$2:$N$1001,0),0), INDEX($U$1004:$AC$1004,1,MATCH(COLUMNS($U$1006:V1006),$U$1006:$AC$1006,0)))),"Fix")))</f>
        <v>0</v>
      </c>
      <c r="D984" s="3">
        <f>IF(OR(INDEX($O$2:$O$1001,MATCH(ROWS($N$2:N984),$N$2:$N$1001,0),1)&gt;=100000,INDEX($U$1005:$AC$1005,1,MATCH(COLUMNS($U$1006:W1006),$U$1006:$AC$1006,0))&gt;=100000), " ",IF(INDEX($U$2:$AC$1001,MATCH(ROWS($N$2:N984),$N$2:$N$1001,0),MATCH(COLUMNS($U$1006:W1006),$U$1006:$AC$1006,0)), HYPERLINK("#",""), HYPERLINK(CONCATENATE("#metadata!", ADDRESS(INDEX($P$2:$P$1001,MATCH(ROWS($N$2:N984),$N$2:$N$1001,0),0), INDEX($U$1004:$AC$1004,1,MATCH(COLUMNS($U$1006:W1006),$U$1006:$AC$1006,0)))),"Fix")))</f>
        <v>0</v>
      </c>
      <c r="E984" s="3">
        <f>IF(OR(INDEX($O$2:$O$1001,MATCH(ROWS($N$2:N984),$N$2:$N$1001,0),1)&gt;=100000,INDEX($U$1005:$AC$1005,1,MATCH(COLUMNS($U$1006:X1006),$U$1006:$AC$1006,0))&gt;=100000), " ",IF(INDEX($U$2:$AC$1001,MATCH(ROWS($N$2:N984),$N$2:$N$1001,0),MATCH(COLUMNS($U$1006:X1006),$U$1006:$AC$1006,0)), HYPERLINK("#",""), HYPERLINK(CONCATENATE("#metadata!", ADDRESS(INDEX($P$2:$P$1001,MATCH(ROWS($N$2:N984),$N$2:$N$1001,0),0), INDEX($U$1004:$AC$1004,1,MATCH(COLUMNS($U$1006:X1006),$U$1006:$AC$1006,0)))),"Fix")))</f>
        <v>0</v>
      </c>
      <c r="F984" s="3">
        <f>IF(OR(INDEX($O$2:$O$1001,MATCH(ROWS($N$2:N984),$N$2:$N$1001,0),1)&gt;=100000,INDEX($U$1005:$AC$1005,1,MATCH(COLUMNS($U$1006:Y1006),$U$1006:$AC$1006,0))&gt;=100000), " ",IF(INDEX($U$2:$AC$1001,MATCH(ROWS($N$2:N984),$N$2:$N$1001,0),MATCH(COLUMNS($U$1006:Y1006),$U$1006:$AC$1006,0)), HYPERLINK("#",""), HYPERLINK(CONCATENATE("#metadata!", ADDRESS(INDEX($P$2:$P$1001,MATCH(ROWS($N$2:N984),$N$2:$N$1001,0),0), INDEX($U$1004:$AC$1004,1,MATCH(COLUMNS($U$1006:Y1006),$U$1006:$AC$1006,0)))),"Fix")))</f>
        <v>0</v>
      </c>
      <c r="G984" s="3">
        <f>IF(OR(INDEX($O$2:$O$1001,MATCH(ROWS($N$2:N984),$N$2:$N$1001,0),1)&gt;=100000,INDEX($U$1005:$AC$1005,1,MATCH(COLUMNS($U$1006:Z1006),$U$1006:$AC$1006,0))&gt;=100000), " ",IF(INDEX($U$2:$AC$1001,MATCH(ROWS($N$2:N984),$N$2:$N$1001,0),MATCH(COLUMNS($U$1006:Z1006),$U$1006:$AC$1006,0)), HYPERLINK("#",""), HYPERLINK(CONCATENATE("#metadata!", ADDRESS(INDEX($P$2:$P$1001,MATCH(ROWS($N$2:N984),$N$2:$N$1001,0),0), INDEX($U$1004:$AC$1004,1,MATCH(COLUMNS($U$1006:Z1006),$U$1006:$AC$1006,0)))),"Fix")))</f>
        <v>0</v>
      </c>
      <c r="H984" s="3">
        <f>IF(OR(INDEX($O$2:$O$1001,MATCH(ROWS($N$2:N984),$N$2:$N$1001,0),1)&gt;=100000,INDEX($U$1005:$AC$1005,1,MATCH(COLUMNS($U$1006:AA1006),$U$1006:$AC$1006,0))&gt;=100000), " ",IF(INDEX($U$2:$AC$1001,MATCH(ROWS($N$2:N984),$N$2:$N$1001,0),MATCH(COLUMNS($U$1006:AA1006),$U$1006:$AC$1006,0)), HYPERLINK("#",""), HYPERLINK(CONCATENATE("#metadata!", ADDRESS(INDEX($P$2:$P$1001,MATCH(ROWS($N$2:N984),$N$2:$N$1001,0),0), INDEX($U$1004:$AC$1004,1,MATCH(COLUMNS($U$1006:AA1006),$U$1006:$AC$1006,0)))),"Fix")))</f>
        <v>0</v>
      </c>
      <c r="I984" s="3">
        <f>IF(OR(INDEX($O$2:$O$1001,MATCH(ROWS($N$2:N984),$N$2:$N$1001,0),1)&gt;=100000,INDEX($U$1005:$AC$1005,1,MATCH(COLUMNS($U$1006:AB1006),$U$1006:$AC$1006,0))&gt;=100000), " ",IF(INDEX($U$2:$AC$1001,MATCH(ROWS($N$2:N984),$N$2:$N$1001,0),MATCH(COLUMNS($U$1006:AB1006),$U$1006:$AC$1006,0)), HYPERLINK("#",""), HYPERLINK(CONCATENATE("#metadata!", ADDRESS(INDEX($P$2:$P$1001,MATCH(ROWS($N$2:N984),$N$2:$N$1001,0),0), INDEX($U$1004:$AC$1004,1,MATCH(COLUMNS($U$1006:AB1006),$U$1006:$AC$1006,0)))),"Fix")))</f>
        <v>0</v>
      </c>
      <c r="J984" s="3">
        <f>IF(OR(INDEX($O$2:$O$1001,MATCH(ROWS($N$2:N984),$N$2:$N$1001,0),1)&gt;=100000,INDEX($U$1005:$AC$1005,1,MATCH(COLUMNS($U$1006:AC1006),$U$1006:$AC$1006,0))&gt;=100000), " ",IF(INDEX($U$2:$AC$1001,MATCH(ROWS($N$2:N984),$N$2:$N$1001,0),MATCH(COLUMNS($U$1006:AC1006),$U$1006:$AC$1006,0)), HYPERLINK("#",""), HYPERLINK(CONCATENATE("#metadata!", ADDRESS(INDEX($P$2:$P$1001,MATCH(ROWS($N$2:N984),$N$2:$N$1001,0),0), INDEX($U$1004:$AC$1004,1,MATCH(COLUMNS($U$1006:AC1006),$U$1006:$AC$1006,0)))),"Fix")))</f>
        <v>0</v>
      </c>
      <c r="N984">
        <v>0</v>
      </c>
      <c r="O984">
        <v>0</v>
      </c>
      <c r="P984">
        <v>0</v>
      </c>
      <c r="Q984">
        <f>IF(R984,TRUE,AND(U984:AC984))</f>
        <v>0</v>
      </c>
      <c r="R984">
        <f>COUNTBLANK(metadata!B984:J984)=COLUMNS(metadata!B984:J984)</f>
        <v>0</v>
      </c>
      <c r="S984">
        <v>0</v>
      </c>
      <c r="U984">
        <f>AND(IF(metadata!B984="",FALSE,TRUE),COUNTIF(metadata!B:B, metadata!B984) = 1,NOT(ISERROR(SUMPRODUCT(SEARCH(MID(metadata!B984,ROW(INDIRECT("1:"&amp;LEN(metadata!B984))), 1),"0123456789abcdefghijklmnopqrstuvwxyzABCDEFGHIJKLMNOPQRSTUVWXYZ.")))))</f>
        <v>0</v>
      </c>
      <c r="V984">
        <f>AND(IF(metadata!C984="",FALSE,TRUE),exact(metadata!C984,"UBERON:genitourinary"))</f>
        <v>0</v>
      </c>
      <c r="W984">
        <f>AND(IF(metadata!D984="",FALSE,TRUE),exact(metadata!D984,"UBERON:urine"))</f>
        <v>0</v>
      </c>
      <c r="X984">
        <f>AND(IF(metadata!E984="",FALSE,TRUE),exact(metadata!E984,"UBERON:kidney"))</f>
        <v>0</v>
      </c>
      <c r="Y984">
        <f>AND(IF(metadata!F984="",FALSE,TRUE),exact(metadata!F984,"animal corpus"))</f>
        <v>0</v>
      </c>
      <c r="Z984">
        <f>AND(IF(metadata!G984="",FALSE,TRUE),exact(metadata!G984,"urine"))</f>
        <v>0</v>
      </c>
      <c r="AA984">
        <f>AND(IF(metadata!H984="",FALSE,TRUE),exact(metadata!H984,"urine"))</f>
        <v>0</v>
      </c>
      <c r="AB984">
        <f>AND(IF(metadata!I984="",FALSE,TRUE),exact(metadata!I984,"urine metagenome"))</f>
        <v>0</v>
      </c>
      <c r="AC984">
        <f>AND(IF(metadata!J984="",FALSE,TRUE),exact(metadata!J984,"1346744"))</f>
        <v>0</v>
      </c>
    </row>
    <row r="985" spans="1:29">
      <c r="A985" s="4">
        <f>IF(B985=" "," ",HYPERLINK(CONCATENATE("#metadata!",ADDRESS(INDEX($P$2:$P$1001,MATCH(ROWS($N$2:N985),$N$2:$N$1001,0),0),1)),INDEX($S$2:$S$1001,MATCH(ROWS($N$2:N985),$N$2:$N$1001,0),0)))</f>
        <v>0</v>
      </c>
      <c r="B985" s="3">
        <f>IF(OR(INDEX($O$2:$O$1001,MATCH(ROWS($N$2:N985),$N$2:$N$1001,0),1)&gt;=100000,INDEX($U$1005:$AC$1005,1,MATCH(COLUMNS($U$1006:U1006),$U$1006:$AC$1006,0))&gt;=100000), " ",IF(INDEX($U$2:$AC$1001,MATCH(ROWS($N$2:N985),$N$2:$N$1001,0),MATCH(COLUMNS($U$1006:U1006),$U$1006:$AC$1006,0)), HYPERLINK("#",""), HYPERLINK(CONCATENATE("#metadata!", ADDRESS(INDEX($P$2:$P$1001,MATCH(ROWS($N$2:N985),$N$2:$N$1001,0),0), INDEX($U$1004:$AC$1004,1,MATCH(COLUMNS($U$1006:U1006),$U$1006:$AC$1006,0)))),"Fix")))</f>
        <v>0</v>
      </c>
      <c r="C985" s="3">
        <f>IF(OR(INDEX($O$2:$O$1001,MATCH(ROWS($N$2:N985),$N$2:$N$1001,0),1)&gt;=100000,INDEX($U$1005:$AC$1005,1,MATCH(COLUMNS($U$1006:V1006),$U$1006:$AC$1006,0))&gt;=100000), " ",IF(INDEX($U$2:$AC$1001,MATCH(ROWS($N$2:N985),$N$2:$N$1001,0),MATCH(COLUMNS($U$1006:V1006),$U$1006:$AC$1006,0)), HYPERLINK("#",""), HYPERLINK(CONCATENATE("#metadata!", ADDRESS(INDEX($P$2:$P$1001,MATCH(ROWS($N$2:N985),$N$2:$N$1001,0),0), INDEX($U$1004:$AC$1004,1,MATCH(COLUMNS($U$1006:V1006),$U$1006:$AC$1006,0)))),"Fix")))</f>
        <v>0</v>
      </c>
      <c r="D985" s="3">
        <f>IF(OR(INDEX($O$2:$O$1001,MATCH(ROWS($N$2:N985),$N$2:$N$1001,0),1)&gt;=100000,INDEX($U$1005:$AC$1005,1,MATCH(COLUMNS($U$1006:W1006),$U$1006:$AC$1006,0))&gt;=100000), " ",IF(INDEX($U$2:$AC$1001,MATCH(ROWS($N$2:N985),$N$2:$N$1001,0),MATCH(COLUMNS($U$1006:W1006),$U$1006:$AC$1006,0)), HYPERLINK("#",""), HYPERLINK(CONCATENATE("#metadata!", ADDRESS(INDEX($P$2:$P$1001,MATCH(ROWS($N$2:N985),$N$2:$N$1001,0),0), INDEX($U$1004:$AC$1004,1,MATCH(COLUMNS($U$1006:W1006),$U$1006:$AC$1006,0)))),"Fix")))</f>
        <v>0</v>
      </c>
      <c r="E985" s="3">
        <f>IF(OR(INDEX($O$2:$O$1001,MATCH(ROWS($N$2:N985),$N$2:$N$1001,0),1)&gt;=100000,INDEX($U$1005:$AC$1005,1,MATCH(COLUMNS($U$1006:X1006),$U$1006:$AC$1006,0))&gt;=100000), " ",IF(INDEX($U$2:$AC$1001,MATCH(ROWS($N$2:N985),$N$2:$N$1001,0),MATCH(COLUMNS($U$1006:X1006),$U$1006:$AC$1006,0)), HYPERLINK("#",""), HYPERLINK(CONCATENATE("#metadata!", ADDRESS(INDEX($P$2:$P$1001,MATCH(ROWS($N$2:N985),$N$2:$N$1001,0),0), INDEX($U$1004:$AC$1004,1,MATCH(COLUMNS($U$1006:X1006),$U$1006:$AC$1006,0)))),"Fix")))</f>
        <v>0</v>
      </c>
      <c r="F985" s="3">
        <f>IF(OR(INDEX($O$2:$O$1001,MATCH(ROWS($N$2:N985),$N$2:$N$1001,0),1)&gt;=100000,INDEX($U$1005:$AC$1005,1,MATCH(COLUMNS($U$1006:Y1006),$U$1006:$AC$1006,0))&gt;=100000), " ",IF(INDEX($U$2:$AC$1001,MATCH(ROWS($N$2:N985),$N$2:$N$1001,0),MATCH(COLUMNS($U$1006:Y1006),$U$1006:$AC$1006,0)), HYPERLINK("#",""), HYPERLINK(CONCATENATE("#metadata!", ADDRESS(INDEX($P$2:$P$1001,MATCH(ROWS($N$2:N985),$N$2:$N$1001,0),0), INDEX($U$1004:$AC$1004,1,MATCH(COLUMNS($U$1006:Y1006),$U$1006:$AC$1006,0)))),"Fix")))</f>
        <v>0</v>
      </c>
      <c r="G985" s="3">
        <f>IF(OR(INDEX($O$2:$O$1001,MATCH(ROWS($N$2:N985),$N$2:$N$1001,0),1)&gt;=100000,INDEX($U$1005:$AC$1005,1,MATCH(COLUMNS($U$1006:Z1006),$U$1006:$AC$1006,0))&gt;=100000), " ",IF(INDEX($U$2:$AC$1001,MATCH(ROWS($N$2:N985),$N$2:$N$1001,0),MATCH(COLUMNS($U$1006:Z1006),$U$1006:$AC$1006,0)), HYPERLINK("#",""), HYPERLINK(CONCATENATE("#metadata!", ADDRESS(INDEX($P$2:$P$1001,MATCH(ROWS($N$2:N985),$N$2:$N$1001,0),0), INDEX($U$1004:$AC$1004,1,MATCH(COLUMNS($U$1006:Z1006),$U$1006:$AC$1006,0)))),"Fix")))</f>
        <v>0</v>
      </c>
      <c r="H985" s="3">
        <f>IF(OR(INDEX($O$2:$O$1001,MATCH(ROWS($N$2:N985),$N$2:$N$1001,0),1)&gt;=100000,INDEX($U$1005:$AC$1005,1,MATCH(COLUMNS($U$1006:AA1006),$U$1006:$AC$1006,0))&gt;=100000), " ",IF(INDEX($U$2:$AC$1001,MATCH(ROWS($N$2:N985),$N$2:$N$1001,0),MATCH(COLUMNS($U$1006:AA1006),$U$1006:$AC$1006,0)), HYPERLINK("#",""), HYPERLINK(CONCATENATE("#metadata!", ADDRESS(INDEX($P$2:$P$1001,MATCH(ROWS($N$2:N985),$N$2:$N$1001,0),0), INDEX($U$1004:$AC$1004,1,MATCH(COLUMNS($U$1006:AA1006),$U$1006:$AC$1006,0)))),"Fix")))</f>
        <v>0</v>
      </c>
      <c r="I985" s="3">
        <f>IF(OR(INDEX($O$2:$O$1001,MATCH(ROWS($N$2:N985),$N$2:$N$1001,0),1)&gt;=100000,INDEX($U$1005:$AC$1005,1,MATCH(COLUMNS($U$1006:AB1006),$U$1006:$AC$1006,0))&gt;=100000), " ",IF(INDEX($U$2:$AC$1001,MATCH(ROWS($N$2:N985),$N$2:$N$1001,0),MATCH(COLUMNS($U$1006:AB1006),$U$1006:$AC$1006,0)), HYPERLINK("#",""), HYPERLINK(CONCATENATE("#metadata!", ADDRESS(INDEX($P$2:$P$1001,MATCH(ROWS($N$2:N985),$N$2:$N$1001,0),0), INDEX($U$1004:$AC$1004,1,MATCH(COLUMNS($U$1006:AB1006),$U$1006:$AC$1006,0)))),"Fix")))</f>
        <v>0</v>
      </c>
      <c r="J985" s="3">
        <f>IF(OR(INDEX($O$2:$O$1001,MATCH(ROWS($N$2:N985),$N$2:$N$1001,0),1)&gt;=100000,INDEX($U$1005:$AC$1005,1,MATCH(COLUMNS($U$1006:AC1006),$U$1006:$AC$1006,0))&gt;=100000), " ",IF(INDEX($U$2:$AC$1001,MATCH(ROWS($N$2:N985),$N$2:$N$1001,0),MATCH(COLUMNS($U$1006:AC1006),$U$1006:$AC$1006,0)), HYPERLINK("#",""), HYPERLINK(CONCATENATE("#metadata!", ADDRESS(INDEX($P$2:$P$1001,MATCH(ROWS($N$2:N985),$N$2:$N$1001,0),0), INDEX($U$1004:$AC$1004,1,MATCH(COLUMNS($U$1006:AC1006),$U$1006:$AC$1006,0)))),"Fix")))</f>
        <v>0</v>
      </c>
      <c r="N985">
        <v>0</v>
      </c>
      <c r="O985">
        <v>0</v>
      </c>
      <c r="P985">
        <v>0</v>
      </c>
      <c r="Q985">
        <f>IF(R985,TRUE,AND(U985:AC985))</f>
        <v>0</v>
      </c>
      <c r="R985">
        <f>COUNTBLANK(metadata!B985:J985)=COLUMNS(metadata!B985:J985)</f>
        <v>0</v>
      </c>
      <c r="S985">
        <v>0</v>
      </c>
      <c r="U985">
        <f>AND(IF(metadata!B985="",FALSE,TRUE),COUNTIF(metadata!B:B, metadata!B985) = 1,NOT(ISERROR(SUMPRODUCT(SEARCH(MID(metadata!B985,ROW(INDIRECT("1:"&amp;LEN(metadata!B985))), 1),"0123456789abcdefghijklmnopqrstuvwxyzABCDEFGHIJKLMNOPQRSTUVWXYZ.")))))</f>
        <v>0</v>
      </c>
      <c r="V985">
        <f>AND(IF(metadata!C985="",FALSE,TRUE),exact(metadata!C985,"UBERON:genitourinary"))</f>
        <v>0</v>
      </c>
      <c r="W985">
        <f>AND(IF(metadata!D985="",FALSE,TRUE),exact(metadata!D985,"UBERON:urine"))</f>
        <v>0</v>
      </c>
      <c r="X985">
        <f>AND(IF(metadata!E985="",FALSE,TRUE),exact(metadata!E985,"UBERON:kidney"))</f>
        <v>0</v>
      </c>
      <c r="Y985">
        <f>AND(IF(metadata!F985="",FALSE,TRUE),exact(metadata!F985,"animal corpus"))</f>
        <v>0</v>
      </c>
      <c r="Z985">
        <f>AND(IF(metadata!G985="",FALSE,TRUE),exact(metadata!G985,"urine"))</f>
        <v>0</v>
      </c>
      <c r="AA985">
        <f>AND(IF(metadata!H985="",FALSE,TRUE),exact(metadata!H985,"urine"))</f>
        <v>0</v>
      </c>
      <c r="AB985">
        <f>AND(IF(metadata!I985="",FALSE,TRUE),exact(metadata!I985,"urine metagenome"))</f>
        <v>0</v>
      </c>
      <c r="AC985">
        <f>AND(IF(metadata!J985="",FALSE,TRUE),exact(metadata!J985,"1346744"))</f>
        <v>0</v>
      </c>
    </row>
    <row r="986" spans="1:29">
      <c r="A986" s="4">
        <f>IF(B986=" "," ",HYPERLINK(CONCATENATE("#metadata!",ADDRESS(INDEX($P$2:$P$1001,MATCH(ROWS($N$2:N986),$N$2:$N$1001,0),0),1)),INDEX($S$2:$S$1001,MATCH(ROWS($N$2:N986),$N$2:$N$1001,0),0)))</f>
        <v>0</v>
      </c>
      <c r="B986" s="3">
        <f>IF(OR(INDEX($O$2:$O$1001,MATCH(ROWS($N$2:N986),$N$2:$N$1001,0),1)&gt;=100000,INDEX($U$1005:$AC$1005,1,MATCH(COLUMNS($U$1006:U1006),$U$1006:$AC$1006,0))&gt;=100000), " ",IF(INDEX($U$2:$AC$1001,MATCH(ROWS($N$2:N986),$N$2:$N$1001,0),MATCH(COLUMNS($U$1006:U1006),$U$1006:$AC$1006,0)), HYPERLINK("#",""), HYPERLINK(CONCATENATE("#metadata!", ADDRESS(INDEX($P$2:$P$1001,MATCH(ROWS($N$2:N986),$N$2:$N$1001,0),0), INDEX($U$1004:$AC$1004,1,MATCH(COLUMNS($U$1006:U1006),$U$1006:$AC$1006,0)))),"Fix")))</f>
        <v>0</v>
      </c>
      <c r="C986" s="3">
        <f>IF(OR(INDEX($O$2:$O$1001,MATCH(ROWS($N$2:N986),$N$2:$N$1001,0),1)&gt;=100000,INDEX($U$1005:$AC$1005,1,MATCH(COLUMNS($U$1006:V1006),$U$1006:$AC$1006,0))&gt;=100000), " ",IF(INDEX($U$2:$AC$1001,MATCH(ROWS($N$2:N986),$N$2:$N$1001,0),MATCH(COLUMNS($U$1006:V1006),$U$1006:$AC$1006,0)), HYPERLINK("#",""), HYPERLINK(CONCATENATE("#metadata!", ADDRESS(INDEX($P$2:$P$1001,MATCH(ROWS($N$2:N986),$N$2:$N$1001,0),0), INDEX($U$1004:$AC$1004,1,MATCH(COLUMNS($U$1006:V1006),$U$1006:$AC$1006,0)))),"Fix")))</f>
        <v>0</v>
      </c>
      <c r="D986" s="3">
        <f>IF(OR(INDEX($O$2:$O$1001,MATCH(ROWS($N$2:N986),$N$2:$N$1001,0),1)&gt;=100000,INDEX($U$1005:$AC$1005,1,MATCH(COLUMNS($U$1006:W1006),$U$1006:$AC$1006,0))&gt;=100000), " ",IF(INDEX($U$2:$AC$1001,MATCH(ROWS($N$2:N986),$N$2:$N$1001,0),MATCH(COLUMNS($U$1006:W1006),$U$1006:$AC$1006,0)), HYPERLINK("#",""), HYPERLINK(CONCATENATE("#metadata!", ADDRESS(INDEX($P$2:$P$1001,MATCH(ROWS($N$2:N986),$N$2:$N$1001,0),0), INDEX($U$1004:$AC$1004,1,MATCH(COLUMNS($U$1006:W1006),$U$1006:$AC$1006,0)))),"Fix")))</f>
        <v>0</v>
      </c>
      <c r="E986" s="3">
        <f>IF(OR(INDEX($O$2:$O$1001,MATCH(ROWS($N$2:N986),$N$2:$N$1001,0),1)&gt;=100000,INDEX($U$1005:$AC$1005,1,MATCH(COLUMNS($U$1006:X1006),$U$1006:$AC$1006,0))&gt;=100000), " ",IF(INDEX($U$2:$AC$1001,MATCH(ROWS($N$2:N986),$N$2:$N$1001,0),MATCH(COLUMNS($U$1006:X1006),$U$1006:$AC$1006,0)), HYPERLINK("#",""), HYPERLINK(CONCATENATE("#metadata!", ADDRESS(INDEX($P$2:$P$1001,MATCH(ROWS($N$2:N986),$N$2:$N$1001,0),0), INDEX($U$1004:$AC$1004,1,MATCH(COLUMNS($U$1006:X1006),$U$1006:$AC$1006,0)))),"Fix")))</f>
        <v>0</v>
      </c>
      <c r="F986" s="3">
        <f>IF(OR(INDEX($O$2:$O$1001,MATCH(ROWS($N$2:N986),$N$2:$N$1001,0),1)&gt;=100000,INDEX($U$1005:$AC$1005,1,MATCH(COLUMNS($U$1006:Y1006),$U$1006:$AC$1006,0))&gt;=100000), " ",IF(INDEX($U$2:$AC$1001,MATCH(ROWS($N$2:N986),$N$2:$N$1001,0),MATCH(COLUMNS($U$1006:Y1006),$U$1006:$AC$1006,0)), HYPERLINK("#",""), HYPERLINK(CONCATENATE("#metadata!", ADDRESS(INDEX($P$2:$P$1001,MATCH(ROWS($N$2:N986),$N$2:$N$1001,0),0), INDEX($U$1004:$AC$1004,1,MATCH(COLUMNS($U$1006:Y1006),$U$1006:$AC$1006,0)))),"Fix")))</f>
        <v>0</v>
      </c>
      <c r="G986" s="3">
        <f>IF(OR(INDEX($O$2:$O$1001,MATCH(ROWS($N$2:N986),$N$2:$N$1001,0),1)&gt;=100000,INDEX($U$1005:$AC$1005,1,MATCH(COLUMNS($U$1006:Z1006),$U$1006:$AC$1006,0))&gt;=100000), " ",IF(INDEX($U$2:$AC$1001,MATCH(ROWS($N$2:N986),$N$2:$N$1001,0),MATCH(COLUMNS($U$1006:Z1006),$U$1006:$AC$1006,0)), HYPERLINK("#",""), HYPERLINK(CONCATENATE("#metadata!", ADDRESS(INDEX($P$2:$P$1001,MATCH(ROWS($N$2:N986),$N$2:$N$1001,0),0), INDEX($U$1004:$AC$1004,1,MATCH(COLUMNS($U$1006:Z1006),$U$1006:$AC$1006,0)))),"Fix")))</f>
        <v>0</v>
      </c>
      <c r="H986" s="3">
        <f>IF(OR(INDEX($O$2:$O$1001,MATCH(ROWS($N$2:N986),$N$2:$N$1001,0),1)&gt;=100000,INDEX($U$1005:$AC$1005,1,MATCH(COLUMNS($U$1006:AA1006),$U$1006:$AC$1006,0))&gt;=100000), " ",IF(INDEX($U$2:$AC$1001,MATCH(ROWS($N$2:N986),$N$2:$N$1001,0),MATCH(COLUMNS($U$1006:AA1006),$U$1006:$AC$1006,0)), HYPERLINK("#",""), HYPERLINK(CONCATENATE("#metadata!", ADDRESS(INDEX($P$2:$P$1001,MATCH(ROWS($N$2:N986),$N$2:$N$1001,0),0), INDEX($U$1004:$AC$1004,1,MATCH(COLUMNS($U$1006:AA1006),$U$1006:$AC$1006,0)))),"Fix")))</f>
        <v>0</v>
      </c>
      <c r="I986" s="3">
        <f>IF(OR(INDEX($O$2:$O$1001,MATCH(ROWS($N$2:N986),$N$2:$N$1001,0),1)&gt;=100000,INDEX($U$1005:$AC$1005,1,MATCH(COLUMNS($U$1006:AB1006),$U$1006:$AC$1006,0))&gt;=100000), " ",IF(INDEX($U$2:$AC$1001,MATCH(ROWS($N$2:N986),$N$2:$N$1001,0),MATCH(COLUMNS($U$1006:AB1006),$U$1006:$AC$1006,0)), HYPERLINK("#",""), HYPERLINK(CONCATENATE("#metadata!", ADDRESS(INDEX($P$2:$P$1001,MATCH(ROWS($N$2:N986),$N$2:$N$1001,0),0), INDEX($U$1004:$AC$1004,1,MATCH(COLUMNS($U$1006:AB1006),$U$1006:$AC$1006,0)))),"Fix")))</f>
        <v>0</v>
      </c>
      <c r="J986" s="3">
        <f>IF(OR(INDEX($O$2:$O$1001,MATCH(ROWS($N$2:N986),$N$2:$N$1001,0),1)&gt;=100000,INDEX($U$1005:$AC$1005,1,MATCH(COLUMNS($U$1006:AC1006),$U$1006:$AC$1006,0))&gt;=100000), " ",IF(INDEX($U$2:$AC$1001,MATCH(ROWS($N$2:N986),$N$2:$N$1001,0),MATCH(COLUMNS($U$1006:AC1006),$U$1006:$AC$1006,0)), HYPERLINK("#",""), HYPERLINK(CONCATENATE("#metadata!", ADDRESS(INDEX($P$2:$P$1001,MATCH(ROWS($N$2:N986),$N$2:$N$1001,0),0), INDEX($U$1004:$AC$1004,1,MATCH(COLUMNS($U$1006:AC1006),$U$1006:$AC$1006,0)))),"Fix")))</f>
        <v>0</v>
      </c>
      <c r="N986">
        <v>0</v>
      </c>
      <c r="O986">
        <v>0</v>
      </c>
      <c r="P986">
        <v>0</v>
      </c>
      <c r="Q986">
        <f>IF(R986,TRUE,AND(U986:AC986))</f>
        <v>0</v>
      </c>
      <c r="R986">
        <f>COUNTBLANK(metadata!B986:J986)=COLUMNS(metadata!B986:J986)</f>
        <v>0</v>
      </c>
      <c r="S986">
        <v>0</v>
      </c>
      <c r="U986">
        <f>AND(IF(metadata!B986="",FALSE,TRUE),COUNTIF(metadata!B:B, metadata!B986) = 1,NOT(ISERROR(SUMPRODUCT(SEARCH(MID(metadata!B986,ROW(INDIRECT("1:"&amp;LEN(metadata!B986))), 1),"0123456789abcdefghijklmnopqrstuvwxyzABCDEFGHIJKLMNOPQRSTUVWXYZ.")))))</f>
        <v>0</v>
      </c>
      <c r="V986">
        <f>AND(IF(metadata!C986="",FALSE,TRUE),exact(metadata!C986,"UBERON:genitourinary"))</f>
        <v>0</v>
      </c>
      <c r="W986">
        <f>AND(IF(metadata!D986="",FALSE,TRUE),exact(metadata!D986,"UBERON:urine"))</f>
        <v>0</v>
      </c>
      <c r="X986">
        <f>AND(IF(metadata!E986="",FALSE,TRUE),exact(metadata!E986,"UBERON:kidney"))</f>
        <v>0</v>
      </c>
      <c r="Y986">
        <f>AND(IF(metadata!F986="",FALSE,TRUE),exact(metadata!F986,"animal corpus"))</f>
        <v>0</v>
      </c>
      <c r="Z986">
        <f>AND(IF(metadata!G986="",FALSE,TRUE),exact(metadata!G986,"urine"))</f>
        <v>0</v>
      </c>
      <c r="AA986">
        <f>AND(IF(metadata!H986="",FALSE,TRUE),exact(metadata!H986,"urine"))</f>
        <v>0</v>
      </c>
      <c r="AB986">
        <f>AND(IF(metadata!I986="",FALSE,TRUE),exact(metadata!I986,"urine metagenome"))</f>
        <v>0</v>
      </c>
      <c r="AC986">
        <f>AND(IF(metadata!J986="",FALSE,TRUE),exact(metadata!J986,"1346744"))</f>
        <v>0</v>
      </c>
    </row>
    <row r="987" spans="1:29">
      <c r="A987" s="4">
        <f>IF(B987=" "," ",HYPERLINK(CONCATENATE("#metadata!",ADDRESS(INDEX($P$2:$P$1001,MATCH(ROWS($N$2:N987),$N$2:$N$1001,0),0),1)),INDEX($S$2:$S$1001,MATCH(ROWS($N$2:N987),$N$2:$N$1001,0),0)))</f>
        <v>0</v>
      </c>
      <c r="B987" s="3">
        <f>IF(OR(INDEX($O$2:$O$1001,MATCH(ROWS($N$2:N987),$N$2:$N$1001,0),1)&gt;=100000,INDEX($U$1005:$AC$1005,1,MATCH(COLUMNS($U$1006:U1006),$U$1006:$AC$1006,0))&gt;=100000), " ",IF(INDEX($U$2:$AC$1001,MATCH(ROWS($N$2:N987),$N$2:$N$1001,0),MATCH(COLUMNS($U$1006:U1006),$U$1006:$AC$1006,0)), HYPERLINK("#",""), HYPERLINK(CONCATENATE("#metadata!", ADDRESS(INDEX($P$2:$P$1001,MATCH(ROWS($N$2:N987),$N$2:$N$1001,0),0), INDEX($U$1004:$AC$1004,1,MATCH(COLUMNS($U$1006:U1006),$U$1006:$AC$1006,0)))),"Fix")))</f>
        <v>0</v>
      </c>
      <c r="C987" s="3">
        <f>IF(OR(INDEX($O$2:$O$1001,MATCH(ROWS($N$2:N987),$N$2:$N$1001,0),1)&gt;=100000,INDEX($U$1005:$AC$1005,1,MATCH(COLUMNS($U$1006:V1006),$U$1006:$AC$1006,0))&gt;=100000), " ",IF(INDEX($U$2:$AC$1001,MATCH(ROWS($N$2:N987),$N$2:$N$1001,0),MATCH(COLUMNS($U$1006:V1006),$U$1006:$AC$1006,0)), HYPERLINK("#",""), HYPERLINK(CONCATENATE("#metadata!", ADDRESS(INDEX($P$2:$P$1001,MATCH(ROWS($N$2:N987),$N$2:$N$1001,0),0), INDEX($U$1004:$AC$1004,1,MATCH(COLUMNS($U$1006:V1006),$U$1006:$AC$1006,0)))),"Fix")))</f>
        <v>0</v>
      </c>
      <c r="D987" s="3">
        <f>IF(OR(INDEX($O$2:$O$1001,MATCH(ROWS($N$2:N987),$N$2:$N$1001,0),1)&gt;=100000,INDEX($U$1005:$AC$1005,1,MATCH(COLUMNS($U$1006:W1006),$U$1006:$AC$1006,0))&gt;=100000), " ",IF(INDEX($U$2:$AC$1001,MATCH(ROWS($N$2:N987),$N$2:$N$1001,0),MATCH(COLUMNS($U$1006:W1006),$U$1006:$AC$1006,0)), HYPERLINK("#",""), HYPERLINK(CONCATENATE("#metadata!", ADDRESS(INDEX($P$2:$P$1001,MATCH(ROWS($N$2:N987),$N$2:$N$1001,0),0), INDEX($U$1004:$AC$1004,1,MATCH(COLUMNS($U$1006:W1006),$U$1006:$AC$1006,0)))),"Fix")))</f>
        <v>0</v>
      </c>
      <c r="E987" s="3">
        <f>IF(OR(INDEX($O$2:$O$1001,MATCH(ROWS($N$2:N987),$N$2:$N$1001,0),1)&gt;=100000,INDEX($U$1005:$AC$1005,1,MATCH(COLUMNS($U$1006:X1006),$U$1006:$AC$1006,0))&gt;=100000), " ",IF(INDEX($U$2:$AC$1001,MATCH(ROWS($N$2:N987),$N$2:$N$1001,0),MATCH(COLUMNS($U$1006:X1006),$U$1006:$AC$1006,0)), HYPERLINK("#",""), HYPERLINK(CONCATENATE("#metadata!", ADDRESS(INDEX($P$2:$P$1001,MATCH(ROWS($N$2:N987),$N$2:$N$1001,0),0), INDEX($U$1004:$AC$1004,1,MATCH(COLUMNS($U$1006:X1006),$U$1006:$AC$1006,0)))),"Fix")))</f>
        <v>0</v>
      </c>
      <c r="F987" s="3">
        <f>IF(OR(INDEX($O$2:$O$1001,MATCH(ROWS($N$2:N987),$N$2:$N$1001,0),1)&gt;=100000,INDEX($U$1005:$AC$1005,1,MATCH(COLUMNS($U$1006:Y1006),$U$1006:$AC$1006,0))&gt;=100000), " ",IF(INDEX($U$2:$AC$1001,MATCH(ROWS($N$2:N987),$N$2:$N$1001,0),MATCH(COLUMNS($U$1006:Y1006),$U$1006:$AC$1006,0)), HYPERLINK("#",""), HYPERLINK(CONCATENATE("#metadata!", ADDRESS(INDEX($P$2:$P$1001,MATCH(ROWS($N$2:N987),$N$2:$N$1001,0),0), INDEX($U$1004:$AC$1004,1,MATCH(COLUMNS($U$1006:Y1006),$U$1006:$AC$1006,0)))),"Fix")))</f>
        <v>0</v>
      </c>
      <c r="G987" s="3">
        <f>IF(OR(INDEX($O$2:$O$1001,MATCH(ROWS($N$2:N987),$N$2:$N$1001,0),1)&gt;=100000,INDEX($U$1005:$AC$1005,1,MATCH(COLUMNS($U$1006:Z1006),$U$1006:$AC$1006,0))&gt;=100000), " ",IF(INDEX($U$2:$AC$1001,MATCH(ROWS($N$2:N987),$N$2:$N$1001,0),MATCH(COLUMNS($U$1006:Z1006),$U$1006:$AC$1006,0)), HYPERLINK("#",""), HYPERLINK(CONCATENATE("#metadata!", ADDRESS(INDEX($P$2:$P$1001,MATCH(ROWS($N$2:N987),$N$2:$N$1001,0),0), INDEX($U$1004:$AC$1004,1,MATCH(COLUMNS($U$1006:Z1006),$U$1006:$AC$1006,0)))),"Fix")))</f>
        <v>0</v>
      </c>
      <c r="H987" s="3">
        <f>IF(OR(INDEX($O$2:$O$1001,MATCH(ROWS($N$2:N987),$N$2:$N$1001,0),1)&gt;=100000,INDEX($U$1005:$AC$1005,1,MATCH(COLUMNS($U$1006:AA1006),$U$1006:$AC$1006,0))&gt;=100000), " ",IF(INDEX($U$2:$AC$1001,MATCH(ROWS($N$2:N987),$N$2:$N$1001,0),MATCH(COLUMNS($U$1006:AA1006),$U$1006:$AC$1006,0)), HYPERLINK("#",""), HYPERLINK(CONCATENATE("#metadata!", ADDRESS(INDEX($P$2:$P$1001,MATCH(ROWS($N$2:N987),$N$2:$N$1001,0),0), INDEX($U$1004:$AC$1004,1,MATCH(COLUMNS($U$1006:AA1006),$U$1006:$AC$1006,0)))),"Fix")))</f>
        <v>0</v>
      </c>
      <c r="I987" s="3">
        <f>IF(OR(INDEX($O$2:$O$1001,MATCH(ROWS($N$2:N987),$N$2:$N$1001,0),1)&gt;=100000,INDEX($U$1005:$AC$1005,1,MATCH(COLUMNS($U$1006:AB1006),$U$1006:$AC$1006,0))&gt;=100000), " ",IF(INDEX($U$2:$AC$1001,MATCH(ROWS($N$2:N987),$N$2:$N$1001,0),MATCH(COLUMNS($U$1006:AB1006),$U$1006:$AC$1006,0)), HYPERLINK("#",""), HYPERLINK(CONCATENATE("#metadata!", ADDRESS(INDEX($P$2:$P$1001,MATCH(ROWS($N$2:N987),$N$2:$N$1001,0),0), INDEX($U$1004:$AC$1004,1,MATCH(COLUMNS($U$1006:AB1006),$U$1006:$AC$1006,0)))),"Fix")))</f>
        <v>0</v>
      </c>
      <c r="J987" s="3">
        <f>IF(OR(INDEX($O$2:$O$1001,MATCH(ROWS($N$2:N987),$N$2:$N$1001,0),1)&gt;=100000,INDEX($U$1005:$AC$1005,1,MATCH(COLUMNS($U$1006:AC1006),$U$1006:$AC$1006,0))&gt;=100000), " ",IF(INDEX($U$2:$AC$1001,MATCH(ROWS($N$2:N987),$N$2:$N$1001,0),MATCH(COLUMNS($U$1006:AC1006),$U$1006:$AC$1006,0)), HYPERLINK("#",""), HYPERLINK(CONCATENATE("#metadata!", ADDRESS(INDEX($P$2:$P$1001,MATCH(ROWS($N$2:N987),$N$2:$N$1001,0),0), INDEX($U$1004:$AC$1004,1,MATCH(COLUMNS($U$1006:AC1006),$U$1006:$AC$1006,0)))),"Fix")))</f>
        <v>0</v>
      </c>
      <c r="N987">
        <v>0</v>
      </c>
      <c r="O987">
        <v>0</v>
      </c>
      <c r="P987">
        <v>0</v>
      </c>
      <c r="Q987">
        <f>IF(R987,TRUE,AND(U987:AC987))</f>
        <v>0</v>
      </c>
      <c r="R987">
        <f>COUNTBLANK(metadata!B987:J987)=COLUMNS(metadata!B987:J987)</f>
        <v>0</v>
      </c>
      <c r="S987">
        <v>0</v>
      </c>
      <c r="U987">
        <f>AND(IF(metadata!B987="",FALSE,TRUE),COUNTIF(metadata!B:B, metadata!B987) = 1,NOT(ISERROR(SUMPRODUCT(SEARCH(MID(metadata!B987,ROW(INDIRECT("1:"&amp;LEN(metadata!B987))), 1),"0123456789abcdefghijklmnopqrstuvwxyzABCDEFGHIJKLMNOPQRSTUVWXYZ.")))))</f>
        <v>0</v>
      </c>
      <c r="V987">
        <f>AND(IF(metadata!C987="",FALSE,TRUE),exact(metadata!C987,"UBERON:genitourinary"))</f>
        <v>0</v>
      </c>
      <c r="W987">
        <f>AND(IF(metadata!D987="",FALSE,TRUE),exact(metadata!D987,"UBERON:urine"))</f>
        <v>0</v>
      </c>
      <c r="X987">
        <f>AND(IF(metadata!E987="",FALSE,TRUE),exact(metadata!E987,"UBERON:kidney"))</f>
        <v>0</v>
      </c>
      <c r="Y987">
        <f>AND(IF(metadata!F987="",FALSE,TRUE),exact(metadata!F987,"animal corpus"))</f>
        <v>0</v>
      </c>
      <c r="Z987">
        <f>AND(IF(metadata!G987="",FALSE,TRUE),exact(metadata!G987,"urine"))</f>
        <v>0</v>
      </c>
      <c r="AA987">
        <f>AND(IF(metadata!H987="",FALSE,TRUE),exact(metadata!H987,"urine"))</f>
        <v>0</v>
      </c>
      <c r="AB987">
        <f>AND(IF(metadata!I987="",FALSE,TRUE),exact(metadata!I987,"urine metagenome"))</f>
        <v>0</v>
      </c>
      <c r="AC987">
        <f>AND(IF(metadata!J987="",FALSE,TRUE),exact(metadata!J987,"1346744"))</f>
        <v>0</v>
      </c>
    </row>
    <row r="988" spans="1:29">
      <c r="A988" s="4">
        <f>IF(B988=" "," ",HYPERLINK(CONCATENATE("#metadata!",ADDRESS(INDEX($P$2:$P$1001,MATCH(ROWS($N$2:N988),$N$2:$N$1001,0),0),1)),INDEX($S$2:$S$1001,MATCH(ROWS($N$2:N988),$N$2:$N$1001,0),0)))</f>
        <v>0</v>
      </c>
      <c r="B988" s="3">
        <f>IF(OR(INDEX($O$2:$O$1001,MATCH(ROWS($N$2:N988),$N$2:$N$1001,0),1)&gt;=100000,INDEX($U$1005:$AC$1005,1,MATCH(COLUMNS($U$1006:U1006),$U$1006:$AC$1006,0))&gt;=100000), " ",IF(INDEX($U$2:$AC$1001,MATCH(ROWS($N$2:N988),$N$2:$N$1001,0),MATCH(COLUMNS($U$1006:U1006),$U$1006:$AC$1006,0)), HYPERLINK("#",""), HYPERLINK(CONCATENATE("#metadata!", ADDRESS(INDEX($P$2:$P$1001,MATCH(ROWS($N$2:N988),$N$2:$N$1001,0),0), INDEX($U$1004:$AC$1004,1,MATCH(COLUMNS($U$1006:U1006),$U$1006:$AC$1006,0)))),"Fix")))</f>
        <v>0</v>
      </c>
      <c r="C988" s="3">
        <f>IF(OR(INDEX($O$2:$O$1001,MATCH(ROWS($N$2:N988),$N$2:$N$1001,0),1)&gt;=100000,INDEX($U$1005:$AC$1005,1,MATCH(COLUMNS($U$1006:V1006),$U$1006:$AC$1006,0))&gt;=100000), " ",IF(INDEX($U$2:$AC$1001,MATCH(ROWS($N$2:N988),$N$2:$N$1001,0),MATCH(COLUMNS($U$1006:V1006),$U$1006:$AC$1006,0)), HYPERLINK("#",""), HYPERLINK(CONCATENATE("#metadata!", ADDRESS(INDEX($P$2:$P$1001,MATCH(ROWS($N$2:N988),$N$2:$N$1001,0),0), INDEX($U$1004:$AC$1004,1,MATCH(COLUMNS($U$1006:V1006),$U$1006:$AC$1006,0)))),"Fix")))</f>
        <v>0</v>
      </c>
      <c r="D988" s="3">
        <f>IF(OR(INDEX($O$2:$O$1001,MATCH(ROWS($N$2:N988),$N$2:$N$1001,0),1)&gt;=100000,INDEX($U$1005:$AC$1005,1,MATCH(COLUMNS($U$1006:W1006),$U$1006:$AC$1006,0))&gt;=100000), " ",IF(INDEX($U$2:$AC$1001,MATCH(ROWS($N$2:N988),$N$2:$N$1001,0),MATCH(COLUMNS($U$1006:W1006),$U$1006:$AC$1006,0)), HYPERLINK("#",""), HYPERLINK(CONCATENATE("#metadata!", ADDRESS(INDEX($P$2:$P$1001,MATCH(ROWS($N$2:N988),$N$2:$N$1001,0),0), INDEX($U$1004:$AC$1004,1,MATCH(COLUMNS($U$1006:W1006),$U$1006:$AC$1006,0)))),"Fix")))</f>
        <v>0</v>
      </c>
      <c r="E988" s="3">
        <f>IF(OR(INDEX($O$2:$O$1001,MATCH(ROWS($N$2:N988),$N$2:$N$1001,0),1)&gt;=100000,INDEX($U$1005:$AC$1005,1,MATCH(COLUMNS($U$1006:X1006),$U$1006:$AC$1006,0))&gt;=100000), " ",IF(INDEX($U$2:$AC$1001,MATCH(ROWS($N$2:N988),$N$2:$N$1001,0),MATCH(COLUMNS($U$1006:X1006),$U$1006:$AC$1006,0)), HYPERLINK("#",""), HYPERLINK(CONCATENATE("#metadata!", ADDRESS(INDEX($P$2:$P$1001,MATCH(ROWS($N$2:N988),$N$2:$N$1001,0),0), INDEX($U$1004:$AC$1004,1,MATCH(COLUMNS($U$1006:X1006),$U$1006:$AC$1006,0)))),"Fix")))</f>
        <v>0</v>
      </c>
      <c r="F988" s="3">
        <f>IF(OR(INDEX($O$2:$O$1001,MATCH(ROWS($N$2:N988),$N$2:$N$1001,0),1)&gt;=100000,INDEX($U$1005:$AC$1005,1,MATCH(COLUMNS($U$1006:Y1006),$U$1006:$AC$1006,0))&gt;=100000), " ",IF(INDEX($U$2:$AC$1001,MATCH(ROWS($N$2:N988),$N$2:$N$1001,0),MATCH(COLUMNS($U$1006:Y1006),$U$1006:$AC$1006,0)), HYPERLINK("#",""), HYPERLINK(CONCATENATE("#metadata!", ADDRESS(INDEX($P$2:$P$1001,MATCH(ROWS($N$2:N988),$N$2:$N$1001,0),0), INDEX($U$1004:$AC$1004,1,MATCH(COLUMNS($U$1006:Y1006),$U$1006:$AC$1006,0)))),"Fix")))</f>
        <v>0</v>
      </c>
      <c r="G988" s="3">
        <f>IF(OR(INDEX($O$2:$O$1001,MATCH(ROWS($N$2:N988),$N$2:$N$1001,0),1)&gt;=100000,INDEX($U$1005:$AC$1005,1,MATCH(COLUMNS($U$1006:Z1006),$U$1006:$AC$1006,0))&gt;=100000), " ",IF(INDEX($U$2:$AC$1001,MATCH(ROWS($N$2:N988),$N$2:$N$1001,0),MATCH(COLUMNS($U$1006:Z1006),$U$1006:$AC$1006,0)), HYPERLINK("#",""), HYPERLINK(CONCATENATE("#metadata!", ADDRESS(INDEX($P$2:$P$1001,MATCH(ROWS($N$2:N988),$N$2:$N$1001,0),0), INDEX($U$1004:$AC$1004,1,MATCH(COLUMNS($U$1006:Z1006),$U$1006:$AC$1006,0)))),"Fix")))</f>
        <v>0</v>
      </c>
      <c r="H988" s="3">
        <f>IF(OR(INDEX($O$2:$O$1001,MATCH(ROWS($N$2:N988),$N$2:$N$1001,0),1)&gt;=100000,INDEX($U$1005:$AC$1005,1,MATCH(COLUMNS($U$1006:AA1006),$U$1006:$AC$1006,0))&gt;=100000), " ",IF(INDEX($U$2:$AC$1001,MATCH(ROWS($N$2:N988),$N$2:$N$1001,0),MATCH(COLUMNS($U$1006:AA1006),$U$1006:$AC$1006,0)), HYPERLINK("#",""), HYPERLINK(CONCATENATE("#metadata!", ADDRESS(INDEX($P$2:$P$1001,MATCH(ROWS($N$2:N988),$N$2:$N$1001,0),0), INDEX($U$1004:$AC$1004,1,MATCH(COLUMNS($U$1006:AA1006),$U$1006:$AC$1006,0)))),"Fix")))</f>
        <v>0</v>
      </c>
      <c r="I988" s="3">
        <f>IF(OR(INDEX($O$2:$O$1001,MATCH(ROWS($N$2:N988),$N$2:$N$1001,0),1)&gt;=100000,INDEX($U$1005:$AC$1005,1,MATCH(COLUMNS($U$1006:AB1006),$U$1006:$AC$1006,0))&gt;=100000), " ",IF(INDEX($U$2:$AC$1001,MATCH(ROWS($N$2:N988),$N$2:$N$1001,0),MATCH(COLUMNS($U$1006:AB1006),$U$1006:$AC$1006,0)), HYPERLINK("#",""), HYPERLINK(CONCATENATE("#metadata!", ADDRESS(INDEX($P$2:$P$1001,MATCH(ROWS($N$2:N988),$N$2:$N$1001,0),0), INDEX($U$1004:$AC$1004,1,MATCH(COLUMNS($U$1006:AB1006),$U$1006:$AC$1006,0)))),"Fix")))</f>
        <v>0</v>
      </c>
      <c r="J988" s="3">
        <f>IF(OR(INDEX($O$2:$O$1001,MATCH(ROWS($N$2:N988),$N$2:$N$1001,0),1)&gt;=100000,INDEX($U$1005:$AC$1005,1,MATCH(COLUMNS($U$1006:AC1006),$U$1006:$AC$1006,0))&gt;=100000), " ",IF(INDEX($U$2:$AC$1001,MATCH(ROWS($N$2:N988),$N$2:$N$1001,0),MATCH(COLUMNS($U$1006:AC1006),$U$1006:$AC$1006,0)), HYPERLINK("#",""), HYPERLINK(CONCATENATE("#metadata!", ADDRESS(INDEX($P$2:$P$1001,MATCH(ROWS($N$2:N988),$N$2:$N$1001,0),0), INDEX($U$1004:$AC$1004,1,MATCH(COLUMNS($U$1006:AC1006),$U$1006:$AC$1006,0)))),"Fix")))</f>
        <v>0</v>
      </c>
      <c r="N988">
        <v>0</v>
      </c>
      <c r="O988">
        <v>0</v>
      </c>
      <c r="P988">
        <v>0</v>
      </c>
      <c r="Q988">
        <f>IF(R988,TRUE,AND(U988:AC988))</f>
        <v>0</v>
      </c>
      <c r="R988">
        <f>COUNTBLANK(metadata!B988:J988)=COLUMNS(metadata!B988:J988)</f>
        <v>0</v>
      </c>
      <c r="S988">
        <v>0</v>
      </c>
      <c r="U988">
        <f>AND(IF(metadata!B988="",FALSE,TRUE),COUNTIF(metadata!B:B, metadata!B988) = 1,NOT(ISERROR(SUMPRODUCT(SEARCH(MID(metadata!B988,ROW(INDIRECT("1:"&amp;LEN(metadata!B988))), 1),"0123456789abcdefghijklmnopqrstuvwxyzABCDEFGHIJKLMNOPQRSTUVWXYZ.")))))</f>
        <v>0</v>
      </c>
      <c r="V988">
        <f>AND(IF(metadata!C988="",FALSE,TRUE),exact(metadata!C988,"UBERON:genitourinary"))</f>
        <v>0</v>
      </c>
      <c r="W988">
        <f>AND(IF(metadata!D988="",FALSE,TRUE),exact(metadata!D988,"UBERON:urine"))</f>
        <v>0</v>
      </c>
      <c r="X988">
        <f>AND(IF(metadata!E988="",FALSE,TRUE),exact(metadata!E988,"UBERON:kidney"))</f>
        <v>0</v>
      </c>
      <c r="Y988">
        <f>AND(IF(metadata!F988="",FALSE,TRUE),exact(metadata!F988,"animal corpus"))</f>
        <v>0</v>
      </c>
      <c r="Z988">
        <f>AND(IF(metadata!G988="",FALSE,TRUE),exact(metadata!G988,"urine"))</f>
        <v>0</v>
      </c>
      <c r="AA988">
        <f>AND(IF(metadata!H988="",FALSE,TRUE),exact(metadata!H988,"urine"))</f>
        <v>0</v>
      </c>
      <c r="AB988">
        <f>AND(IF(metadata!I988="",FALSE,TRUE),exact(metadata!I988,"urine metagenome"))</f>
        <v>0</v>
      </c>
      <c r="AC988">
        <f>AND(IF(metadata!J988="",FALSE,TRUE),exact(metadata!J988,"1346744"))</f>
        <v>0</v>
      </c>
    </row>
    <row r="989" spans="1:29">
      <c r="A989" s="4">
        <f>IF(B989=" "," ",HYPERLINK(CONCATENATE("#metadata!",ADDRESS(INDEX($P$2:$P$1001,MATCH(ROWS($N$2:N989),$N$2:$N$1001,0),0),1)),INDEX($S$2:$S$1001,MATCH(ROWS($N$2:N989),$N$2:$N$1001,0),0)))</f>
        <v>0</v>
      </c>
      <c r="B989" s="3">
        <f>IF(OR(INDEX($O$2:$O$1001,MATCH(ROWS($N$2:N989),$N$2:$N$1001,0),1)&gt;=100000,INDEX($U$1005:$AC$1005,1,MATCH(COLUMNS($U$1006:U1006),$U$1006:$AC$1006,0))&gt;=100000), " ",IF(INDEX($U$2:$AC$1001,MATCH(ROWS($N$2:N989),$N$2:$N$1001,0),MATCH(COLUMNS($U$1006:U1006),$U$1006:$AC$1006,0)), HYPERLINK("#",""), HYPERLINK(CONCATENATE("#metadata!", ADDRESS(INDEX($P$2:$P$1001,MATCH(ROWS($N$2:N989),$N$2:$N$1001,0),0), INDEX($U$1004:$AC$1004,1,MATCH(COLUMNS($U$1006:U1006),$U$1006:$AC$1006,0)))),"Fix")))</f>
        <v>0</v>
      </c>
      <c r="C989" s="3">
        <f>IF(OR(INDEX($O$2:$O$1001,MATCH(ROWS($N$2:N989),$N$2:$N$1001,0),1)&gt;=100000,INDEX($U$1005:$AC$1005,1,MATCH(COLUMNS($U$1006:V1006),$U$1006:$AC$1006,0))&gt;=100000), " ",IF(INDEX($U$2:$AC$1001,MATCH(ROWS($N$2:N989),$N$2:$N$1001,0),MATCH(COLUMNS($U$1006:V1006),$U$1006:$AC$1006,0)), HYPERLINK("#",""), HYPERLINK(CONCATENATE("#metadata!", ADDRESS(INDEX($P$2:$P$1001,MATCH(ROWS($N$2:N989),$N$2:$N$1001,0),0), INDEX($U$1004:$AC$1004,1,MATCH(COLUMNS($U$1006:V1006),$U$1006:$AC$1006,0)))),"Fix")))</f>
        <v>0</v>
      </c>
      <c r="D989" s="3">
        <f>IF(OR(INDEX($O$2:$O$1001,MATCH(ROWS($N$2:N989),$N$2:$N$1001,0),1)&gt;=100000,INDEX($U$1005:$AC$1005,1,MATCH(COLUMNS($U$1006:W1006),$U$1006:$AC$1006,0))&gt;=100000), " ",IF(INDEX($U$2:$AC$1001,MATCH(ROWS($N$2:N989),$N$2:$N$1001,0),MATCH(COLUMNS($U$1006:W1006),$U$1006:$AC$1006,0)), HYPERLINK("#",""), HYPERLINK(CONCATENATE("#metadata!", ADDRESS(INDEX($P$2:$P$1001,MATCH(ROWS($N$2:N989),$N$2:$N$1001,0),0), INDEX($U$1004:$AC$1004,1,MATCH(COLUMNS($U$1006:W1006),$U$1006:$AC$1006,0)))),"Fix")))</f>
        <v>0</v>
      </c>
      <c r="E989" s="3">
        <f>IF(OR(INDEX($O$2:$O$1001,MATCH(ROWS($N$2:N989),$N$2:$N$1001,0),1)&gt;=100000,INDEX($U$1005:$AC$1005,1,MATCH(COLUMNS($U$1006:X1006),$U$1006:$AC$1006,0))&gt;=100000), " ",IF(INDEX($U$2:$AC$1001,MATCH(ROWS($N$2:N989),$N$2:$N$1001,0),MATCH(COLUMNS($U$1006:X1006),$U$1006:$AC$1006,0)), HYPERLINK("#",""), HYPERLINK(CONCATENATE("#metadata!", ADDRESS(INDEX($P$2:$P$1001,MATCH(ROWS($N$2:N989),$N$2:$N$1001,0),0), INDEX($U$1004:$AC$1004,1,MATCH(COLUMNS($U$1006:X1006),$U$1006:$AC$1006,0)))),"Fix")))</f>
        <v>0</v>
      </c>
      <c r="F989" s="3">
        <f>IF(OR(INDEX($O$2:$O$1001,MATCH(ROWS($N$2:N989),$N$2:$N$1001,0),1)&gt;=100000,INDEX($U$1005:$AC$1005,1,MATCH(COLUMNS($U$1006:Y1006),$U$1006:$AC$1006,0))&gt;=100000), " ",IF(INDEX($U$2:$AC$1001,MATCH(ROWS($N$2:N989),$N$2:$N$1001,0),MATCH(COLUMNS($U$1006:Y1006),$U$1006:$AC$1006,0)), HYPERLINK("#",""), HYPERLINK(CONCATENATE("#metadata!", ADDRESS(INDEX($P$2:$P$1001,MATCH(ROWS($N$2:N989),$N$2:$N$1001,0),0), INDEX($U$1004:$AC$1004,1,MATCH(COLUMNS($U$1006:Y1006),$U$1006:$AC$1006,0)))),"Fix")))</f>
        <v>0</v>
      </c>
      <c r="G989" s="3">
        <f>IF(OR(INDEX($O$2:$O$1001,MATCH(ROWS($N$2:N989),$N$2:$N$1001,0),1)&gt;=100000,INDEX($U$1005:$AC$1005,1,MATCH(COLUMNS($U$1006:Z1006),$U$1006:$AC$1006,0))&gt;=100000), " ",IF(INDEX($U$2:$AC$1001,MATCH(ROWS($N$2:N989),$N$2:$N$1001,0),MATCH(COLUMNS($U$1006:Z1006),$U$1006:$AC$1006,0)), HYPERLINK("#",""), HYPERLINK(CONCATENATE("#metadata!", ADDRESS(INDEX($P$2:$P$1001,MATCH(ROWS($N$2:N989),$N$2:$N$1001,0),0), INDEX($U$1004:$AC$1004,1,MATCH(COLUMNS($U$1006:Z1006),$U$1006:$AC$1006,0)))),"Fix")))</f>
        <v>0</v>
      </c>
      <c r="H989" s="3">
        <f>IF(OR(INDEX($O$2:$O$1001,MATCH(ROWS($N$2:N989),$N$2:$N$1001,0),1)&gt;=100000,INDEX($U$1005:$AC$1005,1,MATCH(COLUMNS($U$1006:AA1006),$U$1006:$AC$1006,0))&gt;=100000), " ",IF(INDEX($U$2:$AC$1001,MATCH(ROWS($N$2:N989),$N$2:$N$1001,0),MATCH(COLUMNS($U$1006:AA1006),$U$1006:$AC$1006,0)), HYPERLINK("#",""), HYPERLINK(CONCATENATE("#metadata!", ADDRESS(INDEX($P$2:$P$1001,MATCH(ROWS($N$2:N989),$N$2:$N$1001,0),0), INDEX($U$1004:$AC$1004,1,MATCH(COLUMNS($U$1006:AA1006),$U$1006:$AC$1006,0)))),"Fix")))</f>
        <v>0</v>
      </c>
      <c r="I989" s="3">
        <f>IF(OR(INDEX($O$2:$O$1001,MATCH(ROWS($N$2:N989),$N$2:$N$1001,0),1)&gt;=100000,INDEX($U$1005:$AC$1005,1,MATCH(COLUMNS($U$1006:AB1006),$U$1006:$AC$1006,0))&gt;=100000), " ",IF(INDEX($U$2:$AC$1001,MATCH(ROWS($N$2:N989),$N$2:$N$1001,0),MATCH(COLUMNS($U$1006:AB1006),$U$1006:$AC$1006,0)), HYPERLINK("#",""), HYPERLINK(CONCATENATE("#metadata!", ADDRESS(INDEX($P$2:$P$1001,MATCH(ROWS($N$2:N989),$N$2:$N$1001,0),0), INDEX($U$1004:$AC$1004,1,MATCH(COLUMNS($U$1006:AB1006),$U$1006:$AC$1006,0)))),"Fix")))</f>
        <v>0</v>
      </c>
      <c r="J989" s="3">
        <f>IF(OR(INDEX($O$2:$O$1001,MATCH(ROWS($N$2:N989),$N$2:$N$1001,0),1)&gt;=100000,INDEX($U$1005:$AC$1005,1,MATCH(COLUMNS($U$1006:AC1006),$U$1006:$AC$1006,0))&gt;=100000), " ",IF(INDEX($U$2:$AC$1001,MATCH(ROWS($N$2:N989),$N$2:$N$1001,0),MATCH(COLUMNS($U$1006:AC1006),$U$1006:$AC$1006,0)), HYPERLINK("#",""), HYPERLINK(CONCATENATE("#metadata!", ADDRESS(INDEX($P$2:$P$1001,MATCH(ROWS($N$2:N989),$N$2:$N$1001,0),0), INDEX($U$1004:$AC$1004,1,MATCH(COLUMNS($U$1006:AC1006),$U$1006:$AC$1006,0)))),"Fix")))</f>
        <v>0</v>
      </c>
      <c r="N989">
        <v>0</v>
      </c>
      <c r="O989">
        <v>0</v>
      </c>
      <c r="P989">
        <v>0</v>
      </c>
      <c r="Q989">
        <f>IF(R989,TRUE,AND(U989:AC989))</f>
        <v>0</v>
      </c>
      <c r="R989">
        <f>COUNTBLANK(metadata!B989:J989)=COLUMNS(metadata!B989:J989)</f>
        <v>0</v>
      </c>
      <c r="S989">
        <v>0</v>
      </c>
      <c r="U989">
        <f>AND(IF(metadata!B989="",FALSE,TRUE),COUNTIF(metadata!B:B, metadata!B989) = 1,NOT(ISERROR(SUMPRODUCT(SEARCH(MID(metadata!B989,ROW(INDIRECT("1:"&amp;LEN(metadata!B989))), 1),"0123456789abcdefghijklmnopqrstuvwxyzABCDEFGHIJKLMNOPQRSTUVWXYZ.")))))</f>
        <v>0</v>
      </c>
      <c r="V989">
        <f>AND(IF(metadata!C989="",FALSE,TRUE),exact(metadata!C989,"UBERON:genitourinary"))</f>
        <v>0</v>
      </c>
      <c r="W989">
        <f>AND(IF(metadata!D989="",FALSE,TRUE),exact(metadata!D989,"UBERON:urine"))</f>
        <v>0</v>
      </c>
      <c r="X989">
        <f>AND(IF(metadata!E989="",FALSE,TRUE),exact(metadata!E989,"UBERON:kidney"))</f>
        <v>0</v>
      </c>
      <c r="Y989">
        <f>AND(IF(metadata!F989="",FALSE,TRUE),exact(metadata!F989,"animal corpus"))</f>
        <v>0</v>
      </c>
      <c r="Z989">
        <f>AND(IF(metadata!G989="",FALSE,TRUE),exact(metadata!G989,"urine"))</f>
        <v>0</v>
      </c>
      <c r="AA989">
        <f>AND(IF(metadata!H989="",FALSE,TRUE),exact(metadata!H989,"urine"))</f>
        <v>0</v>
      </c>
      <c r="AB989">
        <f>AND(IF(metadata!I989="",FALSE,TRUE),exact(metadata!I989,"urine metagenome"))</f>
        <v>0</v>
      </c>
      <c r="AC989">
        <f>AND(IF(metadata!J989="",FALSE,TRUE),exact(metadata!J989,"1346744"))</f>
        <v>0</v>
      </c>
    </row>
    <row r="990" spans="1:29">
      <c r="A990" s="4">
        <f>IF(B990=" "," ",HYPERLINK(CONCATENATE("#metadata!",ADDRESS(INDEX($P$2:$P$1001,MATCH(ROWS($N$2:N990),$N$2:$N$1001,0),0),1)),INDEX($S$2:$S$1001,MATCH(ROWS($N$2:N990),$N$2:$N$1001,0),0)))</f>
        <v>0</v>
      </c>
      <c r="B990" s="3">
        <f>IF(OR(INDEX($O$2:$O$1001,MATCH(ROWS($N$2:N990),$N$2:$N$1001,0),1)&gt;=100000,INDEX($U$1005:$AC$1005,1,MATCH(COLUMNS($U$1006:U1006),$U$1006:$AC$1006,0))&gt;=100000), " ",IF(INDEX($U$2:$AC$1001,MATCH(ROWS($N$2:N990),$N$2:$N$1001,0),MATCH(COLUMNS($U$1006:U1006),$U$1006:$AC$1006,0)), HYPERLINK("#",""), HYPERLINK(CONCATENATE("#metadata!", ADDRESS(INDEX($P$2:$P$1001,MATCH(ROWS($N$2:N990),$N$2:$N$1001,0),0), INDEX($U$1004:$AC$1004,1,MATCH(COLUMNS($U$1006:U1006),$U$1006:$AC$1006,0)))),"Fix")))</f>
        <v>0</v>
      </c>
      <c r="C990" s="3">
        <f>IF(OR(INDEX($O$2:$O$1001,MATCH(ROWS($N$2:N990),$N$2:$N$1001,0),1)&gt;=100000,INDEX($U$1005:$AC$1005,1,MATCH(COLUMNS($U$1006:V1006),$U$1006:$AC$1006,0))&gt;=100000), " ",IF(INDEX($U$2:$AC$1001,MATCH(ROWS($N$2:N990),$N$2:$N$1001,0),MATCH(COLUMNS($U$1006:V1006),$U$1006:$AC$1006,0)), HYPERLINK("#",""), HYPERLINK(CONCATENATE("#metadata!", ADDRESS(INDEX($P$2:$P$1001,MATCH(ROWS($N$2:N990),$N$2:$N$1001,0),0), INDEX($U$1004:$AC$1004,1,MATCH(COLUMNS($U$1006:V1006),$U$1006:$AC$1006,0)))),"Fix")))</f>
        <v>0</v>
      </c>
      <c r="D990" s="3">
        <f>IF(OR(INDEX($O$2:$O$1001,MATCH(ROWS($N$2:N990),$N$2:$N$1001,0),1)&gt;=100000,INDEX($U$1005:$AC$1005,1,MATCH(COLUMNS($U$1006:W1006),$U$1006:$AC$1006,0))&gt;=100000), " ",IF(INDEX($U$2:$AC$1001,MATCH(ROWS($N$2:N990),$N$2:$N$1001,0),MATCH(COLUMNS($U$1006:W1006),$U$1006:$AC$1006,0)), HYPERLINK("#",""), HYPERLINK(CONCATENATE("#metadata!", ADDRESS(INDEX($P$2:$P$1001,MATCH(ROWS($N$2:N990),$N$2:$N$1001,0),0), INDEX($U$1004:$AC$1004,1,MATCH(COLUMNS($U$1006:W1006),$U$1006:$AC$1006,0)))),"Fix")))</f>
        <v>0</v>
      </c>
      <c r="E990" s="3">
        <f>IF(OR(INDEX($O$2:$O$1001,MATCH(ROWS($N$2:N990),$N$2:$N$1001,0),1)&gt;=100000,INDEX($U$1005:$AC$1005,1,MATCH(COLUMNS($U$1006:X1006),$U$1006:$AC$1006,0))&gt;=100000), " ",IF(INDEX($U$2:$AC$1001,MATCH(ROWS($N$2:N990),$N$2:$N$1001,0),MATCH(COLUMNS($U$1006:X1006),$U$1006:$AC$1006,0)), HYPERLINK("#",""), HYPERLINK(CONCATENATE("#metadata!", ADDRESS(INDEX($P$2:$P$1001,MATCH(ROWS($N$2:N990),$N$2:$N$1001,0),0), INDEX($U$1004:$AC$1004,1,MATCH(COLUMNS($U$1006:X1006),$U$1006:$AC$1006,0)))),"Fix")))</f>
        <v>0</v>
      </c>
      <c r="F990" s="3">
        <f>IF(OR(INDEX($O$2:$O$1001,MATCH(ROWS($N$2:N990),$N$2:$N$1001,0),1)&gt;=100000,INDEX($U$1005:$AC$1005,1,MATCH(COLUMNS($U$1006:Y1006),$U$1006:$AC$1006,0))&gt;=100000), " ",IF(INDEX($U$2:$AC$1001,MATCH(ROWS($N$2:N990),$N$2:$N$1001,0),MATCH(COLUMNS($U$1006:Y1006),$U$1006:$AC$1006,0)), HYPERLINK("#",""), HYPERLINK(CONCATENATE("#metadata!", ADDRESS(INDEX($P$2:$P$1001,MATCH(ROWS($N$2:N990),$N$2:$N$1001,0),0), INDEX($U$1004:$AC$1004,1,MATCH(COLUMNS($U$1006:Y1006),$U$1006:$AC$1006,0)))),"Fix")))</f>
        <v>0</v>
      </c>
      <c r="G990" s="3">
        <f>IF(OR(INDEX($O$2:$O$1001,MATCH(ROWS($N$2:N990),$N$2:$N$1001,0),1)&gt;=100000,INDEX($U$1005:$AC$1005,1,MATCH(COLUMNS($U$1006:Z1006),$U$1006:$AC$1006,0))&gt;=100000), " ",IF(INDEX($U$2:$AC$1001,MATCH(ROWS($N$2:N990),$N$2:$N$1001,0),MATCH(COLUMNS($U$1006:Z1006),$U$1006:$AC$1006,0)), HYPERLINK("#",""), HYPERLINK(CONCATENATE("#metadata!", ADDRESS(INDEX($P$2:$P$1001,MATCH(ROWS($N$2:N990),$N$2:$N$1001,0),0), INDEX($U$1004:$AC$1004,1,MATCH(COLUMNS($U$1006:Z1006),$U$1006:$AC$1006,0)))),"Fix")))</f>
        <v>0</v>
      </c>
      <c r="H990" s="3">
        <f>IF(OR(INDEX($O$2:$O$1001,MATCH(ROWS($N$2:N990),$N$2:$N$1001,0),1)&gt;=100000,INDEX($U$1005:$AC$1005,1,MATCH(COLUMNS($U$1006:AA1006),$U$1006:$AC$1006,0))&gt;=100000), " ",IF(INDEX($U$2:$AC$1001,MATCH(ROWS($N$2:N990),$N$2:$N$1001,0),MATCH(COLUMNS($U$1006:AA1006),$U$1006:$AC$1006,0)), HYPERLINK("#",""), HYPERLINK(CONCATENATE("#metadata!", ADDRESS(INDEX($P$2:$P$1001,MATCH(ROWS($N$2:N990),$N$2:$N$1001,0),0), INDEX($U$1004:$AC$1004,1,MATCH(COLUMNS($U$1006:AA1006),$U$1006:$AC$1006,0)))),"Fix")))</f>
        <v>0</v>
      </c>
      <c r="I990" s="3">
        <f>IF(OR(INDEX($O$2:$O$1001,MATCH(ROWS($N$2:N990),$N$2:$N$1001,0),1)&gt;=100000,INDEX($U$1005:$AC$1005,1,MATCH(COLUMNS($U$1006:AB1006),$U$1006:$AC$1006,0))&gt;=100000), " ",IF(INDEX($U$2:$AC$1001,MATCH(ROWS($N$2:N990),$N$2:$N$1001,0),MATCH(COLUMNS($U$1006:AB1006),$U$1006:$AC$1006,0)), HYPERLINK("#",""), HYPERLINK(CONCATENATE("#metadata!", ADDRESS(INDEX($P$2:$P$1001,MATCH(ROWS($N$2:N990),$N$2:$N$1001,0),0), INDEX($U$1004:$AC$1004,1,MATCH(COLUMNS($U$1006:AB1006),$U$1006:$AC$1006,0)))),"Fix")))</f>
        <v>0</v>
      </c>
      <c r="J990" s="3">
        <f>IF(OR(INDEX($O$2:$O$1001,MATCH(ROWS($N$2:N990),$N$2:$N$1001,0),1)&gt;=100000,INDEX($U$1005:$AC$1005,1,MATCH(COLUMNS($U$1006:AC1006),$U$1006:$AC$1006,0))&gt;=100000), " ",IF(INDEX($U$2:$AC$1001,MATCH(ROWS($N$2:N990),$N$2:$N$1001,0),MATCH(COLUMNS($U$1006:AC1006),$U$1006:$AC$1006,0)), HYPERLINK("#",""), HYPERLINK(CONCATENATE("#metadata!", ADDRESS(INDEX($P$2:$P$1001,MATCH(ROWS($N$2:N990),$N$2:$N$1001,0),0), INDEX($U$1004:$AC$1004,1,MATCH(COLUMNS($U$1006:AC1006),$U$1006:$AC$1006,0)))),"Fix")))</f>
        <v>0</v>
      </c>
      <c r="N990">
        <v>0</v>
      </c>
      <c r="O990">
        <v>0</v>
      </c>
      <c r="P990">
        <v>0</v>
      </c>
      <c r="Q990">
        <f>IF(R990,TRUE,AND(U990:AC990))</f>
        <v>0</v>
      </c>
      <c r="R990">
        <f>COUNTBLANK(metadata!B990:J990)=COLUMNS(metadata!B990:J990)</f>
        <v>0</v>
      </c>
      <c r="S990">
        <v>0</v>
      </c>
      <c r="U990">
        <f>AND(IF(metadata!B990="",FALSE,TRUE),COUNTIF(metadata!B:B, metadata!B990) = 1,NOT(ISERROR(SUMPRODUCT(SEARCH(MID(metadata!B990,ROW(INDIRECT("1:"&amp;LEN(metadata!B990))), 1),"0123456789abcdefghijklmnopqrstuvwxyzABCDEFGHIJKLMNOPQRSTUVWXYZ.")))))</f>
        <v>0</v>
      </c>
      <c r="V990">
        <f>AND(IF(metadata!C990="",FALSE,TRUE),exact(metadata!C990,"UBERON:genitourinary"))</f>
        <v>0</v>
      </c>
      <c r="W990">
        <f>AND(IF(metadata!D990="",FALSE,TRUE),exact(metadata!D990,"UBERON:urine"))</f>
        <v>0</v>
      </c>
      <c r="X990">
        <f>AND(IF(metadata!E990="",FALSE,TRUE),exact(metadata!E990,"UBERON:kidney"))</f>
        <v>0</v>
      </c>
      <c r="Y990">
        <f>AND(IF(metadata!F990="",FALSE,TRUE),exact(metadata!F990,"animal corpus"))</f>
        <v>0</v>
      </c>
      <c r="Z990">
        <f>AND(IF(metadata!G990="",FALSE,TRUE),exact(metadata!G990,"urine"))</f>
        <v>0</v>
      </c>
      <c r="AA990">
        <f>AND(IF(metadata!H990="",FALSE,TRUE),exact(metadata!H990,"urine"))</f>
        <v>0</v>
      </c>
      <c r="AB990">
        <f>AND(IF(metadata!I990="",FALSE,TRUE),exact(metadata!I990,"urine metagenome"))</f>
        <v>0</v>
      </c>
      <c r="AC990">
        <f>AND(IF(metadata!J990="",FALSE,TRUE),exact(metadata!J990,"1346744"))</f>
        <v>0</v>
      </c>
    </row>
    <row r="991" spans="1:29">
      <c r="A991" s="4">
        <f>IF(B991=" "," ",HYPERLINK(CONCATENATE("#metadata!",ADDRESS(INDEX($P$2:$P$1001,MATCH(ROWS($N$2:N991),$N$2:$N$1001,0),0),1)),INDEX($S$2:$S$1001,MATCH(ROWS($N$2:N991),$N$2:$N$1001,0),0)))</f>
        <v>0</v>
      </c>
      <c r="B991" s="3">
        <f>IF(OR(INDEX($O$2:$O$1001,MATCH(ROWS($N$2:N991),$N$2:$N$1001,0),1)&gt;=100000,INDEX($U$1005:$AC$1005,1,MATCH(COLUMNS($U$1006:U1006),$U$1006:$AC$1006,0))&gt;=100000), " ",IF(INDEX($U$2:$AC$1001,MATCH(ROWS($N$2:N991),$N$2:$N$1001,0),MATCH(COLUMNS($U$1006:U1006),$U$1006:$AC$1006,0)), HYPERLINK("#",""), HYPERLINK(CONCATENATE("#metadata!", ADDRESS(INDEX($P$2:$P$1001,MATCH(ROWS($N$2:N991),$N$2:$N$1001,0),0), INDEX($U$1004:$AC$1004,1,MATCH(COLUMNS($U$1006:U1006),$U$1006:$AC$1006,0)))),"Fix")))</f>
        <v>0</v>
      </c>
      <c r="C991" s="3">
        <f>IF(OR(INDEX($O$2:$O$1001,MATCH(ROWS($N$2:N991),$N$2:$N$1001,0),1)&gt;=100000,INDEX($U$1005:$AC$1005,1,MATCH(COLUMNS($U$1006:V1006),$U$1006:$AC$1006,0))&gt;=100000), " ",IF(INDEX($U$2:$AC$1001,MATCH(ROWS($N$2:N991),$N$2:$N$1001,0),MATCH(COLUMNS($U$1006:V1006),$U$1006:$AC$1006,0)), HYPERLINK("#",""), HYPERLINK(CONCATENATE("#metadata!", ADDRESS(INDEX($P$2:$P$1001,MATCH(ROWS($N$2:N991),$N$2:$N$1001,0),0), INDEX($U$1004:$AC$1004,1,MATCH(COLUMNS($U$1006:V1006),$U$1006:$AC$1006,0)))),"Fix")))</f>
        <v>0</v>
      </c>
      <c r="D991" s="3">
        <f>IF(OR(INDEX($O$2:$O$1001,MATCH(ROWS($N$2:N991),$N$2:$N$1001,0),1)&gt;=100000,INDEX($U$1005:$AC$1005,1,MATCH(COLUMNS($U$1006:W1006),$U$1006:$AC$1006,0))&gt;=100000), " ",IF(INDEX($U$2:$AC$1001,MATCH(ROWS($N$2:N991),$N$2:$N$1001,0),MATCH(COLUMNS($U$1006:W1006),$U$1006:$AC$1006,0)), HYPERLINK("#",""), HYPERLINK(CONCATENATE("#metadata!", ADDRESS(INDEX($P$2:$P$1001,MATCH(ROWS($N$2:N991),$N$2:$N$1001,0),0), INDEX($U$1004:$AC$1004,1,MATCH(COLUMNS($U$1006:W1006),$U$1006:$AC$1006,0)))),"Fix")))</f>
        <v>0</v>
      </c>
      <c r="E991" s="3">
        <f>IF(OR(INDEX($O$2:$O$1001,MATCH(ROWS($N$2:N991),$N$2:$N$1001,0),1)&gt;=100000,INDEX($U$1005:$AC$1005,1,MATCH(COLUMNS($U$1006:X1006),$U$1006:$AC$1006,0))&gt;=100000), " ",IF(INDEX($U$2:$AC$1001,MATCH(ROWS($N$2:N991),$N$2:$N$1001,0),MATCH(COLUMNS($U$1006:X1006),$U$1006:$AC$1006,0)), HYPERLINK("#",""), HYPERLINK(CONCATENATE("#metadata!", ADDRESS(INDEX($P$2:$P$1001,MATCH(ROWS($N$2:N991),$N$2:$N$1001,0),0), INDEX($U$1004:$AC$1004,1,MATCH(COLUMNS($U$1006:X1006),$U$1006:$AC$1006,0)))),"Fix")))</f>
        <v>0</v>
      </c>
      <c r="F991" s="3">
        <f>IF(OR(INDEX($O$2:$O$1001,MATCH(ROWS($N$2:N991),$N$2:$N$1001,0),1)&gt;=100000,INDEX($U$1005:$AC$1005,1,MATCH(COLUMNS($U$1006:Y1006),$U$1006:$AC$1006,0))&gt;=100000), " ",IF(INDEX($U$2:$AC$1001,MATCH(ROWS($N$2:N991),$N$2:$N$1001,0),MATCH(COLUMNS($U$1006:Y1006),$U$1006:$AC$1006,0)), HYPERLINK("#",""), HYPERLINK(CONCATENATE("#metadata!", ADDRESS(INDEX($P$2:$P$1001,MATCH(ROWS($N$2:N991),$N$2:$N$1001,0),0), INDEX($U$1004:$AC$1004,1,MATCH(COLUMNS($U$1006:Y1006),$U$1006:$AC$1006,0)))),"Fix")))</f>
        <v>0</v>
      </c>
      <c r="G991" s="3">
        <f>IF(OR(INDEX($O$2:$O$1001,MATCH(ROWS($N$2:N991),$N$2:$N$1001,0),1)&gt;=100000,INDEX($U$1005:$AC$1005,1,MATCH(COLUMNS($U$1006:Z1006),$U$1006:$AC$1006,0))&gt;=100000), " ",IF(INDEX($U$2:$AC$1001,MATCH(ROWS($N$2:N991),$N$2:$N$1001,0),MATCH(COLUMNS($U$1006:Z1006),$U$1006:$AC$1006,0)), HYPERLINK("#",""), HYPERLINK(CONCATENATE("#metadata!", ADDRESS(INDEX($P$2:$P$1001,MATCH(ROWS($N$2:N991),$N$2:$N$1001,0),0), INDEX($U$1004:$AC$1004,1,MATCH(COLUMNS($U$1006:Z1006),$U$1006:$AC$1006,0)))),"Fix")))</f>
        <v>0</v>
      </c>
      <c r="H991" s="3">
        <f>IF(OR(INDEX($O$2:$O$1001,MATCH(ROWS($N$2:N991),$N$2:$N$1001,0),1)&gt;=100000,INDEX($U$1005:$AC$1005,1,MATCH(COLUMNS($U$1006:AA1006),$U$1006:$AC$1006,0))&gt;=100000), " ",IF(INDEX($U$2:$AC$1001,MATCH(ROWS($N$2:N991),$N$2:$N$1001,0),MATCH(COLUMNS($U$1006:AA1006),$U$1006:$AC$1006,0)), HYPERLINK("#",""), HYPERLINK(CONCATENATE("#metadata!", ADDRESS(INDEX($P$2:$P$1001,MATCH(ROWS($N$2:N991),$N$2:$N$1001,0),0), INDEX($U$1004:$AC$1004,1,MATCH(COLUMNS($U$1006:AA1006),$U$1006:$AC$1006,0)))),"Fix")))</f>
        <v>0</v>
      </c>
      <c r="I991" s="3">
        <f>IF(OR(INDEX($O$2:$O$1001,MATCH(ROWS($N$2:N991),$N$2:$N$1001,0),1)&gt;=100000,INDEX($U$1005:$AC$1005,1,MATCH(COLUMNS($U$1006:AB1006),$U$1006:$AC$1006,0))&gt;=100000), " ",IF(INDEX($U$2:$AC$1001,MATCH(ROWS($N$2:N991),$N$2:$N$1001,0),MATCH(COLUMNS($U$1006:AB1006),$U$1006:$AC$1006,0)), HYPERLINK("#",""), HYPERLINK(CONCATENATE("#metadata!", ADDRESS(INDEX($P$2:$P$1001,MATCH(ROWS($N$2:N991),$N$2:$N$1001,0),0), INDEX($U$1004:$AC$1004,1,MATCH(COLUMNS($U$1006:AB1006),$U$1006:$AC$1006,0)))),"Fix")))</f>
        <v>0</v>
      </c>
      <c r="J991" s="3">
        <f>IF(OR(INDEX($O$2:$O$1001,MATCH(ROWS($N$2:N991),$N$2:$N$1001,0),1)&gt;=100000,INDEX($U$1005:$AC$1005,1,MATCH(COLUMNS($U$1006:AC1006),$U$1006:$AC$1006,0))&gt;=100000), " ",IF(INDEX($U$2:$AC$1001,MATCH(ROWS($N$2:N991),$N$2:$N$1001,0),MATCH(COLUMNS($U$1006:AC1006),$U$1006:$AC$1006,0)), HYPERLINK("#",""), HYPERLINK(CONCATENATE("#metadata!", ADDRESS(INDEX($P$2:$P$1001,MATCH(ROWS($N$2:N991),$N$2:$N$1001,0),0), INDEX($U$1004:$AC$1004,1,MATCH(COLUMNS($U$1006:AC1006),$U$1006:$AC$1006,0)))),"Fix")))</f>
        <v>0</v>
      </c>
      <c r="N991">
        <v>0</v>
      </c>
      <c r="O991">
        <v>0</v>
      </c>
      <c r="P991">
        <v>0</v>
      </c>
      <c r="Q991">
        <f>IF(R991,TRUE,AND(U991:AC991))</f>
        <v>0</v>
      </c>
      <c r="R991">
        <f>COUNTBLANK(metadata!B991:J991)=COLUMNS(metadata!B991:J991)</f>
        <v>0</v>
      </c>
      <c r="S991">
        <v>0</v>
      </c>
      <c r="U991">
        <f>AND(IF(metadata!B991="",FALSE,TRUE),COUNTIF(metadata!B:B, metadata!B991) = 1,NOT(ISERROR(SUMPRODUCT(SEARCH(MID(metadata!B991,ROW(INDIRECT("1:"&amp;LEN(metadata!B991))), 1),"0123456789abcdefghijklmnopqrstuvwxyzABCDEFGHIJKLMNOPQRSTUVWXYZ.")))))</f>
        <v>0</v>
      </c>
      <c r="V991">
        <f>AND(IF(metadata!C991="",FALSE,TRUE),exact(metadata!C991,"UBERON:genitourinary"))</f>
        <v>0</v>
      </c>
      <c r="W991">
        <f>AND(IF(metadata!D991="",FALSE,TRUE),exact(metadata!D991,"UBERON:urine"))</f>
        <v>0</v>
      </c>
      <c r="X991">
        <f>AND(IF(metadata!E991="",FALSE,TRUE),exact(metadata!E991,"UBERON:kidney"))</f>
        <v>0</v>
      </c>
      <c r="Y991">
        <f>AND(IF(metadata!F991="",FALSE,TRUE),exact(metadata!F991,"animal corpus"))</f>
        <v>0</v>
      </c>
      <c r="Z991">
        <f>AND(IF(metadata!G991="",FALSE,TRUE),exact(metadata!G991,"urine"))</f>
        <v>0</v>
      </c>
      <c r="AA991">
        <f>AND(IF(metadata!H991="",FALSE,TRUE),exact(metadata!H991,"urine"))</f>
        <v>0</v>
      </c>
      <c r="AB991">
        <f>AND(IF(metadata!I991="",FALSE,TRUE),exact(metadata!I991,"urine metagenome"))</f>
        <v>0</v>
      </c>
      <c r="AC991">
        <f>AND(IF(metadata!J991="",FALSE,TRUE),exact(metadata!J991,"1346744"))</f>
        <v>0</v>
      </c>
    </row>
    <row r="992" spans="1:29">
      <c r="A992" s="4">
        <f>IF(B992=" "," ",HYPERLINK(CONCATENATE("#metadata!",ADDRESS(INDEX($P$2:$P$1001,MATCH(ROWS($N$2:N992),$N$2:$N$1001,0),0),1)),INDEX($S$2:$S$1001,MATCH(ROWS($N$2:N992),$N$2:$N$1001,0),0)))</f>
        <v>0</v>
      </c>
      <c r="B992" s="3">
        <f>IF(OR(INDEX($O$2:$O$1001,MATCH(ROWS($N$2:N992),$N$2:$N$1001,0),1)&gt;=100000,INDEX($U$1005:$AC$1005,1,MATCH(COLUMNS($U$1006:U1006),$U$1006:$AC$1006,0))&gt;=100000), " ",IF(INDEX($U$2:$AC$1001,MATCH(ROWS($N$2:N992),$N$2:$N$1001,0),MATCH(COLUMNS($U$1006:U1006),$U$1006:$AC$1006,0)), HYPERLINK("#",""), HYPERLINK(CONCATENATE("#metadata!", ADDRESS(INDEX($P$2:$P$1001,MATCH(ROWS($N$2:N992),$N$2:$N$1001,0),0), INDEX($U$1004:$AC$1004,1,MATCH(COLUMNS($U$1006:U1006),$U$1006:$AC$1006,0)))),"Fix")))</f>
        <v>0</v>
      </c>
      <c r="C992" s="3">
        <f>IF(OR(INDEX($O$2:$O$1001,MATCH(ROWS($N$2:N992),$N$2:$N$1001,0),1)&gt;=100000,INDEX($U$1005:$AC$1005,1,MATCH(COLUMNS($U$1006:V1006),$U$1006:$AC$1006,0))&gt;=100000), " ",IF(INDEX($U$2:$AC$1001,MATCH(ROWS($N$2:N992),$N$2:$N$1001,0),MATCH(COLUMNS($U$1006:V1006),$U$1006:$AC$1006,0)), HYPERLINK("#",""), HYPERLINK(CONCATENATE("#metadata!", ADDRESS(INDEX($P$2:$P$1001,MATCH(ROWS($N$2:N992),$N$2:$N$1001,0),0), INDEX($U$1004:$AC$1004,1,MATCH(COLUMNS($U$1006:V1006),$U$1006:$AC$1006,0)))),"Fix")))</f>
        <v>0</v>
      </c>
      <c r="D992" s="3">
        <f>IF(OR(INDEX($O$2:$O$1001,MATCH(ROWS($N$2:N992),$N$2:$N$1001,0),1)&gt;=100000,INDEX($U$1005:$AC$1005,1,MATCH(COLUMNS($U$1006:W1006),$U$1006:$AC$1006,0))&gt;=100000), " ",IF(INDEX($U$2:$AC$1001,MATCH(ROWS($N$2:N992),$N$2:$N$1001,0),MATCH(COLUMNS($U$1006:W1006),$U$1006:$AC$1006,0)), HYPERLINK("#",""), HYPERLINK(CONCATENATE("#metadata!", ADDRESS(INDEX($P$2:$P$1001,MATCH(ROWS($N$2:N992),$N$2:$N$1001,0),0), INDEX($U$1004:$AC$1004,1,MATCH(COLUMNS($U$1006:W1006),$U$1006:$AC$1006,0)))),"Fix")))</f>
        <v>0</v>
      </c>
      <c r="E992" s="3">
        <f>IF(OR(INDEX($O$2:$O$1001,MATCH(ROWS($N$2:N992),$N$2:$N$1001,0),1)&gt;=100000,INDEX($U$1005:$AC$1005,1,MATCH(COLUMNS($U$1006:X1006),$U$1006:$AC$1006,0))&gt;=100000), " ",IF(INDEX($U$2:$AC$1001,MATCH(ROWS($N$2:N992),$N$2:$N$1001,0),MATCH(COLUMNS($U$1006:X1006),$U$1006:$AC$1006,0)), HYPERLINK("#",""), HYPERLINK(CONCATENATE("#metadata!", ADDRESS(INDEX($P$2:$P$1001,MATCH(ROWS($N$2:N992),$N$2:$N$1001,0),0), INDEX($U$1004:$AC$1004,1,MATCH(COLUMNS($U$1006:X1006),$U$1006:$AC$1006,0)))),"Fix")))</f>
        <v>0</v>
      </c>
      <c r="F992" s="3">
        <f>IF(OR(INDEX($O$2:$O$1001,MATCH(ROWS($N$2:N992),$N$2:$N$1001,0),1)&gt;=100000,INDEX($U$1005:$AC$1005,1,MATCH(COLUMNS($U$1006:Y1006),$U$1006:$AC$1006,0))&gt;=100000), " ",IF(INDEX($U$2:$AC$1001,MATCH(ROWS($N$2:N992),$N$2:$N$1001,0),MATCH(COLUMNS($U$1006:Y1006),$U$1006:$AC$1006,0)), HYPERLINK("#",""), HYPERLINK(CONCATENATE("#metadata!", ADDRESS(INDEX($P$2:$P$1001,MATCH(ROWS($N$2:N992),$N$2:$N$1001,0),0), INDEX($U$1004:$AC$1004,1,MATCH(COLUMNS($U$1006:Y1006),$U$1006:$AC$1006,0)))),"Fix")))</f>
        <v>0</v>
      </c>
      <c r="G992" s="3">
        <f>IF(OR(INDEX($O$2:$O$1001,MATCH(ROWS($N$2:N992),$N$2:$N$1001,0),1)&gt;=100000,INDEX($U$1005:$AC$1005,1,MATCH(COLUMNS($U$1006:Z1006),$U$1006:$AC$1006,0))&gt;=100000), " ",IF(INDEX($U$2:$AC$1001,MATCH(ROWS($N$2:N992),$N$2:$N$1001,0),MATCH(COLUMNS($U$1006:Z1006),$U$1006:$AC$1006,0)), HYPERLINK("#",""), HYPERLINK(CONCATENATE("#metadata!", ADDRESS(INDEX($P$2:$P$1001,MATCH(ROWS($N$2:N992),$N$2:$N$1001,0),0), INDEX($U$1004:$AC$1004,1,MATCH(COLUMNS($U$1006:Z1006),$U$1006:$AC$1006,0)))),"Fix")))</f>
        <v>0</v>
      </c>
      <c r="H992" s="3">
        <f>IF(OR(INDEX($O$2:$O$1001,MATCH(ROWS($N$2:N992),$N$2:$N$1001,0),1)&gt;=100000,INDEX($U$1005:$AC$1005,1,MATCH(COLUMNS($U$1006:AA1006),$U$1006:$AC$1006,0))&gt;=100000), " ",IF(INDEX($U$2:$AC$1001,MATCH(ROWS($N$2:N992),$N$2:$N$1001,0),MATCH(COLUMNS($U$1006:AA1006),$U$1006:$AC$1006,0)), HYPERLINK("#",""), HYPERLINK(CONCATENATE("#metadata!", ADDRESS(INDEX($P$2:$P$1001,MATCH(ROWS($N$2:N992),$N$2:$N$1001,0),0), INDEX($U$1004:$AC$1004,1,MATCH(COLUMNS($U$1006:AA1006),$U$1006:$AC$1006,0)))),"Fix")))</f>
        <v>0</v>
      </c>
      <c r="I992" s="3">
        <f>IF(OR(INDEX($O$2:$O$1001,MATCH(ROWS($N$2:N992),$N$2:$N$1001,0),1)&gt;=100000,INDEX($U$1005:$AC$1005,1,MATCH(COLUMNS($U$1006:AB1006),$U$1006:$AC$1006,0))&gt;=100000), " ",IF(INDEX($U$2:$AC$1001,MATCH(ROWS($N$2:N992),$N$2:$N$1001,0),MATCH(COLUMNS($U$1006:AB1006),$U$1006:$AC$1006,0)), HYPERLINK("#",""), HYPERLINK(CONCATENATE("#metadata!", ADDRESS(INDEX($P$2:$P$1001,MATCH(ROWS($N$2:N992),$N$2:$N$1001,0),0), INDEX($U$1004:$AC$1004,1,MATCH(COLUMNS($U$1006:AB1006),$U$1006:$AC$1006,0)))),"Fix")))</f>
        <v>0</v>
      </c>
      <c r="J992" s="3">
        <f>IF(OR(INDEX($O$2:$O$1001,MATCH(ROWS($N$2:N992),$N$2:$N$1001,0),1)&gt;=100000,INDEX($U$1005:$AC$1005,1,MATCH(COLUMNS($U$1006:AC1006),$U$1006:$AC$1006,0))&gt;=100000), " ",IF(INDEX($U$2:$AC$1001,MATCH(ROWS($N$2:N992),$N$2:$N$1001,0),MATCH(COLUMNS($U$1006:AC1006),$U$1006:$AC$1006,0)), HYPERLINK("#",""), HYPERLINK(CONCATENATE("#metadata!", ADDRESS(INDEX($P$2:$P$1001,MATCH(ROWS($N$2:N992),$N$2:$N$1001,0),0), INDEX($U$1004:$AC$1004,1,MATCH(COLUMNS($U$1006:AC1006),$U$1006:$AC$1006,0)))),"Fix")))</f>
        <v>0</v>
      </c>
      <c r="N992">
        <v>0</v>
      </c>
      <c r="O992">
        <v>0</v>
      </c>
      <c r="P992">
        <v>0</v>
      </c>
      <c r="Q992">
        <f>IF(R992,TRUE,AND(U992:AC992))</f>
        <v>0</v>
      </c>
      <c r="R992">
        <f>COUNTBLANK(metadata!B992:J992)=COLUMNS(metadata!B992:J992)</f>
        <v>0</v>
      </c>
      <c r="S992">
        <v>0</v>
      </c>
      <c r="U992">
        <f>AND(IF(metadata!B992="",FALSE,TRUE),COUNTIF(metadata!B:B, metadata!B992) = 1,NOT(ISERROR(SUMPRODUCT(SEARCH(MID(metadata!B992,ROW(INDIRECT("1:"&amp;LEN(metadata!B992))), 1),"0123456789abcdefghijklmnopqrstuvwxyzABCDEFGHIJKLMNOPQRSTUVWXYZ.")))))</f>
        <v>0</v>
      </c>
      <c r="V992">
        <f>AND(IF(metadata!C992="",FALSE,TRUE),exact(metadata!C992,"UBERON:genitourinary"))</f>
        <v>0</v>
      </c>
      <c r="W992">
        <f>AND(IF(metadata!D992="",FALSE,TRUE),exact(metadata!D992,"UBERON:urine"))</f>
        <v>0</v>
      </c>
      <c r="X992">
        <f>AND(IF(metadata!E992="",FALSE,TRUE),exact(metadata!E992,"UBERON:kidney"))</f>
        <v>0</v>
      </c>
      <c r="Y992">
        <f>AND(IF(metadata!F992="",FALSE,TRUE),exact(metadata!F992,"animal corpus"))</f>
        <v>0</v>
      </c>
      <c r="Z992">
        <f>AND(IF(metadata!G992="",FALSE,TRUE),exact(metadata!G992,"urine"))</f>
        <v>0</v>
      </c>
      <c r="AA992">
        <f>AND(IF(metadata!H992="",FALSE,TRUE),exact(metadata!H992,"urine"))</f>
        <v>0</v>
      </c>
      <c r="AB992">
        <f>AND(IF(metadata!I992="",FALSE,TRUE),exact(metadata!I992,"urine metagenome"))</f>
        <v>0</v>
      </c>
      <c r="AC992">
        <f>AND(IF(metadata!J992="",FALSE,TRUE),exact(metadata!J992,"1346744"))</f>
        <v>0</v>
      </c>
    </row>
    <row r="993" spans="1:29">
      <c r="A993" s="4">
        <f>IF(B993=" "," ",HYPERLINK(CONCATENATE("#metadata!",ADDRESS(INDEX($P$2:$P$1001,MATCH(ROWS($N$2:N993),$N$2:$N$1001,0),0),1)),INDEX($S$2:$S$1001,MATCH(ROWS($N$2:N993),$N$2:$N$1001,0),0)))</f>
        <v>0</v>
      </c>
      <c r="B993" s="3">
        <f>IF(OR(INDEX($O$2:$O$1001,MATCH(ROWS($N$2:N993),$N$2:$N$1001,0),1)&gt;=100000,INDEX($U$1005:$AC$1005,1,MATCH(COLUMNS($U$1006:U1006),$U$1006:$AC$1006,0))&gt;=100000), " ",IF(INDEX($U$2:$AC$1001,MATCH(ROWS($N$2:N993),$N$2:$N$1001,0),MATCH(COLUMNS($U$1006:U1006),$U$1006:$AC$1006,0)), HYPERLINK("#",""), HYPERLINK(CONCATENATE("#metadata!", ADDRESS(INDEX($P$2:$P$1001,MATCH(ROWS($N$2:N993),$N$2:$N$1001,0),0), INDEX($U$1004:$AC$1004,1,MATCH(COLUMNS($U$1006:U1006),$U$1006:$AC$1006,0)))),"Fix")))</f>
        <v>0</v>
      </c>
      <c r="C993" s="3">
        <f>IF(OR(INDEX($O$2:$O$1001,MATCH(ROWS($N$2:N993),$N$2:$N$1001,0),1)&gt;=100000,INDEX($U$1005:$AC$1005,1,MATCH(COLUMNS($U$1006:V1006),$U$1006:$AC$1006,0))&gt;=100000), " ",IF(INDEX($U$2:$AC$1001,MATCH(ROWS($N$2:N993),$N$2:$N$1001,0),MATCH(COLUMNS($U$1006:V1006),$U$1006:$AC$1006,0)), HYPERLINK("#",""), HYPERLINK(CONCATENATE("#metadata!", ADDRESS(INDEX($P$2:$P$1001,MATCH(ROWS($N$2:N993),$N$2:$N$1001,0),0), INDEX($U$1004:$AC$1004,1,MATCH(COLUMNS($U$1006:V1006),$U$1006:$AC$1006,0)))),"Fix")))</f>
        <v>0</v>
      </c>
      <c r="D993" s="3">
        <f>IF(OR(INDEX($O$2:$O$1001,MATCH(ROWS($N$2:N993),$N$2:$N$1001,0),1)&gt;=100000,INDEX($U$1005:$AC$1005,1,MATCH(COLUMNS($U$1006:W1006),$U$1006:$AC$1006,0))&gt;=100000), " ",IF(INDEX($U$2:$AC$1001,MATCH(ROWS($N$2:N993),$N$2:$N$1001,0),MATCH(COLUMNS($U$1006:W1006),$U$1006:$AC$1006,0)), HYPERLINK("#",""), HYPERLINK(CONCATENATE("#metadata!", ADDRESS(INDEX($P$2:$P$1001,MATCH(ROWS($N$2:N993),$N$2:$N$1001,0),0), INDEX($U$1004:$AC$1004,1,MATCH(COLUMNS($U$1006:W1006),$U$1006:$AC$1006,0)))),"Fix")))</f>
        <v>0</v>
      </c>
      <c r="E993" s="3">
        <f>IF(OR(INDEX($O$2:$O$1001,MATCH(ROWS($N$2:N993),$N$2:$N$1001,0),1)&gt;=100000,INDEX($U$1005:$AC$1005,1,MATCH(COLUMNS($U$1006:X1006),$U$1006:$AC$1006,0))&gt;=100000), " ",IF(INDEX($U$2:$AC$1001,MATCH(ROWS($N$2:N993),$N$2:$N$1001,0),MATCH(COLUMNS($U$1006:X1006),$U$1006:$AC$1006,0)), HYPERLINK("#",""), HYPERLINK(CONCATENATE("#metadata!", ADDRESS(INDEX($P$2:$P$1001,MATCH(ROWS($N$2:N993),$N$2:$N$1001,0),0), INDEX($U$1004:$AC$1004,1,MATCH(COLUMNS($U$1006:X1006),$U$1006:$AC$1006,0)))),"Fix")))</f>
        <v>0</v>
      </c>
      <c r="F993" s="3">
        <f>IF(OR(INDEX($O$2:$O$1001,MATCH(ROWS($N$2:N993),$N$2:$N$1001,0),1)&gt;=100000,INDEX($U$1005:$AC$1005,1,MATCH(COLUMNS($U$1006:Y1006),$U$1006:$AC$1006,0))&gt;=100000), " ",IF(INDEX($U$2:$AC$1001,MATCH(ROWS($N$2:N993),$N$2:$N$1001,0),MATCH(COLUMNS($U$1006:Y1006),$U$1006:$AC$1006,0)), HYPERLINK("#",""), HYPERLINK(CONCATENATE("#metadata!", ADDRESS(INDEX($P$2:$P$1001,MATCH(ROWS($N$2:N993),$N$2:$N$1001,0),0), INDEX($U$1004:$AC$1004,1,MATCH(COLUMNS($U$1006:Y1006),$U$1006:$AC$1006,0)))),"Fix")))</f>
        <v>0</v>
      </c>
      <c r="G993" s="3">
        <f>IF(OR(INDEX($O$2:$O$1001,MATCH(ROWS($N$2:N993),$N$2:$N$1001,0),1)&gt;=100000,INDEX($U$1005:$AC$1005,1,MATCH(COLUMNS($U$1006:Z1006),$U$1006:$AC$1006,0))&gt;=100000), " ",IF(INDEX($U$2:$AC$1001,MATCH(ROWS($N$2:N993),$N$2:$N$1001,0),MATCH(COLUMNS($U$1006:Z1006),$U$1006:$AC$1006,0)), HYPERLINK("#",""), HYPERLINK(CONCATENATE("#metadata!", ADDRESS(INDEX($P$2:$P$1001,MATCH(ROWS($N$2:N993),$N$2:$N$1001,0),0), INDEX($U$1004:$AC$1004,1,MATCH(COLUMNS($U$1006:Z1006),$U$1006:$AC$1006,0)))),"Fix")))</f>
        <v>0</v>
      </c>
      <c r="H993" s="3">
        <f>IF(OR(INDEX($O$2:$O$1001,MATCH(ROWS($N$2:N993),$N$2:$N$1001,0),1)&gt;=100000,INDEX($U$1005:$AC$1005,1,MATCH(COLUMNS($U$1006:AA1006),$U$1006:$AC$1006,0))&gt;=100000), " ",IF(INDEX($U$2:$AC$1001,MATCH(ROWS($N$2:N993),$N$2:$N$1001,0),MATCH(COLUMNS($U$1006:AA1006),$U$1006:$AC$1006,0)), HYPERLINK("#",""), HYPERLINK(CONCATENATE("#metadata!", ADDRESS(INDEX($P$2:$P$1001,MATCH(ROWS($N$2:N993),$N$2:$N$1001,0),0), INDEX($U$1004:$AC$1004,1,MATCH(COLUMNS($U$1006:AA1006),$U$1006:$AC$1006,0)))),"Fix")))</f>
        <v>0</v>
      </c>
      <c r="I993" s="3">
        <f>IF(OR(INDEX($O$2:$O$1001,MATCH(ROWS($N$2:N993),$N$2:$N$1001,0),1)&gt;=100000,INDEX($U$1005:$AC$1005,1,MATCH(COLUMNS($U$1006:AB1006),$U$1006:$AC$1006,0))&gt;=100000), " ",IF(INDEX($U$2:$AC$1001,MATCH(ROWS($N$2:N993),$N$2:$N$1001,0),MATCH(COLUMNS($U$1006:AB1006),$U$1006:$AC$1006,0)), HYPERLINK("#",""), HYPERLINK(CONCATENATE("#metadata!", ADDRESS(INDEX($P$2:$P$1001,MATCH(ROWS($N$2:N993),$N$2:$N$1001,0),0), INDEX($U$1004:$AC$1004,1,MATCH(COLUMNS($U$1006:AB1006),$U$1006:$AC$1006,0)))),"Fix")))</f>
        <v>0</v>
      </c>
      <c r="J993" s="3">
        <f>IF(OR(INDEX($O$2:$O$1001,MATCH(ROWS($N$2:N993),$N$2:$N$1001,0),1)&gt;=100000,INDEX($U$1005:$AC$1005,1,MATCH(COLUMNS($U$1006:AC1006),$U$1006:$AC$1006,0))&gt;=100000), " ",IF(INDEX($U$2:$AC$1001,MATCH(ROWS($N$2:N993),$N$2:$N$1001,0),MATCH(COLUMNS($U$1006:AC1006),$U$1006:$AC$1006,0)), HYPERLINK("#",""), HYPERLINK(CONCATENATE("#metadata!", ADDRESS(INDEX($P$2:$P$1001,MATCH(ROWS($N$2:N993),$N$2:$N$1001,0),0), INDEX($U$1004:$AC$1004,1,MATCH(COLUMNS($U$1006:AC1006),$U$1006:$AC$1006,0)))),"Fix")))</f>
        <v>0</v>
      </c>
      <c r="N993">
        <v>0</v>
      </c>
      <c r="O993">
        <v>0</v>
      </c>
      <c r="P993">
        <v>0</v>
      </c>
      <c r="Q993">
        <f>IF(R993,TRUE,AND(U993:AC993))</f>
        <v>0</v>
      </c>
      <c r="R993">
        <f>COUNTBLANK(metadata!B993:J993)=COLUMNS(metadata!B993:J993)</f>
        <v>0</v>
      </c>
      <c r="S993">
        <v>0</v>
      </c>
      <c r="U993">
        <f>AND(IF(metadata!B993="",FALSE,TRUE),COUNTIF(metadata!B:B, metadata!B993) = 1,NOT(ISERROR(SUMPRODUCT(SEARCH(MID(metadata!B993,ROW(INDIRECT("1:"&amp;LEN(metadata!B993))), 1),"0123456789abcdefghijklmnopqrstuvwxyzABCDEFGHIJKLMNOPQRSTUVWXYZ.")))))</f>
        <v>0</v>
      </c>
      <c r="V993">
        <f>AND(IF(metadata!C993="",FALSE,TRUE),exact(metadata!C993,"UBERON:genitourinary"))</f>
        <v>0</v>
      </c>
      <c r="W993">
        <f>AND(IF(metadata!D993="",FALSE,TRUE),exact(metadata!D993,"UBERON:urine"))</f>
        <v>0</v>
      </c>
      <c r="X993">
        <f>AND(IF(metadata!E993="",FALSE,TRUE),exact(metadata!E993,"UBERON:kidney"))</f>
        <v>0</v>
      </c>
      <c r="Y993">
        <f>AND(IF(metadata!F993="",FALSE,TRUE),exact(metadata!F993,"animal corpus"))</f>
        <v>0</v>
      </c>
      <c r="Z993">
        <f>AND(IF(metadata!G993="",FALSE,TRUE),exact(metadata!G993,"urine"))</f>
        <v>0</v>
      </c>
      <c r="AA993">
        <f>AND(IF(metadata!H993="",FALSE,TRUE),exact(metadata!H993,"urine"))</f>
        <v>0</v>
      </c>
      <c r="AB993">
        <f>AND(IF(metadata!I993="",FALSE,TRUE),exact(metadata!I993,"urine metagenome"))</f>
        <v>0</v>
      </c>
      <c r="AC993">
        <f>AND(IF(metadata!J993="",FALSE,TRUE),exact(metadata!J993,"1346744"))</f>
        <v>0</v>
      </c>
    </row>
    <row r="994" spans="1:29">
      <c r="A994" s="4">
        <f>IF(B994=" "," ",HYPERLINK(CONCATENATE("#metadata!",ADDRESS(INDEX($P$2:$P$1001,MATCH(ROWS($N$2:N994),$N$2:$N$1001,0),0),1)),INDEX($S$2:$S$1001,MATCH(ROWS($N$2:N994),$N$2:$N$1001,0),0)))</f>
        <v>0</v>
      </c>
      <c r="B994" s="3">
        <f>IF(OR(INDEX($O$2:$O$1001,MATCH(ROWS($N$2:N994),$N$2:$N$1001,0),1)&gt;=100000,INDEX($U$1005:$AC$1005,1,MATCH(COLUMNS($U$1006:U1006),$U$1006:$AC$1006,0))&gt;=100000), " ",IF(INDEX($U$2:$AC$1001,MATCH(ROWS($N$2:N994),$N$2:$N$1001,0),MATCH(COLUMNS($U$1006:U1006),$U$1006:$AC$1006,0)), HYPERLINK("#",""), HYPERLINK(CONCATENATE("#metadata!", ADDRESS(INDEX($P$2:$P$1001,MATCH(ROWS($N$2:N994),$N$2:$N$1001,0),0), INDEX($U$1004:$AC$1004,1,MATCH(COLUMNS($U$1006:U1006),$U$1006:$AC$1006,0)))),"Fix")))</f>
        <v>0</v>
      </c>
      <c r="C994" s="3">
        <f>IF(OR(INDEX($O$2:$O$1001,MATCH(ROWS($N$2:N994),$N$2:$N$1001,0),1)&gt;=100000,INDEX($U$1005:$AC$1005,1,MATCH(COLUMNS($U$1006:V1006),$U$1006:$AC$1006,0))&gt;=100000), " ",IF(INDEX($U$2:$AC$1001,MATCH(ROWS($N$2:N994),$N$2:$N$1001,0),MATCH(COLUMNS($U$1006:V1006),$U$1006:$AC$1006,0)), HYPERLINK("#",""), HYPERLINK(CONCATENATE("#metadata!", ADDRESS(INDEX($P$2:$P$1001,MATCH(ROWS($N$2:N994),$N$2:$N$1001,0),0), INDEX($U$1004:$AC$1004,1,MATCH(COLUMNS($U$1006:V1006),$U$1006:$AC$1006,0)))),"Fix")))</f>
        <v>0</v>
      </c>
      <c r="D994" s="3">
        <f>IF(OR(INDEX($O$2:$O$1001,MATCH(ROWS($N$2:N994),$N$2:$N$1001,0),1)&gt;=100000,INDEX($U$1005:$AC$1005,1,MATCH(COLUMNS($U$1006:W1006),$U$1006:$AC$1006,0))&gt;=100000), " ",IF(INDEX($U$2:$AC$1001,MATCH(ROWS($N$2:N994),$N$2:$N$1001,0),MATCH(COLUMNS($U$1006:W1006),$U$1006:$AC$1006,0)), HYPERLINK("#",""), HYPERLINK(CONCATENATE("#metadata!", ADDRESS(INDEX($P$2:$P$1001,MATCH(ROWS($N$2:N994),$N$2:$N$1001,0),0), INDEX($U$1004:$AC$1004,1,MATCH(COLUMNS($U$1006:W1006),$U$1006:$AC$1006,0)))),"Fix")))</f>
        <v>0</v>
      </c>
      <c r="E994" s="3">
        <f>IF(OR(INDEX($O$2:$O$1001,MATCH(ROWS($N$2:N994),$N$2:$N$1001,0),1)&gt;=100000,INDEX($U$1005:$AC$1005,1,MATCH(COLUMNS($U$1006:X1006),$U$1006:$AC$1006,0))&gt;=100000), " ",IF(INDEX($U$2:$AC$1001,MATCH(ROWS($N$2:N994),$N$2:$N$1001,0),MATCH(COLUMNS($U$1006:X1006),$U$1006:$AC$1006,0)), HYPERLINK("#",""), HYPERLINK(CONCATENATE("#metadata!", ADDRESS(INDEX($P$2:$P$1001,MATCH(ROWS($N$2:N994),$N$2:$N$1001,0),0), INDEX($U$1004:$AC$1004,1,MATCH(COLUMNS($U$1006:X1006),$U$1006:$AC$1006,0)))),"Fix")))</f>
        <v>0</v>
      </c>
      <c r="F994" s="3">
        <f>IF(OR(INDEX($O$2:$O$1001,MATCH(ROWS($N$2:N994),$N$2:$N$1001,0),1)&gt;=100000,INDEX($U$1005:$AC$1005,1,MATCH(COLUMNS($U$1006:Y1006),$U$1006:$AC$1006,0))&gt;=100000), " ",IF(INDEX($U$2:$AC$1001,MATCH(ROWS($N$2:N994),$N$2:$N$1001,0),MATCH(COLUMNS($U$1006:Y1006),$U$1006:$AC$1006,0)), HYPERLINK("#",""), HYPERLINK(CONCATENATE("#metadata!", ADDRESS(INDEX($P$2:$P$1001,MATCH(ROWS($N$2:N994),$N$2:$N$1001,0),0), INDEX($U$1004:$AC$1004,1,MATCH(COLUMNS($U$1006:Y1006),$U$1006:$AC$1006,0)))),"Fix")))</f>
        <v>0</v>
      </c>
      <c r="G994" s="3">
        <f>IF(OR(INDEX($O$2:$O$1001,MATCH(ROWS($N$2:N994),$N$2:$N$1001,0),1)&gt;=100000,INDEX($U$1005:$AC$1005,1,MATCH(COLUMNS($U$1006:Z1006),$U$1006:$AC$1006,0))&gt;=100000), " ",IF(INDEX($U$2:$AC$1001,MATCH(ROWS($N$2:N994),$N$2:$N$1001,0),MATCH(COLUMNS($U$1006:Z1006),$U$1006:$AC$1006,0)), HYPERLINK("#",""), HYPERLINK(CONCATENATE("#metadata!", ADDRESS(INDEX($P$2:$P$1001,MATCH(ROWS($N$2:N994),$N$2:$N$1001,0),0), INDEX($U$1004:$AC$1004,1,MATCH(COLUMNS($U$1006:Z1006),$U$1006:$AC$1006,0)))),"Fix")))</f>
        <v>0</v>
      </c>
      <c r="H994" s="3">
        <f>IF(OR(INDEX($O$2:$O$1001,MATCH(ROWS($N$2:N994),$N$2:$N$1001,0),1)&gt;=100000,INDEX($U$1005:$AC$1005,1,MATCH(COLUMNS($U$1006:AA1006),$U$1006:$AC$1006,0))&gt;=100000), " ",IF(INDEX($U$2:$AC$1001,MATCH(ROWS($N$2:N994),$N$2:$N$1001,0),MATCH(COLUMNS($U$1006:AA1006),$U$1006:$AC$1006,0)), HYPERLINK("#",""), HYPERLINK(CONCATENATE("#metadata!", ADDRESS(INDEX($P$2:$P$1001,MATCH(ROWS($N$2:N994),$N$2:$N$1001,0),0), INDEX($U$1004:$AC$1004,1,MATCH(COLUMNS($U$1006:AA1006),$U$1006:$AC$1006,0)))),"Fix")))</f>
        <v>0</v>
      </c>
      <c r="I994" s="3">
        <f>IF(OR(INDEX($O$2:$O$1001,MATCH(ROWS($N$2:N994),$N$2:$N$1001,0),1)&gt;=100000,INDEX($U$1005:$AC$1005,1,MATCH(COLUMNS($U$1006:AB1006),$U$1006:$AC$1006,0))&gt;=100000), " ",IF(INDEX($U$2:$AC$1001,MATCH(ROWS($N$2:N994),$N$2:$N$1001,0),MATCH(COLUMNS($U$1006:AB1006),$U$1006:$AC$1006,0)), HYPERLINK("#",""), HYPERLINK(CONCATENATE("#metadata!", ADDRESS(INDEX($P$2:$P$1001,MATCH(ROWS($N$2:N994),$N$2:$N$1001,0),0), INDEX($U$1004:$AC$1004,1,MATCH(COLUMNS($U$1006:AB1006),$U$1006:$AC$1006,0)))),"Fix")))</f>
        <v>0</v>
      </c>
      <c r="J994" s="3">
        <f>IF(OR(INDEX($O$2:$O$1001,MATCH(ROWS($N$2:N994),$N$2:$N$1001,0),1)&gt;=100000,INDEX($U$1005:$AC$1005,1,MATCH(COLUMNS($U$1006:AC1006),$U$1006:$AC$1006,0))&gt;=100000), " ",IF(INDEX($U$2:$AC$1001,MATCH(ROWS($N$2:N994),$N$2:$N$1001,0),MATCH(COLUMNS($U$1006:AC1006),$U$1006:$AC$1006,0)), HYPERLINK("#",""), HYPERLINK(CONCATENATE("#metadata!", ADDRESS(INDEX($P$2:$P$1001,MATCH(ROWS($N$2:N994),$N$2:$N$1001,0),0), INDEX($U$1004:$AC$1004,1,MATCH(COLUMNS($U$1006:AC1006),$U$1006:$AC$1006,0)))),"Fix")))</f>
        <v>0</v>
      </c>
      <c r="N994">
        <v>0</v>
      </c>
      <c r="O994">
        <v>0</v>
      </c>
      <c r="P994">
        <v>0</v>
      </c>
      <c r="Q994">
        <f>IF(R994,TRUE,AND(U994:AC994))</f>
        <v>0</v>
      </c>
      <c r="R994">
        <f>COUNTBLANK(metadata!B994:J994)=COLUMNS(metadata!B994:J994)</f>
        <v>0</v>
      </c>
      <c r="S994">
        <v>0</v>
      </c>
      <c r="U994">
        <f>AND(IF(metadata!B994="",FALSE,TRUE),COUNTIF(metadata!B:B, metadata!B994) = 1,NOT(ISERROR(SUMPRODUCT(SEARCH(MID(metadata!B994,ROW(INDIRECT("1:"&amp;LEN(metadata!B994))), 1),"0123456789abcdefghijklmnopqrstuvwxyzABCDEFGHIJKLMNOPQRSTUVWXYZ.")))))</f>
        <v>0</v>
      </c>
      <c r="V994">
        <f>AND(IF(metadata!C994="",FALSE,TRUE),exact(metadata!C994,"UBERON:genitourinary"))</f>
        <v>0</v>
      </c>
      <c r="W994">
        <f>AND(IF(metadata!D994="",FALSE,TRUE),exact(metadata!D994,"UBERON:urine"))</f>
        <v>0</v>
      </c>
      <c r="X994">
        <f>AND(IF(metadata!E994="",FALSE,TRUE),exact(metadata!E994,"UBERON:kidney"))</f>
        <v>0</v>
      </c>
      <c r="Y994">
        <f>AND(IF(metadata!F994="",FALSE,TRUE),exact(metadata!F994,"animal corpus"))</f>
        <v>0</v>
      </c>
      <c r="Z994">
        <f>AND(IF(metadata!G994="",FALSE,TRUE),exact(metadata!G994,"urine"))</f>
        <v>0</v>
      </c>
      <c r="AA994">
        <f>AND(IF(metadata!H994="",FALSE,TRUE),exact(metadata!H994,"urine"))</f>
        <v>0</v>
      </c>
      <c r="AB994">
        <f>AND(IF(metadata!I994="",FALSE,TRUE),exact(metadata!I994,"urine metagenome"))</f>
        <v>0</v>
      </c>
      <c r="AC994">
        <f>AND(IF(metadata!J994="",FALSE,TRUE),exact(metadata!J994,"1346744"))</f>
        <v>0</v>
      </c>
    </row>
    <row r="995" spans="1:29">
      <c r="A995" s="4">
        <f>IF(B995=" "," ",HYPERLINK(CONCATENATE("#metadata!",ADDRESS(INDEX($P$2:$P$1001,MATCH(ROWS($N$2:N995),$N$2:$N$1001,0),0),1)),INDEX($S$2:$S$1001,MATCH(ROWS($N$2:N995),$N$2:$N$1001,0),0)))</f>
        <v>0</v>
      </c>
      <c r="B995" s="3">
        <f>IF(OR(INDEX($O$2:$O$1001,MATCH(ROWS($N$2:N995),$N$2:$N$1001,0),1)&gt;=100000,INDEX($U$1005:$AC$1005,1,MATCH(COLUMNS($U$1006:U1006),$U$1006:$AC$1006,0))&gt;=100000), " ",IF(INDEX($U$2:$AC$1001,MATCH(ROWS($N$2:N995),$N$2:$N$1001,0),MATCH(COLUMNS($U$1006:U1006),$U$1006:$AC$1006,0)), HYPERLINK("#",""), HYPERLINK(CONCATENATE("#metadata!", ADDRESS(INDEX($P$2:$P$1001,MATCH(ROWS($N$2:N995),$N$2:$N$1001,0),0), INDEX($U$1004:$AC$1004,1,MATCH(COLUMNS($U$1006:U1006),$U$1006:$AC$1006,0)))),"Fix")))</f>
        <v>0</v>
      </c>
      <c r="C995" s="3">
        <f>IF(OR(INDEX($O$2:$O$1001,MATCH(ROWS($N$2:N995),$N$2:$N$1001,0),1)&gt;=100000,INDEX($U$1005:$AC$1005,1,MATCH(COLUMNS($U$1006:V1006),$U$1006:$AC$1006,0))&gt;=100000), " ",IF(INDEX($U$2:$AC$1001,MATCH(ROWS($N$2:N995),$N$2:$N$1001,0),MATCH(COLUMNS($U$1006:V1006),$U$1006:$AC$1006,0)), HYPERLINK("#",""), HYPERLINK(CONCATENATE("#metadata!", ADDRESS(INDEX($P$2:$P$1001,MATCH(ROWS($N$2:N995),$N$2:$N$1001,0),0), INDEX($U$1004:$AC$1004,1,MATCH(COLUMNS($U$1006:V1006),$U$1006:$AC$1006,0)))),"Fix")))</f>
        <v>0</v>
      </c>
      <c r="D995" s="3">
        <f>IF(OR(INDEX($O$2:$O$1001,MATCH(ROWS($N$2:N995),$N$2:$N$1001,0),1)&gt;=100000,INDEX($U$1005:$AC$1005,1,MATCH(COLUMNS($U$1006:W1006),$U$1006:$AC$1006,0))&gt;=100000), " ",IF(INDEX($U$2:$AC$1001,MATCH(ROWS($N$2:N995),$N$2:$N$1001,0),MATCH(COLUMNS($U$1006:W1006),$U$1006:$AC$1006,0)), HYPERLINK("#",""), HYPERLINK(CONCATENATE("#metadata!", ADDRESS(INDEX($P$2:$P$1001,MATCH(ROWS($N$2:N995),$N$2:$N$1001,0),0), INDEX($U$1004:$AC$1004,1,MATCH(COLUMNS($U$1006:W1006),$U$1006:$AC$1006,0)))),"Fix")))</f>
        <v>0</v>
      </c>
      <c r="E995" s="3">
        <f>IF(OR(INDEX($O$2:$O$1001,MATCH(ROWS($N$2:N995),$N$2:$N$1001,0),1)&gt;=100000,INDEX($U$1005:$AC$1005,1,MATCH(COLUMNS($U$1006:X1006),$U$1006:$AC$1006,0))&gt;=100000), " ",IF(INDEX($U$2:$AC$1001,MATCH(ROWS($N$2:N995),$N$2:$N$1001,0),MATCH(COLUMNS($U$1006:X1006),$U$1006:$AC$1006,0)), HYPERLINK("#",""), HYPERLINK(CONCATENATE("#metadata!", ADDRESS(INDEX($P$2:$P$1001,MATCH(ROWS($N$2:N995),$N$2:$N$1001,0),0), INDEX($U$1004:$AC$1004,1,MATCH(COLUMNS($U$1006:X1006),$U$1006:$AC$1006,0)))),"Fix")))</f>
        <v>0</v>
      </c>
      <c r="F995" s="3">
        <f>IF(OR(INDEX($O$2:$O$1001,MATCH(ROWS($N$2:N995),$N$2:$N$1001,0),1)&gt;=100000,INDEX($U$1005:$AC$1005,1,MATCH(COLUMNS($U$1006:Y1006),$U$1006:$AC$1006,0))&gt;=100000), " ",IF(INDEX($U$2:$AC$1001,MATCH(ROWS($N$2:N995),$N$2:$N$1001,0),MATCH(COLUMNS($U$1006:Y1006),$U$1006:$AC$1006,0)), HYPERLINK("#",""), HYPERLINK(CONCATENATE("#metadata!", ADDRESS(INDEX($P$2:$P$1001,MATCH(ROWS($N$2:N995),$N$2:$N$1001,0),0), INDEX($U$1004:$AC$1004,1,MATCH(COLUMNS($U$1006:Y1006),$U$1006:$AC$1006,0)))),"Fix")))</f>
        <v>0</v>
      </c>
      <c r="G995" s="3">
        <f>IF(OR(INDEX($O$2:$O$1001,MATCH(ROWS($N$2:N995),$N$2:$N$1001,0),1)&gt;=100000,INDEX($U$1005:$AC$1005,1,MATCH(COLUMNS($U$1006:Z1006),$U$1006:$AC$1006,0))&gt;=100000), " ",IF(INDEX($U$2:$AC$1001,MATCH(ROWS($N$2:N995),$N$2:$N$1001,0),MATCH(COLUMNS($U$1006:Z1006),$U$1006:$AC$1006,0)), HYPERLINK("#",""), HYPERLINK(CONCATENATE("#metadata!", ADDRESS(INDEX($P$2:$P$1001,MATCH(ROWS($N$2:N995),$N$2:$N$1001,0),0), INDEX($U$1004:$AC$1004,1,MATCH(COLUMNS($U$1006:Z1006),$U$1006:$AC$1006,0)))),"Fix")))</f>
        <v>0</v>
      </c>
      <c r="H995" s="3">
        <f>IF(OR(INDEX($O$2:$O$1001,MATCH(ROWS($N$2:N995),$N$2:$N$1001,0),1)&gt;=100000,INDEX($U$1005:$AC$1005,1,MATCH(COLUMNS($U$1006:AA1006),$U$1006:$AC$1006,0))&gt;=100000), " ",IF(INDEX($U$2:$AC$1001,MATCH(ROWS($N$2:N995),$N$2:$N$1001,0),MATCH(COLUMNS($U$1006:AA1006),$U$1006:$AC$1006,0)), HYPERLINK("#",""), HYPERLINK(CONCATENATE("#metadata!", ADDRESS(INDEX($P$2:$P$1001,MATCH(ROWS($N$2:N995),$N$2:$N$1001,0),0), INDEX($U$1004:$AC$1004,1,MATCH(COLUMNS($U$1006:AA1006),$U$1006:$AC$1006,0)))),"Fix")))</f>
        <v>0</v>
      </c>
      <c r="I995" s="3">
        <f>IF(OR(INDEX($O$2:$O$1001,MATCH(ROWS($N$2:N995),$N$2:$N$1001,0),1)&gt;=100000,INDEX($U$1005:$AC$1005,1,MATCH(COLUMNS($U$1006:AB1006),$U$1006:$AC$1006,0))&gt;=100000), " ",IF(INDEX($U$2:$AC$1001,MATCH(ROWS($N$2:N995),$N$2:$N$1001,0),MATCH(COLUMNS($U$1006:AB1006),$U$1006:$AC$1006,0)), HYPERLINK("#",""), HYPERLINK(CONCATENATE("#metadata!", ADDRESS(INDEX($P$2:$P$1001,MATCH(ROWS($N$2:N995),$N$2:$N$1001,0),0), INDEX($U$1004:$AC$1004,1,MATCH(COLUMNS($U$1006:AB1006),$U$1006:$AC$1006,0)))),"Fix")))</f>
        <v>0</v>
      </c>
      <c r="J995" s="3">
        <f>IF(OR(INDEX($O$2:$O$1001,MATCH(ROWS($N$2:N995),$N$2:$N$1001,0),1)&gt;=100000,INDEX($U$1005:$AC$1005,1,MATCH(COLUMNS($U$1006:AC1006),$U$1006:$AC$1006,0))&gt;=100000), " ",IF(INDEX($U$2:$AC$1001,MATCH(ROWS($N$2:N995),$N$2:$N$1001,0),MATCH(COLUMNS($U$1006:AC1006),$U$1006:$AC$1006,0)), HYPERLINK("#",""), HYPERLINK(CONCATENATE("#metadata!", ADDRESS(INDEX($P$2:$P$1001,MATCH(ROWS($N$2:N995),$N$2:$N$1001,0),0), INDEX($U$1004:$AC$1004,1,MATCH(COLUMNS($U$1006:AC1006),$U$1006:$AC$1006,0)))),"Fix")))</f>
        <v>0</v>
      </c>
      <c r="N995">
        <v>0</v>
      </c>
      <c r="O995">
        <v>0</v>
      </c>
      <c r="P995">
        <v>0</v>
      </c>
      <c r="Q995">
        <f>IF(R995,TRUE,AND(U995:AC995))</f>
        <v>0</v>
      </c>
      <c r="R995">
        <f>COUNTBLANK(metadata!B995:J995)=COLUMNS(metadata!B995:J995)</f>
        <v>0</v>
      </c>
      <c r="S995">
        <v>0</v>
      </c>
      <c r="U995">
        <f>AND(IF(metadata!B995="",FALSE,TRUE),COUNTIF(metadata!B:B, metadata!B995) = 1,NOT(ISERROR(SUMPRODUCT(SEARCH(MID(metadata!B995,ROW(INDIRECT("1:"&amp;LEN(metadata!B995))), 1),"0123456789abcdefghijklmnopqrstuvwxyzABCDEFGHIJKLMNOPQRSTUVWXYZ.")))))</f>
        <v>0</v>
      </c>
      <c r="V995">
        <f>AND(IF(metadata!C995="",FALSE,TRUE),exact(metadata!C995,"UBERON:genitourinary"))</f>
        <v>0</v>
      </c>
      <c r="W995">
        <f>AND(IF(metadata!D995="",FALSE,TRUE),exact(metadata!D995,"UBERON:urine"))</f>
        <v>0</v>
      </c>
      <c r="X995">
        <f>AND(IF(metadata!E995="",FALSE,TRUE),exact(metadata!E995,"UBERON:kidney"))</f>
        <v>0</v>
      </c>
      <c r="Y995">
        <f>AND(IF(metadata!F995="",FALSE,TRUE),exact(metadata!F995,"animal corpus"))</f>
        <v>0</v>
      </c>
      <c r="Z995">
        <f>AND(IF(metadata!G995="",FALSE,TRUE),exact(metadata!G995,"urine"))</f>
        <v>0</v>
      </c>
      <c r="AA995">
        <f>AND(IF(metadata!H995="",FALSE,TRUE),exact(metadata!H995,"urine"))</f>
        <v>0</v>
      </c>
      <c r="AB995">
        <f>AND(IF(metadata!I995="",FALSE,TRUE),exact(metadata!I995,"urine metagenome"))</f>
        <v>0</v>
      </c>
      <c r="AC995">
        <f>AND(IF(metadata!J995="",FALSE,TRUE),exact(metadata!J995,"1346744"))</f>
        <v>0</v>
      </c>
    </row>
    <row r="996" spans="1:29">
      <c r="A996" s="4">
        <f>IF(B996=" "," ",HYPERLINK(CONCATENATE("#metadata!",ADDRESS(INDEX($P$2:$P$1001,MATCH(ROWS($N$2:N996),$N$2:$N$1001,0),0),1)),INDEX($S$2:$S$1001,MATCH(ROWS($N$2:N996),$N$2:$N$1001,0),0)))</f>
        <v>0</v>
      </c>
      <c r="B996" s="3">
        <f>IF(OR(INDEX($O$2:$O$1001,MATCH(ROWS($N$2:N996),$N$2:$N$1001,0),1)&gt;=100000,INDEX($U$1005:$AC$1005,1,MATCH(COLUMNS($U$1006:U1006),$U$1006:$AC$1006,0))&gt;=100000), " ",IF(INDEX($U$2:$AC$1001,MATCH(ROWS($N$2:N996),$N$2:$N$1001,0),MATCH(COLUMNS($U$1006:U1006),$U$1006:$AC$1006,0)), HYPERLINK("#",""), HYPERLINK(CONCATENATE("#metadata!", ADDRESS(INDEX($P$2:$P$1001,MATCH(ROWS($N$2:N996),$N$2:$N$1001,0),0), INDEX($U$1004:$AC$1004,1,MATCH(COLUMNS($U$1006:U1006),$U$1006:$AC$1006,0)))),"Fix")))</f>
        <v>0</v>
      </c>
      <c r="C996" s="3">
        <f>IF(OR(INDEX($O$2:$O$1001,MATCH(ROWS($N$2:N996),$N$2:$N$1001,0),1)&gt;=100000,INDEX($U$1005:$AC$1005,1,MATCH(COLUMNS($U$1006:V1006),$U$1006:$AC$1006,0))&gt;=100000), " ",IF(INDEX($U$2:$AC$1001,MATCH(ROWS($N$2:N996),$N$2:$N$1001,0),MATCH(COLUMNS($U$1006:V1006),$U$1006:$AC$1006,0)), HYPERLINK("#",""), HYPERLINK(CONCATENATE("#metadata!", ADDRESS(INDEX($P$2:$P$1001,MATCH(ROWS($N$2:N996),$N$2:$N$1001,0),0), INDEX($U$1004:$AC$1004,1,MATCH(COLUMNS($U$1006:V1006),$U$1006:$AC$1006,0)))),"Fix")))</f>
        <v>0</v>
      </c>
      <c r="D996" s="3">
        <f>IF(OR(INDEX($O$2:$O$1001,MATCH(ROWS($N$2:N996),$N$2:$N$1001,0),1)&gt;=100000,INDEX($U$1005:$AC$1005,1,MATCH(COLUMNS($U$1006:W1006),$U$1006:$AC$1006,0))&gt;=100000), " ",IF(INDEX($U$2:$AC$1001,MATCH(ROWS($N$2:N996),$N$2:$N$1001,0),MATCH(COLUMNS($U$1006:W1006),$U$1006:$AC$1006,0)), HYPERLINK("#",""), HYPERLINK(CONCATENATE("#metadata!", ADDRESS(INDEX($P$2:$P$1001,MATCH(ROWS($N$2:N996),$N$2:$N$1001,0),0), INDEX($U$1004:$AC$1004,1,MATCH(COLUMNS($U$1006:W1006),$U$1006:$AC$1006,0)))),"Fix")))</f>
        <v>0</v>
      </c>
      <c r="E996" s="3">
        <f>IF(OR(INDEX($O$2:$O$1001,MATCH(ROWS($N$2:N996),$N$2:$N$1001,0),1)&gt;=100000,INDEX($U$1005:$AC$1005,1,MATCH(COLUMNS($U$1006:X1006),$U$1006:$AC$1006,0))&gt;=100000), " ",IF(INDEX($U$2:$AC$1001,MATCH(ROWS($N$2:N996),$N$2:$N$1001,0),MATCH(COLUMNS($U$1006:X1006),$U$1006:$AC$1006,0)), HYPERLINK("#",""), HYPERLINK(CONCATENATE("#metadata!", ADDRESS(INDEX($P$2:$P$1001,MATCH(ROWS($N$2:N996),$N$2:$N$1001,0),0), INDEX($U$1004:$AC$1004,1,MATCH(COLUMNS($U$1006:X1006),$U$1006:$AC$1006,0)))),"Fix")))</f>
        <v>0</v>
      </c>
      <c r="F996" s="3">
        <f>IF(OR(INDEX($O$2:$O$1001,MATCH(ROWS($N$2:N996),$N$2:$N$1001,0),1)&gt;=100000,INDEX($U$1005:$AC$1005,1,MATCH(COLUMNS($U$1006:Y1006),$U$1006:$AC$1006,0))&gt;=100000), " ",IF(INDEX($U$2:$AC$1001,MATCH(ROWS($N$2:N996),$N$2:$N$1001,0),MATCH(COLUMNS($U$1006:Y1006),$U$1006:$AC$1006,0)), HYPERLINK("#",""), HYPERLINK(CONCATENATE("#metadata!", ADDRESS(INDEX($P$2:$P$1001,MATCH(ROWS($N$2:N996),$N$2:$N$1001,0),0), INDEX($U$1004:$AC$1004,1,MATCH(COLUMNS($U$1006:Y1006),$U$1006:$AC$1006,0)))),"Fix")))</f>
        <v>0</v>
      </c>
      <c r="G996" s="3">
        <f>IF(OR(INDEX($O$2:$O$1001,MATCH(ROWS($N$2:N996),$N$2:$N$1001,0),1)&gt;=100000,INDEX($U$1005:$AC$1005,1,MATCH(COLUMNS($U$1006:Z1006),$U$1006:$AC$1006,0))&gt;=100000), " ",IF(INDEX($U$2:$AC$1001,MATCH(ROWS($N$2:N996),$N$2:$N$1001,0),MATCH(COLUMNS($U$1006:Z1006),$U$1006:$AC$1006,0)), HYPERLINK("#",""), HYPERLINK(CONCATENATE("#metadata!", ADDRESS(INDEX($P$2:$P$1001,MATCH(ROWS($N$2:N996),$N$2:$N$1001,0),0), INDEX($U$1004:$AC$1004,1,MATCH(COLUMNS($U$1006:Z1006),$U$1006:$AC$1006,0)))),"Fix")))</f>
        <v>0</v>
      </c>
      <c r="H996" s="3">
        <f>IF(OR(INDEX($O$2:$O$1001,MATCH(ROWS($N$2:N996),$N$2:$N$1001,0),1)&gt;=100000,INDEX($U$1005:$AC$1005,1,MATCH(COLUMNS($U$1006:AA1006),$U$1006:$AC$1006,0))&gt;=100000), " ",IF(INDEX($U$2:$AC$1001,MATCH(ROWS($N$2:N996),$N$2:$N$1001,0),MATCH(COLUMNS($U$1006:AA1006),$U$1006:$AC$1006,0)), HYPERLINK("#",""), HYPERLINK(CONCATENATE("#metadata!", ADDRESS(INDEX($P$2:$P$1001,MATCH(ROWS($N$2:N996),$N$2:$N$1001,0),0), INDEX($U$1004:$AC$1004,1,MATCH(COLUMNS($U$1006:AA1006),$U$1006:$AC$1006,0)))),"Fix")))</f>
        <v>0</v>
      </c>
      <c r="I996" s="3">
        <f>IF(OR(INDEX($O$2:$O$1001,MATCH(ROWS($N$2:N996),$N$2:$N$1001,0),1)&gt;=100000,INDEX($U$1005:$AC$1005,1,MATCH(COLUMNS($U$1006:AB1006),$U$1006:$AC$1006,0))&gt;=100000), " ",IF(INDEX($U$2:$AC$1001,MATCH(ROWS($N$2:N996),$N$2:$N$1001,0),MATCH(COLUMNS($U$1006:AB1006),$U$1006:$AC$1006,0)), HYPERLINK("#",""), HYPERLINK(CONCATENATE("#metadata!", ADDRESS(INDEX($P$2:$P$1001,MATCH(ROWS($N$2:N996),$N$2:$N$1001,0),0), INDEX($U$1004:$AC$1004,1,MATCH(COLUMNS($U$1006:AB1006),$U$1006:$AC$1006,0)))),"Fix")))</f>
        <v>0</v>
      </c>
      <c r="J996" s="3">
        <f>IF(OR(INDEX($O$2:$O$1001,MATCH(ROWS($N$2:N996),$N$2:$N$1001,0),1)&gt;=100000,INDEX($U$1005:$AC$1005,1,MATCH(COLUMNS($U$1006:AC1006),$U$1006:$AC$1006,0))&gt;=100000), " ",IF(INDEX($U$2:$AC$1001,MATCH(ROWS($N$2:N996),$N$2:$N$1001,0),MATCH(COLUMNS($U$1006:AC1006),$U$1006:$AC$1006,0)), HYPERLINK("#",""), HYPERLINK(CONCATENATE("#metadata!", ADDRESS(INDEX($P$2:$P$1001,MATCH(ROWS($N$2:N996),$N$2:$N$1001,0),0), INDEX($U$1004:$AC$1004,1,MATCH(COLUMNS($U$1006:AC1006),$U$1006:$AC$1006,0)))),"Fix")))</f>
        <v>0</v>
      </c>
      <c r="N996">
        <v>0</v>
      </c>
      <c r="O996">
        <v>0</v>
      </c>
      <c r="P996">
        <v>0</v>
      </c>
      <c r="Q996">
        <f>IF(R996,TRUE,AND(U996:AC996))</f>
        <v>0</v>
      </c>
      <c r="R996">
        <f>COUNTBLANK(metadata!B996:J996)=COLUMNS(metadata!B996:J996)</f>
        <v>0</v>
      </c>
      <c r="S996">
        <v>0</v>
      </c>
      <c r="U996">
        <f>AND(IF(metadata!B996="",FALSE,TRUE),COUNTIF(metadata!B:B, metadata!B996) = 1,NOT(ISERROR(SUMPRODUCT(SEARCH(MID(metadata!B996,ROW(INDIRECT("1:"&amp;LEN(metadata!B996))), 1),"0123456789abcdefghijklmnopqrstuvwxyzABCDEFGHIJKLMNOPQRSTUVWXYZ.")))))</f>
        <v>0</v>
      </c>
      <c r="V996">
        <f>AND(IF(metadata!C996="",FALSE,TRUE),exact(metadata!C996,"UBERON:genitourinary"))</f>
        <v>0</v>
      </c>
      <c r="W996">
        <f>AND(IF(metadata!D996="",FALSE,TRUE),exact(metadata!D996,"UBERON:urine"))</f>
        <v>0</v>
      </c>
      <c r="X996">
        <f>AND(IF(metadata!E996="",FALSE,TRUE),exact(metadata!E996,"UBERON:kidney"))</f>
        <v>0</v>
      </c>
      <c r="Y996">
        <f>AND(IF(metadata!F996="",FALSE,TRUE),exact(metadata!F996,"animal corpus"))</f>
        <v>0</v>
      </c>
      <c r="Z996">
        <f>AND(IF(metadata!G996="",FALSE,TRUE),exact(metadata!G996,"urine"))</f>
        <v>0</v>
      </c>
      <c r="AA996">
        <f>AND(IF(metadata!H996="",FALSE,TRUE),exact(metadata!H996,"urine"))</f>
        <v>0</v>
      </c>
      <c r="AB996">
        <f>AND(IF(metadata!I996="",FALSE,TRUE),exact(metadata!I996,"urine metagenome"))</f>
        <v>0</v>
      </c>
      <c r="AC996">
        <f>AND(IF(metadata!J996="",FALSE,TRUE),exact(metadata!J996,"1346744"))</f>
        <v>0</v>
      </c>
    </row>
    <row r="997" spans="1:29">
      <c r="A997" s="4">
        <f>IF(B997=" "," ",HYPERLINK(CONCATENATE("#metadata!",ADDRESS(INDEX($P$2:$P$1001,MATCH(ROWS($N$2:N997),$N$2:$N$1001,0),0),1)),INDEX($S$2:$S$1001,MATCH(ROWS($N$2:N997),$N$2:$N$1001,0),0)))</f>
        <v>0</v>
      </c>
      <c r="B997" s="3">
        <f>IF(OR(INDEX($O$2:$O$1001,MATCH(ROWS($N$2:N997),$N$2:$N$1001,0),1)&gt;=100000,INDEX($U$1005:$AC$1005,1,MATCH(COLUMNS($U$1006:U1006),$U$1006:$AC$1006,0))&gt;=100000), " ",IF(INDEX($U$2:$AC$1001,MATCH(ROWS($N$2:N997),$N$2:$N$1001,0),MATCH(COLUMNS($U$1006:U1006),$U$1006:$AC$1006,0)), HYPERLINK("#",""), HYPERLINK(CONCATENATE("#metadata!", ADDRESS(INDEX($P$2:$P$1001,MATCH(ROWS($N$2:N997),$N$2:$N$1001,0),0), INDEX($U$1004:$AC$1004,1,MATCH(COLUMNS($U$1006:U1006),$U$1006:$AC$1006,0)))),"Fix")))</f>
        <v>0</v>
      </c>
      <c r="C997" s="3">
        <f>IF(OR(INDEX($O$2:$O$1001,MATCH(ROWS($N$2:N997),$N$2:$N$1001,0),1)&gt;=100000,INDEX($U$1005:$AC$1005,1,MATCH(COLUMNS($U$1006:V1006),$U$1006:$AC$1006,0))&gt;=100000), " ",IF(INDEX($U$2:$AC$1001,MATCH(ROWS($N$2:N997),$N$2:$N$1001,0),MATCH(COLUMNS($U$1006:V1006),$U$1006:$AC$1006,0)), HYPERLINK("#",""), HYPERLINK(CONCATENATE("#metadata!", ADDRESS(INDEX($P$2:$P$1001,MATCH(ROWS($N$2:N997),$N$2:$N$1001,0),0), INDEX($U$1004:$AC$1004,1,MATCH(COLUMNS($U$1006:V1006),$U$1006:$AC$1006,0)))),"Fix")))</f>
        <v>0</v>
      </c>
      <c r="D997" s="3">
        <f>IF(OR(INDEX($O$2:$O$1001,MATCH(ROWS($N$2:N997),$N$2:$N$1001,0),1)&gt;=100000,INDEX($U$1005:$AC$1005,1,MATCH(COLUMNS($U$1006:W1006),$U$1006:$AC$1006,0))&gt;=100000), " ",IF(INDEX($U$2:$AC$1001,MATCH(ROWS($N$2:N997),$N$2:$N$1001,0),MATCH(COLUMNS($U$1006:W1006),$U$1006:$AC$1006,0)), HYPERLINK("#",""), HYPERLINK(CONCATENATE("#metadata!", ADDRESS(INDEX($P$2:$P$1001,MATCH(ROWS($N$2:N997),$N$2:$N$1001,0),0), INDEX($U$1004:$AC$1004,1,MATCH(COLUMNS($U$1006:W1006),$U$1006:$AC$1006,0)))),"Fix")))</f>
        <v>0</v>
      </c>
      <c r="E997" s="3">
        <f>IF(OR(INDEX($O$2:$O$1001,MATCH(ROWS($N$2:N997),$N$2:$N$1001,0),1)&gt;=100000,INDEX($U$1005:$AC$1005,1,MATCH(COLUMNS($U$1006:X1006),$U$1006:$AC$1006,0))&gt;=100000), " ",IF(INDEX($U$2:$AC$1001,MATCH(ROWS($N$2:N997),$N$2:$N$1001,0),MATCH(COLUMNS($U$1006:X1006),$U$1006:$AC$1006,0)), HYPERLINK("#",""), HYPERLINK(CONCATENATE("#metadata!", ADDRESS(INDEX($P$2:$P$1001,MATCH(ROWS($N$2:N997),$N$2:$N$1001,0),0), INDEX($U$1004:$AC$1004,1,MATCH(COLUMNS($U$1006:X1006),$U$1006:$AC$1006,0)))),"Fix")))</f>
        <v>0</v>
      </c>
      <c r="F997" s="3">
        <f>IF(OR(INDEX($O$2:$O$1001,MATCH(ROWS($N$2:N997),$N$2:$N$1001,0),1)&gt;=100000,INDEX($U$1005:$AC$1005,1,MATCH(COLUMNS($U$1006:Y1006),$U$1006:$AC$1006,0))&gt;=100000), " ",IF(INDEX($U$2:$AC$1001,MATCH(ROWS($N$2:N997),$N$2:$N$1001,0),MATCH(COLUMNS($U$1006:Y1006),$U$1006:$AC$1006,0)), HYPERLINK("#",""), HYPERLINK(CONCATENATE("#metadata!", ADDRESS(INDEX($P$2:$P$1001,MATCH(ROWS($N$2:N997),$N$2:$N$1001,0),0), INDEX($U$1004:$AC$1004,1,MATCH(COLUMNS($U$1006:Y1006),$U$1006:$AC$1006,0)))),"Fix")))</f>
        <v>0</v>
      </c>
      <c r="G997" s="3">
        <f>IF(OR(INDEX($O$2:$O$1001,MATCH(ROWS($N$2:N997),$N$2:$N$1001,0),1)&gt;=100000,INDEX($U$1005:$AC$1005,1,MATCH(COLUMNS($U$1006:Z1006),$U$1006:$AC$1006,0))&gt;=100000), " ",IF(INDEX($U$2:$AC$1001,MATCH(ROWS($N$2:N997),$N$2:$N$1001,0),MATCH(COLUMNS($U$1006:Z1006),$U$1006:$AC$1006,0)), HYPERLINK("#",""), HYPERLINK(CONCATENATE("#metadata!", ADDRESS(INDEX($P$2:$P$1001,MATCH(ROWS($N$2:N997),$N$2:$N$1001,0),0), INDEX($U$1004:$AC$1004,1,MATCH(COLUMNS($U$1006:Z1006),$U$1006:$AC$1006,0)))),"Fix")))</f>
        <v>0</v>
      </c>
      <c r="H997" s="3">
        <f>IF(OR(INDEX($O$2:$O$1001,MATCH(ROWS($N$2:N997),$N$2:$N$1001,0),1)&gt;=100000,INDEX($U$1005:$AC$1005,1,MATCH(COLUMNS($U$1006:AA1006),$U$1006:$AC$1006,0))&gt;=100000), " ",IF(INDEX($U$2:$AC$1001,MATCH(ROWS($N$2:N997),$N$2:$N$1001,0),MATCH(COLUMNS($U$1006:AA1006),$U$1006:$AC$1006,0)), HYPERLINK("#",""), HYPERLINK(CONCATENATE("#metadata!", ADDRESS(INDEX($P$2:$P$1001,MATCH(ROWS($N$2:N997),$N$2:$N$1001,0),0), INDEX($U$1004:$AC$1004,1,MATCH(COLUMNS($U$1006:AA1006),$U$1006:$AC$1006,0)))),"Fix")))</f>
        <v>0</v>
      </c>
      <c r="I997" s="3">
        <f>IF(OR(INDEX($O$2:$O$1001,MATCH(ROWS($N$2:N997),$N$2:$N$1001,0),1)&gt;=100000,INDEX($U$1005:$AC$1005,1,MATCH(COLUMNS($U$1006:AB1006),$U$1006:$AC$1006,0))&gt;=100000), " ",IF(INDEX($U$2:$AC$1001,MATCH(ROWS($N$2:N997),$N$2:$N$1001,0),MATCH(COLUMNS($U$1006:AB1006),$U$1006:$AC$1006,0)), HYPERLINK("#",""), HYPERLINK(CONCATENATE("#metadata!", ADDRESS(INDEX($P$2:$P$1001,MATCH(ROWS($N$2:N997),$N$2:$N$1001,0),0), INDEX($U$1004:$AC$1004,1,MATCH(COLUMNS($U$1006:AB1006),$U$1006:$AC$1006,0)))),"Fix")))</f>
        <v>0</v>
      </c>
      <c r="J997" s="3">
        <f>IF(OR(INDEX($O$2:$O$1001,MATCH(ROWS($N$2:N997),$N$2:$N$1001,0),1)&gt;=100000,INDEX($U$1005:$AC$1005,1,MATCH(COLUMNS($U$1006:AC1006),$U$1006:$AC$1006,0))&gt;=100000), " ",IF(INDEX($U$2:$AC$1001,MATCH(ROWS($N$2:N997),$N$2:$N$1001,0),MATCH(COLUMNS($U$1006:AC1006),$U$1006:$AC$1006,0)), HYPERLINK("#",""), HYPERLINK(CONCATENATE("#metadata!", ADDRESS(INDEX($P$2:$P$1001,MATCH(ROWS($N$2:N997),$N$2:$N$1001,0),0), INDEX($U$1004:$AC$1004,1,MATCH(COLUMNS($U$1006:AC1006),$U$1006:$AC$1006,0)))),"Fix")))</f>
        <v>0</v>
      </c>
      <c r="N997">
        <v>0</v>
      </c>
      <c r="O997">
        <v>0</v>
      </c>
      <c r="P997">
        <v>0</v>
      </c>
      <c r="Q997">
        <f>IF(R997,TRUE,AND(U997:AC997))</f>
        <v>0</v>
      </c>
      <c r="R997">
        <f>COUNTBLANK(metadata!B997:J997)=COLUMNS(metadata!B997:J997)</f>
        <v>0</v>
      </c>
      <c r="S997">
        <v>0</v>
      </c>
      <c r="U997">
        <f>AND(IF(metadata!B997="",FALSE,TRUE),COUNTIF(metadata!B:B, metadata!B997) = 1,NOT(ISERROR(SUMPRODUCT(SEARCH(MID(metadata!B997,ROW(INDIRECT("1:"&amp;LEN(metadata!B997))), 1),"0123456789abcdefghijklmnopqrstuvwxyzABCDEFGHIJKLMNOPQRSTUVWXYZ.")))))</f>
        <v>0</v>
      </c>
      <c r="V997">
        <f>AND(IF(metadata!C997="",FALSE,TRUE),exact(metadata!C997,"UBERON:genitourinary"))</f>
        <v>0</v>
      </c>
      <c r="W997">
        <f>AND(IF(metadata!D997="",FALSE,TRUE),exact(metadata!D997,"UBERON:urine"))</f>
        <v>0</v>
      </c>
      <c r="X997">
        <f>AND(IF(metadata!E997="",FALSE,TRUE),exact(metadata!E997,"UBERON:kidney"))</f>
        <v>0</v>
      </c>
      <c r="Y997">
        <f>AND(IF(metadata!F997="",FALSE,TRUE),exact(metadata!F997,"animal corpus"))</f>
        <v>0</v>
      </c>
      <c r="Z997">
        <f>AND(IF(metadata!G997="",FALSE,TRUE),exact(metadata!G997,"urine"))</f>
        <v>0</v>
      </c>
      <c r="AA997">
        <f>AND(IF(metadata!H997="",FALSE,TRUE),exact(metadata!H997,"urine"))</f>
        <v>0</v>
      </c>
      <c r="AB997">
        <f>AND(IF(metadata!I997="",FALSE,TRUE),exact(metadata!I997,"urine metagenome"))</f>
        <v>0</v>
      </c>
      <c r="AC997">
        <f>AND(IF(metadata!J997="",FALSE,TRUE),exact(metadata!J997,"1346744"))</f>
        <v>0</v>
      </c>
    </row>
    <row r="998" spans="1:29">
      <c r="A998" s="4">
        <f>IF(B998=" "," ",HYPERLINK(CONCATENATE("#metadata!",ADDRESS(INDEX($P$2:$P$1001,MATCH(ROWS($N$2:N998),$N$2:$N$1001,0),0),1)),INDEX($S$2:$S$1001,MATCH(ROWS($N$2:N998),$N$2:$N$1001,0),0)))</f>
        <v>0</v>
      </c>
      <c r="B998" s="3">
        <f>IF(OR(INDEX($O$2:$O$1001,MATCH(ROWS($N$2:N998),$N$2:$N$1001,0),1)&gt;=100000,INDEX($U$1005:$AC$1005,1,MATCH(COLUMNS($U$1006:U1006),$U$1006:$AC$1006,0))&gt;=100000), " ",IF(INDEX($U$2:$AC$1001,MATCH(ROWS($N$2:N998),$N$2:$N$1001,0),MATCH(COLUMNS($U$1006:U1006),$U$1006:$AC$1006,0)), HYPERLINK("#",""), HYPERLINK(CONCATENATE("#metadata!", ADDRESS(INDEX($P$2:$P$1001,MATCH(ROWS($N$2:N998),$N$2:$N$1001,0),0), INDEX($U$1004:$AC$1004,1,MATCH(COLUMNS($U$1006:U1006),$U$1006:$AC$1006,0)))),"Fix")))</f>
        <v>0</v>
      </c>
      <c r="C998" s="3">
        <f>IF(OR(INDEX($O$2:$O$1001,MATCH(ROWS($N$2:N998),$N$2:$N$1001,0),1)&gt;=100000,INDEX($U$1005:$AC$1005,1,MATCH(COLUMNS($U$1006:V1006),$U$1006:$AC$1006,0))&gt;=100000), " ",IF(INDEX($U$2:$AC$1001,MATCH(ROWS($N$2:N998),$N$2:$N$1001,0),MATCH(COLUMNS($U$1006:V1006),$U$1006:$AC$1006,0)), HYPERLINK("#",""), HYPERLINK(CONCATENATE("#metadata!", ADDRESS(INDEX($P$2:$P$1001,MATCH(ROWS($N$2:N998),$N$2:$N$1001,0),0), INDEX($U$1004:$AC$1004,1,MATCH(COLUMNS($U$1006:V1006),$U$1006:$AC$1006,0)))),"Fix")))</f>
        <v>0</v>
      </c>
      <c r="D998" s="3">
        <f>IF(OR(INDEX($O$2:$O$1001,MATCH(ROWS($N$2:N998),$N$2:$N$1001,0),1)&gt;=100000,INDEX($U$1005:$AC$1005,1,MATCH(COLUMNS($U$1006:W1006),$U$1006:$AC$1006,0))&gt;=100000), " ",IF(INDEX($U$2:$AC$1001,MATCH(ROWS($N$2:N998),$N$2:$N$1001,0),MATCH(COLUMNS($U$1006:W1006),$U$1006:$AC$1006,0)), HYPERLINK("#",""), HYPERLINK(CONCATENATE("#metadata!", ADDRESS(INDEX($P$2:$P$1001,MATCH(ROWS($N$2:N998),$N$2:$N$1001,0),0), INDEX($U$1004:$AC$1004,1,MATCH(COLUMNS($U$1006:W1006),$U$1006:$AC$1006,0)))),"Fix")))</f>
        <v>0</v>
      </c>
      <c r="E998" s="3">
        <f>IF(OR(INDEX($O$2:$O$1001,MATCH(ROWS($N$2:N998),$N$2:$N$1001,0),1)&gt;=100000,INDEX($U$1005:$AC$1005,1,MATCH(COLUMNS($U$1006:X1006),$U$1006:$AC$1006,0))&gt;=100000), " ",IF(INDEX($U$2:$AC$1001,MATCH(ROWS($N$2:N998),$N$2:$N$1001,0),MATCH(COLUMNS($U$1006:X1006),$U$1006:$AC$1006,0)), HYPERLINK("#",""), HYPERLINK(CONCATENATE("#metadata!", ADDRESS(INDEX($P$2:$P$1001,MATCH(ROWS($N$2:N998),$N$2:$N$1001,0),0), INDEX($U$1004:$AC$1004,1,MATCH(COLUMNS($U$1006:X1006),$U$1006:$AC$1006,0)))),"Fix")))</f>
        <v>0</v>
      </c>
      <c r="F998" s="3">
        <f>IF(OR(INDEX($O$2:$O$1001,MATCH(ROWS($N$2:N998),$N$2:$N$1001,0),1)&gt;=100000,INDEX($U$1005:$AC$1005,1,MATCH(COLUMNS($U$1006:Y1006),$U$1006:$AC$1006,0))&gt;=100000), " ",IF(INDEX($U$2:$AC$1001,MATCH(ROWS($N$2:N998),$N$2:$N$1001,0),MATCH(COLUMNS($U$1006:Y1006),$U$1006:$AC$1006,0)), HYPERLINK("#",""), HYPERLINK(CONCATENATE("#metadata!", ADDRESS(INDEX($P$2:$P$1001,MATCH(ROWS($N$2:N998),$N$2:$N$1001,0),0), INDEX($U$1004:$AC$1004,1,MATCH(COLUMNS($U$1006:Y1006),$U$1006:$AC$1006,0)))),"Fix")))</f>
        <v>0</v>
      </c>
      <c r="G998" s="3">
        <f>IF(OR(INDEX($O$2:$O$1001,MATCH(ROWS($N$2:N998),$N$2:$N$1001,0),1)&gt;=100000,INDEX($U$1005:$AC$1005,1,MATCH(COLUMNS($U$1006:Z1006),$U$1006:$AC$1006,0))&gt;=100000), " ",IF(INDEX($U$2:$AC$1001,MATCH(ROWS($N$2:N998),$N$2:$N$1001,0),MATCH(COLUMNS($U$1006:Z1006),$U$1006:$AC$1006,0)), HYPERLINK("#",""), HYPERLINK(CONCATENATE("#metadata!", ADDRESS(INDEX($P$2:$P$1001,MATCH(ROWS($N$2:N998),$N$2:$N$1001,0),0), INDEX($U$1004:$AC$1004,1,MATCH(COLUMNS($U$1006:Z1006),$U$1006:$AC$1006,0)))),"Fix")))</f>
        <v>0</v>
      </c>
      <c r="H998" s="3">
        <f>IF(OR(INDEX($O$2:$O$1001,MATCH(ROWS($N$2:N998),$N$2:$N$1001,0),1)&gt;=100000,INDEX($U$1005:$AC$1005,1,MATCH(COLUMNS($U$1006:AA1006),$U$1006:$AC$1006,0))&gt;=100000), " ",IF(INDEX($U$2:$AC$1001,MATCH(ROWS($N$2:N998),$N$2:$N$1001,0),MATCH(COLUMNS($U$1006:AA1006),$U$1006:$AC$1006,0)), HYPERLINK("#",""), HYPERLINK(CONCATENATE("#metadata!", ADDRESS(INDEX($P$2:$P$1001,MATCH(ROWS($N$2:N998),$N$2:$N$1001,0),0), INDEX($U$1004:$AC$1004,1,MATCH(COLUMNS($U$1006:AA1006),$U$1006:$AC$1006,0)))),"Fix")))</f>
        <v>0</v>
      </c>
      <c r="I998" s="3">
        <f>IF(OR(INDEX($O$2:$O$1001,MATCH(ROWS($N$2:N998),$N$2:$N$1001,0),1)&gt;=100000,INDEX($U$1005:$AC$1005,1,MATCH(COLUMNS($U$1006:AB1006),$U$1006:$AC$1006,0))&gt;=100000), " ",IF(INDEX($U$2:$AC$1001,MATCH(ROWS($N$2:N998),$N$2:$N$1001,0),MATCH(COLUMNS($U$1006:AB1006),$U$1006:$AC$1006,0)), HYPERLINK("#",""), HYPERLINK(CONCATENATE("#metadata!", ADDRESS(INDEX($P$2:$P$1001,MATCH(ROWS($N$2:N998),$N$2:$N$1001,0),0), INDEX($U$1004:$AC$1004,1,MATCH(COLUMNS($U$1006:AB1006),$U$1006:$AC$1006,0)))),"Fix")))</f>
        <v>0</v>
      </c>
      <c r="J998" s="3">
        <f>IF(OR(INDEX($O$2:$O$1001,MATCH(ROWS($N$2:N998),$N$2:$N$1001,0),1)&gt;=100000,INDEX($U$1005:$AC$1005,1,MATCH(COLUMNS($U$1006:AC1006),$U$1006:$AC$1006,0))&gt;=100000), " ",IF(INDEX($U$2:$AC$1001,MATCH(ROWS($N$2:N998),$N$2:$N$1001,0),MATCH(COLUMNS($U$1006:AC1006),$U$1006:$AC$1006,0)), HYPERLINK("#",""), HYPERLINK(CONCATENATE("#metadata!", ADDRESS(INDEX($P$2:$P$1001,MATCH(ROWS($N$2:N998),$N$2:$N$1001,0),0), INDEX($U$1004:$AC$1004,1,MATCH(COLUMNS($U$1006:AC1006),$U$1006:$AC$1006,0)))),"Fix")))</f>
        <v>0</v>
      </c>
      <c r="N998">
        <v>0</v>
      </c>
      <c r="O998">
        <v>0</v>
      </c>
      <c r="P998">
        <v>0</v>
      </c>
      <c r="Q998">
        <f>IF(R998,TRUE,AND(U998:AC998))</f>
        <v>0</v>
      </c>
      <c r="R998">
        <f>COUNTBLANK(metadata!B998:J998)=COLUMNS(metadata!B998:J998)</f>
        <v>0</v>
      </c>
      <c r="S998">
        <v>0</v>
      </c>
      <c r="U998">
        <f>AND(IF(metadata!B998="",FALSE,TRUE),COUNTIF(metadata!B:B, metadata!B998) = 1,NOT(ISERROR(SUMPRODUCT(SEARCH(MID(metadata!B998,ROW(INDIRECT("1:"&amp;LEN(metadata!B998))), 1),"0123456789abcdefghijklmnopqrstuvwxyzABCDEFGHIJKLMNOPQRSTUVWXYZ.")))))</f>
        <v>0</v>
      </c>
      <c r="V998">
        <f>AND(IF(metadata!C998="",FALSE,TRUE),exact(metadata!C998,"UBERON:genitourinary"))</f>
        <v>0</v>
      </c>
      <c r="W998">
        <f>AND(IF(metadata!D998="",FALSE,TRUE),exact(metadata!D998,"UBERON:urine"))</f>
        <v>0</v>
      </c>
      <c r="X998">
        <f>AND(IF(metadata!E998="",FALSE,TRUE),exact(metadata!E998,"UBERON:kidney"))</f>
        <v>0</v>
      </c>
      <c r="Y998">
        <f>AND(IF(metadata!F998="",FALSE,TRUE),exact(metadata!F998,"animal corpus"))</f>
        <v>0</v>
      </c>
      <c r="Z998">
        <f>AND(IF(metadata!G998="",FALSE,TRUE),exact(metadata!G998,"urine"))</f>
        <v>0</v>
      </c>
      <c r="AA998">
        <f>AND(IF(metadata!H998="",FALSE,TRUE),exact(metadata!H998,"urine"))</f>
        <v>0</v>
      </c>
      <c r="AB998">
        <f>AND(IF(metadata!I998="",FALSE,TRUE),exact(metadata!I998,"urine metagenome"))</f>
        <v>0</v>
      </c>
      <c r="AC998">
        <f>AND(IF(metadata!J998="",FALSE,TRUE),exact(metadata!J998,"1346744"))</f>
        <v>0</v>
      </c>
    </row>
    <row r="999" spans="1:29">
      <c r="A999" s="4">
        <f>IF(B999=" "," ",HYPERLINK(CONCATENATE("#metadata!",ADDRESS(INDEX($P$2:$P$1001,MATCH(ROWS($N$2:N999),$N$2:$N$1001,0),0),1)),INDEX($S$2:$S$1001,MATCH(ROWS($N$2:N999),$N$2:$N$1001,0),0)))</f>
        <v>0</v>
      </c>
      <c r="B999" s="3">
        <f>IF(OR(INDEX($O$2:$O$1001,MATCH(ROWS($N$2:N999),$N$2:$N$1001,0),1)&gt;=100000,INDEX($U$1005:$AC$1005,1,MATCH(COLUMNS($U$1006:U1006),$U$1006:$AC$1006,0))&gt;=100000), " ",IF(INDEX($U$2:$AC$1001,MATCH(ROWS($N$2:N999),$N$2:$N$1001,0),MATCH(COLUMNS($U$1006:U1006),$U$1006:$AC$1006,0)), HYPERLINK("#",""), HYPERLINK(CONCATENATE("#metadata!", ADDRESS(INDEX($P$2:$P$1001,MATCH(ROWS($N$2:N999),$N$2:$N$1001,0),0), INDEX($U$1004:$AC$1004,1,MATCH(COLUMNS($U$1006:U1006),$U$1006:$AC$1006,0)))),"Fix")))</f>
        <v>0</v>
      </c>
      <c r="C999" s="3">
        <f>IF(OR(INDEX($O$2:$O$1001,MATCH(ROWS($N$2:N999),$N$2:$N$1001,0),1)&gt;=100000,INDEX($U$1005:$AC$1005,1,MATCH(COLUMNS($U$1006:V1006),$U$1006:$AC$1006,0))&gt;=100000), " ",IF(INDEX($U$2:$AC$1001,MATCH(ROWS($N$2:N999),$N$2:$N$1001,0),MATCH(COLUMNS($U$1006:V1006),$U$1006:$AC$1006,0)), HYPERLINK("#",""), HYPERLINK(CONCATENATE("#metadata!", ADDRESS(INDEX($P$2:$P$1001,MATCH(ROWS($N$2:N999),$N$2:$N$1001,0),0), INDEX($U$1004:$AC$1004,1,MATCH(COLUMNS($U$1006:V1006),$U$1006:$AC$1006,0)))),"Fix")))</f>
        <v>0</v>
      </c>
      <c r="D999" s="3">
        <f>IF(OR(INDEX($O$2:$O$1001,MATCH(ROWS($N$2:N999),$N$2:$N$1001,0),1)&gt;=100000,INDEX($U$1005:$AC$1005,1,MATCH(COLUMNS($U$1006:W1006),$U$1006:$AC$1006,0))&gt;=100000), " ",IF(INDEX($U$2:$AC$1001,MATCH(ROWS($N$2:N999),$N$2:$N$1001,0),MATCH(COLUMNS($U$1006:W1006),$U$1006:$AC$1006,0)), HYPERLINK("#",""), HYPERLINK(CONCATENATE("#metadata!", ADDRESS(INDEX($P$2:$P$1001,MATCH(ROWS($N$2:N999),$N$2:$N$1001,0),0), INDEX($U$1004:$AC$1004,1,MATCH(COLUMNS($U$1006:W1006),$U$1006:$AC$1006,0)))),"Fix")))</f>
        <v>0</v>
      </c>
      <c r="E999" s="3">
        <f>IF(OR(INDEX($O$2:$O$1001,MATCH(ROWS($N$2:N999),$N$2:$N$1001,0),1)&gt;=100000,INDEX($U$1005:$AC$1005,1,MATCH(COLUMNS($U$1006:X1006),$U$1006:$AC$1006,0))&gt;=100000), " ",IF(INDEX($U$2:$AC$1001,MATCH(ROWS($N$2:N999),$N$2:$N$1001,0),MATCH(COLUMNS($U$1006:X1006),$U$1006:$AC$1006,0)), HYPERLINK("#",""), HYPERLINK(CONCATENATE("#metadata!", ADDRESS(INDEX($P$2:$P$1001,MATCH(ROWS($N$2:N999),$N$2:$N$1001,0),0), INDEX($U$1004:$AC$1004,1,MATCH(COLUMNS($U$1006:X1006),$U$1006:$AC$1006,0)))),"Fix")))</f>
        <v>0</v>
      </c>
      <c r="F999" s="3">
        <f>IF(OR(INDEX($O$2:$O$1001,MATCH(ROWS($N$2:N999),$N$2:$N$1001,0),1)&gt;=100000,INDEX($U$1005:$AC$1005,1,MATCH(COLUMNS($U$1006:Y1006),$U$1006:$AC$1006,0))&gt;=100000), " ",IF(INDEX($U$2:$AC$1001,MATCH(ROWS($N$2:N999),$N$2:$N$1001,0),MATCH(COLUMNS($U$1006:Y1006),$U$1006:$AC$1006,0)), HYPERLINK("#",""), HYPERLINK(CONCATENATE("#metadata!", ADDRESS(INDEX($P$2:$P$1001,MATCH(ROWS($N$2:N999),$N$2:$N$1001,0),0), INDEX($U$1004:$AC$1004,1,MATCH(COLUMNS($U$1006:Y1006),$U$1006:$AC$1006,0)))),"Fix")))</f>
        <v>0</v>
      </c>
      <c r="G999" s="3">
        <f>IF(OR(INDEX($O$2:$O$1001,MATCH(ROWS($N$2:N999),$N$2:$N$1001,0),1)&gt;=100000,INDEX($U$1005:$AC$1005,1,MATCH(COLUMNS($U$1006:Z1006),$U$1006:$AC$1006,0))&gt;=100000), " ",IF(INDEX($U$2:$AC$1001,MATCH(ROWS($N$2:N999),$N$2:$N$1001,0),MATCH(COLUMNS($U$1006:Z1006),$U$1006:$AC$1006,0)), HYPERLINK("#",""), HYPERLINK(CONCATENATE("#metadata!", ADDRESS(INDEX($P$2:$P$1001,MATCH(ROWS($N$2:N999),$N$2:$N$1001,0),0), INDEX($U$1004:$AC$1004,1,MATCH(COLUMNS($U$1006:Z1006),$U$1006:$AC$1006,0)))),"Fix")))</f>
        <v>0</v>
      </c>
      <c r="H999" s="3">
        <f>IF(OR(INDEX($O$2:$O$1001,MATCH(ROWS($N$2:N999),$N$2:$N$1001,0),1)&gt;=100000,INDEX($U$1005:$AC$1005,1,MATCH(COLUMNS($U$1006:AA1006),$U$1006:$AC$1006,0))&gt;=100000), " ",IF(INDEX($U$2:$AC$1001,MATCH(ROWS($N$2:N999),$N$2:$N$1001,0),MATCH(COLUMNS($U$1006:AA1006),$U$1006:$AC$1006,0)), HYPERLINK("#",""), HYPERLINK(CONCATENATE("#metadata!", ADDRESS(INDEX($P$2:$P$1001,MATCH(ROWS($N$2:N999),$N$2:$N$1001,0),0), INDEX($U$1004:$AC$1004,1,MATCH(COLUMNS($U$1006:AA1006),$U$1006:$AC$1006,0)))),"Fix")))</f>
        <v>0</v>
      </c>
      <c r="I999" s="3">
        <f>IF(OR(INDEX($O$2:$O$1001,MATCH(ROWS($N$2:N999),$N$2:$N$1001,0),1)&gt;=100000,INDEX($U$1005:$AC$1005,1,MATCH(COLUMNS($U$1006:AB1006),$U$1006:$AC$1006,0))&gt;=100000), " ",IF(INDEX($U$2:$AC$1001,MATCH(ROWS($N$2:N999),$N$2:$N$1001,0),MATCH(COLUMNS($U$1006:AB1006),$U$1006:$AC$1006,0)), HYPERLINK("#",""), HYPERLINK(CONCATENATE("#metadata!", ADDRESS(INDEX($P$2:$P$1001,MATCH(ROWS($N$2:N999),$N$2:$N$1001,0),0), INDEX($U$1004:$AC$1004,1,MATCH(COLUMNS($U$1006:AB1006),$U$1006:$AC$1006,0)))),"Fix")))</f>
        <v>0</v>
      </c>
      <c r="J999" s="3">
        <f>IF(OR(INDEX($O$2:$O$1001,MATCH(ROWS($N$2:N999),$N$2:$N$1001,0),1)&gt;=100000,INDEX($U$1005:$AC$1005,1,MATCH(COLUMNS($U$1006:AC1006),$U$1006:$AC$1006,0))&gt;=100000), " ",IF(INDEX($U$2:$AC$1001,MATCH(ROWS($N$2:N999),$N$2:$N$1001,0),MATCH(COLUMNS($U$1006:AC1006),$U$1006:$AC$1006,0)), HYPERLINK("#",""), HYPERLINK(CONCATENATE("#metadata!", ADDRESS(INDEX($P$2:$P$1001,MATCH(ROWS($N$2:N999),$N$2:$N$1001,0),0), INDEX($U$1004:$AC$1004,1,MATCH(COLUMNS($U$1006:AC1006),$U$1006:$AC$1006,0)))),"Fix")))</f>
        <v>0</v>
      </c>
      <c r="N999">
        <v>0</v>
      </c>
      <c r="O999">
        <v>0</v>
      </c>
      <c r="P999">
        <v>0</v>
      </c>
      <c r="Q999">
        <f>IF(R999,TRUE,AND(U999:AC999))</f>
        <v>0</v>
      </c>
      <c r="R999">
        <f>COUNTBLANK(metadata!B999:J999)=COLUMNS(metadata!B999:J999)</f>
        <v>0</v>
      </c>
      <c r="S999">
        <v>0</v>
      </c>
      <c r="U999">
        <f>AND(IF(metadata!B999="",FALSE,TRUE),COUNTIF(metadata!B:B, metadata!B999) = 1,NOT(ISERROR(SUMPRODUCT(SEARCH(MID(metadata!B999,ROW(INDIRECT("1:"&amp;LEN(metadata!B999))), 1),"0123456789abcdefghijklmnopqrstuvwxyzABCDEFGHIJKLMNOPQRSTUVWXYZ.")))))</f>
        <v>0</v>
      </c>
      <c r="V999">
        <f>AND(IF(metadata!C999="",FALSE,TRUE),exact(metadata!C999,"UBERON:genitourinary"))</f>
        <v>0</v>
      </c>
      <c r="W999">
        <f>AND(IF(metadata!D999="",FALSE,TRUE),exact(metadata!D999,"UBERON:urine"))</f>
        <v>0</v>
      </c>
      <c r="X999">
        <f>AND(IF(metadata!E999="",FALSE,TRUE),exact(metadata!E999,"UBERON:kidney"))</f>
        <v>0</v>
      </c>
      <c r="Y999">
        <f>AND(IF(metadata!F999="",FALSE,TRUE),exact(metadata!F999,"animal corpus"))</f>
        <v>0</v>
      </c>
      <c r="Z999">
        <f>AND(IF(metadata!G999="",FALSE,TRUE),exact(metadata!G999,"urine"))</f>
        <v>0</v>
      </c>
      <c r="AA999">
        <f>AND(IF(metadata!H999="",FALSE,TRUE),exact(metadata!H999,"urine"))</f>
        <v>0</v>
      </c>
      <c r="AB999">
        <f>AND(IF(metadata!I999="",FALSE,TRUE),exact(metadata!I999,"urine metagenome"))</f>
        <v>0</v>
      </c>
      <c r="AC999">
        <f>AND(IF(metadata!J999="",FALSE,TRUE),exact(metadata!J999,"1346744"))</f>
        <v>0</v>
      </c>
    </row>
    <row r="1000" spans="1:29">
      <c r="A1000" s="4">
        <f>IF(B1000=" "," ",HYPERLINK(CONCATENATE("#metadata!",ADDRESS(INDEX($P$2:$P$1001,MATCH(ROWS($N$2:N1000),$N$2:$N$1001,0),0),1)),INDEX($S$2:$S$1001,MATCH(ROWS($N$2:N1000),$N$2:$N$1001,0),0)))</f>
        <v>0</v>
      </c>
      <c r="B1000" s="3">
        <f>IF(OR(INDEX($O$2:$O$1001,MATCH(ROWS($N$2:N1000),$N$2:$N$1001,0),1)&gt;=100000,INDEX($U$1005:$AC$1005,1,MATCH(COLUMNS($U$1006:U1006),$U$1006:$AC$1006,0))&gt;=100000), " ",IF(INDEX($U$2:$AC$1001,MATCH(ROWS($N$2:N1000),$N$2:$N$1001,0),MATCH(COLUMNS($U$1006:U1006),$U$1006:$AC$1006,0)), HYPERLINK("#",""), HYPERLINK(CONCATENATE("#metadata!", ADDRESS(INDEX($P$2:$P$1001,MATCH(ROWS($N$2:N1000),$N$2:$N$1001,0),0), INDEX($U$1004:$AC$1004,1,MATCH(COLUMNS($U$1006:U1006),$U$1006:$AC$1006,0)))),"Fix")))</f>
        <v>0</v>
      </c>
      <c r="C1000" s="3">
        <f>IF(OR(INDEX($O$2:$O$1001,MATCH(ROWS($N$2:N1000),$N$2:$N$1001,0),1)&gt;=100000,INDEX($U$1005:$AC$1005,1,MATCH(COLUMNS($U$1006:V1006),$U$1006:$AC$1006,0))&gt;=100000), " ",IF(INDEX($U$2:$AC$1001,MATCH(ROWS($N$2:N1000),$N$2:$N$1001,0),MATCH(COLUMNS($U$1006:V1006),$U$1006:$AC$1006,0)), HYPERLINK("#",""), HYPERLINK(CONCATENATE("#metadata!", ADDRESS(INDEX($P$2:$P$1001,MATCH(ROWS($N$2:N1000),$N$2:$N$1001,0),0), INDEX($U$1004:$AC$1004,1,MATCH(COLUMNS($U$1006:V1006),$U$1006:$AC$1006,0)))),"Fix")))</f>
        <v>0</v>
      </c>
      <c r="D1000" s="3">
        <f>IF(OR(INDEX($O$2:$O$1001,MATCH(ROWS($N$2:N1000),$N$2:$N$1001,0),1)&gt;=100000,INDEX($U$1005:$AC$1005,1,MATCH(COLUMNS($U$1006:W1006),$U$1006:$AC$1006,0))&gt;=100000), " ",IF(INDEX($U$2:$AC$1001,MATCH(ROWS($N$2:N1000),$N$2:$N$1001,0),MATCH(COLUMNS($U$1006:W1006),$U$1006:$AC$1006,0)), HYPERLINK("#",""), HYPERLINK(CONCATENATE("#metadata!", ADDRESS(INDEX($P$2:$P$1001,MATCH(ROWS($N$2:N1000),$N$2:$N$1001,0),0), INDEX($U$1004:$AC$1004,1,MATCH(COLUMNS($U$1006:W1006),$U$1006:$AC$1006,0)))),"Fix")))</f>
        <v>0</v>
      </c>
      <c r="E1000" s="3">
        <f>IF(OR(INDEX($O$2:$O$1001,MATCH(ROWS($N$2:N1000),$N$2:$N$1001,0),1)&gt;=100000,INDEX($U$1005:$AC$1005,1,MATCH(COLUMNS($U$1006:X1006),$U$1006:$AC$1006,0))&gt;=100000), " ",IF(INDEX($U$2:$AC$1001,MATCH(ROWS($N$2:N1000),$N$2:$N$1001,0),MATCH(COLUMNS($U$1006:X1006),$U$1006:$AC$1006,0)), HYPERLINK("#",""), HYPERLINK(CONCATENATE("#metadata!", ADDRESS(INDEX($P$2:$P$1001,MATCH(ROWS($N$2:N1000),$N$2:$N$1001,0),0), INDEX($U$1004:$AC$1004,1,MATCH(COLUMNS($U$1006:X1006),$U$1006:$AC$1006,0)))),"Fix")))</f>
        <v>0</v>
      </c>
      <c r="F1000" s="3">
        <f>IF(OR(INDEX($O$2:$O$1001,MATCH(ROWS($N$2:N1000),$N$2:$N$1001,0),1)&gt;=100000,INDEX($U$1005:$AC$1005,1,MATCH(COLUMNS($U$1006:Y1006),$U$1006:$AC$1006,0))&gt;=100000), " ",IF(INDEX($U$2:$AC$1001,MATCH(ROWS($N$2:N1000),$N$2:$N$1001,0),MATCH(COLUMNS($U$1006:Y1006),$U$1006:$AC$1006,0)), HYPERLINK("#",""), HYPERLINK(CONCATENATE("#metadata!", ADDRESS(INDEX($P$2:$P$1001,MATCH(ROWS($N$2:N1000),$N$2:$N$1001,0),0), INDEX($U$1004:$AC$1004,1,MATCH(COLUMNS($U$1006:Y1006),$U$1006:$AC$1006,0)))),"Fix")))</f>
        <v>0</v>
      </c>
      <c r="G1000" s="3">
        <f>IF(OR(INDEX($O$2:$O$1001,MATCH(ROWS($N$2:N1000),$N$2:$N$1001,0),1)&gt;=100000,INDEX($U$1005:$AC$1005,1,MATCH(COLUMNS($U$1006:Z1006),$U$1006:$AC$1006,0))&gt;=100000), " ",IF(INDEX($U$2:$AC$1001,MATCH(ROWS($N$2:N1000),$N$2:$N$1001,0),MATCH(COLUMNS($U$1006:Z1006),$U$1006:$AC$1006,0)), HYPERLINK("#",""), HYPERLINK(CONCATENATE("#metadata!", ADDRESS(INDEX($P$2:$P$1001,MATCH(ROWS($N$2:N1000),$N$2:$N$1001,0),0), INDEX($U$1004:$AC$1004,1,MATCH(COLUMNS($U$1006:Z1006),$U$1006:$AC$1006,0)))),"Fix")))</f>
        <v>0</v>
      </c>
      <c r="H1000" s="3">
        <f>IF(OR(INDEX($O$2:$O$1001,MATCH(ROWS($N$2:N1000),$N$2:$N$1001,0),1)&gt;=100000,INDEX($U$1005:$AC$1005,1,MATCH(COLUMNS($U$1006:AA1006),$U$1006:$AC$1006,0))&gt;=100000), " ",IF(INDEX($U$2:$AC$1001,MATCH(ROWS($N$2:N1000),$N$2:$N$1001,0),MATCH(COLUMNS($U$1006:AA1006),$U$1006:$AC$1006,0)), HYPERLINK("#",""), HYPERLINK(CONCATENATE("#metadata!", ADDRESS(INDEX($P$2:$P$1001,MATCH(ROWS($N$2:N1000),$N$2:$N$1001,0),0), INDEX($U$1004:$AC$1004,1,MATCH(COLUMNS($U$1006:AA1006),$U$1006:$AC$1006,0)))),"Fix")))</f>
        <v>0</v>
      </c>
      <c r="I1000" s="3">
        <f>IF(OR(INDEX($O$2:$O$1001,MATCH(ROWS($N$2:N1000),$N$2:$N$1001,0),1)&gt;=100000,INDEX($U$1005:$AC$1005,1,MATCH(COLUMNS($U$1006:AB1006),$U$1006:$AC$1006,0))&gt;=100000), " ",IF(INDEX($U$2:$AC$1001,MATCH(ROWS($N$2:N1000),$N$2:$N$1001,0),MATCH(COLUMNS($U$1006:AB1006),$U$1006:$AC$1006,0)), HYPERLINK("#",""), HYPERLINK(CONCATENATE("#metadata!", ADDRESS(INDEX($P$2:$P$1001,MATCH(ROWS($N$2:N1000),$N$2:$N$1001,0),0), INDEX($U$1004:$AC$1004,1,MATCH(COLUMNS($U$1006:AB1006),$U$1006:$AC$1006,0)))),"Fix")))</f>
        <v>0</v>
      </c>
      <c r="J1000" s="3">
        <f>IF(OR(INDEX($O$2:$O$1001,MATCH(ROWS($N$2:N1000),$N$2:$N$1001,0),1)&gt;=100000,INDEX($U$1005:$AC$1005,1,MATCH(COLUMNS($U$1006:AC1006),$U$1006:$AC$1006,0))&gt;=100000), " ",IF(INDEX($U$2:$AC$1001,MATCH(ROWS($N$2:N1000),$N$2:$N$1001,0),MATCH(COLUMNS($U$1006:AC1006),$U$1006:$AC$1006,0)), HYPERLINK("#",""), HYPERLINK(CONCATENATE("#metadata!", ADDRESS(INDEX($P$2:$P$1001,MATCH(ROWS($N$2:N1000),$N$2:$N$1001,0),0), INDEX($U$1004:$AC$1004,1,MATCH(COLUMNS($U$1006:AC1006),$U$1006:$AC$1006,0)))),"Fix")))</f>
        <v>0</v>
      </c>
      <c r="N1000">
        <v>0</v>
      </c>
      <c r="O1000">
        <v>0</v>
      </c>
      <c r="P1000">
        <v>0</v>
      </c>
      <c r="Q1000">
        <f>IF(R1000,TRUE,AND(U1000:AC1000))</f>
        <v>0</v>
      </c>
      <c r="R1000">
        <f>COUNTBLANK(metadata!B1000:J1000)=COLUMNS(metadata!B1000:J1000)</f>
        <v>0</v>
      </c>
      <c r="S1000">
        <v>0</v>
      </c>
      <c r="U1000">
        <f>AND(IF(metadata!B1000="",FALSE,TRUE),COUNTIF(metadata!B:B, metadata!B1000) = 1,NOT(ISERROR(SUMPRODUCT(SEARCH(MID(metadata!B1000,ROW(INDIRECT("1:"&amp;LEN(metadata!B1000))), 1),"0123456789abcdefghijklmnopqrstuvwxyzABCDEFGHIJKLMNOPQRSTUVWXYZ.")))))</f>
        <v>0</v>
      </c>
      <c r="V1000">
        <f>AND(IF(metadata!C1000="",FALSE,TRUE),exact(metadata!C1000,"UBERON:genitourinary"))</f>
        <v>0</v>
      </c>
      <c r="W1000">
        <f>AND(IF(metadata!D1000="",FALSE,TRUE),exact(metadata!D1000,"UBERON:urine"))</f>
        <v>0</v>
      </c>
      <c r="X1000">
        <f>AND(IF(metadata!E1000="",FALSE,TRUE),exact(metadata!E1000,"UBERON:kidney"))</f>
        <v>0</v>
      </c>
      <c r="Y1000">
        <f>AND(IF(metadata!F1000="",FALSE,TRUE),exact(metadata!F1000,"animal corpus"))</f>
        <v>0</v>
      </c>
      <c r="Z1000">
        <f>AND(IF(metadata!G1000="",FALSE,TRUE),exact(metadata!G1000,"urine"))</f>
        <v>0</v>
      </c>
      <c r="AA1000">
        <f>AND(IF(metadata!H1000="",FALSE,TRUE),exact(metadata!H1000,"urine"))</f>
        <v>0</v>
      </c>
      <c r="AB1000">
        <f>AND(IF(metadata!I1000="",FALSE,TRUE),exact(metadata!I1000,"urine metagenome"))</f>
        <v>0</v>
      </c>
      <c r="AC1000">
        <f>AND(IF(metadata!J1000="",FALSE,TRUE),exact(metadata!J1000,"1346744"))</f>
        <v>0</v>
      </c>
    </row>
    <row r="1001" spans="1:29">
      <c r="A1001" s="4">
        <f>IF(B1001=" "," ",HYPERLINK(CONCATENATE("#metadata!",ADDRESS(INDEX($P$2:$P$1001,MATCH(ROWS($N$2:N1001),$N$2:$N$1001,0),0),1)),INDEX($S$2:$S$1001,MATCH(ROWS($N$2:N1001),$N$2:$N$1001,0),0)))</f>
        <v>0</v>
      </c>
      <c r="B1001" s="3">
        <f>IF(OR(INDEX($O$2:$O$1001,MATCH(ROWS($N$2:N1001),$N$2:$N$1001,0),1)&gt;=100000,INDEX($U$1005:$AC$1005,1,MATCH(COLUMNS($U$1006:U1006),$U$1006:$AC$1006,0))&gt;=100000), " ",IF(INDEX($U$2:$AC$1001,MATCH(ROWS($N$2:N1001),$N$2:$N$1001,0),MATCH(COLUMNS($U$1006:U1006),$U$1006:$AC$1006,0)), HYPERLINK("#",""), HYPERLINK(CONCATENATE("#metadata!", ADDRESS(INDEX($P$2:$P$1001,MATCH(ROWS($N$2:N1001),$N$2:$N$1001,0),0), INDEX($U$1004:$AC$1004,1,MATCH(COLUMNS($U$1006:U1006),$U$1006:$AC$1006,0)))),"Fix")))</f>
        <v>0</v>
      </c>
      <c r="C1001" s="3">
        <f>IF(OR(INDEX($O$2:$O$1001,MATCH(ROWS($N$2:N1001),$N$2:$N$1001,0),1)&gt;=100000,INDEX($U$1005:$AC$1005,1,MATCH(COLUMNS($U$1006:V1006),$U$1006:$AC$1006,0))&gt;=100000), " ",IF(INDEX($U$2:$AC$1001,MATCH(ROWS($N$2:N1001),$N$2:$N$1001,0),MATCH(COLUMNS($U$1006:V1006),$U$1006:$AC$1006,0)), HYPERLINK("#",""), HYPERLINK(CONCATENATE("#metadata!", ADDRESS(INDEX($P$2:$P$1001,MATCH(ROWS($N$2:N1001),$N$2:$N$1001,0),0), INDEX($U$1004:$AC$1004,1,MATCH(COLUMNS($U$1006:V1006),$U$1006:$AC$1006,0)))),"Fix")))</f>
        <v>0</v>
      </c>
      <c r="D1001" s="3">
        <f>IF(OR(INDEX($O$2:$O$1001,MATCH(ROWS($N$2:N1001),$N$2:$N$1001,0),1)&gt;=100000,INDEX($U$1005:$AC$1005,1,MATCH(COLUMNS($U$1006:W1006),$U$1006:$AC$1006,0))&gt;=100000), " ",IF(INDEX($U$2:$AC$1001,MATCH(ROWS($N$2:N1001),$N$2:$N$1001,0),MATCH(COLUMNS($U$1006:W1006),$U$1006:$AC$1006,0)), HYPERLINK("#",""), HYPERLINK(CONCATENATE("#metadata!", ADDRESS(INDEX($P$2:$P$1001,MATCH(ROWS($N$2:N1001),$N$2:$N$1001,0),0), INDEX($U$1004:$AC$1004,1,MATCH(COLUMNS($U$1006:W1006),$U$1006:$AC$1006,0)))),"Fix")))</f>
        <v>0</v>
      </c>
      <c r="E1001" s="3">
        <f>IF(OR(INDEX($O$2:$O$1001,MATCH(ROWS($N$2:N1001),$N$2:$N$1001,0),1)&gt;=100000,INDEX($U$1005:$AC$1005,1,MATCH(COLUMNS($U$1006:X1006),$U$1006:$AC$1006,0))&gt;=100000), " ",IF(INDEX($U$2:$AC$1001,MATCH(ROWS($N$2:N1001),$N$2:$N$1001,0),MATCH(COLUMNS($U$1006:X1006),$U$1006:$AC$1006,0)), HYPERLINK("#",""), HYPERLINK(CONCATENATE("#metadata!", ADDRESS(INDEX($P$2:$P$1001,MATCH(ROWS($N$2:N1001),$N$2:$N$1001,0),0), INDEX($U$1004:$AC$1004,1,MATCH(COLUMNS($U$1006:X1006),$U$1006:$AC$1006,0)))),"Fix")))</f>
        <v>0</v>
      </c>
      <c r="F1001" s="3">
        <f>IF(OR(INDEX($O$2:$O$1001,MATCH(ROWS($N$2:N1001),$N$2:$N$1001,0),1)&gt;=100000,INDEX($U$1005:$AC$1005,1,MATCH(COLUMNS($U$1006:Y1006),$U$1006:$AC$1006,0))&gt;=100000), " ",IF(INDEX($U$2:$AC$1001,MATCH(ROWS($N$2:N1001),$N$2:$N$1001,0),MATCH(COLUMNS($U$1006:Y1006),$U$1006:$AC$1006,0)), HYPERLINK("#",""), HYPERLINK(CONCATENATE("#metadata!", ADDRESS(INDEX($P$2:$P$1001,MATCH(ROWS($N$2:N1001),$N$2:$N$1001,0),0), INDEX($U$1004:$AC$1004,1,MATCH(COLUMNS($U$1006:Y1006),$U$1006:$AC$1006,0)))),"Fix")))</f>
        <v>0</v>
      </c>
      <c r="G1001" s="3">
        <f>IF(OR(INDEX($O$2:$O$1001,MATCH(ROWS($N$2:N1001),$N$2:$N$1001,0),1)&gt;=100000,INDEX($U$1005:$AC$1005,1,MATCH(COLUMNS($U$1006:Z1006),$U$1006:$AC$1006,0))&gt;=100000), " ",IF(INDEX($U$2:$AC$1001,MATCH(ROWS($N$2:N1001),$N$2:$N$1001,0),MATCH(COLUMNS($U$1006:Z1006),$U$1006:$AC$1006,0)), HYPERLINK("#",""), HYPERLINK(CONCATENATE("#metadata!", ADDRESS(INDEX($P$2:$P$1001,MATCH(ROWS($N$2:N1001),$N$2:$N$1001,0),0), INDEX($U$1004:$AC$1004,1,MATCH(COLUMNS($U$1006:Z1006),$U$1006:$AC$1006,0)))),"Fix")))</f>
        <v>0</v>
      </c>
      <c r="H1001" s="3">
        <f>IF(OR(INDEX($O$2:$O$1001,MATCH(ROWS($N$2:N1001),$N$2:$N$1001,0),1)&gt;=100000,INDEX($U$1005:$AC$1005,1,MATCH(COLUMNS($U$1006:AA1006),$U$1006:$AC$1006,0))&gt;=100000), " ",IF(INDEX($U$2:$AC$1001,MATCH(ROWS($N$2:N1001),$N$2:$N$1001,0),MATCH(COLUMNS($U$1006:AA1006),$U$1006:$AC$1006,0)), HYPERLINK("#",""), HYPERLINK(CONCATENATE("#metadata!", ADDRESS(INDEX($P$2:$P$1001,MATCH(ROWS($N$2:N1001),$N$2:$N$1001,0),0), INDEX($U$1004:$AC$1004,1,MATCH(COLUMNS($U$1006:AA1006),$U$1006:$AC$1006,0)))),"Fix")))</f>
        <v>0</v>
      </c>
      <c r="I1001" s="3">
        <f>IF(OR(INDEX($O$2:$O$1001,MATCH(ROWS($N$2:N1001),$N$2:$N$1001,0),1)&gt;=100000,INDEX($U$1005:$AC$1005,1,MATCH(COLUMNS($U$1006:AB1006),$U$1006:$AC$1006,0))&gt;=100000), " ",IF(INDEX($U$2:$AC$1001,MATCH(ROWS($N$2:N1001),$N$2:$N$1001,0),MATCH(COLUMNS($U$1006:AB1006),$U$1006:$AC$1006,0)), HYPERLINK("#",""), HYPERLINK(CONCATENATE("#metadata!", ADDRESS(INDEX($P$2:$P$1001,MATCH(ROWS($N$2:N1001),$N$2:$N$1001,0),0), INDEX($U$1004:$AC$1004,1,MATCH(COLUMNS($U$1006:AB1006),$U$1006:$AC$1006,0)))),"Fix")))</f>
        <v>0</v>
      </c>
      <c r="J1001" s="3">
        <f>IF(OR(INDEX($O$2:$O$1001,MATCH(ROWS($N$2:N1001),$N$2:$N$1001,0),1)&gt;=100000,INDEX($U$1005:$AC$1005,1,MATCH(COLUMNS($U$1006:AC1006),$U$1006:$AC$1006,0))&gt;=100000), " ",IF(INDEX($U$2:$AC$1001,MATCH(ROWS($N$2:N1001),$N$2:$N$1001,0),MATCH(COLUMNS($U$1006:AC1006),$U$1006:$AC$1006,0)), HYPERLINK("#",""), HYPERLINK(CONCATENATE("#metadata!", ADDRESS(INDEX($P$2:$P$1001,MATCH(ROWS($N$2:N1001),$N$2:$N$1001,0),0), INDEX($U$1004:$AC$1004,1,MATCH(COLUMNS($U$1006:AC1006),$U$1006:$AC$1006,0)))),"Fix")))</f>
        <v>0</v>
      </c>
      <c r="N1001">
        <v>0</v>
      </c>
      <c r="O1001">
        <v>0</v>
      </c>
      <c r="P1001">
        <v>0</v>
      </c>
      <c r="Q1001">
        <f>IF(R1001,TRUE,AND(U1001:AC1001))</f>
        <v>0</v>
      </c>
      <c r="R1001">
        <f>COUNTBLANK(metadata!B1001:J1001)=COLUMNS(metadata!B1001:J1001)</f>
        <v>0</v>
      </c>
      <c r="S1001">
        <v>0</v>
      </c>
      <c r="U1001">
        <f>AND(IF(metadata!B1001="",FALSE,TRUE),COUNTIF(metadata!B:B, metadata!B1001) = 1,NOT(ISERROR(SUMPRODUCT(SEARCH(MID(metadata!B1001,ROW(INDIRECT("1:"&amp;LEN(metadata!B1001))), 1),"0123456789abcdefghijklmnopqrstuvwxyzABCDEFGHIJKLMNOPQRSTUVWXYZ.")))))</f>
        <v>0</v>
      </c>
      <c r="V1001">
        <f>AND(IF(metadata!C1001="",FALSE,TRUE),exact(metadata!C1001,"UBERON:genitourinary"))</f>
        <v>0</v>
      </c>
      <c r="W1001">
        <f>AND(IF(metadata!D1001="",FALSE,TRUE),exact(metadata!D1001,"UBERON:urine"))</f>
        <v>0</v>
      </c>
      <c r="X1001">
        <f>AND(IF(metadata!E1001="",FALSE,TRUE),exact(metadata!E1001,"UBERON:kidney"))</f>
        <v>0</v>
      </c>
      <c r="Y1001">
        <f>AND(IF(metadata!F1001="",FALSE,TRUE),exact(metadata!F1001,"animal corpus"))</f>
        <v>0</v>
      </c>
      <c r="Z1001">
        <f>AND(IF(metadata!G1001="",FALSE,TRUE),exact(metadata!G1001,"urine"))</f>
        <v>0</v>
      </c>
      <c r="AA1001">
        <f>AND(IF(metadata!H1001="",FALSE,TRUE),exact(metadata!H1001,"urine"))</f>
        <v>0</v>
      </c>
      <c r="AB1001">
        <f>AND(IF(metadata!I1001="",FALSE,TRUE),exact(metadata!I1001,"urine metagenome"))</f>
        <v>0</v>
      </c>
      <c r="AC1001">
        <f>AND(IF(metadata!J1001="",FALSE,TRUE),exact(metadata!J1001,"1346744"))</f>
        <v>0</v>
      </c>
    </row>
    <row r="1003" spans="1:29">
      <c r="T1003" s="2" t="s">
        <v>16</v>
      </c>
      <c r="U1003">
        <f t="array" ref="U1003">AND(IF($R2:$R1001,TRUE,U2:U1001))</f>
        <v>0</v>
      </c>
      <c r="V1003">
        <f t="array" ref="V1003">AND(IF($R2:$R1001,TRUE,V2:V1001))</f>
        <v>0</v>
      </c>
      <c r="W1003">
        <f t="array" ref="W1003">AND(IF($R2:$R1001,TRUE,W2:W1001))</f>
        <v>0</v>
      </c>
      <c r="X1003">
        <f t="array" ref="X1003">AND(IF($R2:$R1001,TRUE,X2:X1001))</f>
        <v>0</v>
      </c>
      <c r="Y1003">
        <f t="array" ref="Y1003">AND(IF($R2:$R1001,TRUE,Y2:Y1001))</f>
        <v>0</v>
      </c>
      <c r="Z1003">
        <f t="array" ref="Z1003">AND(IF($R2:$R1001,TRUE,Z2:Z1001))</f>
        <v>0</v>
      </c>
      <c r="AA1003">
        <f t="array" ref="AA1003">AND(IF($R2:$R1001,TRUE,AA2:AA1001))</f>
        <v>0</v>
      </c>
      <c r="AB1003">
        <f t="array" ref="AB1003">AND(IF($R2:$R1001,TRUE,AB2:AB1001))</f>
        <v>0</v>
      </c>
      <c r="AC1003">
        <f t="array" ref="AC1003">AND(IF($R2:$R1001,TRUE,AC2:AC1001))</f>
        <v>0</v>
      </c>
    </row>
    <row r="1004" spans="1:29">
      <c r="T1004" s="2" t="s">
        <v>17</v>
      </c>
      <c r="U1004">
        <f t="array" ref="U1004:AC1004">COLUMN(metadata!B1004:J1004)</f>
        <v>0</v>
      </c>
      <c r="V1004">
        <v>0</v>
      </c>
      <c r="W1004">
        <v>0</v>
      </c>
      <c r="X1004">
        <v>0</v>
      </c>
      <c r="Y1004">
        <v>0</v>
      </c>
      <c r="Z1004">
        <v>0</v>
      </c>
      <c r="AA1004">
        <v>0</v>
      </c>
      <c r="AB1004">
        <v>0</v>
      </c>
      <c r="AC1004">
        <v>0</v>
      </c>
    </row>
    <row r="1005" spans="1:29">
      <c r="T1005" s="2" t="s">
        <v>18</v>
      </c>
      <c r="U1005">
        <f t="array" ref="U1005:AC1005">INT(U1003:AC1003)*100000+$U$1004:$AC$1004</f>
        <v>0</v>
      </c>
      <c r="V1005">
        <v>0</v>
      </c>
      <c r="W1005">
        <v>0</v>
      </c>
      <c r="X1005">
        <v>0</v>
      </c>
      <c r="Y1005">
        <v>0</v>
      </c>
      <c r="Z1005">
        <v>0</v>
      </c>
      <c r="AA1005">
        <v>0</v>
      </c>
      <c r="AB1005">
        <v>0</v>
      </c>
      <c r="AC1005">
        <v>0</v>
      </c>
    </row>
    <row r="1006" spans="1:29">
      <c r="T1006" s="2" t="s">
        <v>19</v>
      </c>
      <c r="U1006">
        <f t="array" ref="U1006:AC1006">COUNTIF($U1005:$AC1005,"&lt;="&amp;U$1005:AC1005)</f>
        <v>0</v>
      </c>
      <c r="V1006">
        <v>0</v>
      </c>
      <c r="W1006">
        <v>0</v>
      </c>
      <c r="X1006">
        <v>0</v>
      </c>
      <c r="Y1006">
        <v>0</v>
      </c>
      <c r="Z1006">
        <v>0</v>
      </c>
      <c r="AA1006">
        <v>0</v>
      </c>
      <c r="AB1006">
        <v>0</v>
      </c>
      <c r="AC1006">
        <v>0</v>
      </c>
    </row>
  </sheetData>
  <sheetProtection sheet="1" objects="1" scenarios="1"/>
  <conditionalFormatting sqref="B2:J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20</v>
      </c>
      <c r="B1" s="2" t="s">
        <v>21</v>
      </c>
    </row>
    <row r="2" spans="1:2">
      <c r="A2" s="2" t="s">
        <v>1</v>
      </c>
      <c r="B2" t="s">
        <v>22</v>
      </c>
    </row>
    <row r="3" spans="1:2">
      <c r="A3" s="2" t="s">
        <v>3</v>
      </c>
      <c r="B3" t="s">
        <v>23</v>
      </c>
    </row>
    <row r="4" spans="1:2">
      <c r="A4" s="2" t="s">
        <v>4</v>
      </c>
      <c r="B4" t="s">
        <v>24</v>
      </c>
    </row>
    <row r="5" spans="1:2">
      <c r="A5" s="2" t="s">
        <v>5</v>
      </c>
      <c r="B5" t="s">
        <v>25</v>
      </c>
    </row>
    <row r="6" spans="1:2">
      <c r="A6" s="2" t="s">
        <v>6</v>
      </c>
      <c r="B6" t="s">
        <v>26</v>
      </c>
    </row>
    <row r="7" spans="1:2">
      <c r="A7" s="2" t="s">
        <v>7</v>
      </c>
      <c r="B7" t="s">
        <v>27</v>
      </c>
    </row>
    <row r="8" spans="1:2">
      <c r="A8" s="2" t="s">
        <v>8</v>
      </c>
      <c r="B8" t="s">
        <v>27</v>
      </c>
    </row>
    <row r="9" spans="1:2">
      <c r="A9" s="2" t="s">
        <v>9</v>
      </c>
      <c r="B9" t="s">
        <v>28</v>
      </c>
    </row>
    <row r="10" spans="1:2">
      <c r="A10" s="2" t="s">
        <v>10</v>
      </c>
      <c r="B10" t="s">
        <v>29</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30</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31</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32</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2018-01-17T21:54:04Z</dcterms:created>
  <dcterms:modified xsi:type="dcterms:W3CDTF">2018-01-17T21:54:04Z</dcterms:modified>
</cp:coreProperties>
</file>